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PBIData\SFC\2019-20\"/>
    </mc:Choice>
  </mc:AlternateContent>
  <xr:revisionPtr revIDLastSave="0" documentId="13_ncr:1_{99AE2951-372E-4CD6-9D2A-4E6E678D4197}" xr6:coauthVersionLast="41" xr6:coauthVersionMax="41" xr10:uidLastSave="{00000000-0000-0000-0000-000000000000}"/>
  <bookViews>
    <workbookView xWindow="28680" yWindow="-120" windowWidth="25440" windowHeight="15390" firstSheet="2" activeTab="2" xr2:uid="{00000000-000D-0000-FFFF-FFFF00000000}"/>
  </bookViews>
  <sheets>
    <sheet name="Contents" sheetId="47" r:id="rId1"/>
    <sheet name="Early Statistics Tables ---&gt;" sheetId="75" r:id="rId2"/>
    <sheet name="T1 Main Table" sheetId="34" r:id="rId3"/>
    <sheet name="T2a ITE" sheetId="39" r:id="rId4"/>
    <sheet name="T2b ITE New Routes " sheetId="68" r:id="rId5"/>
    <sheet name="T2c PGDE Subjects" sheetId="66" r:id="rId6"/>
    <sheet name="T2d Other Sec New Routes Subjs" sheetId="72" r:id="rId7"/>
    <sheet name="T2e TQFE" sheetId="13" r:id="rId8"/>
    <sheet name="T2f Catholic ITE" sheetId="14" r:id="rId9"/>
    <sheet name="T3 Medicine, Dentistry" sheetId="63" r:id="rId10"/>
    <sheet name="T4a Nurse and Midwry Three Year" sheetId="48" r:id="rId11"/>
    <sheet name="T4b Nurse Four Year" sheetId="41" r:id="rId12"/>
    <sheet name="T5a TPG FPs" sheetId="64" r:id="rId13"/>
    <sheet name="T5b Innovation Centres" sheetId="54" r:id="rId14"/>
    <sheet name="T5c Early Years" sheetId="73" r:id="rId15"/>
    <sheet name="T5d ESF DSW " sheetId="51" r:id="rId16"/>
    <sheet name="T6 Care Experienced" sheetId="52" r:id="rId17"/>
    <sheet name="Monitoring" sheetId="70" r:id="rId18"/>
    <sheet name="Early Access Tables ---&gt;" sheetId="76" r:id="rId19"/>
    <sheet name="Early Access T1 UG Entrants" sheetId="65" r:id="rId20"/>
    <sheet name="Early Access T2 UG Applicants" sheetId="74" r:id="rId21"/>
    <sheet name="Background Data" sheetId="71" state="hidden" r:id="rId22"/>
  </sheets>
  <definedNames>
    <definedName name="Consol_Tolerance" localSheetId="17">Monitoring!$C$96</definedName>
    <definedName name="Control_Consol_Tolerance_FTE" localSheetId="17">Monitoring!$C$97</definedName>
    <definedName name="Control_Under_Tolerance" localSheetId="17">Monitoring!$C$93</definedName>
    <definedName name="Dentistry_Consol_Tolerance">Monitoring!$C$95</definedName>
    <definedName name="Early_Statistics">'Background Data'!$CF$70:$ER$113</definedName>
    <definedName name="Early_Stats_Last_Year">'Background Data'!$CF$70:$ER$113</definedName>
    <definedName name="Final_Figures">'Background Data'!$ET$123:$HF$166</definedName>
    <definedName name="HTML_CodePage" hidden="1">1252</definedName>
    <definedName name="HTML_Control" localSheetId="17" hidden="1">{"'Page1'!$E$11:$AJ$51","'Page1'!$A$1"}</definedName>
    <definedName name="HTML_Control" localSheetId="4" hidden="1">{"'Page1'!$E$11:$AJ$51","'Page1'!$A$1"}</definedName>
    <definedName name="HTML_Control" localSheetId="6" hidden="1">{"'Page1'!$E$11:$AJ$51","'Page1'!$A$1"}</definedName>
    <definedName name="HTML_Control" localSheetId="12" hidden="1">{"'Page1'!$E$11:$AJ$51","'Page1'!$A$1"}</definedName>
    <definedName name="HTML_Control" localSheetId="13" hidden="1">{"'Page1'!$E$11:$AJ$51","'Page1'!$A$1"}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ICs_TPG_ES">'Background Data'!$HH$174:$HJ$180</definedName>
    <definedName name="Innov_Centres">'Background Data'!$HH$174:$HJ$180</definedName>
    <definedName name="Inst_FPs">'Background Data'!$AH$41:$CD$60</definedName>
    <definedName name="Inst_Tables">'Background Data'!$A$10:$AF$29</definedName>
    <definedName name="ITE_Subjects">'T2c PGDE Subjects'!$B$16:$B$35</definedName>
    <definedName name="Non_control_Under_Tolerance" localSheetId="17">Monitoring!$C$94</definedName>
    <definedName name="PGDE_Subjects">'T2c PGDE Subjects'!$B$16:$B$35</definedName>
    <definedName name="_xlnm.Print_Area" localSheetId="0">Contents!$A$1:$E$34</definedName>
    <definedName name="_xlnm.Print_Area" localSheetId="19">'Early Access T1 UG Entrants'!$A$1:$L$29</definedName>
    <definedName name="_xlnm.Print_Area" localSheetId="20">'Early Access T2 UG Applicants'!$A$2:$F$23</definedName>
    <definedName name="_xlnm.Print_Area" localSheetId="17">Monitoring!$A$1:$K$89</definedName>
    <definedName name="_xlnm.Print_Area" localSheetId="2">'T1 Main Table'!$B$1:$R$66</definedName>
    <definedName name="_xlnm.Print_Area" localSheetId="3">'T2a ITE'!$A$2:$P$74</definedName>
    <definedName name="_xlnm.Print_Area" localSheetId="4">'T2b ITE New Routes '!$A$2:$O$84</definedName>
    <definedName name="_xlnm.Print_Area" localSheetId="5">'T2c PGDE Subjects'!$A$2:$M$37</definedName>
    <definedName name="_xlnm.Print_Area" localSheetId="6">'T2d Other Sec New Routes Subjs'!$A$2:$K$23</definedName>
    <definedName name="_xlnm.Print_Area" localSheetId="7">'T2e TQFE'!$A$2:$O$15</definedName>
    <definedName name="_xlnm.Print_Area" localSheetId="8">'T2f Catholic ITE'!$A$2:$F$16</definedName>
    <definedName name="_xlnm.Print_Area" localSheetId="9">'T3 Medicine, Dentistry'!$A$8:$T$58</definedName>
    <definedName name="_xlnm.Print_Area" localSheetId="10">'T4a Nurse and Midwry Three Year'!$A$2:$U$50</definedName>
    <definedName name="_xlnm.Print_Area" localSheetId="11">'T4b Nurse Four Year'!$A$2:$F$19</definedName>
    <definedName name="_xlnm.Print_Area" localSheetId="12">'T5a TPG FPs'!$A$2:$E$50</definedName>
    <definedName name="_xlnm.Print_Area" localSheetId="13">'T5b Innovation Centres'!$A$2:$F$20</definedName>
    <definedName name="_xlnm.Print_Area" localSheetId="14">'T5c Early Years'!$A$2:$E$28</definedName>
    <definedName name="_xlnm.Print_Area" localSheetId="15">'T5d ESF DSW '!$A$2:$H$32</definedName>
    <definedName name="_xlnm.Print_Area" localSheetId="16">'T6 Care Experienced'!$A$1:$F$8</definedName>
    <definedName name="_xlnm.Print_Titles" localSheetId="17">Monitoring!$1:$3</definedName>
    <definedName name="_xlnm.Print_Titles" localSheetId="2">'T1 Main Table'!$1:$11</definedName>
    <definedName name="_xlnm.Print_Titles" localSheetId="3">'T2a ITE'!$2:$13</definedName>
    <definedName name="_xlnm.Print_Titles" localSheetId="4">'T2b ITE New Routes '!$2:$13</definedName>
    <definedName name="_xlnm.Print_Titles" localSheetId="9">'T3 Medicine, Dentistry'!$2:$5</definedName>
    <definedName name="_xlnm.Print_Titles" localSheetId="10">'T4a Nurse and Midwry Three Year'!$2:$13</definedName>
    <definedName name="_xlnm.Print_Titles" localSheetId="12">'T5a TPG FPs'!$2:$14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3" i="63" l="1"/>
  <c r="E31" i="47" l="1"/>
  <c r="D31" i="47" s="1"/>
  <c r="F4" i="74"/>
  <c r="B1" i="74" s="1"/>
  <c r="M20" i="63" l="1"/>
  <c r="H20" i="63"/>
  <c r="G19" i="63"/>
  <c r="H18" i="63"/>
  <c r="D74" i="70" s="1"/>
  <c r="G7" i="72"/>
  <c r="H10" i="71"/>
  <c r="C10" i="66"/>
  <c r="N79" i="68"/>
  <c r="N76" i="68"/>
  <c r="N81" i="68" s="1"/>
  <c r="N80" i="68"/>
  <c r="N78" i="68"/>
  <c r="N77" i="68"/>
  <c r="L71" i="68"/>
  <c r="K71" i="68"/>
  <c r="J71" i="68"/>
  <c r="I71" i="68"/>
  <c r="N70" i="68"/>
  <c r="N69" i="68"/>
  <c r="N68" i="68"/>
  <c r="N67" i="68"/>
  <c r="N66" i="68"/>
  <c r="N71" i="68" s="1"/>
  <c r="N56" i="68"/>
  <c r="N46" i="68"/>
  <c r="I51" i="68"/>
  <c r="C51" i="68"/>
  <c r="N36" i="68"/>
  <c r="J31" i="68"/>
  <c r="I31" i="68"/>
  <c r="N30" i="68"/>
  <c r="N29" i="68"/>
  <c r="N31" i="68" s="1"/>
  <c r="N28" i="68"/>
  <c r="N27" i="68"/>
  <c r="N26" i="68"/>
  <c r="J21" i="68"/>
  <c r="I21" i="68"/>
  <c r="N20" i="68"/>
  <c r="N19" i="68"/>
  <c r="N18" i="68"/>
  <c r="N17" i="68"/>
  <c r="N16" i="68"/>
  <c r="M43" i="68"/>
  <c r="L43" i="68"/>
  <c r="K43" i="68"/>
  <c r="J43" i="68"/>
  <c r="I43" i="68"/>
  <c r="F43" i="68"/>
  <c r="D43" i="68"/>
  <c r="C43" i="68"/>
  <c r="M41" i="68"/>
  <c r="L41" i="68"/>
  <c r="K41" i="68"/>
  <c r="J41" i="68"/>
  <c r="I41" i="68"/>
  <c r="N40" i="68"/>
  <c r="N39" i="68"/>
  <c r="N38" i="68"/>
  <c r="N37" i="68"/>
  <c r="A35" i="68"/>
  <c r="F41" i="68"/>
  <c r="D41" i="68"/>
  <c r="C41" i="68"/>
  <c r="E40" i="68"/>
  <c r="G40" i="68" s="1"/>
  <c r="E39" i="68"/>
  <c r="G39" i="68" s="1"/>
  <c r="E38" i="68"/>
  <c r="G38" i="68" s="1"/>
  <c r="E37" i="68"/>
  <c r="G37" i="68" s="1"/>
  <c r="E36" i="68"/>
  <c r="E41" i="68" s="1"/>
  <c r="A65" i="68"/>
  <c r="Q36" i="68" l="1"/>
  <c r="Q37" i="68"/>
  <c r="Q38" i="68"/>
  <c r="N41" i="68"/>
  <c r="Q39" i="68"/>
  <c r="Q40" i="68"/>
  <c r="N20" i="63"/>
  <c r="N18" i="63"/>
  <c r="G36" i="68"/>
  <c r="G41" i="68" s="1"/>
  <c r="O73" i="39"/>
  <c r="J70" i="39"/>
  <c r="O69" i="39"/>
  <c r="O68" i="39"/>
  <c r="O70" i="39" s="1"/>
  <c r="N61" i="39"/>
  <c r="M61" i="39"/>
  <c r="L61" i="39"/>
  <c r="K61" i="39"/>
  <c r="J61" i="39"/>
  <c r="J57" i="39"/>
  <c r="O56" i="39"/>
  <c r="O55" i="39"/>
  <c r="O51" i="39"/>
  <c r="O50" i="39"/>
  <c r="O49" i="39"/>
  <c r="O45" i="39"/>
  <c r="N43" i="68" s="1"/>
  <c r="O44" i="39"/>
  <c r="O46" i="39" s="1"/>
  <c r="J46" i="39"/>
  <c r="O32" i="39"/>
  <c r="O31" i="39"/>
  <c r="O33" i="39" s="1"/>
  <c r="O35" i="39"/>
  <c r="O37" i="39" s="1"/>
  <c r="N33" i="68" s="1"/>
  <c r="O36" i="39"/>
  <c r="K37" i="39"/>
  <c r="J37" i="39"/>
  <c r="K33" i="39"/>
  <c r="J33" i="39"/>
  <c r="O23" i="39"/>
  <c r="O22" i="39"/>
  <c r="O21" i="39"/>
  <c r="K23" i="39"/>
  <c r="J23" i="39"/>
  <c r="K19" i="39"/>
  <c r="J19" i="39"/>
  <c r="O18" i="39"/>
  <c r="O17" i="39"/>
  <c r="A67" i="39"/>
  <c r="A54" i="39"/>
  <c r="A51" i="39"/>
  <c r="A50" i="39"/>
  <c r="A49" i="39"/>
  <c r="A45" i="39"/>
  <c r="A34" i="39"/>
  <c r="A30" i="39"/>
  <c r="A20" i="39"/>
  <c r="V28" i="71"/>
  <c r="V27" i="71"/>
  <c r="V26" i="71"/>
  <c r="V25" i="71"/>
  <c r="V24" i="71"/>
  <c r="V23" i="71"/>
  <c r="V22" i="71"/>
  <c r="V21" i="71"/>
  <c r="V20" i="71"/>
  <c r="V19" i="71"/>
  <c r="V18" i="71"/>
  <c r="V17" i="71"/>
  <c r="A44" i="39" s="1"/>
  <c r="V16" i="71"/>
  <c r="V15" i="71"/>
  <c r="V14" i="71"/>
  <c r="V13" i="71"/>
  <c r="V12" i="71"/>
  <c r="V11" i="71"/>
  <c r="V10" i="71"/>
  <c r="N46" i="39"/>
  <c r="C46" i="39"/>
  <c r="M46" i="39"/>
  <c r="L46" i="39"/>
  <c r="K46" i="39"/>
  <c r="H46" i="39"/>
  <c r="F46" i="39"/>
  <c r="D46" i="39"/>
  <c r="E45" i="39"/>
  <c r="O47" i="34"/>
  <c r="O46" i="34"/>
  <c r="C48" i="34"/>
  <c r="C64" i="34" s="1"/>
  <c r="AG46" i="34"/>
  <c r="W46" i="34"/>
  <c r="O57" i="39" l="1"/>
  <c r="O19" i="39"/>
  <c r="R45" i="39"/>
  <c r="E43" i="68"/>
  <c r="AA46" i="34"/>
  <c r="AK46" i="34"/>
  <c r="G45" i="39"/>
  <c r="G43" i="68" s="1"/>
  <c r="J47" i="34"/>
  <c r="I47" i="34"/>
  <c r="K47" i="34" s="1"/>
  <c r="T45" i="39" s="1"/>
  <c r="U45" i="39" s="1"/>
  <c r="V45" i="39" s="1"/>
  <c r="H47" i="34"/>
  <c r="E47" i="34"/>
  <c r="J46" i="34"/>
  <c r="I46" i="34"/>
  <c r="H46" i="34"/>
  <c r="E46" i="34"/>
  <c r="N48" i="34"/>
  <c r="M48" i="34"/>
  <c r="O48" i="34" s="1"/>
  <c r="G48" i="34"/>
  <c r="G64" i="34" s="1"/>
  <c r="F48" i="34"/>
  <c r="F64" i="34" s="1"/>
  <c r="D48" i="34"/>
  <c r="D64" i="34" s="1"/>
  <c r="Q47" i="34" l="1"/>
  <c r="J48" i="34"/>
  <c r="H48" i="34"/>
  <c r="E48" i="34"/>
  <c r="I48" i="34"/>
  <c r="K48" i="34" s="1"/>
  <c r="K46" i="34"/>
  <c r="O15" i="34"/>
  <c r="O30" i="34"/>
  <c r="O29" i="34"/>
  <c r="AG29" i="34"/>
  <c r="AK29" i="34" s="1"/>
  <c r="W29" i="34"/>
  <c r="AA29" i="34" s="1"/>
  <c r="Q48" i="34" l="1"/>
  <c r="D25" i="70"/>
  <c r="T44" i="39"/>
  <c r="Q46" i="34"/>
  <c r="E16" i="47"/>
  <c r="F4" i="63"/>
  <c r="E15" i="47"/>
  <c r="E14" i="47"/>
  <c r="J24" i="72"/>
  <c r="O60" i="39"/>
  <c r="E24" i="72" s="1"/>
  <c r="C87" i="70"/>
  <c r="C86" i="70"/>
  <c r="C85" i="70"/>
  <c r="C83" i="70"/>
  <c r="C82" i="70"/>
  <c r="C81" i="70"/>
  <c r="C80" i="70"/>
  <c r="C78" i="70"/>
  <c r="C77" i="70"/>
  <c r="C75" i="70"/>
  <c r="C74" i="70"/>
  <c r="C73" i="70"/>
  <c r="C64" i="70" l="1"/>
  <c r="C62" i="70"/>
  <c r="C61" i="70"/>
  <c r="AS60" i="71" l="1"/>
  <c r="AR60" i="71"/>
  <c r="AQ60" i="71"/>
  <c r="AP60" i="71"/>
  <c r="AO60" i="71"/>
  <c r="AT59" i="71"/>
  <c r="AT58" i="71"/>
  <c r="AT57" i="71"/>
  <c r="AT56" i="71"/>
  <c r="AT55" i="71"/>
  <c r="AT54" i="71"/>
  <c r="AT53" i="71"/>
  <c r="AT52" i="71"/>
  <c r="AT51" i="71"/>
  <c r="AT50" i="71"/>
  <c r="AT49" i="71"/>
  <c r="AT48" i="71"/>
  <c r="AT47" i="71"/>
  <c r="AT46" i="71"/>
  <c r="AT45" i="71"/>
  <c r="AT44" i="71"/>
  <c r="AT43" i="71"/>
  <c r="AT42" i="71"/>
  <c r="AT41" i="71"/>
  <c r="C44" i="70"/>
  <c r="C43" i="70"/>
  <c r="F4" i="14"/>
  <c r="AT60" i="71" l="1"/>
  <c r="G4" i="13"/>
  <c r="D10" i="66"/>
  <c r="H28" i="71"/>
  <c r="H27" i="71"/>
  <c r="H26" i="71"/>
  <c r="H25" i="71"/>
  <c r="H24" i="71"/>
  <c r="H23" i="71"/>
  <c r="H22" i="71"/>
  <c r="H21" i="71"/>
  <c r="H20" i="71"/>
  <c r="H19" i="71"/>
  <c r="H18" i="71"/>
  <c r="H17" i="71"/>
  <c r="H16" i="71"/>
  <c r="H15" i="71"/>
  <c r="H14" i="71"/>
  <c r="H13" i="71"/>
  <c r="H12" i="71"/>
  <c r="H11" i="71"/>
  <c r="A25" i="68"/>
  <c r="A15" i="68"/>
  <c r="E12" i="47" l="1"/>
  <c r="D5" i="66"/>
  <c r="AG59" i="34"/>
  <c r="AG58" i="34"/>
  <c r="AG56" i="34"/>
  <c r="AK56" i="34" s="1"/>
  <c r="AG55" i="34"/>
  <c r="AK55" i="34" s="1"/>
  <c r="AG54" i="34"/>
  <c r="AK54" i="34" s="1"/>
  <c r="AG52" i="34"/>
  <c r="AK52" i="34" s="1"/>
  <c r="AG51" i="34"/>
  <c r="AK51" i="34" s="1"/>
  <c r="AG50" i="34"/>
  <c r="AK50" i="34" s="1"/>
  <c r="AG43" i="34"/>
  <c r="AG42" i="34"/>
  <c r="AK42" i="34" s="1"/>
  <c r="AG41" i="34"/>
  <c r="AG40" i="34"/>
  <c r="AG38" i="34"/>
  <c r="AG26" i="34"/>
  <c r="AK26" i="34" s="1"/>
  <c r="AG25" i="34"/>
  <c r="AG22" i="34"/>
  <c r="AK22" i="34" s="1"/>
  <c r="AG21" i="34"/>
  <c r="AG15" i="34"/>
  <c r="AK15" i="34" s="1"/>
  <c r="W59" i="34"/>
  <c r="W58" i="34"/>
  <c r="W56" i="34"/>
  <c r="AA56" i="34" s="1"/>
  <c r="W55" i="34"/>
  <c r="AA55" i="34" s="1"/>
  <c r="W54" i="34"/>
  <c r="AA54" i="34" s="1"/>
  <c r="W52" i="34"/>
  <c r="AA52" i="34" s="1"/>
  <c r="W51" i="34"/>
  <c r="AA51" i="34" s="1"/>
  <c r="W50" i="34"/>
  <c r="AA50" i="34" s="1"/>
  <c r="W43" i="34"/>
  <c r="W42" i="34"/>
  <c r="AA42" i="34" s="1"/>
  <c r="W41" i="34"/>
  <c r="W40" i="34"/>
  <c r="W38" i="34"/>
  <c r="W26" i="34"/>
  <c r="AA26" i="34" s="1"/>
  <c r="W25" i="34"/>
  <c r="W22" i="34"/>
  <c r="AA22" i="34" s="1"/>
  <c r="W21" i="34"/>
  <c r="W15" i="34"/>
  <c r="AA15" i="34" s="1"/>
  <c r="AE28" i="71" l="1"/>
  <c r="AC28" i="71"/>
  <c r="I28" i="71" s="1"/>
  <c r="AB28" i="71"/>
  <c r="G28" i="71" s="1"/>
  <c r="AE27" i="71"/>
  <c r="AC27" i="71"/>
  <c r="I27" i="71" s="1"/>
  <c r="AB27" i="71"/>
  <c r="AE26" i="71"/>
  <c r="AC26" i="71"/>
  <c r="I26" i="71" s="1"/>
  <c r="AB26" i="71"/>
  <c r="G26" i="71" s="1"/>
  <c r="AE25" i="71"/>
  <c r="AC25" i="71"/>
  <c r="I25" i="71" s="1"/>
  <c r="AB25" i="71"/>
  <c r="G25" i="71" s="1"/>
  <c r="AE24" i="71"/>
  <c r="AC24" i="71"/>
  <c r="I24" i="71" s="1"/>
  <c r="AB24" i="71"/>
  <c r="G24" i="71" s="1"/>
  <c r="AE23" i="71"/>
  <c r="AC23" i="71"/>
  <c r="I23" i="71" s="1"/>
  <c r="AB23" i="71"/>
  <c r="AE22" i="71"/>
  <c r="AC22" i="71"/>
  <c r="I22" i="71" s="1"/>
  <c r="AB22" i="71"/>
  <c r="AE21" i="71"/>
  <c r="AC21" i="71"/>
  <c r="I21" i="71" s="1"/>
  <c r="AB21" i="71"/>
  <c r="G21" i="71" s="1"/>
  <c r="AE20" i="71"/>
  <c r="AC20" i="71"/>
  <c r="I20" i="71" s="1"/>
  <c r="AB20" i="71"/>
  <c r="G20" i="71" s="1"/>
  <c r="AE19" i="71"/>
  <c r="AC19" i="71"/>
  <c r="I19" i="71" s="1"/>
  <c r="AB19" i="71"/>
  <c r="AE18" i="71"/>
  <c r="AC18" i="71"/>
  <c r="I18" i="71" s="1"/>
  <c r="AB18" i="71"/>
  <c r="G18" i="71" s="1"/>
  <c r="AE17" i="71"/>
  <c r="AC17" i="71"/>
  <c r="AB17" i="71"/>
  <c r="AE16" i="71"/>
  <c r="AC16" i="71"/>
  <c r="I16" i="71" s="1"/>
  <c r="AB16" i="71"/>
  <c r="G16" i="71" s="1"/>
  <c r="AE15" i="71"/>
  <c r="AC15" i="71"/>
  <c r="I15" i="71" s="1"/>
  <c r="AB15" i="71"/>
  <c r="G15" i="71" s="1"/>
  <c r="AE14" i="71"/>
  <c r="AC14" i="71"/>
  <c r="I14" i="71" s="1"/>
  <c r="AB14" i="71"/>
  <c r="AE13" i="71"/>
  <c r="AC13" i="71"/>
  <c r="I13" i="71" s="1"/>
  <c r="AB13" i="71"/>
  <c r="AE12" i="71"/>
  <c r="AC12" i="71"/>
  <c r="I12" i="71" s="1"/>
  <c r="AB12" i="71"/>
  <c r="G12" i="71" s="1"/>
  <c r="AE11" i="71"/>
  <c r="AC11" i="71"/>
  <c r="I11" i="71" s="1"/>
  <c r="AB11" i="71"/>
  <c r="AE10" i="71"/>
  <c r="AC10" i="71"/>
  <c r="I10" i="71" s="1"/>
  <c r="AB10" i="71"/>
  <c r="G10" i="71" s="1"/>
  <c r="R28" i="71"/>
  <c r="R27" i="71"/>
  <c r="R26" i="71"/>
  <c r="R25" i="71"/>
  <c r="R24" i="71"/>
  <c r="R23" i="71"/>
  <c r="R22" i="71"/>
  <c r="R21" i="71"/>
  <c r="R20" i="71"/>
  <c r="R19" i="71"/>
  <c r="R18" i="71"/>
  <c r="R17" i="71"/>
  <c r="A16" i="39" s="1"/>
  <c r="R16" i="71"/>
  <c r="R15" i="71"/>
  <c r="R14" i="71"/>
  <c r="R13" i="71"/>
  <c r="R12" i="71"/>
  <c r="R11" i="71"/>
  <c r="R10" i="71"/>
  <c r="D11" i="71"/>
  <c r="D12" i="71" s="1"/>
  <c r="D13" i="71" s="1"/>
  <c r="D14" i="71" s="1"/>
  <c r="D15" i="71" s="1"/>
  <c r="D16" i="71" s="1"/>
  <c r="D17" i="71" s="1"/>
  <c r="C11" i="71"/>
  <c r="C12" i="71" s="1"/>
  <c r="C13" i="71" s="1"/>
  <c r="C14" i="71" s="1"/>
  <c r="C15" i="71" s="1"/>
  <c r="C16" i="71" s="1"/>
  <c r="C17" i="71" s="1"/>
  <c r="A75" i="68" l="1"/>
  <c r="A73" i="39"/>
  <c r="G23" i="71"/>
  <c r="A55" i="68"/>
  <c r="B7" i="72"/>
  <c r="A60" i="39"/>
  <c r="G13" i="71"/>
  <c r="A45" i="68"/>
  <c r="G17" i="71"/>
  <c r="A59" i="39"/>
  <c r="G11" i="71"/>
  <c r="G19" i="71"/>
  <c r="G27" i="71"/>
  <c r="G14" i="71"/>
  <c r="G22" i="71"/>
  <c r="F13" i="71"/>
  <c r="F21" i="71"/>
  <c r="F25" i="71"/>
  <c r="U46" i="34"/>
  <c r="AE46" i="34"/>
  <c r="AD46" i="34"/>
  <c r="AH46" i="34" s="1"/>
  <c r="T46" i="34"/>
  <c r="X46" i="34" s="1"/>
  <c r="U29" i="34"/>
  <c r="Y29" i="34" s="1"/>
  <c r="AE29" i="34"/>
  <c r="AI29" i="34" s="1"/>
  <c r="AD29" i="34"/>
  <c r="T29" i="34"/>
  <c r="D18" i="71"/>
  <c r="D19" i="71" s="1"/>
  <c r="D20" i="71" s="1"/>
  <c r="D21" i="71" s="1"/>
  <c r="D22" i="71" s="1"/>
  <c r="D23" i="71" s="1"/>
  <c r="D24" i="71" s="1"/>
  <c r="D25" i="71" s="1"/>
  <c r="D26" i="71" s="1"/>
  <c r="D27" i="71" s="1"/>
  <c r="D28" i="71" s="1"/>
  <c r="D29" i="71" s="1"/>
  <c r="AE61" i="34"/>
  <c r="AI61" i="34" s="1"/>
  <c r="AE55" i="34"/>
  <c r="AI55" i="34" s="1"/>
  <c r="AE50" i="34"/>
  <c r="AI50" i="34" s="1"/>
  <c r="AE41" i="34"/>
  <c r="AI41" i="34" s="1"/>
  <c r="AE21" i="34"/>
  <c r="U59" i="34"/>
  <c r="U54" i="34"/>
  <c r="Y54" i="34" s="1"/>
  <c r="U40" i="34"/>
  <c r="Y40" i="34" s="1"/>
  <c r="U26" i="34"/>
  <c r="Y26" i="34" s="1"/>
  <c r="U16" i="34"/>
  <c r="AE63" i="34"/>
  <c r="AE52" i="34"/>
  <c r="AI52" i="34" s="1"/>
  <c r="AE38" i="34"/>
  <c r="AE15" i="34"/>
  <c r="AI15" i="34" s="1"/>
  <c r="U56" i="34"/>
  <c r="Y56" i="34" s="1"/>
  <c r="U42" i="34"/>
  <c r="Y42" i="34" s="1"/>
  <c r="U22" i="34"/>
  <c r="AE62" i="34"/>
  <c r="AE56" i="34"/>
  <c r="AI56" i="34" s="1"/>
  <c r="AE42" i="34"/>
  <c r="AI42" i="34" s="1"/>
  <c r="AE22" i="34"/>
  <c r="U61" i="34"/>
  <c r="Y61" i="34" s="1"/>
  <c r="U50" i="34"/>
  <c r="Y50" i="34" s="1"/>
  <c r="AE59" i="34"/>
  <c r="AE54" i="34"/>
  <c r="AI54" i="34" s="1"/>
  <c r="AE40" i="34"/>
  <c r="AI40" i="34" s="1"/>
  <c r="AE26" i="34"/>
  <c r="AI26" i="34" s="1"/>
  <c r="AE16" i="34"/>
  <c r="U63" i="34"/>
  <c r="U58" i="34"/>
  <c r="Y58" i="34" s="1"/>
  <c r="U52" i="34"/>
  <c r="Y52" i="34" s="1"/>
  <c r="U43" i="34"/>
  <c r="Y43" i="34" s="1"/>
  <c r="U38" i="34"/>
  <c r="U25" i="34"/>
  <c r="U15" i="34"/>
  <c r="Y15" i="34" s="1"/>
  <c r="AE58" i="34"/>
  <c r="AI58" i="34" s="1"/>
  <c r="AE43" i="34"/>
  <c r="AI43" i="34" s="1"/>
  <c r="AE25" i="34"/>
  <c r="U62" i="34"/>
  <c r="U51" i="34"/>
  <c r="Y51" i="34" s="1"/>
  <c r="U31" i="34"/>
  <c r="U12" i="34"/>
  <c r="AE51" i="34"/>
  <c r="AI51" i="34" s="1"/>
  <c r="AE31" i="34"/>
  <c r="AE12" i="34"/>
  <c r="U55" i="34"/>
  <c r="Y55" i="34" s="1"/>
  <c r="U41" i="34"/>
  <c r="Y41" i="34" s="1"/>
  <c r="U21" i="34"/>
  <c r="F10" i="71"/>
  <c r="F18" i="71"/>
  <c r="F11" i="71"/>
  <c r="F15" i="71"/>
  <c r="F19" i="71"/>
  <c r="F23" i="71"/>
  <c r="F27" i="71"/>
  <c r="I17" i="71"/>
  <c r="F17" i="71"/>
  <c r="F14" i="71"/>
  <c r="F22" i="71"/>
  <c r="F26" i="71"/>
  <c r="C18" i="71"/>
  <c r="C19" i="71" s="1"/>
  <c r="C20" i="71" s="1"/>
  <c r="C21" i="71" s="1"/>
  <c r="C22" i="71" s="1"/>
  <c r="C23" i="71" s="1"/>
  <c r="C24" i="71" s="1"/>
  <c r="C25" i="71" s="1"/>
  <c r="C26" i="71" s="1"/>
  <c r="C27" i="71" s="1"/>
  <c r="C28" i="71" s="1"/>
  <c r="C29" i="71" s="1"/>
  <c r="AD63" i="34"/>
  <c r="AD58" i="34"/>
  <c r="AD52" i="34"/>
  <c r="AD43" i="34"/>
  <c r="AD38" i="34"/>
  <c r="AD25" i="34"/>
  <c r="AD15" i="34"/>
  <c r="T62" i="34"/>
  <c r="T56" i="34"/>
  <c r="X56" i="34" s="1"/>
  <c r="T51" i="34"/>
  <c r="X51" i="34" s="1"/>
  <c r="T42" i="34"/>
  <c r="X42" i="34" s="1"/>
  <c r="T31" i="34"/>
  <c r="T22" i="34"/>
  <c r="X22" i="34" s="1"/>
  <c r="T12" i="34"/>
  <c r="AD61" i="34"/>
  <c r="AD50" i="34"/>
  <c r="AH50" i="34" s="1"/>
  <c r="T54" i="34"/>
  <c r="X54" i="34" s="1"/>
  <c r="T40" i="34"/>
  <c r="T16" i="34"/>
  <c r="AD54" i="34"/>
  <c r="AH54" i="34" s="1"/>
  <c r="AD40" i="34"/>
  <c r="AD16" i="34"/>
  <c r="T58" i="34"/>
  <c r="T43" i="34"/>
  <c r="T25" i="34"/>
  <c r="AD62" i="34"/>
  <c r="AD56" i="34"/>
  <c r="AH56" i="34" s="1"/>
  <c r="AD51" i="34"/>
  <c r="AH51" i="34" s="1"/>
  <c r="AD42" i="34"/>
  <c r="AH42" i="34" s="1"/>
  <c r="AD31" i="34"/>
  <c r="AD22" i="34"/>
  <c r="AH22" i="34" s="1"/>
  <c r="AD12" i="34"/>
  <c r="T61" i="34"/>
  <c r="T55" i="34"/>
  <c r="X55" i="34" s="1"/>
  <c r="T50" i="34"/>
  <c r="X50" i="34" s="1"/>
  <c r="T41" i="34"/>
  <c r="T21" i="34"/>
  <c r="AD55" i="34"/>
  <c r="AH55" i="34" s="1"/>
  <c r="AD41" i="34"/>
  <c r="AD21" i="34"/>
  <c r="T59" i="34"/>
  <c r="T26" i="34"/>
  <c r="AD59" i="34"/>
  <c r="AD26" i="34"/>
  <c r="T63" i="34"/>
  <c r="T52" i="34"/>
  <c r="T38" i="34"/>
  <c r="T15" i="34"/>
  <c r="F12" i="71"/>
  <c r="F16" i="71"/>
  <c r="F20" i="71"/>
  <c r="F24" i="71"/>
  <c r="F28" i="71"/>
  <c r="J30" i="34"/>
  <c r="I30" i="34"/>
  <c r="J29" i="34"/>
  <c r="I29" i="34"/>
  <c r="H30" i="34"/>
  <c r="H29" i="34"/>
  <c r="E30" i="34"/>
  <c r="E29" i="34"/>
  <c r="T23" i="34" l="1"/>
  <c r="T27" i="34"/>
  <c r="T64" i="34"/>
  <c r="AF46" i="34"/>
  <c r="AJ46" i="34" s="1"/>
  <c r="AI46" i="34"/>
  <c r="T17" i="34"/>
  <c r="V46" i="34"/>
  <c r="Z46" i="34" s="1"/>
  <c r="Y46" i="34"/>
  <c r="AF29" i="34"/>
  <c r="V29" i="34"/>
  <c r="Y38" i="34"/>
  <c r="U64" i="34"/>
  <c r="AD64" i="34"/>
  <c r="AE64" i="34"/>
  <c r="AI38" i="34"/>
  <c r="X29" i="34"/>
  <c r="AH29" i="34"/>
  <c r="K30" i="34"/>
  <c r="Q30" i="34" s="1"/>
  <c r="H4" i="68"/>
  <c r="E11" i="47"/>
  <c r="E13" i="47"/>
  <c r="F4" i="72"/>
  <c r="E10" i="47"/>
  <c r="H4" i="39"/>
  <c r="K29" i="34"/>
  <c r="T68" i="39" s="1"/>
  <c r="T34" i="34" l="1"/>
  <c r="T65" i="34" s="1"/>
  <c r="Z29" i="34"/>
  <c r="Q29" i="34"/>
  <c r="AJ29" i="34"/>
  <c r="D30" i="70"/>
  <c r="T73" i="39"/>
  <c r="U73" i="39" s="1"/>
  <c r="V73" i="39" s="1"/>
  <c r="C60" i="70"/>
  <c r="C58" i="70"/>
  <c r="C57" i="70"/>
  <c r="C26" i="70"/>
  <c r="C30" i="70"/>
  <c r="C29" i="70"/>
  <c r="C28" i="70"/>
  <c r="C25" i="70"/>
  <c r="C24" i="70"/>
  <c r="C23" i="70"/>
  <c r="C21" i="70" l="1"/>
  <c r="C20" i="70"/>
  <c r="C18" i="70"/>
  <c r="C17" i="70"/>
  <c r="C16" i="70"/>
  <c r="C15" i="70"/>
  <c r="C14" i="70"/>
  <c r="C13" i="70"/>
  <c r="G30" i="51" l="1"/>
  <c r="D30" i="51"/>
  <c r="C30" i="51"/>
  <c r="C14" i="73"/>
  <c r="C47" i="64"/>
  <c r="D46" i="64"/>
  <c r="D4" i="64"/>
  <c r="D14" i="73" l="1"/>
  <c r="D24" i="73"/>
  <c r="H15" i="73" s="1"/>
  <c r="C24" i="73"/>
  <c r="H14" i="73" s="1"/>
  <c r="V56" i="63" l="1"/>
  <c r="V54" i="63"/>
  <c r="V53" i="63"/>
  <c r="AB34" i="63"/>
  <c r="Q39" i="63"/>
  <c r="Q38" i="63"/>
  <c r="Q37" i="63"/>
  <c r="Q34" i="63"/>
  <c r="C40" i="63"/>
  <c r="C35" i="63"/>
  <c r="S40" i="63"/>
  <c r="S35" i="63"/>
  <c r="N35" i="63"/>
  <c r="N41" i="63" s="1"/>
  <c r="H35" i="63"/>
  <c r="H41" i="63" s="1"/>
  <c r="G33" i="63"/>
  <c r="M17" i="63"/>
  <c r="I19" i="63"/>
  <c r="Q35" i="63" l="1"/>
  <c r="Q40" i="63"/>
  <c r="I33" i="63"/>
  <c r="S41" i="63"/>
  <c r="C41" i="63"/>
  <c r="F17" i="63"/>
  <c r="B1" i="72"/>
  <c r="J21" i="72"/>
  <c r="J20" i="72"/>
  <c r="J19" i="72"/>
  <c r="J18" i="72"/>
  <c r="E18" i="72"/>
  <c r="J17" i="72"/>
  <c r="E17" i="72"/>
  <c r="J16" i="72"/>
  <c r="E16" i="72"/>
  <c r="J15" i="72"/>
  <c r="E15" i="72"/>
  <c r="J14" i="72"/>
  <c r="I22" i="72"/>
  <c r="H22" i="72"/>
  <c r="Q41" i="63" l="1"/>
  <c r="H17" i="63"/>
  <c r="F19" i="63"/>
  <c r="AB33" i="63"/>
  <c r="E14" i="72"/>
  <c r="E19" i="72"/>
  <c r="E20" i="72"/>
  <c r="E21" i="72"/>
  <c r="D22" i="72"/>
  <c r="J13" i="72"/>
  <c r="J22" i="72" s="1"/>
  <c r="D73" i="70" l="1"/>
  <c r="E73" i="70" s="1"/>
  <c r="H19" i="63"/>
  <c r="N17" i="63"/>
  <c r="N19" i="63" s="1"/>
  <c r="V33" i="63"/>
  <c r="C22" i="72"/>
  <c r="E13" i="72"/>
  <c r="E22" i="72" s="1"/>
  <c r="N83" i="68" l="1"/>
  <c r="L83" i="68"/>
  <c r="K83" i="68"/>
  <c r="J83" i="68"/>
  <c r="I83" i="68"/>
  <c r="F83" i="68"/>
  <c r="D83" i="68"/>
  <c r="C83" i="68"/>
  <c r="N73" i="68"/>
  <c r="I73" i="68"/>
  <c r="N63" i="68"/>
  <c r="M63" i="68"/>
  <c r="L63" i="68"/>
  <c r="K63" i="68"/>
  <c r="J63" i="68"/>
  <c r="I63" i="68"/>
  <c r="F63" i="68"/>
  <c r="D63" i="68"/>
  <c r="C63" i="68"/>
  <c r="M53" i="68"/>
  <c r="L53" i="68"/>
  <c r="K53" i="68"/>
  <c r="J53" i="68"/>
  <c r="I53" i="68"/>
  <c r="F53" i="68"/>
  <c r="D53" i="68"/>
  <c r="C53" i="68"/>
  <c r="J33" i="68"/>
  <c r="I33" i="68"/>
  <c r="J23" i="68"/>
  <c r="I23" i="68"/>
  <c r="E76" i="68"/>
  <c r="E77" i="68"/>
  <c r="E78" i="68"/>
  <c r="E79" i="68"/>
  <c r="E80" i="68"/>
  <c r="C81" i="68"/>
  <c r="D81" i="68"/>
  <c r="F81" i="68"/>
  <c r="I81" i="68"/>
  <c r="J81" i="68"/>
  <c r="K81" i="68"/>
  <c r="L81" i="68"/>
  <c r="I35" i="66"/>
  <c r="I28" i="66"/>
  <c r="I36" i="66" s="1"/>
  <c r="E35" i="66"/>
  <c r="E34" i="66"/>
  <c r="E33" i="66"/>
  <c r="E32" i="66"/>
  <c r="E31" i="66"/>
  <c r="E30" i="66"/>
  <c r="E29" i="66"/>
  <c r="E28" i="66"/>
  <c r="E27" i="66"/>
  <c r="E26" i="66"/>
  <c r="E25" i="66"/>
  <c r="E24" i="66"/>
  <c r="E23" i="66"/>
  <c r="E22" i="66"/>
  <c r="E21" i="66"/>
  <c r="E20" i="66"/>
  <c r="E19" i="66"/>
  <c r="E18" i="66"/>
  <c r="E17" i="66"/>
  <c r="E16" i="66"/>
  <c r="D36" i="66"/>
  <c r="L18" i="66" l="1"/>
  <c r="G80" i="68"/>
  <c r="Q80" i="68"/>
  <c r="E36" i="66"/>
  <c r="G78" i="68"/>
  <c r="Q78" i="68"/>
  <c r="G79" i="68"/>
  <c r="G81" i="68" s="1"/>
  <c r="Q79" i="68"/>
  <c r="G77" i="68"/>
  <c r="Q77" i="68"/>
  <c r="G76" i="68"/>
  <c r="Q76" i="68"/>
  <c r="E81" i="68"/>
  <c r="E14" i="14" l="1"/>
  <c r="E13" i="14"/>
  <c r="D15" i="14"/>
  <c r="C15" i="14"/>
  <c r="N14" i="13"/>
  <c r="M14" i="13"/>
  <c r="N13" i="13"/>
  <c r="M13" i="13"/>
  <c r="B1" i="39"/>
  <c r="E73" i="39"/>
  <c r="E83" i="68" s="1"/>
  <c r="E15" i="14" l="1"/>
  <c r="G73" i="39"/>
  <c r="R73" i="39"/>
  <c r="O39" i="34"/>
  <c r="AN34" i="63" s="1"/>
  <c r="AO34" i="63" s="1"/>
  <c r="G27" i="34"/>
  <c r="F27" i="34"/>
  <c r="D27" i="34"/>
  <c r="C27" i="34"/>
  <c r="G23" i="34"/>
  <c r="F23" i="34"/>
  <c r="D23" i="34"/>
  <c r="D34" i="34" s="1"/>
  <c r="C23" i="34"/>
  <c r="C17" i="34"/>
  <c r="J12" i="34"/>
  <c r="I12" i="34"/>
  <c r="H12" i="34"/>
  <c r="E12" i="34"/>
  <c r="J63" i="34"/>
  <c r="I63" i="34"/>
  <c r="J62" i="34"/>
  <c r="I62" i="34"/>
  <c r="J40" i="34"/>
  <c r="I40" i="34"/>
  <c r="J39" i="34"/>
  <c r="I39" i="34"/>
  <c r="J38" i="34"/>
  <c r="I38" i="34"/>
  <c r="J16" i="34"/>
  <c r="I16" i="34"/>
  <c r="H39" i="34"/>
  <c r="E39" i="34"/>
  <c r="J33" i="34"/>
  <c r="I33" i="34"/>
  <c r="K33" i="34" s="1"/>
  <c r="J32" i="34"/>
  <c r="I32" i="34"/>
  <c r="H33" i="34"/>
  <c r="H32" i="34"/>
  <c r="E33" i="34"/>
  <c r="E32" i="34"/>
  <c r="Q28" i="71"/>
  <c r="Q27" i="71"/>
  <c r="Q26" i="71"/>
  <c r="Q25" i="71"/>
  <c r="Q24" i="71"/>
  <c r="Q23" i="71"/>
  <c r="Q22" i="71"/>
  <c r="Q21" i="71"/>
  <c r="Q20" i="71"/>
  <c r="Q19" i="71"/>
  <c r="Q18" i="71"/>
  <c r="Q17" i="71"/>
  <c r="E4" i="51" s="1"/>
  <c r="Q16" i="71"/>
  <c r="Q15" i="71"/>
  <c r="Q14" i="71"/>
  <c r="Q13" i="71"/>
  <c r="Q12" i="71"/>
  <c r="Q11" i="71"/>
  <c r="Q10" i="71"/>
  <c r="P28" i="71"/>
  <c r="P27" i="71"/>
  <c r="P26" i="71"/>
  <c r="P25" i="71"/>
  <c r="P24" i="71"/>
  <c r="P23" i="71"/>
  <c r="P22" i="71"/>
  <c r="P21" i="71"/>
  <c r="P20" i="71"/>
  <c r="P19" i="71"/>
  <c r="P18" i="71"/>
  <c r="P17" i="71"/>
  <c r="P16" i="71"/>
  <c r="P15" i="71"/>
  <c r="P14" i="71"/>
  <c r="P13" i="71"/>
  <c r="P12" i="71"/>
  <c r="P11" i="71"/>
  <c r="P10" i="71"/>
  <c r="O28" i="71"/>
  <c r="O27" i="71"/>
  <c r="O26" i="71"/>
  <c r="O25" i="71"/>
  <c r="O24" i="71"/>
  <c r="O23" i="71"/>
  <c r="O22" i="71"/>
  <c r="O21" i="71"/>
  <c r="O20" i="71"/>
  <c r="O19" i="71"/>
  <c r="O18" i="71"/>
  <c r="O17" i="71"/>
  <c r="O16" i="71"/>
  <c r="O15" i="71"/>
  <c r="O14" i="71"/>
  <c r="O13" i="71"/>
  <c r="O12" i="71"/>
  <c r="O11" i="71"/>
  <c r="O10" i="71"/>
  <c r="N28" i="71"/>
  <c r="M28" i="71"/>
  <c r="N27" i="71"/>
  <c r="M27" i="71"/>
  <c r="N26" i="71"/>
  <c r="M26" i="71"/>
  <c r="N25" i="71"/>
  <c r="M25" i="71"/>
  <c r="N24" i="71"/>
  <c r="M24" i="71"/>
  <c r="N23" i="71"/>
  <c r="M23" i="71"/>
  <c r="N22" i="71"/>
  <c r="M22" i="71"/>
  <c r="N21" i="71"/>
  <c r="M21" i="71"/>
  <c r="N20" i="71"/>
  <c r="M20" i="71"/>
  <c r="N19" i="71"/>
  <c r="M19" i="71"/>
  <c r="N18" i="71"/>
  <c r="M18" i="71"/>
  <c r="N17" i="71"/>
  <c r="M17" i="71"/>
  <c r="N16" i="71"/>
  <c r="M16" i="71"/>
  <c r="N15" i="71"/>
  <c r="M15" i="71"/>
  <c r="N14" i="71"/>
  <c r="M14" i="71"/>
  <c r="N13" i="71"/>
  <c r="M13" i="71"/>
  <c r="N12" i="71"/>
  <c r="M12" i="71"/>
  <c r="N11" i="71"/>
  <c r="M11" i="71"/>
  <c r="N10" i="71"/>
  <c r="M10" i="71"/>
  <c r="G2" i="71"/>
  <c r="C4" i="74" s="1"/>
  <c r="HJ180" i="71"/>
  <c r="K63" i="34" l="1"/>
  <c r="K16" i="34"/>
  <c r="K12" i="34"/>
  <c r="D87" i="70"/>
  <c r="G83" i="68"/>
  <c r="X31" i="34"/>
  <c r="AH31" i="34"/>
  <c r="E27" i="34"/>
  <c r="K40" i="34"/>
  <c r="AI31" i="34"/>
  <c r="Y31" i="34"/>
  <c r="H27" i="34"/>
  <c r="Y12" i="34"/>
  <c r="AI12" i="34"/>
  <c r="AH12" i="34"/>
  <c r="X12" i="34"/>
  <c r="K62" i="34"/>
  <c r="K32" i="34"/>
  <c r="E18" i="47"/>
  <c r="F4" i="41"/>
  <c r="E19" i="47"/>
  <c r="C4" i="64"/>
  <c r="E17" i="47"/>
  <c r="G4" i="48"/>
  <c r="E22" i="47"/>
  <c r="C5" i="73"/>
  <c r="B1" i="73" s="1"/>
  <c r="E21" i="47"/>
  <c r="B5" i="73"/>
  <c r="C4" i="65"/>
  <c r="C3" i="70"/>
  <c r="W23" i="34"/>
  <c r="W27" i="34"/>
  <c r="D5" i="73"/>
  <c r="K39" i="34"/>
  <c r="D14" i="70" s="1"/>
  <c r="E14" i="70" s="1"/>
  <c r="F14" i="70" s="1"/>
  <c r="K38" i="34"/>
  <c r="F34" i="34"/>
  <c r="G34" i="34"/>
  <c r="C34" i="34"/>
  <c r="C65" i="34" s="1"/>
  <c r="H23" i="34"/>
  <c r="C3" i="47"/>
  <c r="C4" i="72"/>
  <c r="D4" i="48"/>
  <c r="B5" i="66"/>
  <c r="C3" i="34"/>
  <c r="C4" i="51"/>
  <c r="B4" i="64"/>
  <c r="C4" i="14"/>
  <c r="C4" i="68"/>
  <c r="C4" i="39"/>
  <c r="C4" i="54"/>
  <c r="C4" i="63"/>
  <c r="B3" i="52"/>
  <c r="C4" i="41"/>
  <c r="C4" i="13"/>
  <c r="E23" i="34"/>
  <c r="N21" i="68"/>
  <c r="E46" i="68"/>
  <c r="Q46" i="68" s="1"/>
  <c r="Q39" i="34" l="1"/>
  <c r="H34" i="34"/>
  <c r="E34" i="34"/>
  <c r="D44" i="70"/>
  <c r="E44" i="70" s="1"/>
  <c r="F44" i="70" s="1"/>
  <c r="AN33" i="63"/>
  <c r="AO33" i="63" s="1"/>
  <c r="V52" i="34"/>
  <c r="U23" i="34"/>
  <c r="V41" i="34"/>
  <c r="AF56" i="34"/>
  <c r="AJ56" i="34" s="1"/>
  <c r="V38" i="34"/>
  <c r="V62" i="34"/>
  <c r="Z62" i="34" s="1"/>
  <c r="AF42" i="34"/>
  <c r="AJ42" i="34" s="1"/>
  <c r="W65" i="34"/>
  <c r="U27" i="34"/>
  <c r="Y27" i="34" s="1"/>
  <c r="AF59" i="34"/>
  <c r="AF22" i="34"/>
  <c r="AE17" i="34"/>
  <c r="AE27" i="34"/>
  <c r="AI27" i="34" s="1"/>
  <c r="V22" i="34"/>
  <c r="V54" i="34"/>
  <c r="Z54" i="34" s="1"/>
  <c r="AF62" i="34"/>
  <c r="AJ62" i="34" s="1"/>
  <c r="V55" i="34"/>
  <c r="Z55" i="34" s="1"/>
  <c r="AF12" i="34"/>
  <c r="AJ12" i="34" s="1"/>
  <c r="V56" i="34"/>
  <c r="Z56" i="34" s="1"/>
  <c r="AF41" i="34"/>
  <c r="AF63" i="34"/>
  <c r="AJ63" i="34" s="1"/>
  <c r="V31" i="34"/>
  <c r="Z31" i="34" s="1"/>
  <c r="X23" i="34"/>
  <c r="V21" i="34"/>
  <c r="V59" i="34"/>
  <c r="V43" i="34"/>
  <c r="AF51" i="34"/>
  <c r="AJ51" i="34" s="1"/>
  <c r="V61" i="34"/>
  <c r="AF54" i="34"/>
  <c r="AJ54" i="34" s="1"/>
  <c r="AF26" i="34"/>
  <c r="V25" i="34"/>
  <c r="X27" i="34"/>
  <c r="AF15" i="34"/>
  <c r="AD17" i="34"/>
  <c r="AF50" i="34"/>
  <c r="AJ50" i="34" s="1"/>
  <c r="AE23" i="34"/>
  <c r="AG23" i="34"/>
  <c r="AF43" i="34"/>
  <c r="AF16" i="34"/>
  <c r="AJ16" i="34" s="1"/>
  <c r="AF21" i="34"/>
  <c r="AD23" i="34"/>
  <c r="AH23" i="34" s="1"/>
  <c r="AF38" i="34"/>
  <c r="V42" i="34"/>
  <c r="Z42" i="34" s="1"/>
  <c r="AF55" i="34"/>
  <c r="AJ55" i="34" s="1"/>
  <c r="AG27" i="34"/>
  <c r="V63" i="34"/>
  <c r="Z63" i="34" s="1"/>
  <c r="AF52" i="34"/>
  <c r="V26" i="34"/>
  <c r="V58" i="34"/>
  <c r="AF25" i="34"/>
  <c r="AD27" i="34"/>
  <c r="AH27" i="34" s="1"/>
  <c r="V50" i="34"/>
  <c r="Z50" i="34" s="1"/>
  <c r="AF40" i="34"/>
  <c r="AJ40" i="34" s="1"/>
  <c r="V40" i="34"/>
  <c r="Z40" i="34" s="1"/>
  <c r="AF58" i="34"/>
  <c r="V51" i="34"/>
  <c r="Z51" i="34" s="1"/>
  <c r="AF31" i="34"/>
  <c r="AJ31" i="34" s="1"/>
  <c r="AF61" i="34"/>
  <c r="AJ33" i="63"/>
  <c r="G46" i="68"/>
  <c r="AE34" i="34" l="1"/>
  <c r="AI34" i="34" s="1"/>
  <c r="U34" i="34"/>
  <c r="Y34" i="34" s="1"/>
  <c r="AI23" i="34"/>
  <c r="V64" i="34"/>
  <c r="AF64" i="34"/>
  <c r="X34" i="34"/>
  <c r="Z38" i="34"/>
  <c r="AD34" i="34"/>
  <c r="AH34" i="34" s="1"/>
  <c r="Y23" i="34"/>
  <c r="AJ38" i="34"/>
  <c r="AG65" i="34"/>
  <c r="V27" i="34"/>
  <c r="AF17" i="34"/>
  <c r="AF27" i="34"/>
  <c r="V23" i="34"/>
  <c r="AF23" i="34"/>
  <c r="C26" i="65"/>
  <c r="C23" i="65"/>
  <c r="AF34" i="34" l="1"/>
  <c r="V34" i="34"/>
  <c r="AD65" i="34"/>
  <c r="AE65" i="34"/>
  <c r="AF65" i="34" l="1"/>
  <c r="E70" i="68"/>
  <c r="Q70" i="68" s="1"/>
  <c r="E66" i="68"/>
  <c r="Q66" i="68" s="1"/>
  <c r="E69" i="68"/>
  <c r="Q69" i="68" s="1"/>
  <c r="E68" i="68"/>
  <c r="Q68" i="68" s="1"/>
  <c r="E67" i="68"/>
  <c r="Q67" i="68" s="1"/>
  <c r="F71" i="68"/>
  <c r="D71" i="68"/>
  <c r="C71" i="68"/>
  <c r="E60" i="68"/>
  <c r="E59" i="68"/>
  <c r="E58" i="68"/>
  <c r="E57" i="68"/>
  <c r="E56" i="68"/>
  <c r="Q56" i="68" s="1"/>
  <c r="F61" i="68"/>
  <c r="D61" i="68"/>
  <c r="C61" i="68"/>
  <c r="F51" i="68"/>
  <c r="D51" i="68"/>
  <c r="E50" i="68"/>
  <c r="E49" i="68"/>
  <c r="E48" i="68"/>
  <c r="E47" i="68"/>
  <c r="D31" i="68"/>
  <c r="F31" i="68"/>
  <c r="C31" i="68"/>
  <c r="E30" i="68"/>
  <c r="Q30" i="68" s="1"/>
  <c r="E29" i="68"/>
  <c r="Q29" i="68" s="1"/>
  <c r="E28" i="68"/>
  <c r="Q28" i="68" s="1"/>
  <c r="E27" i="68"/>
  <c r="Q27" i="68" s="1"/>
  <c r="E26" i="68"/>
  <c r="Q26" i="68" s="1"/>
  <c r="F21" i="68"/>
  <c r="D21" i="68"/>
  <c r="C21" i="68"/>
  <c r="E20" i="68"/>
  <c r="Q20" i="68" s="1"/>
  <c r="E19" i="68"/>
  <c r="Q19" i="68" s="1"/>
  <c r="E18" i="68"/>
  <c r="E17" i="68"/>
  <c r="E16" i="68"/>
  <c r="G69" i="39"/>
  <c r="E69" i="39"/>
  <c r="E68" i="39"/>
  <c r="F70" i="39"/>
  <c r="F73" i="68" s="1"/>
  <c r="D70" i="39"/>
  <c r="D73" i="68" s="1"/>
  <c r="C70" i="39"/>
  <c r="C73" i="68" s="1"/>
  <c r="G56" i="39"/>
  <c r="H64" i="39"/>
  <c r="F64" i="39"/>
  <c r="D64" i="39"/>
  <c r="C64" i="39"/>
  <c r="E64" i="39" s="1"/>
  <c r="G64" i="39" s="1"/>
  <c r="H63" i="39"/>
  <c r="H65" i="39" s="1"/>
  <c r="F63" i="39"/>
  <c r="D63" i="39"/>
  <c r="D65" i="39" s="1"/>
  <c r="C63" i="39"/>
  <c r="C65" i="39" s="1"/>
  <c r="H61" i="39"/>
  <c r="F61" i="39"/>
  <c r="D61" i="39"/>
  <c r="C61" i="39"/>
  <c r="H57" i="39"/>
  <c r="F57" i="39"/>
  <c r="D57" i="39"/>
  <c r="E60" i="39"/>
  <c r="E59" i="39"/>
  <c r="E53" i="68" s="1"/>
  <c r="E56" i="39"/>
  <c r="E55" i="39"/>
  <c r="E51" i="39"/>
  <c r="R51" i="39" s="1"/>
  <c r="E50" i="39"/>
  <c r="E49" i="39"/>
  <c r="G49" i="39" s="1"/>
  <c r="E44" i="39"/>
  <c r="E46" i="39" s="1"/>
  <c r="H40" i="39"/>
  <c r="H39" i="39"/>
  <c r="H41" i="39" s="1"/>
  <c r="K40" i="39"/>
  <c r="K41" i="39" s="1"/>
  <c r="J40" i="39"/>
  <c r="O40" i="39" s="1"/>
  <c r="J39" i="39"/>
  <c r="F40" i="39"/>
  <c r="D40" i="39"/>
  <c r="C40" i="39"/>
  <c r="F39" i="39"/>
  <c r="D39" i="39"/>
  <c r="C39" i="39"/>
  <c r="C41" i="39" s="1"/>
  <c r="H37" i="39"/>
  <c r="F37" i="39"/>
  <c r="F33" i="68" s="1"/>
  <c r="D37" i="39"/>
  <c r="D33" i="68" s="1"/>
  <c r="C37" i="39"/>
  <c r="C33" i="68" s="1"/>
  <c r="E36" i="39"/>
  <c r="G36" i="39" s="1"/>
  <c r="E35" i="39"/>
  <c r="R35" i="39" s="1"/>
  <c r="H33" i="39"/>
  <c r="F33" i="39"/>
  <c r="D33" i="39"/>
  <c r="C33" i="39"/>
  <c r="E32" i="39"/>
  <c r="E31" i="39"/>
  <c r="G31" i="39" s="1"/>
  <c r="H25" i="39"/>
  <c r="H26" i="39"/>
  <c r="K26" i="39"/>
  <c r="K27" i="39" s="1"/>
  <c r="J26" i="39"/>
  <c r="O26" i="39" s="1"/>
  <c r="J25" i="39"/>
  <c r="F26" i="39"/>
  <c r="F25" i="39"/>
  <c r="C25" i="39"/>
  <c r="C27" i="39" s="1"/>
  <c r="H23" i="39"/>
  <c r="F23" i="39"/>
  <c r="F23" i="68" s="1"/>
  <c r="D23" i="39"/>
  <c r="D23" i="68" s="1"/>
  <c r="C23" i="39"/>
  <c r="C23" i="68" s="1"/>
  <c r="H19" i="39"/>
  <c r="F19" i="39"/>
  <c r="D19" i="39"/>
  <c r="C19" i="39"/>
  <c r="D26" i="39"/>
  <c r="D25" i="39"/>
  <c r="C26" i="39"/>
  <c r="E22" i="39"/>
  <c r="G22" i="39" s="1"/>
  <c r="E21" i="39"/>
  <c r="R21" i="39" s="1"/>
  <c r="E18" i="39"/>
  <c r="E17" i="39"/>
  <c r="G17" i="39" s="1"/>
  <c r="O25" i="39" l="1"/>
  <c r="O27" i="39" s="1"/>
  <c r="J27" i="39"/>
  <c r="C24" i="72"/>
  <c r="D24" i="72"/>
  <c r="E63" i="68"/>
  <c r="F27" i="39"/>
  <c r="O39" i="39"/>
  <c r="O41" i="39" s="1"/>
  <c r="J41" i="39"/>
  <c r="R36" i="39"/>
  <c r="D27" i="39"/>
  <c r="H27" i="39"/>
  <c r="F41" i="39"/>
  <c r="E21" i="68"/>
  <c r="G30" i="68"/>
  <c r="G28" i="68"/>
  <c r="G47" i="68"/>
  <c r="G57" i="68"/>
  <c r="G29" i="68"/>
  <c r="G48" i="68"/>
  <c r="G58" i="68"/>
  <c r="G69" i="68"/>
  <c r="Q18" i="68"/>
  <c r="G18" i="68"/>
  <c r="G26" i="68"/>
  <c r="G49" i="68"/>
  <c r="E51" i="68"/>
  <c r="G59" i="68"/>
  <c r="Q16" i="68"/>
  <c r="G16" i="68"/>
  <c r="G68" i="68"/>
  <c r="Q17" i="68"/>
  <c r="G17" i="68"/>
  <c r="G20" i="68"/>
  <c r="G27" i="68"/>
  <c r="E31" i="68"/>
  <c r="G50" i="68"/>
  <c r="E61" i="68"/>
  <c r="G56" i="68"/>
  <c r="G60" i="68"/>
  <c r="G67" i="68"/>
  <c r="G70" i="68"/>
  <c r="G66" i="68"/>
  <c r="R32" i="39"/>
  <c r="R50" i="39"/>
  <c r="E26" i="39"/>
  <c r="G26" i="39" s="1"/>
  <c r="F65" i="39"/>
  <c r="G50" i="39"/>
  <c r="R18" i="39"/>
  <c r="E39" i="39"/>
  <c r="G39" i="39" s="1"/>
  <c r="R44" i="39"/>
  <c r="E23" i="39"/>
  <c r="E23" i="68" s="1"/>
  <c r="E37" i="39"/>
  <c r="E33" i="68" s="1"/>
  <c r="G35" i="39"/>
  <c r="G37" i="39" s="1"/>
  <c r="G44" i="39"/>
  <c r="G46" i="39" s="1"/>
  <c r="D82" i="70" s="1"/>
  <c r="E63" i="39"/>
  <c r="E65" i="39" s="1"/>
  <c r="G59" i="39"/>
  <c r="G53" i="68" s="1"/>
  <c r="E57" i="39"/>
  <c r="R22" i="39"/>
  <c r="G18" i="39"/>
  <c r="G19" i="39" s="1"/>
  <c r="E40" i="39"/>
  <c r="G40" i="39" s="1"/>
  <c r="G32" i="39"/>
  <c r="G33" i="39" s="1"/>
  <c r="R17" i="66" s="1"/>
  <c r="G21" i="39"/>
  <c r="G23" i="39" s="1"/>
  <c r="G23" i="68" s="1"/>
  <c r="R49" i="39"/>
  <c r="G51" i="39"/>
  <c r="E61" i="39"/>
  <c r="G55" i="39"/>
  <c r="G57" i="39" s="1"/>
  <c r="G60" i="39"/>
  <c r="G63" i="68" s="1"/>
  <c r="G68" i="39"/>
  <c r="G70" i="39" s="1"/>
  <c r="G73" i="68" s="1"/>
  <c r="R17" i="39"/>
  <c r="E25" i="39"/>
  <c r="E19" i="39"/>
  <c r="E71" i="68"/>
  <c r="G19" i="68"/>
  <c r="E70" i="39"/>
  <c r="R31" i="39"/>
  <c r="D41" i="39"/>
  <c r="E33" i="39"/>
  <c r="N23" i="68"/>
  <c r="E15" i="41"/>
  <c r="E14" i="41"/>
  <c r="D83" i="70" l="1"/>
  <c r="R18" i="66"/>
  <c r="S18" i="66" s="1"/>
  <c r="T18" i="66" s="1"/>
  <c r="G33" i="68"/>
  <c r="I24" i="72"/>
  <c r="H24" i="72"/>
  <c r="E73" i="68"/>
  <c r="G31" i="68"/>
  <c r="G21" i="68"/>
  <c r="G61" i="39"/>
  <c r="G41" i="39"/>
  <c r="D81" i="70" s="1"/>
  <c r="E41" i="39"/>
  <c r="G63" i="39"/>
  <c r="G65" i="39" s="1"/>
  <c r="G25" i="39"/>
  <c r="G27" i="39" s="1"/>
  <c r="E27" i="39"/>
  <c r="O42" i="34"/>
  <c r="O55" i="34"/>
  <c r="J55" i="34"/>
  <c r="I55" i="34"/>
  <c r="H55" i="34"/>
  <c r="E55" i="34"/>
  <c r="N27" i="34"/>
  <c r="M27" i="34"/>
  <c r="O26" i="34"/>
  <c r="O25" i="34"/>
  <c r="N23" i="34"/>
  <c r="N65" i="34" s="1"/>
  <c r="M23" i="34"/>
  <c r="O22" i="34"/>
  <c r="J26" i="34"/>
  <c r="I26" i="34"/>
  <c r="H26" i="34"/>
  <c r="T36" i="39" s="1"/>
  <c r="E26" i="34"/>
  <c r="J25" i="34"/>
  <c r="J27" i="34" s="1"/>
  <c r="I25" i="34"/>
  <c r="I27" i="34" s="1"/>
  <c r="H25" i="34"/>
  <c r="E25" i="34"/>
  <c r="J22" i="34"/>
  <c r="I22" i="34"/>
  <c r="H22" i="34"/>
  <c r="H21" i="34"/>
  <c r="E22" i="34"/>
  <c r="T21" i="39" s="1"/>
  <c r="M65" i="34" l="1"/>
  <c r="AA25" i="34"/>
  <c r="AK25" i="34"/>
  <c r="T35" i="39"/>
  <c r="AH26" i="34"/>
  <c r="X26" i="34"/>
  <c r="T22" i="39"/>
  <c r="AI22" i="34"/>
  <c r="Y22" i="34"/>
  <c r="K27" i="34"/>
  <c r="AJ27" i="34" s="1"/>
  <c r="AI25" i="34"/>
  <c r="Y25" i="34"/>
  <c r="AH25" i="34"/>
  <c r="X25" i="34"/>
  <c r="AI21" i="34"/>
  <c r="Y21" i="34"/>
  <c r="T31" i="39"/>
  <c r="AD34" i="63"/>
  <c r="AE34" i="63" s="1"/>
  <c r="AF34" i="63" s="1"/>
  <c r="T32" i="39"/>
  <c r="O27" i="34"/>
  <c r="O23" i="34"/>
  <c r="K26" i="34"/>
  <c r="K55" i="34"/>
  <c r="K22" i="34"/>
  <c r="K25" i="34"/>
  <c r="Q22" i="34" l="1"/>
  <c r="AJ22" i="34"/>
  <c r="Z22" i="34"/>
  <c r="Q26" i="34"/>
  <c r="Z26" i="34"/>
  <c r="AJ26" i="34"/>
  <c r="AA23" i="34"/>
  <c r="AK23" i="34"/>
  <c r="AA27" i="34"/>
  <c r="AK27" i="34"/>
  <c r="Z27" i="34"/>
  <c r="AJ25" i="34"/>
  <c r="Z25" i="34"/>
  <c r="Q25" i="34"/>
  <c r="Q55" i="34"/>
  <c r="D29" i="70"/>
  <c r="T60" i="39"/>
  <c r="Q27" i="34"/>
  <c r="R69" i="39" l="1"/>
  <c r="R68" i="39"/>
  <c r="O59" i="39"/>
  <c r="R56" i="39"/>
  <c r="R55" i="39"/>
  <c r="J64" i="39"/>
  <c r="J63" i="39"/>
  <c r="N57" i="39"/>
  <c r="M57" i="39"/>
  <c r="L57" i="39"/>
  <c r="K57" i="39"/>
  <c r="C57" i="39"/>
  <c r="U21" i="39"/>
  <c r="V21" i="39" s="1"/>
  <c r="M70" i="39"/>
  <c r="L73" i="68" s="1"/>
  <c r="L70" i="39"/>
  <c r="K73" i="68" s="1"/>
  <c r="K70" i="39"/>
  <c r="J73" i="68" s="1"/>
  <c r="O61" i="39" l="1"/>
  <c r="N53" i="68"/>
  <c r="J65" i="39"/>
  <c r="R59" i="39"/>
  <c r="R60" i="39"/>
  <c r="U35" i="39"/>
  <c r="V35" i="39" s="1"/>
  <c r="U36" i="39"/>
  <c r="V36" i="39" s="1"/>
  <c r="U22" i="39"/>
  <c r="V22" i="39" s="1"/>
  <c r="U60" i="39"/>
  <c r="V60" i="39" s="1"/>
  <c r="B1" i="68"/>
  <c r="G71" i="68"/>
  <c r="M61" i="68"/>
  <c r="L61" i="68"/>
  <c r="K61" i="68"/>
  <c r="J61" i="68"/>
  <c r="I61" i="68"/>
  <c r="N60" i="68"/>
  <c r="Q60" i="68" s="1"/>
  <c r="N59" i="68"/>
  <c r="Q59" i="68" s="1"/>
  <c r="N58" i="68"/>
  <c r="Q58" i="68" s="1"/>
  <c r="N57" i="68"/>
  <c r="Q57" i="68" s="1"/>
  <c r="M51" i="68"/>
  <c r="L51" i="68"/>
  <c r="K51" i="68"/>
  <c r="J51" i="68"/>
  <c r="N50" i="68"/>
  <c r="Q50" i="68" s="1"/>
  <c r="N49" i="68"/>
  <c r="Q49" i="68" s="1"/>
  <c r="N48" i="68"/>
  <c r="Q48" i="68" s="1"/>
  <c r="N47" i="68"/>
  <c r="Q47" i="68" s="1"/>
  <c r="G51" i="68"/>
  <c r="G61" i="68" l="1"/>
  <c r="E87" i="70"/>
  <c r="F87" i="70" s="1"/>
  <c r="N61" i="68"/>
  <c r="E82" i="70"/>
  <c r="F82" i="70" s="1"/>
  <c r="N51" i="68"/>
  <c r="N64" i="39"/>
  <c r="M64" i="39"/>
  <c r="L64" i="39"/>
  <c r="N63" i="39"/>
  <c r="M63" i="39"/>
  <c r="L63" i="39"/>
  <c r="K63" i="39"/>
  <c r="K64" i="39"/>
  <c r="O34" i="66"/>
  <c r="O33" i="66"/>
  <c r="O32" i="66"/>
  <c r="O31" i="66"/>
  <c r="O30" i="66"/>
  <c r="O27" i="66"/>
  <c r="O26" i="66"/>
  <c r="O25" i="66"/>
  <c r="O24" i="66"/>
  <c r="O23" i="66"/>
  <c r="O22" i="66"/>
  <c r="O21" i="66"/>
  <c r="O20" i="66"/>
  <c r="O19" i="66"/>
  <c r="O18" i="66"/>
  <c r="O17" i="66"/>
  <c r="O63" i="39" l="1"/>
  <c r="O64" i="39"/>
  <c r="O65" i="39" s="1"/>
  <c r="D86" i="70"/>
  <c r="E86" i="70" s="1"/>
  <c r="F86" i="70" s="1"/>
  <c r="D85" i="70"/>
  <c r="E85" i="70" s="1"/>
  <c r="F85" i="70" s="1"/>
  <c r="L65" i="39"/>
  <c r="K65" i="39"/>
  <c r="N65" i="39"/>
  <c r="M65" i="39"/>
  <c r="U31" i="39"/>
  <c r="V31" i="39" s="1"/>
  <c r="U32" i="39"/>
  <c r="V32" i="39" s="1"/>
  <c r="C36" i="66"/>
  <c r="L17" i="66" s="1"/>
  <c r="J21" i="65"/>
  <c r="I21" i="65"/>
  <c r="J16" i="65"/>
  <c r="I16" i="65"/>
  <c r="J19" i="65"/>
  <c r="I19" i="65"/>
  <c r="J18" i="65"/>
  <c r="I18" i="65"/>
  <c r="J14" i="65"/>
  <c r="I14" i="65"/>
  <c r="J13" i="65"/>
  <c r="I13" i="65"/>
  <c r="G26" i="65"/>
  <c r="F26" i="65"/>
  <c r="G24" i="65"/>
  <c r="F24" i="65"/>
  <c r="H24" i="65" s="1"/>
  <c r="G23" i="65"/>
  <c r="F23" i="65"/>
  <c r="D26" i="65"/>
  <c r="E26" i="65" s="1"/>
  <c r="D24" i="65"/>
  <c r="C24" i="65"/>
  <c r="D23" i="65"/>
  <c r="C20" i="65"/>
  <c r="C15" i="65"/>
  <c r="H13" i="65"/>
  <c r="D15" i="65"/>
  <c r="H21" i="65"/>
  <c r="E21" i="65"/>
  <c r="E13" i="65"/>
  <c r="H16" i="65"/>
  <c r="E16" i="65"/>
  <c r="G20" i="65"/>
  <c r="F20" i="65"/>
  <c r="D20" i="65"/>
  <c r="H19" i="65"/>
  <c r="E19" i="65"/>
  <c r="H18" i="65"/>
  <c r="E18" i="65"/>
  <c r="L19" i="66" l="1"/>
  <c r="S17" i="66"/>
  <c r="T17" i="66" s="1"/>
  <c r="E24" i="65"/>
  <c r="C25" i="65"/>
  <c r="J23" i="65"/>
  <c r="E23" i="65"/>
  <c r="I23" i="65"/>
  <c r="H23" i="65"/>
  <c r="H25" i="65" s="1"/>
  <c r="H26" i="65"/>
  <c r="D80" i="70"/>
  <c r="E80" i="70" s="1"/>
  <c r="F80" i="70" s="1"/>
  <c r="E81" i="70"/>
  <c r="F81" i="70" s="1"/>
  <c r="J26" i="65"/>
  <c r="E20" i="65"/>
  <c r="I24" i="65"/>
  <c r="K16" i="65"/>
  <c r="K21" i="65"/>
  <c r="H20" i="65"/>
  <c r="J20" i="65"/>
  <c r="I20" i="65"/>
  <c r="I26" i="65"/>
  <c r="J24" i="65"/>
  <c r="G25" i="65"/>
  <c r="F25" i="65"/>
  <c r="D25" i="65"/>
  <c r="K19" i="65"/>
  <c r="K18" i="65"/>
  <c r="G15" i="65"/>
  <c r="F15" i="65"/>
  <c r="H14" i="65"/>
  <c r="H15" i="65" s="1"/>
  <c r="E14" i="65"/>
  <c r="E15" i="65" s="1"/>
  <c r="J15" i="65"/>
  <c r="I15" i="65"/>
  <c r="K23" i="65" l="1"/>
  <c r="I25" i="65"/>
  <c r="J25" i="65"/>
  <c r="K26" i="65"/>
  <c r="K24" i="65"/>
  <c r="K20" i="65"/>
  <c r="E25" i="65"/>
  <c r="K14" i="65"/>
  <c r="K13" i="65"/>
  <c r="C46" i="64"/>
  <c r="C48" i="64" s="1"/>
  <c r="D19" i="47"/>
  <c r="B1" i="64"/>
  <c r="K25" i="65" l="1"/>
  <c r="K15" i="65"/>
  <c r="J56" i="63" l="1"/>
  <c r="AB56" i="63" s="1"/>
  <c r="L55" i="63"/>
  <c r="L57" i="63" s="1"/>
  <c r="I55" i="63"/>
  <c r="I57" i="63" s="1"/>
  <c r="H55" i="63"/>
  <c r="H57" i="63" s="1"/>
  <c r="G55" i="63"/>
  <c r="G57" i="63" s="1"/>
  <c r="F55" i="63"/>
  <c r="F57" i="63" s="1"/>
  <c r="E55" i="63"/>
  <c r="D55" i="63"/>
  <c r="D57" i="63" s="1"/>
  <c r="C55" i="63"/>
  <c r="J54" i="63"/>
  <c r="AB54" i="63" s="1"/>
  <c r="J53" i="63"/>
  <c r="AB53" i="63" s="1"/>
  <c r="L40" i="63"/>
  <c r="K40" i="63"/>
  <c r="J40" i="63"/>
  <c r="F40" i="63"/>
  <c r="E40" i="63"/>
  <c r="D40" i="63"/>
  <c r="M39" i="63"/>
  <c r="G39" i="63"/>
  <c r="M38" i="63"/>
  <c r="AH38" i="63" s="1"/>
  <c r="G38" i="63"/>
  <c r="M37" i="63"/>
  <c r="AH37" i="63" s="1"/>
  <c r="G37" i="63"/>
  <c r="L35" i="63"/>
  <c r="L41" i="63" s="1"/>
  <c r="K35" i="63"/>
  <c r="J35" i="63"/>
  <c r="F35" i="63"/>
  <c r="F41" i="63" s="1"/>
  <c r="E35" i="63"/>
  <c r="E41" i="63" s="1"/>
  <c r="D35" i="63"/>
  <c r="M34" i="63"/>
  <c r="G34" i="63"/>
  <c r="M33" i="63"/>
  <c r="P33" i="63" s="1"/>
  <c r="B1" i="63"/>
  <c r="K41" i="63" l="1"/>
  <c r="D41" i="63"/>
  <c r="J41" i="63"/>
  <c r="C57" i="63"/>
  <c r="D75" i="70"/>
  <c r="E75" i="70" s="1"/>
  <c r="F75" i="70" s="1"/>
  <c r="AH33" i="63"/>
  <c r="AK33" i="63"/>
  <c r="AL33" i="63" s="1"/>
  <c r="R33" i="63"/>
  <c r="I34" i="63"/>
  <c r="I35" i="63" s="1"/>
  <c r="V34" i="63"/>
  <c r="P37" i="63"/>
  <c r="V37" i="63"/>
  <c r="I39" i="63"/>
  <c r="P39" i="63"/>
  <c r="R39" i="63" s="1"/>
  <c r="V39" i="63"/>
  <c r="K53" i="63"/>
  <c r="AH34" i="63"/>
  <c r="O39" i="63"/>
  <c r="AH39" i="63"/>
  <c r="V38" i="63"/>
  <c r="P38" i="63"/>
  <c r="R38" i="63" s="1"/>
  <c r="I38" i="63"/>
  <c r="O33" i="63"/>
  <c r="O38" i="63"/>
  <c r="G40" i="63"/>
  <c r="I37" i="63"/>
  <c r="O34" i="63"/>
  <c r="O37" i="63"/>
  <c r="E74" i="70"/>
  <c r="F74" i="70" s="1"/>
  <c r="E57" i="63"/>
  <c r="G35" i="63"/>
  <c r="M35" i="63"/>
  <c r="M40" i="63"/>
  <c r="K54" i="63"/>
  <c r="J55" i="63"/>
  <c r="J57" i="63" s="1"/>
  <c r="K56" i="63"/>
  <c r="P34" i="63"/>
  <c r="R34" i="63" s="1"/>
  <c r="D17" i="54"/>
  <c r="D16" i="54"/>
  <c r="D15" i="54"/>
  <c r="D14" i="54"/>
  <c r="D13" i="54"/>
  <c r="D12" i="54"/>
  <c r="C17" i="54"/>
  <c r="C16" i="54"/>
  <c r="C15" i="54"/>
  <c r="C14" i="54"/>
  <c r="C13" i="54"/>
  <c r="C12" i="54"/>
  <c r="E17" i="41"/>
  <c r="E16" i="41"/>
  <c r="E12" i="41"/>
  <c r="D78" i="70" s="1"/>
  <c r="E78" i="70" s="1"/>
  <c r="F78" i="70" s="1"/>
  <c r="D18" i="41"/>
  <c r="J14" i="41" s="1"/>
  <c r="C18" i="41"/>
  <c r="J13" i="41" s="1"/>
  <c r="O40" i="63" l="1"/>
  <c r="G41" i="63"/>
  <c r="I40" i="63"/>
  <c r="I41" i="63" s="1"/>
  <c r="R37" i="63"/>
  <c r="R40" i="63" s="1"/>
  <c r="P40" i="63"/>
  <c r="R35" i="63"/>
  <c r="O35" i="63"/>
  <c r="P35" i="63"/>
  <c r="M41" i="63"/>
  <c r="F73" i="70"/>
  <c r="AP34" i="63"/>
  <c r="K55" i="63"/>
  <c r="K57" i="63" s="1"/>
  <c r="D47" i="48"/>
  <c r="D24" i="48"/>
  <c r="D19" i="48"/>
  <c r="S16" i="48"/>
  <c r="R16" i="48"/>
  <c r="Q16" i="48"/>
  <c r="P16" i="48"/>
  <c r="N16" i="48"/>
  <c r="AA16" i="48" s="1"/>
  <c r="H16" i="48"/>
  <c r="Y16" i="48" s="1"/>
  <c r="P46" i="48"/>
  <c r="P45" i="48"/>
  <c r="P44" i="48"/>
  <c r="P43" i="48"/>
  <c r="P42" i="48"/>
  <c r="P37" i="48"/>
  <c r="P36" i="48"/>
  <c r="P33" i="48"/>
  <c r="P32" i="48"/>
  <c r="P31" i="48"/>
  <c r="P28" i="48"/>
  <c r="P27" i="48"/>
  <c r="P26" i="48"/>
  <c r="P23" i="48"/>
  <c r="P22" i="48"/>
  <c r="P21" i="48"/>
  <c r="P18" i="48"/>
  <c r="P17" i="48"/>
  <c r="J47" i="48"/>
  <c r="J38" i="48"/>
  <c r="J34" i="48"/>
  <c r="J29" i="48"/>
  <c r="J24" i="48"/>
  <c r="J19" i="48"/>
  <c r="O41" i="63" l="1"/>
  <c r="R41" i="63"/>
  <c r="P19" i="48"/>
  <c r="J39" i="48"/>
  <c r="J49" i="48" s="1"/>
  <c r="T16" i="48"/>
  <c r="P41" i="63"/>
  <c r="I41" i="34" l="1"/>
  <c r="J42" i="34" l="1"/>
  <c r="I42" i="34"/>
  <c r="H42" i="34"/>
  <c r="E42" i="34"/>
  <c r="K42" i="34" l="1"/>
  <c r="Q42" i="34" l="1"/>
  <c r="AD33" i="63"/>
  <c r="AE33" i="63" s="1"/>
  <c r="AF33" i="63" s="1"/>
  <c r="D16" i="70"/>
  <c r="AP33" i="63"/>
  <c r="B1" i="66" l="1"/>
  <c r="U17" i="34" l="1"/>
  <c r="U65" i="34" s="1"/>
  <c r="V65" i="34" s="1"/>
  <c r="V12" i="34"/>
  <c r="Z12" i="34" s="1"/>
  <c r="O56" i="34"/>
  <c r="J56" i="34"/>
  <c r="I56" i="34"/>
  <c r="H56" i="34"/>
  <c r="E56" i="34"/>
  <c r="O54" i="34"/>
  <c r="J54" i="34"/>
  <c r="I54" i="34"/>
  <c r="H54" i="34"/>
  <c r="E54" i="34"/>
  <c r="K54" i="34" l="1"/>
  <c r="K56" i="34"/>
  <c r="D24" i="70" s="1"/>
  <c r="T69" i="39" l="1"/>
  <c r="U69" i="39" s="1"/>
  <c r="V69" i="39" s="1"/>
  <c r="D28" i="70"/>
  <c r="T59" i="39"/>
  <c r="U59" i="39" s="1"/>
  <c r="V59" i="39" s="1"/>
  <c r="U68" i="39"/>
  <c r="V68" i="39" s="1"/>
  <c r="Q56" i="34"/>
  <c r="Q54" i="34"/>
  <c r="D16" i="47"/>
  <c r="E18" i="54" l="1"/>
  <c r="I61" i="34" l="1"/>
  <c r="I59" i="34"/>
  <c r="I58" i="34"/>
  <c r="I52" i="34"/>
  <c r="I51" i="34"/>
  <c r="I50" i="34"/>
  <c r="I43" i="34"/>
  <c r="J61" i="34"/>
  <c r="H63" i="34"/>
  <c r="H62" i="34"/>
  <c r="H61" i="34"/>
  <c r="E63" i="34"/>
  <c r="E62" i="34"/>
  <c r="E61" i="34"/>
  <c r="J59" i="34"/>
  <c r="J58" i="34"/>
  <c r="H59" i="34"/>
  <c r="H58" i="34"/>
  <c r="E59" i="34"/>
  <c r="E58" i="34"/>
  <c r="J50" i="34"/>
  <c r="J51" i="34"/>
  <c r="J52" i="34"/>
  <c r="H52" i="34"/>
  <c r="H51" i="34"/>
  <c r="H50" i="34"/>
  <c r="E52" i="34"/>
  <c r="E51" i="34"/>
  <c r="E50" i="34"/>
  <c r="J41" i="34"/>
  <c r="J43" i="34"/>
  <c r="H43" i="34"/>
  <c r="H41" i="34"/>
  <c r="H40" i="34"/>
  <c r="H38" i="34"/>
  <c r="E43" i="34"/>
  <c r="E41" i="34"/>
  <c r="E40" i="34"/>
  <c r="E38" i="34"/>
  <c r="I21" i="34"/>
  <c r="I23" i="34" s="1"/>
  <c r="E21" i="34"/>
  <c r="J21" i="34"/>
  <c r="J23" i="34" s="1"/>
  <c r="J34" i="34" s="1"/>
  <c r="G17" i="34"/>
  <c r="F17" i="34"/>
  <c r="D17" i="34"/>
  <c r="J15" i="34"/>
  <c r="I15" i="34"/>
  <c r="H16" i="34"/>
  <c r="H15" i="34"/>
  <c r="E16" i="34"/>
  <c r="E15" i="34"/>
  <c r="E64" i="34" l="1"/>
  <c r="H64" i="34"/>
  <c r="I64" i="34"/>
  <c r="X15" i="34"/>
  <c r="AH15" i="34"/>
  <c r="J64" i="34"/>
  <c r="AH58" i="34"/>
  <c r="X58" i="34"/>
  <c r="Y63" i="34"/>
  <c r="AI63" i="34"/>
  <c r="X63" i="34"/>
  <c r="AH63" i="34"/>
  <c r="Y62" i="34"/>
  <c r="AI62" i="34"/>
  <c r="AH62" i="34"/>
  <c r="X62" i="34"/>
  <c r="AH61" i="34"/>
  <c r="X61" i="34"/>
  <c r="AI59" i="34"/>
  <c r="Y59" i="34"/>
  <c r="AH59" i="34"/>
  <c r="X59" i="34"/>
  <c r="X52" i="34"/>
  <c r="AH52" i="34"/>
  <c r="X43" i="34"/>
  <c r="AH43" i="34"/>
  <c r="X41" i="34"/>
  <c r="AH41" i="34"/>
  <c r="X40" i="34"/>
  <c r="AH40" i="34"/>
  <c r="AH38" i="34"/>
  <c r="X38" i="34"/>
  <c r="AH21" i="34"/>
  <c r="X21" i="34"/>
  <c r="AI16" i="34"/>
  <c r="Y16" i="34"/>
  <c r="AH16" i="34"/>
  <c r="X16" i="34"/>
  <c r="H17" i="34"/>
  <c r="I34" i="34"/>
  <c r="K23" i="34"/>
  <c r="D23" i="70" s="1"/>
  <c r="T17" i="39"/>
  <c r="D64" i="70"/>
  <c r="E64" i="70" s="1"/>
  <c r="F64" i="70" s="1"/>
  <c r="G64" i="70" s="1"/>
  <c r="K61" i="34"/>
  <c r="D43" i="70" s="1"/>
  <c r="K50" i="34"/>
  <c r="I17" i="34"/>
  <c r="K52" i="34"/>
  <c r="K43" i="34"/>
  <c r="J17" i="34"/>
  <c r="K59" i="34"/>
  <c r="K51" i="34"/>
  <c r="K41" i="34"/>
  <c r="F65" i="34"/>
  <c r="G65" i="34"/>
  <c r="D65" i="34"/>
  <c r="K15" i="34"/>
  <c r="E17" i="34"/>
  <c r="K58" i="34"/>
  <c r="E65" i="34" l="1"/>
  <c r="K64" i="34"/>
  <c r="Q15" i="34"/>
  <c r="AJ15" i="34"/>
  <c r="AJ58" i="34"/>
  <c r="Z58" i="34"/>
  <c r="AJ61" i="34"/>
  <c r="Z61" i="34"/>
  <c r="AJ59" i="34"/>
  <c r="Z59" i="34"/>
  <c r="Z52" i="34"/>
  <c r="AJ52" i="34"/>
  <c r="Z43" i="34"/>
  <c r="AJ43" i="34"/>
  <c r="AJ41" i="34"/>
  <c r="Z41" i="34"/>
  <c r="AI64" i="34"/>
  <c r="Y64" i="34"/>
  <c r="AH64" i="34"/>
  <c r="X64" i="34"/>
  <c r="AJ23" i="34"/>
  <c r="Z23" i="34"/>
  <c r="Y17" i="34"/>
  <c r="AI17" i="34"/>
  <c r="X17" i="34"/>
  <c r="AH17" i="34"/>
  <c r="D26" i="70"/>
  <c r="K34" i="34"/>
  <c r="AD53" i="63"/>
  <c r="AE53" i="63" s="1"/>
  <c r="AF53" i="63" s="1"/>
  <c r="E43" i="70"/>
  <c r="F43" i="70" s="1"/>
  <c r="D21" i="70"/>
  <c r="Q23" i="34"/>
  <c r="D60" i="70" s="1"/>
  <c r="D20" i="70"/>
  <c r="D13" i="70"/>
  <c r="D18" i="70"/>
  <c r="X53" i="63"/>
  <c r="U44" i="39"/>
  <c r="V44" i="39" s="1"/>
  <c r="D17" i="70"/>
  <c r="D15" i="70"/>
  <c r="X33" i="63"/>
  <c r="Y33" i="63" s="1"/>
  <c r="T51" i="39"/>
  <c r="T50" i="39"/>
  <c r="T49" i="39"/>
  <c r="J65" i="34"/>
  <c r="I65" i="34"/>
  <c r="K17" i="34"/>
  <c r="Z64" i="34" l="1"/>
  <c r="AJ64" i="34"/>
  <c r="AJ34" i="34"/>
  <c r="Z34" i="34"/>
  <c r="AJ17" i="34"/>
  <c r="AH65" i="34"/>
  <c r="X65" i="34"/>
  <c r="Y53" i="63"/>
  <c r="Z53" i="63" s="1"/>
  <c r="Z33" i="63"/>
  <c r="E13" i="70"/>
  <c r="F13" i="70" s="1"/>
  <c r="G13" i="70" s="1"/>
  <c r="G14" i="51" l="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F29" i="51" l="1"/>
  <c r="E29" i="51"/>
  <c r="S46" i="48" l="1"/>
  <c r="R46" i="48"/>
  <c r="Q46" i="48"/>
  <c r="S45" i="48"/>
  <c r="R45" i="48"/>
  <c r="Q45" i="48"/>
  <c r="S44" i="48"/>
  <c r="R44" i="48"/>
  <c r="Q44" i="48"/>
  <c r="S43" i="48"/>
  <c r="R43" i="48"/>
  <c r="Q43" i="48"/>
  <c r="S42" i="48"/>
  <c r="R42" i="48"/>
  <c r="Q42" i="48"/>
  <c r="S37" i="48"/>
  <c r="R37" i="48"/>
  <c r="Q37" i="48"/>
  <c r="S36" i="48"/>
  <c r="R36" i="48"/>
  <c r="Q36" i="48"/>
  <c r="S33" i="48"/>
  <c r="R33" i="48"/>
  <c r="Q33" i="48"/>
  <c r="S32" i="48"/>
  <c r="R32" i="48"/>
  <c r="Q32" i="48"/>
  <c r="S31" i="48"/>
  <c r="R31" i="48"/>
  <c r="Q31" i="48"/>
  <c r="S28" i="48"/>
  <c r="R28" i="48"/>
  <c r="Q28" i="48"/>
  <c r="S27" i="48"/>
  <c r="R27" i="48"/>
  <c r="Q27" i="48"/>
  <c r="S26" i="48"/>
  <c r="R26" i="48"/>
  <c r="Q26" i="48"/>
  <c r="S23" i="48"/>
  <c r="R23" i="48"/>
  <c r="Q23" i="48"/>
  <c r="S22" i="48"/>
  <c r="R22" i="48"/>
  <c r="Q22" i="48"/>
  <c r="S21" i="48"/>
  <c r="R21" i="48"/>
  <c r="Q21" i="48"/>
  <c r="S18" i="48"/>
  <c r="R18" i="48"/>
  <c r="Q18" i="48"/>
  <c r="S17" i="48"/>
  <c r="R17" i="48"/>
  <c r="Q17" i="48"/>
  <c r="M19" i="48"/>
  <c r="L19" i="48"/>
  <c r="K19" i="48"/>
  <c r="G19" i="48"/>
  <c r="F19" i="48"/>
  <c r="E19" i="48"/>
  <c r="M47" i="48"/>
  <c r="L47" i="48"/>
  <c r="K47" i="48"/>
  <c r="N46" i="48"/>
  <c r="AA46" i="48" s="1"/>
  <c r="N45" i="48"/>
  <c r="AA45" i="48" s="1"/>
  <c r="N44" i="48"/>
  <c r="AA44" i="48" s="1"/>
  <c r="N43" i="48"/>
  <c r="AA43" i="48" s="1"/>
  <c r="N42" i="48"/>
  <c r="AA42" i="48" s="1"/>
  <c r="M38" i="48"/>
  <c r="L38" i="48"/>
  <c r="K38" i="48"/>
  <c r="N37" i="48"/>
  <c r="AA37" i="48" s="1"/>
  <c r="N36" i="48"/>
  <c r="AA36" i="48" s="1"/>
  <c r="M34" i="48"/>
  <c r="L34" i="48"/>
  <c r="K34" i="48"/>
  <c r="N33" i="48"/>
  <c r="AA33" i="48" s="1"/>
  <c r="N32" i="48"/>
  <c r="AA32" i="48" s="1"/>
  <c r="N31" i="48"/>
  <c r="AA31" i="48" s="1"/>
  <c r="M29" i="48"/>
  <c r="L29" i="48"/>
  <c r="K29" i="48"/>
  <c r="N28" i="48"/>
  <c r="AA28" i="48" s="1"/>
  <c r="N27" i="48"/>
  <c r="AA27" i="48" s="1"/>
  <c r="N26" i="48"/>
  <c r="AA26" i="48" s="1"/>
  <c r="M24" i="48"/>
  <c r="L24" i="48"/>
  <c r="K24" i="48"/>
  <c r="N23" i="48"/>
  <c r="AA23" i="48" s="1"/>
  <c r="N22" i="48"/>
  <c r="AA22" i="48" s="1"/>
  <c r="N21" i="48"/>
  <c r="AA21" i="48" s="1"/>
  <c r="N18" i="48"/>
  <c r="AA18" i="48" s="1"/>
  <c r="N17" i="48"/>
  <c r="AA17" i="48" s="1"/>
  <c r="P38" i="48" l="1"/>
  <c r="P34" i="48"/>
  <c r="T44" i="48"/>
  <c r="Q29" i="48"/>
  <c r="S34" i="48"/>
  <c r="R34" i="48"/>
  <c r="Q34" i="48"/>
  <c r="S29" i="48"/>
  <c r="R29" i="48"/>
  <c r="S24" i="48"/>
  <c r="R24" i="48"/>
  <c r="Q24" i="48"/>
  <c r="P24" i="48"/>
  <c r="P29" i="48"/>
  <c r="T23" i="48"/>
  <c r="T28" i="48"/>
  <c r="T33" i="48"/>
  <c r="P47" i="48"/>
  <c r="T22" i="48"/>
  <c r="T27" i="48"/>
  <c r="T32" i="48"/>
  <c r="T31" i="48"/>
  <c r="T26" i="48"/>
  <c r="T21" i="48"/>
  <c r="T37" i="48"/>
  <c r="S38" i="48"/>
  <c r="R38" i="48"/>
  <c r="Q38" i="48"/>
  <c r="T42" i="48"/>
  <c r="T43" i="48"/>
  <c r="T46" i="48"/>
  <c r="T17" i="48"/>
  <c r="S19" i="48"/>
  <c r="Q19" i="48"/>
  <c r="T18" i="48"/>
  <c r="R19" i="48"/>
  <c r="M39" i="48"/>
  <c r="M49" i="48" s="1"/>
  <c r="N34" i="48"/>
  <c r="N29" i="48"/>
  <c r="K39" i="48"/>
  <c r="K49" i="48" s="1"/>
  <c r="N24" i="48"/>
  <c r="N38" i="48"/>
  <c r="N47" i="48"/>
  <c r="N19" i="48"/>
  <c r="L39" i="48"/>
  <c r="L49" i="48" s="1"/>
  <c r="T34" i="48" l="1"/>
  <c r="T24" i="48"/>
  <c r="T29" i="48"/>
  <c r="T38" i="48"/>
  <c r="P39" i="48"/>
  <c r="T19" i="48"/>
  <c r="T45" i="48"/>
  <c r="Q47" i="48"/>
  <c r="S39" i="48"/>
  <c r="T36" i="48"/>
  <c r="S47" i="48"/>
  <c r="Q39" i="48"/>
  <c r="R47" i="48"/>
  <c r="N49" i="48"/>
  <c r="N39" i="48"/>
  <c r="E18" i="41"/>
  <c r="D38" i="48"/>
  <c r="D34" i="48"/>
  <c r="D29" i="48"/>
  <c r="P49" i="48" l="1"/>
  <c r="D77" i="70" s="1"/>
  <c r="E77" i="70" s="1"/>
  <c r="F77" i="70" s="1"/>
  <c r="D39" i="48"/>
  <c r="D49" i="48" s="1"/>
  <c r="S49" i="48"/>
  <c r="T47" i="48"/>
  <c r="Q49" i="48"/>
  <c r="R39" i="48"/>
  <c r="R49" i="48" s="1"/>
  <c r="T49" i="48" l="1"/>
  <c r="T39" i="48"/>
  <c r="E83" i="70" l="1"/>
  <c r="F83" i="70" s="1"/>
  <c r="U49" i="39" l="1"/>
  <c r="V49" i="39" s="1"/>
  <c r="U50" i="39"/>
  <c r="V50" i="39" s="1"/>
  <c r="U51" i="39"/>
  <c r="V51" i="39" s="1"/>
  <c r="D13" i="47" l="1"/>
  <c r="D15" i="47" l="1"/>
  <c r="D14" i="47"/>
  <c r="O43" i="34" l="1"/>
  <c r="O41" i="34"/>
  <c r="O40" i="34"/>
  <c r="O38" i="34"/>
  <c r="O21" i="34"/>
  <c r="AD23" i="48"/>
  <c r="AE23" i="48" s="1"/>
  <c r="AF23" i="48" s="1"/>
  <c r="O59" i="34"/>
  <c r="O58" i="34"/>
  <c r="O52" i="34"/>
  <c r="O51" i="34"/>
  <c r="Q51" i="34" s="1"/>
  <c r="O50" i="34"/>
  <c r="AA59" i="34" l="1"/>
  <c r="AK59" i="34"/>
  <c r="AK58" i="34"/>
  <c r="AA58" i="34"/>
  <c r="O65" i="34"/>
  <c r="AA21" i="34"/>
  <c r="AK21" i="34"/>
  <c r="AK43" i="34"/>
  <c r="AA43" i="34"/>
  <c r="AA38" i="34"/>
  <c r="AK38" i="34"/>
  <c r="AA40" i="34"/>
  <c r="AK40" i="34"/>
  <c r="AK41" i="34"/>
  <c r="AA41" i="34"/>
  <c r="Q52" i="34"/>
  <c r="AJ34" i="63"/>
  <c r="AK34" i="63" s="1"/>
  <c r="AL34" i="63" s="1"/>
  <c r="L14" i="41"/>
  <c r="M14" i="41" s="1"/>
  <c r="X34" i="63"/>
  <c r="Y34" i="63" s="1"/>
  <c r="Z34" i="63" s="1"/>
  <c r="AD54" i="63"/>
  <c r="AE54" i="63" s="1"/>
  <c r="AF54" i="63" s="1"/>
  <c r="AD18" i="48"/>
  <c r="AE18" i="48" s="1"/>
  <c r="AF18" i="48" s="1"/>
  <c r="Q43" i="34"/>
  <c r="X54" i="63"/>
  <c r="Q58" i="34"/>
  <c r="Q59" i="34"/>
  <c r="Q50" i="34"/>
  <c r="Q41" i="34"/>
  <c r="K21" i="34"/>
  <c r="Q40" i="34"/>
  <c r="AJ21" i="34" l="1"/>
  <c r="Z21" i="34"/>
  <c r="D61" i="70"/>
  <c r="E61" i="70" s="1"/>
  <c r="F61" i="70" s="1"/>
  <c r="G61" i="70" s="1"/>
  <c r="Y54" i="63"/>
  <c r="Z54" i="63" s="1"/>
  <c r="G44" i="70"/>
  <c r="K65" i="34"/>
  <c r="D58" i="70"/>
  <c r="E58" i="70" s="1"/>
  <c r="F58" i="70" s="1"/>
  <c r="G58" i="70" s="1"/>
  <c r="Q21" i="34"/>
  <c r="AD22" i="48"/>
  <c r="AJ65" i="34" l="1"/>
  <c r="Z65" i="34"/>
  <c r="D62" i="70"/>
  <c r="E62" i="70" s="1"/>
  <c r="F62" i="70" s="1"/>
  <c r="G62" i="70" s="1"/>
  <c r="E60" i="70"/>
  <c r="F60" i="70" s="1"/>
  <c r="G60" i="70" s="1"/>
  <c r="Q38" i="34"/>
  <c r="Q65" i="34" s="1"/>
  <c r="D57" i="70" l="1"/>
  <c r="E57" i="70" s="1"/>
  <c r="F57" i="70" s="1"/>
  <c r="G57" i="70" s="1"/>
  <c r="B1" i="14"/>
  <c r="D22" i="47" l="1"/>
  <c r="G29" i="51"/>
  <c r="G31" i="51" s="1"/>
  <c r="D29" i="51"/>
  <c r="C29" i="51"/>
  <c r="B1" i="51" l="1"/>
  <c r="C31" i="51"/>
  <c r="D31" i="51"/>
  <c r="G47" i="48" l="1"/>
  <c r="F47" i="48"/>
  <c r="E47" i="48"/>
  <c r="G38" i="48"/>
  <c r="F38" i="48"/>
  <c r="E38" i="48"/>
  <c r="H17" i="48"/>
  <c r="Y17" i="48" s="1"/>
  <c r="H19" i="48" l="1"/>
  <c r="H47" i="48"/>
  <c r="AE22" i="48" s="1"/>
  <c r="AF22" i="48" s="1"/>
  <c r="B1" i="41" l="1"/>
  <c r="B1" i="48"/>
  <c r="B1" i="13" l="1"/>
  <c r="H65" i="34" l="1"/>
  <c r="AI65" i="34" l="1"/>
  <c r="Y65" i="34"/>
  <c r="H46" i="48"/>
  <c r="Y46" i="48" s="1"/>
  <c r="H45" i="48"/>
  <c r="Y45" i="48" s="1"/>
  <c r="H44" i="48"/>
  <c r="Y44" i="48" s="1"/>
  <c r="H43" i="48"/>
  <c r="Y43" i="48" s="1"/>
  <c r="H42" i="48"/>
  <c r="Y42" i="48" s="1"/>
  <c r="H37" i="48"/>
  <c r="Y37" i="48" s="1"/>
  <c r="H36" i="48"/>
  <c r="Y36" i="48" s="1"/>
  <c r="G34" i="48"/>
  <c r="F34" i="48"/>
  <c r="E34" i="48"/>
  <c r="H33" i="48"/>
  <c r="Y33" i="48" s="1"/>
  <c r="H32" i="48"/>
  <c r="Y32" i="48" s="1"/>
  <c r="H31" i="48"/>
  <c r="Y31" i="48" s="1"/>
  <c r="G29" i="48"/>
  <c r="F29" i="48"/>
  <c r="E29" i="48"/>
  <c r="H28" i="48"/>
  <c r="Y28" i="48" s="1"/>
  <c r="H27" i="48"/>
  <c r="Y27" i="48" s="1"/>
  <c r="H26" i="48"/>
  <c r="Y26" i="48" s="1"/>
  <c r="G24" i="48"/>
  <c r="F24" i="48"/>
  <c r="E24" i="48"/>
  <c r="H23" i="48"/>
  <c r="Y23" i="48" s="1"/>
  <c r="H22" i="48"/>
  <c r="Y22" i="48" s="1"/>
  <c r="H21" i="48"/>
  <c r="Y21" i="48" s="1"/>
  <c r="H18" i="48"/>
  <c r="Y18" i="48" s="1"/>
  <c r="G39" i="48" l="1"/>
  <c r="G49" i="48" s="1"/>
  <c r="H29" i="48"/>
  <c r="E39" i="48"/>
  <c r="E49" i="48" s="1"/>
  <c r="H24" i="48"/>
  <c r="F39" i="48"/>
  <c r="F49" i="48" s="1"/>
  <c r="H34" i="48"/>
  <c r="H38" i="48"/>
  <c r="D18" i="47"/>
  <c r="D17" i="47"/>
  <c r="D12" i="47"/>
  <c r="D11" i="47"/>
  <c r="D10" i="47"/>
  <c r="H39" i="48" l="1"/>
  <c r="H49" i="48"/>
  <c r="D21" i="47" l="1"/>
  <c r="T18" i="39" l="1"/>
  <c r="L13" i="41" l="1"/>
  <c r="N14" i="41" l="1"/>
  <c r="M13" i="41"/>
  <c r="N13" i="41" s="1"/>
  <c r="U18" i="39" l="1"/>
  <c r="V18" i="39" s="1"/>
  <c r="Q13" i="13" l="1"/>
  <c r="R13" i="13"/>
  <c r="S13" i="13"/>
  <c r="T13" i="13"/>
  <c r="U13" i="13"/>
  <c r="Q14" i="13"/>
  <c r="R14" i="13"/>
  <c r="S14" i="13"/>
  <c r="T14" i="13"/>
  <c r="U14" i="13"/>
  <c r="W13" i="13"/>
  <c r="X13" i="13"/>
  <c r="Y13" i="13"/>
  <c r="Z13" i="13"/>
  <c r="AA13" i="13"/>
  <c r="W14" i="13"/>
  <c r="X14" i="13"/>
  <c r="Y14" i="13"/>
  <c r="Z14" i="13"/>
  <c r="AA14" i="13"/>
  <c r="AD17" i="48" l="1"/>
  <c r="V15" i="34"/>
  <c r="Z15" i="34" s="1"/>
  <c r="AE17" i="48" l="1"/>
  <c r="AF17" i="48" s="1"/>
  <c r="U17" i="39" l="1"/>
  <c r="V17" i="39" s="1"/>
  <c r="V16" i="34"/>
  <c r="Z16" i="34" s="1"/>
  <c r="V17" i="34" l="1"/>
  <c r="Z17" i="34" s="1"/>
  <c r="E18" i="70"/>
  <c r="F18" i="70" s="1"/>
  <c r="G18" i="70" s="1"/>
  <c r="E30" i="70"/>
  <c r="F30" i="70" s="1"/>
  <c r="E16" i="70"/>
  <c r="F16" i="70"/>
  <c r="E28" i="70"/>
  <c r="F28" i="70" s="1"/>
  <c r="E20" i="70"/>
  <c r="F20" i="70" s="1"/>
  <c r="G20" i="70" s="1"/>
  <c r="E23" i="70"/>
  <c r="F23" i="70" s="1"/>
  <c r="G23" i="70" s="1"/>
  <c r="E24" i="70"/>
  <c r="F24" i="70" s="1"/>
  <c r="G24" i="70" s="1"/>
  <c r="E21" i="70"/>
  <c r="F21" i="70" s="1"/>
  <c r="G21" i="70" s="1"/>
  <c r="E17" i="70"/>
  <c r="F17" i="70" s="1"/>
  <c r="G17" i="70" s="1"/>
  <c r="E15" i="70"/>
  <c r="F15" i="70" s="1"/>
  <c r="G15" i="70" s="1"/>
  <c r="E25" i="70"/>
  <c r="F25" i="70" s="1"/>
  <c r="G25" i="70" s="1"/>
  <c r="E29" i="70"/>
  <c r="F29" i="70" s="1"/>
  <c r="E26" i="70"/>
  <c r="F26" i="70" s="1"/>
  <c r="G26" i="70" s="1"/>
</calcChain>
</file>

<file path=xl/sharedStrings.xml><?xml version="1.0" encoding="utf-8"?>
<sst xmlns="http://schemas.openxmlformats.org/spreadsheetml/2006/main" count="1747" uniqueCount="559">
  <si>
    <t>Institution:</t>
  </si>
  <si>
    <t>Forecast</t>
  </si>
  <si>
    <t>Total</t>
  </si>
  <si>
    <t>(Calculated)</t>
  </si>
  <si>
    <t>Pre-clinical</t>
  </si>
  <si>
    <t>Pre-clinical Medicine</t>
  </si>
  <si>
    <t>Pre-clinical Dentistry</t>
  </si>
  <si>
    <t>Education</t>
  </si>
  <si>
    <t>Taught Postgraduate</t>
  </si>
  <si>
    <t>Taught PG: UG fees</t>
  </si>
  <si>
    <t>Undergraduate</t>
  </si>
  <si>
    <t>Research Postgraduate</t>
  </si>
  <si>
    <t>2</t>
  </si>
  <si>
    <t>3</t>
  </si>
  <si>
    <t>4</t>
  </si>
  <si>
    <t>5</t>
  </si>
  <si>
    <t>FTE</t>
  </si>
  <si>
    <t>Primary</t>
  </si>
  <si>
    <t>Secondary</t>
  </si>
  <si>
    <t>BEd Music</t>
  </si>
  <si>
    <t>BEd Physical Education</t>
  </si>
  <si>
    <t>BEd Technology</t>
  </si>
  <si>
    <t xml:space="preserve">Combined Degrees in Education </t>
  </si>
  <si>
    <t>1</t>
  </si>
  <si>
    <t>Teaching Sector</t>
  </si>
  <si>
    <t>Headcount</t>
  </si>
  <si>
    <t>Year of Course</t>
  </si>
  <si>
    <t>Medicine</t>
  </si>
  <si>
    <t>Clinical</t>
  </si>
  <si>
    <t>Enter</t>
  </si>
  <si>
    <t>Part-time</t>
  </si>
  <si>
    <t>Clinical Medicine</t>
  </si>
  <si>
    <t>Clinical Dentistry</t>
  </si>
  <si>
    <t>Adult</t>
  </si>
  <si>
    <t>Three-year</t>
  </si>
  <si>
    <t>Conversion</t>
  </si>
  <si>
    <t>Graduate entry</t>
  </si>
  <si>
    <t>Mental Health</t>
  </si>
  <si>
    <t>Child Health</t>
  </si>
  <si>
    <t>Learning Disability</t>
  </si>
  <si>
    <t>Midwifery</t>
  </si>
  <si>
    <t>Full-time</t>
  </si>
  <si>
    <t>Aberdeen, University of</t>
  </si>
  <si>
    <t>Abertay Dundee, University of</t>
  </si>
  <si>
    <t>Dundee, University of</t>
  </si>
  <si>
    <t>Edinburgh, University of</t>
  </si>
  <si>
    <t>Glasgow Caledonian University</t>
  </si>
  <si>
    <t>Glasgow School of Art</t>
  </si>
  <si>
    <t>Glasgow, University of</t>
  </si>
  <si>
    <t>Heriot-Watt University</t>
  </si>
  <si>
    <t>Robert Gordon University</t>
  </si>
  <si>
    <t>St Andrews, University of</t>
  </si>
  <si>
    <t>Stirling, University of</t>
  </si>
  <si>
    <t>Strathclyde, University of</t>
  </si>
  <si>
    <t>Calculated</t>
  </si>
  <si>
    <t>Referenced</t>
  </si>
  <si>
    <t>Queen Margaret University, Edinburgh</t>
  </si>
  <si>
    <t>West of Scotland, University of the</t>
  </si>
  <si>
    <t>Table 1</t>
  </si>
  <si>
    <t>Edinburgh Napier University</t>
  </si>
  <si>
    <t>Autumn
Count</t>
  </si>
  <si>
    <t>Year 1</t>
  </si>
  <si>
    <t>Year 2</t>
  </si>
  <si>
    <t>Year 3</t>
  </si>
  <si>
    <t>Year 4</t>
  </si>
  <si>
    <t>Year 5</t>
  </si>
  <si>
    <t>Difference OK?</t>
  </si>
  <si>
    <t>Students Eligible for Funding</t>
  </si>
  <si>
    <t>Part-time
(including short full-time)</t>
  </si>
  <si>
    <t>Other</t>
  </si>
  <si>
    <t>Controlled Subject Areas</t>
  </si>
  <si>
    <t>Nursing and Midwifery</t>
  </si>
  <si>
    <t>Non-Controlled Subject Areas</t>
  </si>
  <si>
    <t>PGCE / PGDE Secondary</t>
  </si>
  <si>
    <t>Other subject areas</t>
  </si>
  <si>
    <t>Medicine and Dentistry</t>
  </si>
  <si>
    <t>STEM subject areas</t>
  </si>
  <si>
    <t>All Levels</t>
  </si>
  <si>
    <t>The cells with a white background are those in which figures can be entered.</t>
  </si>
  <si>
    <t>BEd Primary</t>
  </si>
  <si>
    <t>Enter /
Calculated</t>
  </si>
  <si>
    <t>Fees-only students</t>
  </si>
  <si>
    <t>Percentage</t>
  </si>
  <si>
    <t>Highlands and Islands, University of the</t>
  </si>
  <si>
    <t>Open University in Scotland</t>
  </si>
  <si>
    <t>Royal Conservatoire of Scotland</t>
  </si>
  <si>
    <t>Institution</t>
  </si>
  <si>
    <t>Clinical
medicine</t>
  </si>
  <si>
    <t>Clinical
dentistry</t>
  </si>
  <si>
    <t>BEd
Music</t>
  </si>
  <si>
    <t>PGDE
Primary</t>
  </si>
  <si>
    <t>PGDE Primary</t>
  </si>
  <si>
    <t>PGDE Secondary</t>
  </si>
  <si>
    <t>Institution selected</t>
  </si>
  <si>
    <t>Intake
to the
course</t>
  </si>
  <si>
    <t>Medicine
under-
graduates</t>
  </si>
  <si>
    <t>Dentistry
under-
graduates</t>
  </si>
  <si>
    <t>Parameters</t>
  </si>
  <si>
    <t>Controlled Under-enrolments</t>
  </si>
  <si>
    <t>Non-controlled Under-enrolments</t>
  </si>
  <si>
    <t>Non-controlled subject areas</t>
  </si>
  <si>
    <t>Subject area</t>
  </si>
  <si>
    <t>Non-controlled Subject Areas</t>
  </si>
  <si>
    <t>Title</t>
  </si>
  <si>
    <t>Aberdeen,
University of</t>
  </si>
  <si>
    <t>Abertay Dundee,
University of</t>
  </si>
  <si>
    <t>Dundee,
University of</t>
  </si>
  <si>
    <t>West of Scotland,
University of the</t>
  </si>
  <si>
    <t>Strathclyde,
University of</t>
  </si>
  <si>
    <t>Stirling,
University of</t>
  </si>
  <si>
    <t>St Andrews,
University of</t>
  </si>
  <si>
    <t>Robert Gordon
University</t>
  </si>
  <si>
    <t>Glasgow Caledonian
University</t>
  </si>
  <si>
    <t>Edinburgh,
University of</t>
  </si>
  <si>
    <t>Edinburgh Napier
University</t>
  </si>
  <si>
    <t>Heriot-Watt
University</t>
  </si>
  <si>
    <t>Open University
in Scotland
(Enrolments)</t>
  </si>
  <si>
    <t>Open University
in Scotland
(Completions)</t>
  </si>
  <si>
    <t>Level of Study / Subject Area</t>
  </si>
  <si>
    <t>2a</t>
  </si>
  <si>
    <t>2b</t>
  </si>
  <si>
    <t>2c</t>
  </si>
  <si>
    <t>Full-time undergraduates (Scots, Other EU)</t>
  </si>
  <si>
    <t>Consolidation tolerance (&gt;=100)</t>
  </si>
  <si>
    <t>Rest of
UK</t>
  </si>
  <si>
    <t>Students
on inter-
calating
degrees</t>
  </si>
  <si>
    <t>Nursing and Midwifery Pre-registration</t>
  </si>
  <si>
    <t>Dentistry</t>
  </si>
  <si>
    <t>Other subjects</t>
  </si>
  <si>
    <t>Initial
Teacher
Education
Primary</t>
  </si>
  <si>
    <t>Initial
Teacher
Education
Secondary</t>
  </si>
  <si>
    <t>Nursing
and
midwifery
pre-
registration</t>
  </si>
  <si>
    <t>SRUC</t>
  </si>
  <si>
    <t>Students eligible for funding</t>
  </si>
  <si>
    <t>International</t>
  </si>
  <si>
    <t>Type of student</t>
  </si>
  <si>
    <t>Stage and Year of Course</t>
  </si>
  <si>
    <t>Course</t>
  </si>
  <si>
    <t>International Medical University of Malaysia</t>
  </si>
  <si>
    <t>Closed loop programme: Canada</t>
  </si>
  <si>
    <t>Num-
ber</t>
  </si>
  <si>
    <t>5a</t>
  </si>
  <si>
    <t>5b</t>
  </si>
  <si>
    <t>5c</t>
  </si>
  <si>
    <t>Postgraduate (Undergraduate fee)</t>
  </si>
  <si>
    <t>International Total</t>
  </si>
  <si>
    <t>Intake or
enrolments missing?</t>
  </si>
  <si>
    <t>Percentage Difference</t>
  </si>
  <si>
    <t>Pre-clinical
medicine</t>
  </si>
  <si>
    <t>Pre-clinical
dentistry</t>
  </si>
  <si>
    <t>Open University (Completions)</t>
  </si>
  <si>
    <r>
      <rPr>
        <b/>
        <sz val="11"/>
        <rFont val="Calibri"/>
        <family val="2"/>
      </rPr>
      <t>Courses</t>
    </r>
    <r>
      <rPr>
        <sz val="11"/>
        <rFont val="Calibri"/>
        <family val="2"/>
      </rPr>
      <t xml:space="preserve">
(Only those which lead to registration
with the General Teaching Council)</t>
    </r>
  </si>
  <si>
    <t>Check against Table 1</t>
  </si>
  <si>
    <t>Difference
from
Table 1</t>
  </si>
  <si>
    <t>Level of Study</t>
  </si>
  <si>
    <r>
      <rPr>
        <b/>
        <sz val="11"/>
        <rFont val="Calibri"/>
        <family val="2"/>
      </rPr>
      <t>Level of Study</t>
    </r>
    <r>
      <rPr>
        <b/>
        <sz val="11"/>
        <color indexed="18"/>
        <rFont val="Calibri"/>
        <family val="2"/>
      </rPr>
      <t xml:space="preserve"> / </t>
    </r>
    <r>
      <rPr>
        <b/>
        <sz val="11"/>
        <color indexed="56"/>
        <rFont val="Calibri"/>
        <family val="2"/>
      </rPr>
      <t>Subject Areas</t>
    </r>
  </si>
  <si>
    <t>4a</t>
  </si>
  <si>
    <t>4b</t>
  </si>
  <si>
    <t>Intake</t>
  </si>
  <si>
    <t>Year of Programme</t>
  </si>
  <si>
    <t>Rest of UK paying deregulated tuition fees</t>
  </si>
  <si>
    <t>Home and Deregulated Tuition Fees</t>
  </si>
  <si>
    <t>Total Home and Deregulated Tuition Fees</t>
  </si>
  <si>
    <t>Intake /
Year of Programme</t>
  </si>
  <si>
    <t>2d</t>
  </si>
  <si>
    <t>PGDE Secondary Subject</t>
  </si>
  <si>
    <t>Art</t>
  </si>
  <si>
    <t>Biology</t>
  </si>
  <si>
    <t>Business Education</t>
  </si>
  <si>
    <t>Chemistry</t>
  </si>
  <si>
    <t>Computing</t>
  </si>
  <si>
    <t>Drama</t>
  </si>
  <si>
    <t>English</t>
  </si>
  <si>
    <t>Gaelic</t>
  </si>
  <si>
    <t>Geography</t>
  </si>
  <si>
    <t>History</t>
  </si>
  <si>
    <t>Home Economics</t>
  </si>
  <si>
    <t>Mathematics</t>
  </si>
  <si>
    <t>Modern Languages</t>
  </si>
  <si>
    <t>Modern Studies</t>
  </si>
  <si>
    <t>Music</t>
  </si>
  <si>
    <t>Physical Education</t>
  </si>
  <si>
    <t>Religious Education</t>
  </si>
  <si>
    <t>Technological Education</t>
  </si>
  <si>
    <t>Physics</t>
  </si>
  <si>
    <t>Table 2a</t>
  </si>
  <si>
    <t>Difference
from
Table 2a</t>
  </si>
  <si>
    <t>Table</t>
  </si>
  <si>
    <t>Completed
by
Institution</t>
  </si>
  <si>
    <t>YES</t>
  </si>
  <si>
    <t>For Info</t>
  </si>
  <si>
    <t>Level of Study / Branch</t>
  </si>
  <si>
    <t>Difference</t>
  </si>
  <si>
    <t>Full-time
and
sandwich
(excluding
short
full-time)</t>
  </si>
  <si>
    <t>Part-time
(including
short
full-time)</t>
  </si>
  <si>
    <t>Rest of UK
students
not eligible
for funding
in controlled
subject
areas</t>
  </si>
  <si>
    <t>Glasgow
School
of Art</t>
  </si>
  <si>
    <t>Glasgow,
University of</t>
  </si>
  <si>
    <t>Open
University
in Scotland
(Enrolments)</t>
  </si>
  <si>
    <t>Queen
Margaret
University,
Edinburgh</t>
  </si>
  <si>
    <t>Robert
Gordon
University</t>
  </si>
  <si>
    <t>West of
Scotland,
University
of the</t>
  </si>
  <si>
    <t>RUK</t>
  </si>
  <si>
    <t>At your
institution</t>
  </si>
  <si>
    <t>At another
institution</t>
  </si>
  <si>
    <t>Controlled Three-year</t>
  </si>
  <si>
    <t>Funded
through
Main
Teaching
Grant</t>
  </si>
  <si>
    <t>Funded
through
Strategic
Grants</t>
  </si>
  <si>
    <t>Glasgow
Caledonian
University</t>
  </si>
  <si>
    <t>Controlled Three-year Degree</t>
  </si>
  <si>
    <t>European Social Fund
‘Developing Scotland’s Workforce'</t>
  </si>
  <si>
    <t>Research
post-graduate</t>
  </si>
  <si>
    <t>Taught
post-graduate</t>
  </si>
  <si>
    <t>HN</t>
  </si>
  <si>
    <t>Research
postgraduates</t>
  </si>
  <si>
    <t>Taught
postgraduates</t>
  </si>
  <si>
    <t>Additional ESF-funded Places</t>
  </si>
  <si>
    <t>Total
intake</t>
  </si>
  <si>
    <t>Difference between
student numbers and
consolidation student
number</t>
  </si>
  <si>
    <t>Controlled Four-year Degree</t>
  </si>
  <si>
    <t>BA
Childhood
Practice</t>
  </si>
  <si>
    <t>HNC
Childhood
Practice</t>
  </si>
  <si>
    <t>Innovation
centres</t>
  </si>
  <si>
    <t>Psychology</t>
  </si>
  <si>
    <t>Students
eligible for
funding</t>
  </si>
  <si>
    <t>Difference
OK?</t>
  </si>
  <si>
    <t>ITE</t>
  </si>
  <si>
    <t>Catholic</t>
  </si>
  <si>
    <t>ESF</t>
  </si>
  <si>
    <t>Childcare</t>
  </si>
  <si>
    <t>BA Childhood Practice</t>
  </si>
  <si>
    <t>HNC Childhood Practice</t>
  </si>
  <si>
    <t>Innovation Centre</t>
  </si>
  <si>
    <t>Lead Institution</t>
  </si>
  <si>
    <t>Funded
places</t>
  </si>
  <si>
    <t>Taught
postgraduate
students
eligible
for funding</t>
  </si>
  <si>
    <t>Construction Scotland Innovation Centre (CSIC)</t>
  </si>
  <si>
    <t>The Data Lab (DATALAB)</t>
  </si>
  <si>
    <t>Digital Health and Care Institute (DHI)</t>
  </si>
  <si>
    <t>Stratified Scotland Innovation Centre (SMS-IC)</t>
  </si>
  <si>
    <t>Scottish Aquaculture Innovation Centre (SAIC)</t>
  </si>
  <si>
    <t>Industrial Biotechnology Innovation Centre (IBioIC)</t>
  </si>
  <si>
    <t>(*) The institutions who collaborate in an Innovation Centre should agree amongst themselves who reports which of the taught postgraduate students at the Innovation Centre.</t>
  </si>
  <si>
    <t>Undergraduates</t>
  </si>
  <si>
    <t>Degree</t>
  </si>
  <si>
    <t>Under-
graduate</t>
  </si>
  <si>
    <t>Pre-medical Entry</t>
  </si>
  <si>
    <t>Other STEM subjects</t>
  </si>
  <si>
    <t>N/A</t>
  </si>
  <si>
    <t>(*)</t>
  </si>
  <si>
    <t>(*) Enter the total FTE number of student entrants eligible for funding.</t>
  </si>
  <si>
    <t xml:space="preserve">       This figure will be compared to the number of entrants to these courses in previous years to estimate the</t>
  </si>
  <si>
    <t>level of additional enrolments and hence to inform how many of the additional places have been filled.</t>
  </si>
  <si>
    <t>2e</t>
  </si>
  <si>
    <t>2f</t>
  </si>
  <si>
    <t>New Routes Initial Teacher Education Primary</t>
  </si>
  <si>
    <t>Students Eligible for Funding, 2018-19</t>
  </si>
  <si>
    <t>Scottish Funding Council Early Statistics Return 2018-19: Table 2a</t>
  </si>
  <si>
    <t>Scottish Funding Council Early Statistics Return 2018-19: Table 3</t>
  </si>
  <si>
    <t>Actual</t>
  </si>
  <si>
    <t>From 20 per cent Most Deprived Areas (MD20)</t>
  </si>
  <si>
    <t>From 20 to 40 per cent Most Deprived Areas</t>
  </si>
  <si>
    <t>From 40 per cent Most Deprived Areas (MD40)</t>
  </si>
  <si>
    <t>Number</t>
  </si>
  <si>
    <t>Controlled Subjects Intake Targets</t>
  </si>
  <si>
    <t>Taught
post-
graduate
skills</t>
  </si>
  <si>
    <t>Nursing and Midwifery
Pre-regisration</t>
  </si>
  <si>
    <t>Initial Teacher Education</t>
  </si>
  <si>
    <t>ScotGEM</t>
  </si>
  <si>
    <t>Pre-entry
medicine</t>
  </si>
  <si>
    <t>Under-
graduate
Primary</t>
  </si>
  <si>
    <t>Combined
Degrees
Primary</t>
  </si>
  <si>
    <t>Combined
Degrees
Secondary</t>
  </si>
  <si>
    <t>Honours</t>
  </si>
  <si>
    <t>BEd
PE</t>
  </si>
  <si>
    <t>BE
Technology</t>
  </si>
  <si>
    <t xml:space="preserve">FTE </t>
  </si>
  <si>
    <t>Rest of UK Students Not Eligible for Funding in Controlled Subject Areas</t>
  </si>
  <si>
    <t>Highlands and Islands,
University of the</t>
  </si>
  <si>
    <t>Queen Margaret
University, Edinburgh</t>
  </si>
  <si>
    <t>Royal Conservatoire
of Scotland</t>
  </si>
  <si>
    <t>Abertay
Dundee,
University of</t>
  </si>
  <si>
    <t>Edinburgh
Napier
University</t>
  </si>
  <si>
    <t>Highlands
and Islands,
University
of the</t>
  </si>
  <si>
    <t>PGDE
Subjects</t>
  </si>
  <si>
    <t>New
Routes</t>
  </si>
  <si>
    <t>Rest of UK</t>
  </si>
  <si>
    <t>Reference</t>
  </si>
  <si>
    <t>Student eligible for funding who started from 2017-18 onwards</t>
  </si>
  <si>
    <t>Undergraduate Primary</t>
  </si>
  <si>
    <t>Meet widening access criteria</t>
  </si>
  <si>
    <t>Students on Undergraduate Dentistry Courses, 2018-19</t>
  </si>
  <si>
    <t xml:space="preserve"> </t>
  </si>
  <si>
    <t>5d</t>
  </si>
  <si>
    <t>Early Statistics / Final Figures Tables
Column Number</t>
  </si>
  <si>
    <t>TPG
Skills
Places</t>
  </si>
  <si>
    <t>Difference from Additional Funded Places</t>
  </si>
  <si>
    <t>Scottish Funding Council Early Statistics Return 2018-19: Table 5c</t>
  </si>
  <si>
    <t>Level of Study / Deprivation Status</t>
  </si>
  <si>
    <t>First Degree</t>
  </si>
  <si>
    <t>All Scottish-domiciled entrants</t>
  </si>
  <si>
    <t>Other Undergraduate   (*)</t>
  </si>
  <si>
    <t>Single subject</t>
  </si>
  <si>
    <t>Combination of Subjects</t>
  </si>
  <si>
    <t>Select From Drop Down List</t>
  </si>
  <si>
    <t>First PGDE Secondary Subject</t>
  </si>
  <si>
    <t>Second PGDE Secondary Subject</t>
  </si>
  <si>
    <t>Check Combinations of Subjects</t>
  </si>
  <si>
    <t>Comparing enrolments and intakes, and checking total enrolments against Table 1</t>
  </si>
  <si>
    <t>Problem with Subject Information or
Missing FTE</t>
  </si>
  <si>
    <t>Students
eligible for
funding able to
teach in the
Gaelic medium</t>
  </si>
  <si>
    <t>New Routes</t>
  </si>
  <si>
    <t>All PGDE Primary</t>
  </si>
  <si>
    <t>Undergraduate Secondary</t>
  </si>
  <si>
    <t>Other Secondary - New Routes</t>
  </si>
  <si>
    <t xml:space="preserve">All Combined Degrees in Education </t>
  </si>
  <si>
    <t>Combined Degrees in Education Primary</t>
  </si>
  <si>
    <t>Combined Degrees in Education Secondary</t>
  </si>
  <si>
    <t>Other Secondary</t>
  </si>
  <si>
    <t>Continuing
students</t>
  </si>
  <si>
    <t>Under-
enrolment
below the
tolerance
threshold
(Yes or
No) ?</t>
  </si>
  <si>
    <t>Three-year Nursing Degrees</t>
  </si>
  <si>
    <t>Four-year Nursing Degrees</t>
  </si>
  <si>
    <t>PGDE Primary   (*)</t>
  </si>
  <si>
    <t>Initial Teacher Education New Routes</t>
  </si>
  <si>
    <t>Combined Degrees Primary</t>
  </si>
  <si>
    <t>Combined Degrees Secondary</t>
  </si>
  <si>
    <t>Is there a
breach of
consolidation
(Yes or
No) ?</t>
  </si>
  <si>
    <t>Controlled Subject Areas
(Includes Scots, Other EU, Rest of UK)</t>
  </si>
  <si>
    <t>Medicine Undergraduates</t>
  </si>
  <si>
    <t>Dentistry Undergraduates</t>
  </si>
  <si>
    <t>Initial Teacher Education (BEd and PGDE):</t>
  </si>
  <si>
    <t>Actual
intake of
students
eligible for
funding and
rest of UK</t>
  </si>
  <si>
    <t>Difference between
actual and target
intakes</t>
  </si>
  <si>
    <t>Select From List</t>
  </si>
  <si>
    <t>* Scottish and other EU full-time and sandwich undergraduate students eligible for funding compared to consolidation student number for non-controlled subject areas</t>
  </si>
  <si>
    <t>* Students eligible for funding and rest of UK students paying deregulated tuition fees compared to consolidation student numbers for the controlled subject areas</t>
  </si>
  <si>
    <t>Check for cells where only one of FTE and headcount is non-zero</t>
  </si>
  <si>
    <t>Check FTE is less than or equal to Headcount</t>
  </si>
  <si>
    <t>Students enrolled on Catholic courses
or modules studying ITE, 2018-19</t>
  </si>
  <si>
    <t>Other Taught Postgraduate Secondary New Routes</t>
  </si>
  <si>
    <t>Other Undergraduate Secondary New Routes</t>
  </si>
  <si>
    <t>From Table 2a as a Check</t>
  </si>
  <si>
    <t>Comparing enrolments and intakes of students eligible for funding</t>
  </si>
  <si>
    <t>Intake or enrolments missing,
or intake inconsistent with
enrolments?</t>
  </si>
  <si>
    <t>Intake or enrolments missing?
Intake inconsistent with
enrolments?</t>
  </si>
  <si>
    <t>Comparing enrolments and intakes</t>
  </si>
  <si>
    <t>Intake or enrolments missing?
Intake inconsistent with enrolments?</t>
  </si>
  <si>
    <t>Traditional (excludes New Routes)</t>
  </si>
  <si>
    <t>Traditional</t>
  </si>
  <si>
    <t>(*) Other undergraduates are students studying for a HND, Diploma of HE, HNC or Certificate of HE.</t>
  </si>
  <si>
    <t>All Undergraduate</t>
  </si>
  <si>
    <t>Scottish
domiciled</t>
  </si>
  <si>
    <t>Other EU</t>
  </si>
  <si>
    <t>New Routes Initial Teacher Education Course
Teaching Sector / Level of Study</t>
  </si>
  <si>
    <t>Pre-medical Entry   (*)</t>
  </si>
  <si>
    <t>Other Taught Postgraduates and Undergraduates   (**)</t>
  </si>
  <si>
    <t>Included in table indicators and column numbers for Early Statistics and Final Figures look ups</t>
  </si>
  <si>
    <t>Related
student
numbers
from
Table 1</t>
  </si>
  <si>
    <t>Dentistry tolerance</t>
  </si>
  <si>
    <t>Controlled consolidation tolerance (&lt;100) (FTE)</t>
  </si>
  <si>
    <t>Medicine
excluding
ScotGEM</t>
  </si>
  <si>
    <t>Medicine (excluding ScotGEM)</t>
  </si>
  <si>
    <t>(*) The enrolments for PGDE Primary and Secondary include those to new routes PGDE courses.</t>
  </si>
  <si>
    <t>Scottish Funding Council Early Statistics Return 2019-20: Table 1</t>
  </si>
  <si>
    <t>Students Eligible for Funding, 2019-20</t>
  </si>
  <si>
    <t>Rest of UK Students
Not Eligible for Funding
in Controlled Subject Areas, 2019-20</t>
  </si>
  <si>
    <t>Total for
Controlled
Subject
Areas for
Monitoring
Consolidation
for Scots /
Other EU /
Rest of UK,
2019-20</t>
  </si>
  <si>
    <t>Comparison with Early Statistics for 2018-19</t>
  </si>
  <si>
    <t>Rest of UK
students
not eligible
for funding
in controlled
subject
areas,
2018-19</t>
  </si>
  <si>
    <t>Students Eligible for Funding in All Subject Areas and Students Not Eligible for Funding in the Controlled Subject Areas, 2019-20</t>
  </si>
  <si>
    <t>Full-time and Sandwich
(excluding short full-time)</t>
  </si>
  <si>
    <t>Background Data for Early Statistics Return for 2019-20</t>
  </si>
  <si>
    <t>Funded Places and Consolidation Student Numbers for 2019-20</t>
  </si>
  <si>
    <t>Funded Places for 2019-20</t>
  </si>
  <si>
    <t xml:space="preserve"> Consolidation Student Numbers for 2019-20</t>
  </si>
  <si>
    <t>Additional Places for</t>
  </si>
  <si>
    <t>Non-controlled Funded Places for 2019-20</t>
  </si>
  <si>
    <t>Controlled Funded Places for 2019-20</t>
  </si>
  <si>
    <t>Non-
controlled
Consolid-
ation
Student
Number
for
2019-20</t>
  </si>
  <si>
    <t>Controlled Consolidation Student Numbers for 2019-20</t>
  </si>
  <si>
    <t>Ring-fenced Places Funded
by Scottish Government</t>
  </si>
  <si>
    <t>ScotGEM
Clinical</t>
  </si>
  <si>
    <t>ScotGEM
Pre-clinical</t>
  </si>
  <si>
    <t>Nursing and
midwifery
pre-
registration
three-year</t>
  </si>
  <si>
    <t>Nursing and
midwifery
pre-
registration
Honours</t>
  </si>
  <si>
    <t>Under-
graduate
Secondary</t>
  </si>
  <si>
    <t>PGDE and
Other
Secondary</t>
  </si>
  <si>
    <t>PGDE and
other
Secondary</t>
  </si>
  <si>
    <t>Combined
Degrees
Primary
New
Routes
Only</t>
  </si>
  <si>
    <t>Combined
Degrees
Secondary
New
Routes
Only</t>
  </si>
  <si>
    <t>Early Statistics 2018-19</t>
  </si>
  <si>
    <t>Royal
Conser-
vatoire
of Scotland</t>
  </si>
  <si>
    <t>Royal
Conser-
vatoire of
Scotland</t>
  </si>
  <si>
    <t>Additional Places for Innovation Centres for 2019-20</t>
  </si>
  <si>
    <t>Medicine/
Dentistry</t>
  </si>
  <si>
    <t>Nurse
Three-year</t>
  </si>
  <si>
    <t>Nurse
Honours</t>
  </si>
  <si>
    <t>Built Environment</t>
  </si>
  <si>
    <t>ScotGEM - Pre-clinical</t>
  </si>
  <si>
    <t>ScotGEM - Clinical</t>
  </si>
  <si>
    <t>Other Initial Teacher Education</t>
  </si>
  <si>
    <t>Full-time
and
sandwich</t>
  </si>
  <si>
    <t>Intake to the Course, 2019-20</t>
  </si>
  <si>
    <t>Comparing enrolments and intakes
of students eligible for funding</t>
  </si>
  <si>
    <t>Checking total enrolments against Table 1</t>
  </si>
  <si>
    <t>Students Eligible for Funding on Teaching Qualification (Further Education) (TQ(FE)) Courses, 2019-20</t>
  </si>
  <si>
    <t>Funded Places and Actual Enrolments of Students Eligible for Funding for the Controlled Subjects, 2019-20</t>
  </si>
  <si>
    <t>Scottish-domiciled Undergraduate Entrants from a Care Experienced Background, 2019-20</t>
  </si>
  <si>
    <t>Scottish Funding Council Early Statistics Return 2019-20: Table 6</t>
  </si>
  <si>
    <t>Scottish Funding Council Early Statistics Return 2019-20: Table 4a</t>
  </si>
  <si>
    <t>Use of Additional Funded Places for Taught Postgraduate Provision, 2019-20</t>
  </si>
  <si>
    <t>Traditional
courses</t>
  </si>
  <si>
    <t>Traditional Courses</t>
  </si>
  <si>
    <t>Traditional Courses Total</t>
  </si>
  <si>
    <t>New Routes Total</t>
  </si>
  <si>
    <t>Totals</t>
  </si>
  <si>
    <t>Course Type</t>
  </si>
  <si>
    <t>Traditional courses</t>
  </si>
  <si>
    <t>Check totals against total intake in Table 2a</t>
  </si>
  <si>
    <t>Combined Degrees in Education Secondary New Routes</t>
  </si>
  <si>
    <t>Other Secondary New Routes ITE Courses</t>
  </si>
  <si>
    <t>ITE Secondary Subject</t>
  </si>
  <si>
    <t>Scottish Funding Council Early Statistics Return 2019-20: Table 2c</t>
  </si>
  <si>
    <t>Scottish Funding Council Early Statistics Return 2019-20: Table 2b</t>
  </si>
  <si>
    <t>Entrants to Undergraduate Medicine Courses, 2019-20</t>
  </si>
  <si>
    <t>Closed
loop
programme
(Canada)</t>
  </si>
  <si>
    <t>From
Pre-medical
Entry
programme</t>
  </si>
  <si>
    <t>Scottish domiciled: Entry Criteria</t>
  </si>
  <si>
    <t>Inter-
national
Medical
University
of Malaysia</t>
  </si>
  <si>
    <t>Students on Undergraduate Medicine Courses, 2019-20</t>
  </si>
  <si>
    <t>Pre-clinical - Traditional</t>
  </si>
  <si>
    <t>Pre-clinical - ScotGEM</t>
  </si>
  <si>
    <t>Clinical - Traditional</t>
  </si>
  <si>
    <t>Clinical - ScotGEM</t>
  </si>
  <si>
    <t>Comparing total enrolments with Table 1</t>
  </si>
  <si>
    <t>Comparing intakes and enrolments</t>
  </si>
  <si>
    <t>Scottish Funding Council Early Statistics Return 2019-20: Table 5b</t>
  </si>
  <si>
    <t>Scottish Funding Council Early Statistics Return 2019-20: Table 5a</t>
  </si>
  <si>
    <t>Scottish Funding Council Early Statistics Return 2019-20: Table 4b</t>
  </si>
  <si>
    <t>Students Eligible for Funding on Early Years Education Courses in 2019-20 Who Started From 2017-18 Onwards</t>
  </si>
  <si>
    <t>Use of Funded Places for Innovation Centres for 2019-20</t>
  </si>
  <si>
    <t>Use of Places Funded by the European Social Fund (ESF)'s Developing Scotland's Workforce Programme, 2019-20</t>
  </si>
  <si>
    <t>Allocation of additional funded places for 2019-20</t>
  </si>
  <si>
    <t>Intake of students eligible for funding for 2019-20</t>
  </si>
  <si>
    <t>On course
planned to
continue
in 2019-20</t>
  </si>
  <si>
    <t>Additional Funded Places for 2019-20</t>
  </si>
  <si>
    <t>(*) Enter the FTE number of places that have been filled.</t>
  </si>
  <si>
    <t>Scottish Funding Council Early Statistics Return 2019-20: Table 5d</t>
  </si>
  <si>
    <t>Scottish Funding Council Early Statistics Return 2019-20</t>
  </si>
  <si>
    <t>Monitoring for Under-enrolments against Funded Places, Breaches of Consolidation and Meeting the Intake Targets for the Controlled Subjects, 2019-20</t>
  </si>
  <si>
    <t>Funded
Places
for
2019-20</t>
  </si>
  <si>
    <t>Students
eligible
for funding,
2019-20
from Table 1</t>
  </si>
  <si>
    <t>Other ITE</t>
  </si>
  <si>
    <t>ScotGEM Clinical   (i)</t>
  </si>
  <si>
    <t>ScotGEM Pre-clinical   (i)</t>
  </si>
  <si>
    <t>Combined Degrees Primary   (i)</t>
  </si>
  <si>
    <t>Combined Degrees Secondary   (i)</t>
  </si>
  <si>
    <t>Other Initial Teacher Education   (i)</t>
  </si>
  <si>
    <t>PGDE Primary   (ii)</t>
  </si>
  <si>
    <t>PGDE and Other Secondary   (ii)</t>
  </si>
  <si>
    <t>(ii) The enrolments for PGDE Primary and Secondary include those on new routes PGDE courses.</t>
  </si>
  <si>
    <t>Undergraduate Secondary   (iii)</t>
  </si>
  <si>
    <t>Non-controlled subject areas, 2019-20</t>
  </si>
  <si>
    <t>Funded Places and Actual Enrolments of Students Eligible for Funding for the Non-controlled Subject Areas, 2019-20</t>
  </si>
  <si>
    <t>Students
eligible
for  funding
in 2019-20
from 
Table 1</t>
  </si>
  <si>
    <t>Consolidation Student Numbers, 2019-20</t>
  </si>
  <si>
    <t>Consol-
idation
student
numbers 
2019-20</t>
  </si>
  <si>
    <t>Target Intakes and Actual Intakes of Students Eligible for Funding and Rest of UK Students for the Controlled Subjects, 2019-20</t>
  </si>
  <si>
    <t>Target
intake
2019-20</t>
  </si>
  <si>
    <t>Other Taught Postgraduate New Routes</t>
  </si>
  <si>
    <t>Other Secondary New Routes</t>
  </si>
  <si>
    <t>Other Initial Teacher Education New Routes</t>
  </si>
  <si>
    <t>ITE Flags</t>
  </si>
  <si>
    <t>PGDE
Primary
Traditional</t>
  </si>
  <si>
    <t>PGDE
Primary
New
Routes</t>
  </si>
  <si>
    <t>PGDE
Secondary
Traditional</t>
  </si>
  <si>
    <t>PGDE
Secondary
New
Routes</t>
  </si>
  <si>
    <t>BEd
Physical
Education</t>
  </si>
  <si>
    <t>BEd
Technology</t>
  </si>
  <si>
    <t>Combined Degrees
Primary
New
Routes</t>
  </si>
  <si>
    <t>Combined Degrees
Secondary
New
Routes</t>
  </si>
  <si>
    <t>Combined
Degrees
Traditional</t>
  </si>
  <si>
    <t>Other
Secondary
New
Routes</t>
  </si>
  <si>
    <t>Other
ITE
New
Routes</t>
  </si>
  <si>
    <t>Secondary
New
Routes
Subjects</t>
  </si>
  <si>
    <t>TQ(FE)</t>
  </si>
  <si>
    <t>Funded
places
for
2019-20</t>
  </si>
  <si>
    <t>(*,8) There is no specific tolerance threshold for the funded places for pre-medical entry.</t>
  </si>
  <si>
    <t>(**,8) This shows the overall position for taught postgraduate and undergraduates in the non-controlled subject areas. Allocations of funded places for specific purposes will be monitored separately as well.</t>
  </si>
  <si>
    <t>(**,1) The funded places include the additional places for childhood practice funded by the Scottish Government and the taught postgraduate and undergraduate places funded by the European Social Fund.</t>
  </si>
  <si>
    <t>(iii) Undergraduate Secondary covers the BEds in Music, PE and Technology.</t>
  </si>
  <si>
    <t>PGDE and Other Secondary   (*)</t>
  </si>
  <si>
    <t>Other
Initial
Teacher
Education</t>
  </si>
  <si>
    <t>Students Eligible for Funding Enrolled on Catholic Courses or Modules, 2019-20</t>
  </si>
  <si>
    <t>Initial Teacher Education Courses, 2019-20</t>
  </si>
  <si>
    <t>New Routes Initial Teacher Education Courses, 2019-20</t>
  </si>
  <si>
    <t>Subjects that Students in the Intake to PGDE Secondary Courses are Training to Teach, 2019-20</t>
  </si>
  <si>
    <t>Scottish Funding Council Early Statistics Return 2019-20: Table 2d</t>
  </si>
  <si>
    <t>Scottish Funding Council Early Statistics Return 2019-20: Table 2e</t>
  </si>
  <si>
    <t>Scottish Funding Council Early Statistics Return 2019-20: Table 2f</t>
  </si>
  <si>
    <t>Covers students eligible for funding and rest of UK students</t>
  </si>
  <si>
    <t>Final Figures 2018-19</t>
  </si>
  <si>
    <t>Look up for
Early Statistics
and
Final Figures
for 2018-19</t>
  </si>
  <si>
    <t>Comparison with Final Figures for 2018-19</t>
  </si>
  <si>
    <t>Under-
graduate
Primary
Traditional</t>
  </si>
  <si>
    <t>Under-
graduate
Primary
New
Routes</t>
  </si>
  <si>
    <t>Other Undergraduate New Routes</t>
  </si>
  <si>
    <t>Scottish domiciled Undergraduate Applicants</t>
  </si>
  <si>
    <t>Eligible for an adjusted offer based on widening access criteria</t>
  </si>
  <si>
    <t>Of which:</t>
  </si>
  <si>
    <t>From the
20% most
deprived
areas</t>
  </si>
  <si>
    <t xml:space="preserve">Care
experienced </t>
  </si>
  <si>
    <t>Level of Applicant / Type of Offer</t>
  </si>
  <si>
    <t>Scottish Domiciled Full-time Degree Applicants</t>
  </si>
  <si>
    <t>Scottish Funding Council Early Access Return, 2019-20: Table 2</t>
  </si>
  <si>
    <t>Included in Early Statistics Table</t>
  </si>
  <si>
    <t>Early
Access
Return
Table 2</t>
  </si>
  <si>
    <t>Early Statistics Return Tables</t>
  </si>
  <si>
    <t>Early Access Return Tables</t>
  </si>
  <si>
    <t>Scottish-domiciled Undergraduate Entrants from the 20 and 40 per cent Most Deprived Areas, 2019-20</t>
  </si>
  <si>
    <t>Received an adjusted offer based on widening access criteria</t>
  </si>
  <si>
    <t>Of which required an adjusted offer</t>
  </si>
  <si>
    <t>Of which accepted an adjusted offer</t>
  </si>
  <si>
    <t>Subjects that Students Eligible for Funding on Other New Routes Initial Teacher Education Secondary Courses are Training to Teach, 2019-20</t>
  </si>
  <si>
    <t>Scottish-domiciled Applicants to Undergraduate Courses, 2019-20</t>
  </si>
  <si>
    <t>Medicine and Dentistry Courses, 2019-20</t>
  </si>
  <si>
    <t>Four-year Nursing and Midwifery Pre-registration Degree Courses, 2019-20</t>
  </si>
  <si>
    <t>Three-year Nursing and Midwifery Pre-registration Courses, 2019-20</t>
  </si>
  <si>
    <t>Use of Additional Funded Places for Continuing Taught Postgraduate Students, 2019-20</t>
  </si>
  <si>
    <t>Students on courses in 2018-19 supported by the additional funded places for taught postgraduates whose courses continued to 2019-20</t>
  </si>
  <si>
    <t>Students on courses in 2018-19
supported by the additional funded
places for taught postgraduates
whose courses continued to 2019-20</t>
  </si>
  <si>
    <t>Expected FTE
for courses
planned to
continue in
2020-21</t>
  </si>
  <si>
    <t>(2) The actual intakes are taken from table 3 for medicine and dentistry, table 4a for three-year nursing pre-registration, table 4b for four-year nursing and table 2a for initial teacher education.</t>
  </si>
  <si>
    <t>(1,4,7) 'Actual' enrolments relate to students who had commenced their studies by 1 December 2019.</t>
  </si>
  <si>
    <t>SFC Early Statistics and Early Access Returns for 2019-20</t>
  </si>
  <si>
    <t>Other Education</t>
  </si>
  <si>
    <t>See Notes of Guidance, Paragraphs 75 to 81</t>
  </si>
  <si>
    <t>See Notes of Guidance, Paragraph 82</t>
  </si>
  <si>
    <t>See Notes of Guidance, Paragraphs 83 to 86</t>
  </si>
  <si>
    <t>See Notes of Guidance, Paragraphs 87 to 89</t>
  </si>
  <si>
    <t>See Notes of Guidance, Paragraph 90</t>
  </si>
  <si>
    <t>See Notes of Guidance, Paragraphs 91 and 92</t>
  </si>
  <si>
    <t>See Notes of Guidance, Paragraphs 93 to 104</t>
  </si>
  <si>
    <t>See Notes of Guidance, Paragraphs 105 to 113</t>
  </si>
  <si>
    <t>See Notes of Guidance, Paragraph 116</t>
  </si>
  <si>
    <t>See Notes of Guidance, Paragraphs 117 to 119</t>
  </si>
  <si>
    <t>See Notes of Guidance, Paragraphs 120 to 124</t>
  </si>
  <si>
    <t>See Notes of Guidance, Paragraphs 125 to 129</t>
  </si>
  <si>
    <t>See Notes of Guidance, Paragraphs 130 to 133</t>
  </si>
  <si>
    <t>See Notes of Guidance, Paragraphs 136 to 138 and 156 to 171</t>
  </si>
  <si>
    <t>See Notes of Guidance, Paragraphs 139 to 171</t>
  </si>
  <si>
    <t>See Notes of Guidance, Paragraph 115</t>
  </si>
  <si>
    <t>All PGDE Secondary</t>
  </si>
  <si>
    <r>
      <t xml:space="preserve">The completed workbook should be emailed to </t>
    </r>
    <r>
      <rPr>
        <b/>
        <sz val="12"/>
        <rFont val="Calibri"/>
        <family val="2"/>
      </rPr>
      <t xml:space="preserve">mmcneill@sfc.ac.uk </t>
    </r>
    <r>
      <rPr>
        <sz val="12"/>
        <rFont val="Calibri"/>
        <family val="2"/>
      </rPr>
      <t xml:space="preserve">by </t>
    </r>
    <r>
      <rPr>
        <b/>
        <sz val="12"/>
        <rFont val="Calibri"/>
        <family val="2"/>
      </rPr>
      <t>Friday 13 December 2019</t>
    </r>
    <r>
      <rPr>
        <sz val="12"/>
        <rFont val="Calibri"/>
        <family val="2"/>
      </rPr>
      <t>.</t>
    </r>
  </si>
  <si>
    <t>(i,5) There is no specific tolerance threshold for the funded places for ScotGEM and these Initial Teacher Education new routes.</t>
  </si>
  <si>
    <t>All Scottish domiciled Undergraduate Applicants</t>
  </si>
  <si>
    <t>All Scottish Domiciled Full-time Degree Applicants</t>
  </si>
  <si>
    <t xml:space="preserve"> Masters of Education Middle Years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</si>
</sst>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\ \ \ "/>
    <numFmt numFmtId="165" formatCode="#,##0\ \ "/>
    <numFmt numFmtId="166" formatCode="0.0%"/>
    <numFmt numFmtId="167" formatCode="#,##0.0\ \ ;\-#,##0.0\ \ ;\ \ "/>
    <numFmt numFmtId="168" formatCode="0\ \ "/>
    <numFmt numFmtId="169" formatCode="#,##0\ \ ;\-#,##0\ \ ;\ \ "/>
    <numFmt numFmtId="170" formatCode="_(* #,##0.00_);_(* \(#,##0.00\);_(* &quot;-&quot;??_);_(@_)"/>
    <numFmt numFmtId="171" formatCode="#,##0.0\ \ \ ;\-#,##0.0\ \ \ ;"/>
    <numFmt numFmtId="172" formatCode="#,##0.0"/>
    <numFmt numFmtId="173" formatCode="#,##0\ \ ;\-#,##0\ \ ;\-\ \ "/>
    <numFmt numFmtId="174" formatCode="#,##0.0\ \ ;\-#,##0.0\ \ ;\-\ \ "/>
    <numFmt numFmtId="175" formatCode="0.0%\ \ "/>
    <numFmt numFmtId="176" formatCode="#,##0;\-#,##0;\-"/>
    <numFmt numFmtId="177" formatCode="#,##0.0\ \ ;\-#,##0.0\ \ ;"/>
    <numFmt numFmtId="178" formatCode="#,##0.0\ \ ;\-#,##0.0\ \ ;0.0\ \ "/>
    <numFmt numFmtId="179" formatCode="#,##0\ \ ;\-#,##0\ \ ;0\ \ "/>
    <numFmt numFmtId="180" formatCode="#,##0\ \ ;\-#,##0\ \ ;\ \ \ "/>
    <numFmt numFmtId="181" formatCode="#,##0.0;\-#,##0.0;\-"/>
    <numFmt numFmtId="182" formatCode="#,##0.0\ \ ;#,##0.0\ \ ;\-\ \ "/>
    <numFmt numFmtId="183" formatCode="#,##0.0\ \ ;\-#,##0.0\ \ ;\ \ \ "/>
    <numFmt numFmtId="184" formatCode="#,##0.00\ \ ;\-#,##0.00\ \ ;0.00\ \ "/>
    <numFmt numFmtId="185" formatCode="\(0\)"/>
    <numFmt numFmtId="186" formatCode="0.0"/>
    <numFmt numFmtId="187" formatCode="0;\-0;"/>
    <numFmt numFmtId="188" formatCode="#,##0\ \ ;\-#,##0\ \ ;"/>
    <numFmt numFmtId="189" formatCode="#,##0\ \ ;\-#,##0\ \ ;0\ \ \ \ 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MT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27"/>
      <name val="Calibri"/>
      <family val="2"/>
    </font>
    <font>
      <sz val="11"/>
      <color rgb="FFCCFFFF"/>
      <name val="Calibri"/>
      <family val="2"/>
    </font>
    <font>
      <u/>
      <sz val="11"/>
      <name val="Calibri"/>
      <family val="2"/>
    </font>
    <font>
      <b/>
      <sz val="11"/>
      <color indexed="8"/>
      <name val="Calibri"/>
      <family val="2"/>
    </font>
    <font>
      <u/>
      <sz val="11"/>
      <color indexed="10"/>
      <name val="Calibri"/>
      <family val="2"/>
    </font>
    <font>
      <b/>
      <sz val="11"/>
      <color indexed="18"/>
      <name val="Calibri"/>
      <family val="2"/>
    </font>
    <font>
      <b/>
      <sz val="11"/>
      <color indexed="20"/>
      <name val="Calibri"/>
      <family val="2"/>
    </font>
    <font>
      <b/>
      <sz val="11"/>
      <color theme="3" tint="-0.24994659260841701"/>
      <name val="Calibri"/>
      <family val="2"/>
    </font>
    <font>
      <sz val="11"/>
      <color theme="3" tint="-0.24994659260841701"/>
      <name val="Calibri"/>
      <family val="2"/>
    </font>
    <font>
      <b/>
      <sz val="11"/>
      <color indexed="56"/>
      <name val="Calibri"/>
      <family val="2"/>
    </font>
    <font>
      <sz val="18"/>
      <color indexed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Futura Bk BT"/>
    </font>
    <font>
      <sz val="8"/>
      <name val="MS Sans Serif"/>
      <family val="2"/>
    </font>
    <font>
      <i/>
      <sz val="10"/>
      <color rgb="FF7F7F7F"/>
      <name val="Arial"/>
      <family val="2"/>
    </font>
    <font>
      <sz val="8"/>
      <name val="Futura Bk BT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b/>
      <sz val="10"/>
      <color rgb="FF3F3F3F"/>
      <name val="Arial"/>
      <family val="2"/>
    </font>
    <font>
      <sz val="14"/>
      <name val="Futura Hv BT"/>
    </font>
    <font>
      <b/>
      <sz val="10"/>
      <color theme="1"/>
      <name val="Arial"/>
      <family val="2"/>
    </font>
    <font>
      <i/>
      <sz val="10"/>
      <name val="Futura Hv BT"/>
    </font>
    <font>
      <sz val="10"/>
      <color rgb="FFFF0000"/>
      <name val="Arial"/>
      <family val="2"/>
    </font>
    <font>
      <b/>
      <sz val="11"/>
      <color rgb="FF000080"/>
      <name val="Calibri"/>
      <family val="2"/>
    </font>
    <font>
      <sz val="11"/>
      <color theme="5" tint="0.79998168889431442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CCFFFF"/>
      <name val="Calibri"/>
      <family val="2"/>
      <scheme val="minor"/>
    </font>
    <font>
      <sz val="12"/>
      <color rgb="FFCCFFFF"/>
      <name val="Calibri"/>
      <family val="2"/>
    </font>
    <font>
      <b/>
      <sz val="13"/>
      <color rgb="FFFF0000"/>
      <name val="Calibri"/>
      <family val="2"/>
    </font>
    <font>
      <sz val="13"/>
      <color rgb="FFFF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  <bgColor indexed="35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1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  <fill>
      <patternFill patternType="solid">
        <fgColor theme="7" tint="0.59996337778862885"/>
        <bgColor indexed="43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35"/>
      </patternFill>
    </fill>
    <fill>
      <patternFill patternType="solid">
        <fgColor theme="0" tint="-0.14996795556505021"/>
        <bgColor indexed="43"/>
      </patternFill>
    </fill>
    <fill>
      <patternFill patternType="solid">
        <fgColor rgb="FFCCFFFF"/>
        <bgColor indexed="15"/>
      </patternFill>
    </fill>
  </fills>
  <borders count="1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66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8" fillId="0" borderId="0"/>
    <xf numFmtId="0" fontId="8" fillId="0" borderId="0"/>
    <xf numFmtId="43" fontId="31" fillId="0" borderId="0" applyFont="0" applyFill="0" applyBorder="0" applyAlignment="0" applyProtection="0"/>
    <xf numFmtId="0" fontId="6" fillId="0" borderId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1" fillId="39" borderId="0" applyNumberFormat="0" applyBorder="0" applyAlignment="0" applyProtection="0"/>
    <xf numFmtId="0" fontId="31" fillId="43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44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41" borderId="0" applyNumberFormat="0" applyBorder="0" applyAlignment="0" applyProtection="0"/>
    <xf numFmtId="0" fontId="35" fillId="45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42" borderId="0" applyNumberFormat="0" applyBorder="0" applyAlignment="0" applyProtection="0"/>
    <xf numFmtId="0" fontId="36" fillId="16" borderId="0" applyNumberFormat="0" applyBorder="0" applyAlignment="0" applyProtection="0"/>
    <xf numFmtId="0" fontId="37" fillId="19" borderId="117" applyNumberFormat="0" applyAlignment="0" applyProtection="0"/>
    <xf numFmtId="0" fontId="38" fillId="20" borderId="120" applyNumberFormat="0" applyAlignment="0" applyProtection="0"/>
    <xf numFmtId="49" fontId="39" fillId="0" borderId="123" applyFill="0" applyBorder="0" applyProtection="0">
      <alignment horizontal="right"/>
    </xf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8" fillId="0" borderId="0" applyFont="0" applyFill="0" applyBorder="0" applyAlignment="0" applyProtection="0"/>
    <xf numFmtId="1" fontId="39" fillId="0" borderId="0" applyFill="0" applyBorder="0" applyProtection="0">
      <alignment horizontal="right"/>
    </xf>
    <xf numFmtId="186" fontId="39" fillId="0" borderId="0" applyFill="0" applyBorder="0" applyProtection="0">
      <alignment horizontal="right"/>
    </xf>
    <xf numFmtId="2" fontId="39" fillId="0" borderId="0" applyFill="0" applyBorder="0" applyProtection="0">
      <alignment horizontal="right"/>
    </xf>
    <xf numFmtId="0" fontId="39" fillId="0" borderId="0" applyFill="0" applyBorder="0" applyProtection="0">
      <alignment horizontal="right"/>
    </xf>
    <xf numFmtId="0" fontId="41" fillId="0" borderId="0" applyNumberFormat="0" applyFill="0" applyBorder="0" applyAlignment="0" applyProtection="0"/>
    <xf numFmtId="49" fontId="42" fillId="0" borderId="0" applyFill="0" applyBorder="0" applyProtection="0">
      <alignment horizontal="left"/>
    </xf>
    <xf numFmtId="0" fontId="43" fillId="15" borderId="0" applyNumberFormat="0" applyBorder="0" applyAlignment="0" applyProtection="0"/>
    <xf numFmtId="0" fontId="44" fillId="0" borderId="114" applyNumberFormat="0" applyFill="0" applyAlignment="0" applyProtection="0"/>
    <xf numFmtId="0" fontId="45" fillId="0" borderId="115" applyNumberFormat="0" applyFill="0" applyAlignment="0" applyProtection="0"/>
    <xf numFmtId="0" fontId="46" fillId="0" borderId="116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1" fillId="18" borderId="117" applyNumberFormat="0" applyAlignment="0" applyProtection="0"/>
    <xf numFmtId="0" fontId="52" fillId="0" borderId="119" applyNumberFormat="0" applyFill="0" applyAlignment="0" applyProtection="0"/>
    <xf numFmtId="0" fontId="53" fillId="17" borderId="0" applyNumberFormat="0" applyBorder="0" applyAlignment="0" applyProtection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40" fillId="0" borderId="0" applyAlignment="0">
      <alignment vertical="top" wrapText="1"/>
      <protection locked="0"/>
    </xf>
    <xf numFmtId="0" fontId="40" fillId="0" borderId="0" applyAlignment="0">
      <alignment vertical="top" wrapText="1"/>
      <protection locked="0"/>
    </xf>
    <xf numFmtId="0" fontId="5" fillId="0" borderId="0"/>
    <xf numFmtId="0" fontId="8" fillId="0" borderId="0"/>
    <xf numFmtId="0" fontId="10" fillId="0" borderId="0"/>
    <xf numFmtId="0" fontId="31" fillId="0" borderId="0"/>
    <xf numFmtId="0" fontId="8" fillId="0" borderId="0"/>
    <xf numFmtId="0" fontId="8" fillId="0" borderId="0"/>
    <xf numFmtId="0" fontId="5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55" fillId="0" borderId="0"/>
    <xf numFmtId="49" fontId="56" fillId="0" borderId="0" applyFill="0" applyBorder="0" applyProtection="0">
      <alignment horizontal="left"/>
    </xf>
    <xf numFmtId="49" fontId="57" fillId="0" borderId="0" applyFill="0" applyBorder="0" applyProtection="0">
      <alignment horizontal="left"/>
    </xf>
    <xf numFmtId="49" fontId="39" fillId="0" borderId="0" applyFill="0" applyBorder="0" applyProtection="0">
      <alignment horizontal="left"/>
    </xf>
    <xf numFmtId="0" fontId="31" fillId="21" borderId="121" applyNumberFormat="0" applyFont="0" applyAlignment="0" applyProtection="0"/>
    <xf numFmtId="0" fontId="58" fillId="19" borderId="118" applyNumberFormat="0" applyAlignment="0" applyProtection="0"/>
    <xf numFmtId="9" fontId="57" fillId="0" borderId="0" applyFill="0" applyBorder="0" applyProtection="0">
      <alignment horizontal="right"/>
    </xf>
    <xf numFmtId="166" fontId="57" fillId="0" borderId="0" applyFill="0" applyBorder="0" applyProtection="0">
      <alignment horizontal="right"/>
    </xf>
    <xf numFmtId="10" fontId="57" fillId="0" borderId="0" applyFill="0" applyBorder="0" applyProtection="0">
      <alignment horizontal="right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9" fillId="0" borderId="0" applyFill="0" applyBorder="0" applyProtection="0">
      <alignment horizontal="left"/>
    </xf>
    <xf numFmtId="49" fontId="39" fillId="0" borderId="123" applyFill="0" applyBorder="0" applyProtection="0">
      <alignment horizontal="right" textRotation="90"/>
    </xf>
    <xf numFmtId="49" fontId="42" fillId="0" borderId="0" applyFill="0" applyBorder="0" applyProtection="0">
      <alignment horizontal="right"/>
    </xf>
    <xf numFmtId="49" fontId="59" fillId="0" borderId="0" applyFill="0" applyBorder="0" applyProtection="0">
      <alignment horizontal="left"/>
    </xf>
    <xf numFmtId="49" fontId="56" fillId="0" borderId="0" applyFill="0" applyBorder="0" applyProtection="0">
      <alignment horizontal="centerContinuous"/>
    </xf>
    <xf numFmtId="49" fontId="56" fillId="0" borderId="0" applyFill="0" applyBorder="0" applyProtection="0">
      <alignment horizontal="left"/>
    </xf>
    <xf numFmtId="0" fontId="60" fillId="0" borderId="122" applyNumberFormat="0" applyFill="0" applyAlignment="0" applyProtection="0"/>
    <xf numFmtId="49" fontId="56" fillId="0" borderId="124" applyFill="0" applyBorder="0" applyProtection="0">
      <alignment horizontal="right"/>
    </xf>
    <xf numFmtId="1" fontId="56" fillId="0" borderId="0" applyFill="0" applyBorder="0" applyProtection="0">
      <alignment horizontal="right"/>
    </xf>
    <xf numFmtId="186" fontId="56" fillId="0" borderId="0" applyFill="0" applyBorder="0" applyProtection="0">
      <alignment horizontal="right"/>
    </xf>
    <xf numFmtId="2" fontId="56" fillId="0" borderId="0" applyFill="0" applyBorder="0" applyProtection="0">
      <alignment horizontal="right"/>
    </xf>
    <xf numFmtId="0" fontId="56" fillId="0" borderId="125" applyFill="0" applyBorder="0" applyProtection="0">
      <alignment horizontal="right"/>
    </xf>
    <xf numFmtId="9" fontId="61" fillId="0" borderId="0" applyFill="0" applyBorder="0" applyProtection="0">
      <alignment horizontal="right"/>
    </xf>
    <xf numFmtId="166" fontId="61" fillId="0" borderId="0" applyFill="0" applyBorder="0" applyProtection="0">
      <alignment horizontal="right"/>
    </xf>
    <xf numFmtId="10" fontId="61" fillId="0" borderId="0" applyFill="0" applyBorder="0" applyProtection="0">
      <alignment horizontal="right"/>
    </xf>
    <xf numFmtId="49" fontId="56" fillId="0" borderId="0" applyFill="0" applyBorder="0" applyProtection="0">
      <alignment horizontal="left"/>
    </xf>
    <xf numFmtId="49" fontId="56" fillId="0" borderId="0" applyFill="0" applyBorder="0" applyProtection="0">
      <alignment horizontal="right" textRotation="90"/>
    </xf>
    <xf numFmtId="0" fontId="62" fillId="0" borderId="0" applyNumberFormat="0" applyFill="0" applyBorder="0" applyAlignment="0" applyProtection="0"/>
    <xf numFmtId="49" fontId="39" fillId="0" borderId="0" applyFill="0" applyBorder="0" applyProtection="0">
      <alignment horizontal="right" wrapText="1"/>
    </xf>
    <xf numFmtId="49" fontId="56" fillId="0" borderId="0" applyFill="0" applyBorder="0" applyProtection="0">
      <alignment horizontal="left" wrapText="1"/>
    </xf>
    <xf numFmtId="49" fontId="57" fillId="0" borderId="0" applyFill="0" applyBorder="0" applyProtection="0">
      <alignment horizontal="left" wrapText="1"/>
    </xf>
    <xf numFmtId="49" fontId="39" fillId="0" borderId="0" applyFill="0" applyBorder="0" applyProtection="0">
      <alignment horizontal="left" wrapText="1"/>
    </xf>
    <xf numFmtId="49" fontId="39" fillId="0" borderId="0" applyFill="0" applyBorder="0" applyProtection="0">
      <alignment horizontal="left" wrapText="1"/>
    </xf>
    <xf numFmtId="49" fontId="39" fillId="0" borderId="0" applyFill="0" applyBorder="0" applyProtection="0">
      <alignment horizontal="right" textRotation="90"/>
    </xf>
    <xf numFmtId="49" fontId="59" fillId="0" borderId="0" applyFill="0" applyBorder="0" applyProtection="0">
      <alignment horizontal="left" wrapText="1"/>
    </xf>
    <xf numFmtId="49" fontId="56" fillId="0" borderId="0" applyFill="0" applyBorder="0" applyProtection="0">
      <alignment horizontal="centerContinuous" wrapText="1"/>
    </xf>
    <xf numFmtId="49" fontId="56" fillId="0" borderId="0" applyFill="0" applyBorder="0" applyProtection="0">
      <alignment horizontal="left" wrapText="1"/>
    </xf>
    <xf numFmtId="49" fontId="56" fillId="0" borderId="0" applyFill="0" applyBorder="0" applyProtection="0">
      <alignment horizontal="right" wrapText="1"/>
    </xf>
    <xf numFmtId="49" fontId="56" fillId="0" borderId="0" applyFill="0" applyBorder="0" applyProtection="0">
      <alignment horizontal="left" wrapText="1"/>
    </xf>
    <xf numFmtId="49" fontId="56" fillId="0" borderId="0" applyFill="0" applyBorder="0" applyProtection="0">
      <alignment horizontal="right" textRotation="90"/>
    </xf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0" fontId="2" fillId="0" borderId="0"/>
  </cellStyleXfs>
  <cellXfs count="2804">
    <xf numFmtId="0" fontId="0" fillId="0" borderId="0" xfId="0"/>
    <xf numFmtId="0" fontId="14" fillId="0" borderId="0" xfId="10" applyFont="1" applyFill="1" applyBorder="1" applyProtection="1">
      <protection hidden="1"/>
    </xf>
    <xf numFmtId="0" fontId="12" fillId="5" borderId="0" xfId="0" applyFont="1" applyFill="1" applyProtection="1">
      <protection hidden="1"/>
    </xf>
    <xf numFmtId="0" fontId="12" fillId="5" borderId="0" xfId="0" applyFont="1" applyFill="1" applyAlignment="1" applyProtection="1">
      <protection hidden="1"/>
    </xf>
    <xf numFmtId="0" fontId="12" fillId="4" borderId="61" xfId="0" applyFont="1" applyFill="1" applyBorder="1" applyAlignment="1" applyProtection="1">
      <alignment vertical="center"/>
      <protection hidden="1"/>
    </xf>
    <xf numFmtId="0" fontId="12" fillId="2" borderId="0" xfId="0" applyFont="1" applyFill="1" applyProtection="1">
      <protection hidden="1"/>
    </xf>
    <xf numFmtId="0" fontId="12" fillId="4" borderId="0" xfId="0" applyFont="1" applyFill="1" applyBorder="1" applyAlignment="1" applyProtection="1">
      <alignment horizontal="left" indent="2"/>
      <protection hidden="1"/>
    </xf>
    <xf numFmtId="0" fontId="13" fillId="9" borderId="0" xfId="0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horizontal="left" vertical="center" indent="1"/>
      <protection hidden="1"/>
    </xf>
    <xf numFmtId="0" fontId="13" fillId="5" borderId="0" xfId="0" applyFont="1" applyFill="1" applyBorder="1" applyAlignment="1" applyProtection="1">
      <alignment vertical="center"/>
      <protection hidden="1"/>
    </xf>
    <xf numFmtId="0" fontId="12" fillId="5" borderId="0" xfId="0" applyFont="1" applyFill="1" applyBorder="1" applyAlignment="1" applyProtection="1">
      <alignment horizontal="left" indent="2"/>
      <protection hidden="1"/>
    </xf>
    <xf numFmtId="0" fontId="13" fillId="4" borderId="0" xfId="0" applyFont="1" applyFill="1" applyBorder="1" applyAlignment="1" applyProtection="1">
      <protection hidden="1"/>
    </xf>
    <xf numFmtId="0" fontId="12" fillId="4" borderId="2" xfId="0" applyFont="1" applyFill="1" applyBorder="1" applyAlignment="1" applyProtection="1">
      <alignment vertical="center"/>
      <protection hidden="1"/>
    </xf>
    <xf numFmtId="0" fontId="13" fillId="4" borderId="4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protection hidden="1"/>
    </xf>
    <xf numFmtId="0" fontId="12" fillId="4" borderId="0" xfId="0" applyFont="1" applyFill="1" applyBorder="1" applyProtection="1">
      <protection hidden="1"/>
    </xf>
    <xf numFmtId="0" fontId="12" fillId="4" borderId="2" xfId="0" applyFont="1" applyFill="1" applyBorder="1" applyProtection="1">
      <protection hidden="1"/>
    </xf>
    <xf numFmtId="0" fontId="17" fillId="4" borderId="0" xfId="0" applyFont="1" applyFill="1" applyBorder="1" applyAlignment="1" applyProtection="1">
      <alignment vertical="top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178" fontId="13" fillId="4" borderId="50" xfId="0" applyNumberFormat="1" applyFont="1" applyFill="1" applyBorder="1" applyAlignment="1" applyProtection="1">
      <alignment vertical="center"/>
      <protection hidden="1"/>
    </xf>
    <xf numFmtId="2" fontId="12" fillId="2" borderId="50" xfId="0" applyNumberFormat="1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2" fillId="4" borderId="61" xfId="0" applyFont="1" applyFill="1" applyBorder="1" applyProtection="1">
      <protection hidden="1"/>
    </xf>
    <xf numFmtId="0" fontId="12" fillId="4" borderId="1" xfId="0" applyFont="1" applyFill="1" applyBorder="1" applyProtection="1">
      <protection hidden="1"/>
    </xf>
    <xf numFmtId="0" fontId="13" fillId="4" borderId="58" xfId="0" applyFont="1" applyFill="1" applyBorder="1" applyAlignment="1" applyProtection="1">
      <alignment horizontal="centerContinuous" vertical="center"/>
      <protection hidden="1"/>
    </xf>
    <xf numFmtId="0" fontId="13" fillId="4" borderId="40" xfId="0" applyFont="1" applyFill="1" applyBorder="1" applyAlignment="1" applyProtection="1">
      <alignment horizontal="centerContinuous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79" fontId="13" fillId="8" borderId="63" xfId="0" applyNumberFormat="1" applyFont="1" applyFill="1" applyBorder="1" applyAlignment="1" applyProtection="1">
      <alignment vertical="center"/>
      <protection hidden="1"/>
    </xf>
    <xf numFmtId="0" fontId="12" fillId="2" borderId="64" xfId="0" applyFont="1" applyFill="1" applyBorder="1" applyAlignment="1" applyProtection="1">
      <alignment horizontal="center" vertical="center" wrapText="1"/>
      <protection hidden="1"/>
    </xf>
    <xf numFmtId="0" fontId="12" fillId="2" borderId="65" xfId="0" applyFont="1" applyFill="1" applyBorder="1" applyAlignment="1" applyProtection="1">
      <alignment horizontal="center" vertical="center" wrapText="1"/>
      <protection hidden="1"/>
    </xf>
    <xf numFmtId="0" fontId="12" fillId="2" borderId="52" xfId="0" applyFont="1" applyFill="1" applyBorder="1" applyAlignment="1" applyProtection="1">
      <alignment horizontal="center" vertical="center" wrapText="1"/>
      <protection hidden="1"/>
    </xf>
    <xf numFmtId="0" fontId="12" fillId="2" borderId="49" xfId="0" applyFont="1" applyFill="1" applyBorder="1" applyAlignment="1" applyProtection="1">
      <alignment horizontal="center" vertical="center" wrapText="1"/>
      <protection hidden="1"/>
    </xf>
    <xf numFmtId="0" fontId="12" fillId="4" borderId="57" xfId="0" applyFont="1" applyFill="1" applyBorder="1" applyProtection="1">
      <protection hidden="1"/>
    </xf>
    <xf numFmtId="0" fontId="12" fillId="4" borderId="40" xfId="0" applyFont="1" applyFill="1" applyBorder="1" applyProtection="1">
      <protection hidden="1"/>
    </xf>
    <xf numFmtId="0" fontId="17" fillId="4" borderId="0" xfId="0" applyFont="1" applyFill="1" applyBorder="1" applyAlignment="1" applyProtection="1">
      <alignment horizontal="left" vertical="center"/>
      <protection hidden="1"/>
    </xf>
    <xf numFmtId="0" fontId="12" fillId="2" borderId="64" xfId="0" quotePrefix="1" applyFont="1" applyFill="1" applyBorder="1" applyAlignment="1" applyProtection="1">
      <alignment horizontal="center" vertical="center" wrapText="1"/>
      <protection hidden="1"/>
    </xf>
    <xf numFmtId="0" fontId="12" fillId="2" borderId="67" xfId="0" quotePrefix="1" applyFont="1" applyFill="1" applyBorder="1" applyAlignment="1" applyProtection="1">
      <alignment horizontal="center" vertical="center" wrapText="1"/>
      <protection hidden="1"/>
    </xf>
    <xf numFmtId="0" fontId="12" fillId="2" borderId="68" xfId="0" quotePrefix="1" applyFont="1" applyFill="1" applyBorder="1" applyAlignment="1" applyProtection="1">
      <alignment horizontal="center" vertical="center" wrapText="1"/>
      <protection hidden="1"/>
    </xf>
    <xf numFmtId="0" fontId="12" fillId="5" borderId="0" xfId="0" applyFont="1" applyFill="1" applyBorder="1" applyAlignment="1" applyProtection="1">
      <protection hidden="1"/>
    </xf>
    <xf numFmtId="0" fontId="12" fillId="2" borderId="52" xfId="0" quotePrefix="1" applyFont="1" applyFill="1" applyBorder="1" applyAlignment="1" applyProtection="1">
      <alignment horizontal="center" vertical="center" wrapText="1"/>
      <protection hidden="1"/>
    </xf>
    <xf numFmtId="0" fontId="12" fillId="2" borderId="47" xfId="0" quotePrefix="1" applyFont="1" applyFill="1" applyBorder="1" applyAlignment="1" applyProtection="1">
      <alignment horizontal="center" vertical="center" wrapText="1"/>
      <protection hidden="1"/>
    </xf>
    <xf numFmtId="0" fontId="12" fillId="2" borderId="48" xfId="0" quotePrefix="1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Border="1" applyAlignment="1" applyProtection="1">
      <alignment vertical="top"/>
      <protection hidden="1"/>
    </xf>
    <xf numFmtId="0" fontId="12" fillId="4" borderId="2" xfId="0" applyFont="1" applyFill="1" applyBorder="1" applyAlignment="1" applyProtection="1">
      <alignment vertical="top"/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20" fillId="4" borderId="0" xfId="0" applyFont="1" applyFill="1" applyBorder="1" applyAlignment="1" applyProtection="1">
      <alignment horizontal="left"/>
      <protection hidden="1"/>
    </xf>
    <xf numFmtId="0" fontId="12" fillId="4" borderId="0" xfId="0" applyFont="1" applyFill="1" applyBorder="1" applyAlignment="1" applyProtection="1">
      <alignment horizontal="right"/>
      <protection hidden="1"/>
    </xf>
    <xf numFmtId="0" fontId="12" fillId="4" borderId="2" xfId="0" applyFont="1" applyFill="1" applyBorder="1" applyAlignment="1" applyProtection="1">
      <alignment horizontal="right"/>
      <protection hidden="1"/>
    </xf>
    <xf numFmtId="0" fontId="17" fillId="4" borderId="57" xfId="0" applyFont="1" applyFill="1" applyBorder="1" applyAlignment="1" applyProtection="1">
      <alignment horizontal="left" vertical="center"/>
      <protection hidden="1"/>
    </xf>
    <xf numFmtId="0" fontId="12" fillId="4" borderId="57" xfId="0" applyFont="1" applyFill="1" applyBorder="1" applyAlignment="1" applyProtection="1">
      <alignment horizontal="centerContinuous" vertical="center"/>
      <protection hidden="1"/>
    </xf>
    <xf numFmtId="0" fontId="12" fillId="4" borderId="40" xfId="0" applyFont="1" applyFill="1" applyBorder="1" applyAlignment="1" applyProtection="1">
      <alignment horizontal="centerContinuous" vertical="center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13" fillId="4" borderId="6" xfId="0" applyFont="1" applyFill="1" applyBorder="1" applyAlignment="1" applyProtection="1">
      <alignment horizontal="center" vertical="center" wrapText="1"/>
      <protection hidden="1"/>
    </xf>
    <xf numFmtId="0" fontId="13" fillId="4" borderId="42" xfId="0" applyFont="1" applyFill="1" applyBorder="1" applyAlignment="1" applyProtection="1">
      <alignment horizontal="center" vertical="top" wrapText="1"/>
      <protection hidden="1"/>
    </xf>
    <xf numFmtId="0" fontId="12" fillId="3" borderId="0" xfId="0" applyFont="1" applyFill="1" applyBorder="1" applyAlignment="1" applyProtection="1">
      <alignment horizontal="left" vertical="center" indent="2"/>
      <protection hidden="1"/>
    </xf>
    <xf numFmtId="0" fontId="12" fillId="3" borderId="0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Border="1" applyAlignment="1" applyProtection="1">
      <alignment vertical="top"/>
      <protection hidden="1"/>
    </xf>
    <xf numFmtId="0" fontId="12" fillId="3" borderId="0" xfId="0" applyFont="1" applyFill="1" applyBorder="1" applyProtection="1">
      <protection hidden="1"/>
    </xf>
    <xf numFmtId="178" fontId="21" fillId="2" borderId="31" xfId="0" applyNumberFormat="1" applyFont="1" applyFill="1" applyBorder="1" applyAlignment="1" applyProtection="1">
      <alignment vertical="center"/>
      <protection hidden="1"/>
    </xf>
    <xf numFmtId="168" fontId="12" fillId="3" borderId="0" xfId="0" applyNumberFormat="1" applyFont="1" applyFill="1" applyBorder="1" applyAlignment="1" applyProtection="1">
      <alignment horizontal="center" vertical="center"/>
      <protection hidden="1"/>
    </xf>
    <xf numFmtId="169" fontId="12" fillId="2" borderId="9" xfId="0" applyNumberFormat="1" applyFont="1" applyFill="1" applyBorder="1" applyAlignment="1" applyProtection="1">
      <alignment vertical="center"/>
      <protection hidden="1"/>
    </xf>
    <xf numFmtId="0" fontId="12" fillId="5" borderId="0" xfId="4" applyFont="1" applyFill="1" applyBorder="1" applyAlignment="1" applyProtection="1">
      <protection hidden="1"/>
    </xf>
    <xf numFmtId="0" fontId="23" fillId="5" borderId="24" xfId="4" applyFont="1" applyFill="1" applyBorder="1" applyAlignment="1" applyProtection="1">
      <alignment vertical="center"/>
      <protection hidden="1"/>
    </xf>
    <xf numFmtId="0" fontId="13" fillId="5" borderId="0" xfId="4" applyFont="1" applyFill="1" applyBorder="1" applyAlignment="1" applyProtection="1">
      <alignment horizontal="center" vertical="center"/>
      <protection hidden="1"/>
    </xf>
    <xf numFmtId="0" fontId="16" fillId="11" borderId="0" xfId="0" applyFont="1" applyFill="1" applyBorder="1" applyAlignment="1" applyProtection="1">
      <alignment vertical="center"/>
      <protection hidden="1"/>
    </xf>
    <xf numFmtId="0" fontId="12" fillId="5" borderId="0" xfId="4" applyFont="1" applyFill="1" applyBorder="1" applyProtection="1">
      <protection hidden="1"/>
    </xf>
    <xf numFmtId="0" fontId="16" fillId="11" borderId="0" xfId="0" applyFont="1" applyFill="1" applyBorder="1" applyAlignment="1" applyProtection="1">
      <protection hidden="1"/>
    </xf>
    <xf numFmtId="0" fontId="12" fillId="5" borderId="10" xfId="0" applyFont="1" applyFill="1" applyBorder="1" applyAlignment="1" applyProtection="1">
      <alignment vertical="center"/>
      <protection hidden="1"/>
    </xf>
    <xf numFmtId="0" fontId="13" fillId="5" borderId="5" xfId="4" applyFont="1" applyFill="1" applyBorder="1" applyAlignment="1" applyProtection="1">
      <alignment horizontal="center" vertical="top"/>
      <protection hidden="1"/>
    </xf>
    <xf numFmtId="0" fontId="13" fillId="5" borderId="0" xfId="4" applyFont="1" applyFill="1" applyBorder="1" applyAlignment="1" applyProtection="1">
      <alignment horizontal="center" vertical="top"/>
      <protection hidden="1"/>
    </xf>
    <xf numFmtId="0" fontId="23" fillId="5" borderId="10" xfId="4" applyFont="1" applyFill="1" applyBorder="1" applyAlignment="1" applyProtection="1">
      <alignment horizontal="left" vertical="center" indent="1"/>
      <protection hidden="1"/>
    </xf>
    <xf numFmtId="0" fontId="12" fillId="5" borderId="5" xfId="4" applyFont="1" applyFill="1" applyBorder="1" applyProtection="1">
      <protection hidden="1"/>
    </xf>
    <xf numFmtId="0" fontId="12" fillId="12" borderId="0" xfId="4" applyFont="1" applyFill="1" applyBorder="1" applyProtection="1">
      <protection hidden="1"/>
    </xf>
    <xf numFmtId="0" fontId="12" fillId="5" borderId="10" xfId="0" applyFont="1" applyFill="1" applyBorder="1" applyAlignment="1" applyProtection="1">
      <protection hidden="1"/>
    </xf>
    <xf numFmtId="0" fontId="13" fillId="5" borderId="8" xfId="0" applyFont="1" applyFill="1" applyBorder="1" applyAlignment="1" applyProtection="1">
      <alignment horizontal="center" vertical="center" wrapText="1"/>
      <protection hidden="1"/>
    </xf>
    <xf numFmtId="0" fontId="13" fillId="5" borderId="5" xfId="0" applyFont="1" applyFill="1" applyBorder="1" applyAlignment="1" applyProtection="1">
      <alignment horizontal="center" vertical="center" wrapText="1"/>
      <protection hidden="1"/>
    </xf>
    <xf numFmtId="0" fontId="13" fillId="5" borderId="6" xfId="0" applyFont="1" applyFill="1" applyBorder="1" applyAlignment="1" applyProtection="1">
      <alignment horizontal="center" vertical="center" wrapText="1"/>
      <protection hidden="1"/>
    </xf>
    <xf numFmtId="0" fontId="13" fillId="5" borderId="0" xfId="0" applyFont="1" applyFill="1" applyBorder="1" applyAlignment="1" applyProtection="1">
      <alignment horizontal="center" vertical="center" wrapText="1"/>
      <protection hidden="1"/>
    </xf>
    <xf numFmtId="0" fontId="13" fillId="5" borderId="4" xfId="0" applyFont="1" applyFill="1" applyBorder="1" applyAlignment="1" applyProtection="1">
      <alignment horizontal="center" vertical="center" wrapText="1"/>
      <protection hidden="1"/>
    </xf>
    <xf numFmtId="0" fontId="13" fillId="5" borderId="9" xfId="0" applyFont="1" applyFill="1" applyBorder="1" applyAlignment="1" applyProtection="1">
      <alignment horizontal="center" vertical="center" wrapText="1"/>
      <protection hidden="1"/>
    </xf>
    <xf numFmtId="0" fontId="13" fillId="5" borderId="10" xfId="0" applyFont="1" applyFill="1" applyBorder="1" applyAlignment="1" applyProtection="1">
      <alignment horizontal="center" vertical="center" wrapText="1"/>
      <protection hidden="1"/>
    </xf>
    <xf numFmtId="0" fontId="13" fillId="7" borderId="8" xfId="0" applyFont="1" applyFill="1" applyBorder="1" applyAlignment="1" applyProtection="1">
      <alignment horizontal="center" vertical="center" wrapText="1"/>
      <protection hidden="1"/>
    </xf>
    <xf numFmtId="0" fontId="13" fillId="7" borderId="5" xfId="0" applyFont="1" applyFill="1" applyBorder="1" applyAlignment="1" applyProtection="1">
      <alignment horizontal="center" vertical="center" wrapText="1"/>
      <protection hidden="1"/>
    </xf>
    <xf numFmtId="0" fontId="13" fillId="12" borderId="8" xfId="0" applyFont="1" applyFill="1" applyBorder="1" applyAlignment="1" applyProtection="1">
      <alignment horizontal="center" vertical="center" wrapText="1"/>
      <protection hidden="1"/>
    </xf>
    <xf numFmtId="0" fontId="13" fillId="12" borderId="5" xfId="0" applyFont="1" applyFill="1" applyBorder="1" applyAlignment="1" applyProtection="1">
      <alignment horizontal="center" vertical="center" wrapText="1"/>
      <protection hidden="1"/>
    </xf>
    <xf numFmtId="0" fontId="13" fillId="5" borderId="5" xfId="0" applyFont="1" applyFill="1" applyBorder="1" applyAlignment="1" applyProtection="1">
      <alignment horizontal="center" vertical="top" wrapText="1"/>
      <protection hidden="1"/>
    </xf>
    <xf numFmtId="0" fontId="13" fillId="5" borderId="4" xfId="0" applyFont="1" applyFill="1" applyBorder="1" applyAlignment="1" applyProtection="1">
      <alignment horizontal="center" vertical="top" wrapText="1"/>
      <protection hidden="1"/>
    </xf>
    <xf numFmtId="0" fontId="13" fillId="5" borderId="6" xfId="0" applyFont="1" applyFill="1" applyBorder="1" applyAlignment="1" applyProtection="1">
      <alignment horizontal="center" vertical="top" wrapText="1"/>
      <protection hidden="1"/>
    </xf>
    <xf numFmtId="0" fontId="13" fillId="5" borderId="0" xfId="0" applyFont="1" applyFill="1" applyBorder="1" applyAlignment="1" applyProtection="1">
      <alignment horizontal="center" vertical="top" wrapText="1"/>
      <protection hidden="1"/>
    </xf>
    <xf numFmtId="0" fontId="13" fillId="5" borderId="10" xfId="0" applyFont="1" applyFill="1" applyBorder="1" applyAlignment="1" applyProtection="1">
      <alignment horizontal="center" vertical="top" wrapText="1"/>
      <protection hidden="1"/>
    </xf>
    <xf numFmtId="0" fontId="24" fillId="7" borderId="4" xfId="0" applyFont="1" applyFill="1" applyBorder="1" applyAlignment="1" applyProtection="1">
      <alignment horizontal="center" vertical="top" wrapText="1"/>
      <protection hidden="1"/>
    </xf>
    <xf numFmtId="0" fontId="24" fillId="7" borderId="5" xfId="0" applyFont="1" applyFill="1" applyBorder="1" applyAlignment="1" applyProtection="1">
      <alignment horizontal="center" vertical="top" wrapText="1"/>
      <protection hidden="1"/>
    </xf>
    <xf numFmtId="0" fontId="24" fillId="7" borderId="6" xfId="0" applyFont="1" applyFill="1" applyBorder="1" applyAlignment="1" applyProtection="1">
      <alignment horizontal="center" vertical="top" wrapText="1"/>
      <protection hidden="1"/>
    </xf>
    <xf numFmtId="0" fontId="25" fillId="12" borderId="4" xfId="0" applyFont="1" applyFill="1" applyBorder="1" applyAlignment="1" applyProtection="1">
      <alignment horizontal="center" vertical="top" wrapText="1"/>
      <protection hidden="1"/>
    </xf>
    <xf numFmtId="0" fontId="25" fillId="12" borderId="5" xfId="0" applyFont="1" applyFill="1" applyBorder="1" applyAlignment="1" applyProtection="1">
      <alignment horizontal="center" vertical="top" wrapText="1"/>
      <protection hidden="1"/>
    </xf>
    <xf numFmtId="0" fontId="25" fillId="12" borderId="6" xfId="0" applyFont="1" applyFill="1" applyBorder="1" applyAlignment="1" applyProtection="1">
      <alignment horizontal="center" vertical="top" wrapText="1"/>
      <protection hidden="1"/>
    </xf>
    <xf numFmtId="0" fontId="13" fillId="5" borderId="56" xfId="4" applyFont="1" applyFill="1" applyBorder="1" applyAlignment="1" applyProtection="1">
      <alignment horizontal="left" vertical="center" indent="1"/>
      <protection hidden="1"/>
    </xf>
    <xf numFmtId="177" fontId="12" fillId="0" borderId="54" xfId="4" applyNumberFormat="1" applyFont="1" applyFill="1" applyBorder="1" applyAlignment="1" applyProtection="1">
      <alignment vertical="center"/>
      <protection locked="0"/>
    </xf>
    <xf numFmtId="177" fontId="12" fillId="0" borderId="18" xfId="4" applyNumberFormat="1" applyFont="1" applyFill="1" applyBorder="1" applyAlignment="1" applyProtection="1">
      <alignment vertical="center"/>
      <protection locked="0"/>
    </xf>
    <xf numFmtId="178" fontId="21" fillId="5" borderId="46" xfId="4" applyNumberFormat="1" applyFont="1" applyFill="1" applyBorder="1" applyAlignment="1" applyProtection="1">
      <alignment vertical="center"/>
      <protection hidden="1"/>
    </xf>
    <xf numFmtId="178" fontId="13" fillId="5" borderId="69" xfId="4" applyNumberFormat="1" applyFont="1" applyFill="1" applyBorder="1" applyAlignment="1" applyProtection="1">
      <alignment vertical="center"/>
      <protection hidden="1"/>
    </xf>
    <xf numFmtId="178" fontId="13" fillId="5" borderId="29" xfId="4" applyNumberFormat="1" applyFont="1" applyFill="1" applyBorder="1" applyAlignment="1" applyProtection="1">
      <alignment vertical="center"/>
      <protection hidden="1"/>
    </xf>
    <xf numFmtId="178" fontId="13" fillId="5" borderId="46" xfId="4" applyNumberFormat="1" applyFont="1" applyFill="1" applyBorder="1" applyAlignment="1" applyProtection="1">
      <alignment vertical="center"/>
      <protection hidden="1"/>
    </xf>
    <xf numFmtId="0" fontId="12" fillId="5" borderId="19" xfId="4" applyFont="1" applyFill="1" applyBorder="1" applyProtection="1">
      <protection hidden="1"/>
    </xf>
    <xf numFmtId="0" fontId="12" fillId="5" borderId="20" xfId="4" applyFont="1" applyFill="1" applyBorder="1" applyProtection="1">
      <protection hidden="1"/>
    </xf>
    <xf numFmtId="0" fontId="12" fillId="5" borderId="21" xfId="4" applyFont="1" applyFill="1" applyBorder="1" applyProtection="1">
      <protection hidden="1"/>
    </xf>
    <xf numFmtId="0" fontId="12" fillId="5" borderId="10" xfId="4" applyFont="1" applyFill="1" applyBorder="1" applyProtection="1">
      <protection hidden="1"/>
    </xf>
    <xf numFmtId="178" fontId="12" fillId="7" borderId="44" xfId="4" applyNumberFormat="1" applyFont="1" applyFill="1" applyBorder="1" applyAlignment="1" applyProtection="1">
      <alignment vertical="center"/>
      <protection hidden="1"/>
    </xf>
    <xf numFmtId="178" fontId="12" fillId="7" borderId="18" xfId="4" applyNumberFormat="1" applyFont="1" applyFill="1" applyBorder="1" applyAlignment="1" applyProtection="1">
      <alignment vertical="center"/>
      <protection hidden="1"/>
    </xf>
    <xf numFmtId="178" fontId="12" fillId="12" borderId="44" xfId="4" applyNumberFormat="1" applyFont="1" applyFill="1" applyBorder="1" applyAlignment="1" applyProtection="1">
      <alignment vertical="center"/>
      <protection hidden="1"/>
    </xf>
    <xf numFmtId="178" fontId="12" fillId="12" borderId="18" xfId="4" applyNumberFormat="1" applyFont="1" applyFill="1" applyBorder="1" applyAlignment="1" applyProtection="1">
      <alignment vertical="center"/>
      <protection hidden="1"/>
    </xf>
    <xf numFmtId="178" fontId="13" fillId="12" borderId="46" xfId="4" applyNumberFormat="1" applyFont="1" applyFill="1" applyBorder="1" applyAlignment="1" applyProtection="1">
      <alignment vertical="center"/>
      <protection hidden="1"/>
    </xf>
    <xf numFmtId="0" fontId="13" fillId="5" borderId="24" xfId="4" applyFont="1" applyFill="1" applyBorder="1" applyAlignment="1" applyProtection="1">
      <alignment horizontal="left" vertical="center" indent="1"/>
      <protection hidden="1"/>
    </xf>
    <xf numFmtId="0" fontId="12" fillId="5" borderId="24" xfId="4" applyFont="1" applyFill="1" applyBorder="1" applyProtection="1">
      <protection hidden="1"/>
    </xf>
    <xf numFmtId="0" fontId="12" fillId="7" borderId="22" xfId="4" applyFont="1" applyFill="1" applyBorder="1" applyProtection="1">
      <protection hidden="1"/>
    </xf>
    <xf numFmtId="0" fontId="12" fillId="7" borderId="20" xfId="4" applyFont="1" applyFill="1" applyBorder="1" applyProtection="1">
      <protection hidden="1"/>
    </xf>
    <xf numFmtId="0" fontId="12" fillId="12" borderId="22" xfId="4" applyFont="1" applyFill="1" applyBorder="1" applyProtection="1">
      <protection hidden="1"/>
    </xf>
    <xf numFmtId="0" fontId="12" fillId="12" borderId="20" xfId="4" applyFont="1" applyFill="1" applyBorder="1" applyProtection="1">
      <protection hidden="1"/>
    </xf>
    <xf numFmtId="0" fontId="12" fillId="12" borderId="23" xfId="4" applyFont="1" applyFill="1" applyBorder="1" applyProtection="1">
      <protection hidden="1"/>
    </xf>
    <xf numFmtId="0" fontId="23" fillId="5" borderId="10" xfId="4" applyFont="1" applyFill="1" applyBorder="1" applyAlignment="1" applyProtection="1">
      <alignment horizontal="left" vertical="center" indent="3"/>
      <protection hidden="1"/>
    </xf>
    <xf numFmtId="0" fontId="12" fillId="5" borderId="8" xfId="4" applyFont="1" applyFill="1" applyBorder="1" applyProtection="1">
      <protection hidden="1"/>
    </xf>
    <xf numFmtId="0" fontId="12" fillId="5" borderId="9" xfId="4" applyFont="1" applyFill="1" applyBorder="1" applyProtection="1">
      <protection hidden="1"/>
    </xf>
    <xf numFmtId="0" fontId="12" fillId="7" borderId="4" xfId="4" applyFont="1" applyFill="1" applyBorder="1" applyProtection="1">
      <protection hidden="1"/>
    </xf>
    <xf numFmtId="0" fontId="12" fillId="7" borderId="5" xfId="4" applyFont="1" applyFill="1" applyBorder="1" applyProtection="1">
      <protection hidden="1"/>
    </xf>
    <xf numFmtId="0" fontId="12" fillId="7" borderId="8" xfId="4" applyFont="1" applyFill="1" applyBorder="1" applyProtection="1">
      <protection hidden="1"/>
    </xf>
    <xf numFmtId="0" fontId="12" fillId="7" borderId="9" xfId="4" applyFont="1" applyFill="1" applyBorder="1" applyProtection="1">
      <protection hidden="1"/>
    </xf>
    <xf numFmtId="0" fontId="12" fillId="12" borderId="4" xfId="4" applyFont="1" applyFill="1" applyBorder="1" applyProtection="1">
      <protection hidden="1"/>
    </xf>
    <xf numFmtId="0" fontId="12" fillId="12" borderId="5" xfId="4" applyFont="1" applyFill="1" applyBorder="1" applyProtection="1">
      <protection hidden="1"/>
    </xf>
    <xf numFmtId="0" fontId="12" fillId="12" borderId="8" xfId="4" applyFont="1" applyFill="1" applyBorder="1" applyProtection="1">
      <protection hidden="1"/>
    </xf>
    <xf numFmtId="0" fontId="27" fillId="5" borderId="10" xfId="4" applyFont="1" applyFill="1" applyBorder="1" applyAlignment="1" applyProtection="1">
      <alignment horizontal="left" vertical="center" indent="4"/>
      <protection hidden="1"/>
    </xf>
    <xf numFmtId="177" fontId="12" fillId="0" borderId="29" xfId="7" applyNumberFormat="1" applyFont="1" applyFill="1" applyBorder="1" applyAlignment="1" applyProtection="1">
      <alignment vertical="center"/>
      <protection locked="0"/>
    </xf>
    <xf numFmtId="177" fontId="12" fillId="0" borderId="28" xfId="7" applyNumberFormat="1" applyFont="1" applyFill="1" applyBorder="1" applyAlignment="1" applyProtection="1">
      <alignment vertical="center"/>
      <protection locked="0"/>
    </xf>
    <xf numFmtId="178" fontId="13" fillId="5" borderId="28" xfId="4" applyNumberFormat="1" applyFont="1" applyFill="1" applyBorder="1" applyAlignment="1" applyProtection="1">
      <alignment vertical="center"/>
      <protection hidden="1"/>
    </xf>
    <xf numFmtId="178" fontId="13" fillId="5" borderId="31" xfId="4" applyNumberFormat="1" applyFont="1" applyFill="1" applyBorder="1" applyAlignment="1" applyProtection="1">
      <alignment vertical="center"/>
      <protection hidden="1"/>
    </xf>
    <xf numFmtId="178" fontId="12" fillId="7" borderId="37" xfId="4" applyNumberFormat="1" applyFont="1" applyFill="1" applyBorder="1" applyAlignment="1" applyProtection="1">
      <alignment vertical="center"/>
      <protection hidden="1"/>
    </xf>
    <xf numFmtId="178" fontId="12" fillId="7" borderId="29" xfId="4" applyNumberFormat="1" applyFont="1" applyFill="1" applyBorder="1" applyAlignment="1" applyProtection="1">
      <alignment vertical="center"/>
      <protection hidden="1"/>
    </xf>
    <xf numFmtId="175" fontId="12" fillId="7" borderId="37" xfId="4" applyNumberFormat="1" applyFont="1" applyFill="1" applyBorder="1" applyAlignment="1" applyProtection="1">
      <alignment vertical="center"/>
      <protection hidden="1"/>
    </xf>
    <xf numFmtId="175" fontId="12" fillId="7" borderId="29" xfId="4" applyNumberFormat="1" applyFont="1" applyFill="1" applyBorder="1" applyAlignment="1" applyProtection="1">
      <alignment vertical="center"/>
      <protection hidden="1"/>
    </xf>
    <xf numFmtId="178" fontId="12" fillId="12" borderId="37" xfId="4" applyNumberFormat="1" applyFont="1" applyFill="1" applyBorder="1" applyAlignment="1" applyProtection="1">
      <alignment vertical="center"/>
      <protection hidden="1"/>
    </xf>
    <xf numFmtId="178" fontId="12" fillId="12" borderId="29" xfId="4" applyNumberFormat="1" applyFont="1" applyFill="1" applyBorder="1" applyAlignment="1" applyProtection="1">
      <alignment vertical="center"/>
      <protection hidden="1"/>
    </xf>
    <xf numFmtId="175" fontId="12" fillId="12" borderId="29" xfId="4" applyNumberFormat="1" applyFont="1" applyFill="1" applyBorder="1" applyAlignment="1" applyProtection="1">
      <alignment vertical="center"/>
      <protection hidden="1"/>
    </xf>
    <xf numFmtId="0" fontId="13" fillId="5" borderId="16" xfId="4" applyFont="1" applyFill="1" applyBorder="1" applyAlignment="1" applyProtection="1">
      <alignment horizontal="left" vertical="center" indent="3"/>
      <protection hidden="1"/>
    </xf>
    <xf numFmtId="0" fontId="12" fillId="5" borderId="32" xfId="4" applyFont="1" applyFill="1" applyBorder="1" applyProtection="1">
      <protection hidden="1"/>
    </xf>
    <xf numFmtId="0" fontId="12" fillId="5" borderId="11" xfId="4" applyFont="1" applyFill="1" applyBorder="1" applyProtection="1">
      <protection hidden="1"/>
    </xf>
    <xf numFmtId="0" fontId="12" fillId="5" borderId="15" xfId="4" applyFont="1" applyFill="1" applyBorder="1" applyProtection="1">
      <protection hidden="1"/>
    </xf>
    <xf numFmtId="0" fontId="12" fillId="5" borderId="16" xfId="4" applyFont="1" applyFill="1" applyBorder="1" applyProtection="1">
      <protection hidden="1"/>
    </xf>
    <xf numFmtId="178" fontId="13" fillId="7" borderId="47" xfId="4" applyNumberFormat="1" applyFont="1" applyFill="1" applyBorder="1" applyAlignment="1" applyProtection="1">
      <alignment vertical="center"/>
      <protection hidden="1"/>
    </xf>
    <xf numFmtId="175" fontId="13" fillId="7" borderId="32" xfId="4" applyNumberFormat="1" applyFont="1" applyFill="1" applyBorder="1" applyAlignment="1" applyProtection="1">
      <alignment vertical="center"/>
      <protection hidden="1"/>
    </xf>
    <xf numFmtId="175" fontId="13" fillId="7" borderId="11" xfId="4" applyNumberFormat="1" applyFont="1" applyFill="1" applyBorder="1" applyAlignment="1" applyProtection="1">
      <alignment vertical="center"/>
      <protection hidden="1"/>
    </xf>
    <xf numFmtId="0" fontId="12" fillId="7" borderId="6" xfId="4" applyFont="1" applyFill="1" applyBorder="1" applyProtection="1">
      <protection hidden="1"/>
    </xf>
    <xf numFmtId="0" fontId="12" fillId="12" borderId="6" xfId="4" applyFont="1" applyFill="1" applyBorder="1" applyProtection="1">
      <protection hidden="1"/>
    </xf>
    <xf numFmtId="178" fontId="21" fillId="5" borderId="29" xfId="4" applyNumberFormat="1" applyFont="1" applyFill="1" applyBorder="1" applyAlignment="1" applyProtection="1">
      <alignment vertical="center"/>
      <protection hidden="1"/>
    </xf>
    <xf numFmtId="178" fontId="13" fillId="5" borderId="33" xfId="4" applyNumberFormat="1" applyFont="1" applyFill="1" applyBorder="1" applyAlignment="1" applyProtection="1">
      <alignment vertical="center"/>
      <protection hidden="1"/>
    </xf>
    <xf numFmtId="178" fontId="13" fillId="5" borderId="41" xfId="4" applyNumberFormat="1" applyFont="1" applyFill="1" applyBorder="1" applyAlignment="1" applyProtection="1">
      <alignment vertical="center"/>
      <protection hidden="1"/>
    </xf>
    <xf numFmtId="175" fontId="13" fillId="12" borderId="5" xfId="4" applyNumberFormat="1" applyFont="1" applyFill="1" applyBorder="1" applyAlignment="1" applyProtection="1">
      <alignment vertical="center"/>
      <protection hidden="1"/>
    </xf>
    <xf numFmtId="0" fontId="13" fillId="5" borderId="10" xfId="4" applyFont="1" applyFill="1" applyBorder="1" applyAlignment="1" applyProtection="1">
      <alignment horizontal="left" vertical="center" indent="1"/>
      <protection hidden="1"/>
    </xf>
    <xf numFmtId="0" fontId="23" fillId="5" borderId="10" xfId="4" applyFont="1" applyFill="1" applyBorder="1" applyAlignment="1" applyProtection="1">
      <alignment horizontal="left" vertical="center" indent="4"/>
      <protection hidden="1"/>
    </xf>
    <xf numFmtId="0" fontId="27" fillId="5" borderId="10" xfId="4" applyFont="1" applyFill="1" applyBorder="1" applyAlignment="1" applyProtection="1">
      <alignment horizontal="left" vertical="center" indent="5"/>
      <protection hidden="1"/>
    </xf>
    <xf numFmtId="177" fontId="12" fillId="0" borderId="37" xfId="7" applyNumberFormat="1" applyFont="1" applyFill="1" applyBorder="1" applyAlignment="1" applyProtection="1">
      <alignment vertical="center"/>
      <protection locked="0"/>
    </xf>
    <xf numFmtId="0" fontId="12" fillId="7" borderId="28" xfId="4" applyFont="1" applyFill="1" applyBorder="1" applyProtection="1">
      <protection hidden="1"/>
    </xf>
    <xf numFmtId="0" fontId="12" fillId="7" borderId="29" xfId="4" applyFont="1" applyFill="1" applyBorder="1" applyProtection="1">
      <protection hidden="1"/>
    </xf>
    <xf numFmtId="0" fontId="12" fillId="7" borderId="31" xfId="4" applyFont="1" applyFill="1" applyBorder="1" applyProtection="1">
      <protection hidden="1"/>
    </xf>
    <xf numFmtId="0" fontId="12" fillId="12" borderId="28" xfId="4" applyFont="1" applyFill="1" applyBorder="1" applyProtection="1">
      <protection hidden="1"/>
    </xf>
    <xf numFmtId="0" fontId="12" fillId="12" borderId="29" xfId="4" applyFont="1" applyFill="1" applyBorder="1" applyProtection="1">
      <protection hidden="1"/>
    </xf>
    <xf numFmtId="0" fontId="12" fillId="7" borderId="26" xfId="4" applyFont="1" applyFill="1" applyBorder="1" applyProtection="1">
      <protection hidden="1"/>
    </xf>
    <xf numFmtId="0" fontId="13" fillId="5" borderId="10" xfId="4" applyFont="1" applyFill="1" applyBorder="1" applyAlignment="1" applyProtection="1">
      <alignment horizontal="left" vertical="center" indent="3"/>
      <protection hidden="1"/>
    </xf>
    <xf numFmtId="178" fontId="13" fillId="7" borderId="34" xfId="4" applyNumberFormat="1" applyFont="1" applyFill="1" applyBorder="1" applyAlignment="1" applyProtection="1">
      <alignment vertical="center"/>
      <protection hidden="1"/>
    </xf>
    <xf numFmtId="178" fontId="13" fillId="5" borderId="54" xfId="4" applyNumberFormat="1" applyFont="1" applyFill="1" applyBorder="1" applyAlignment="1" applyProtection="1">
      <alignment vertical="center"/>
      <protection hidden="1"/>
    </xf>
    <xf numFmtId="178" fontId="13" fillId="5" borderId="53" xfId="4" applyNumberFormat="1" applyFont="1" applyFill="1" applyBorder="1" applyAlignment="1" applyProtection="1">
      <alignment vertical="center"/>
      <protection hidden="1"/>
    </xf>
    <xf numFmtId="178" fontId="13" fillId="5" borderId="18" xfId="4" applyNumberFormat="1" applyFont="1" applyFill="1" applyBorder="1" applyAlignment="1" applyProtection="1">
      <alignment vertical="center"/>
      <protection hidden="1"/>
    </xf>
    <xf numFmtId="178" fontId="13" fillId="5" borderId="17" xfId="4" applyNumberFormat="1" applyFont="1" applyFill="1" applyBorder="1" applyAlignment="1" applyProtection="1">
      <alignment vertical="center"/>
      <protection hidden="1"/>
    </xf>
    <xf numFmtId="178" fontId="13" fillId="7" borderId="17" xfId="4" applyNumberFormat="1" applyFont="1" applyFill="1" applyBorder="1" applyAlignment="1" applyProtection="1">
      <alignment vertical="center"/>
      <protection hidden="1"/>
    </xf>
    <xf numFmtId="178" fontId="13" fillId="7" borderId="18" xfId="4" applyNumberFormat="1" applyFont="1" applyFill="1" applyBorder="1" applyAlignment="1" applyProtection="1">
      <alignment vertical="center"/>
      <protection hidden="1"/>
    </xf>
    <xf numFmtId="178" fontId="13" fillId="12" borderId="17" xfId="4" applyNumberFormat="1" applyFont="1" applyFill="1" applyBorder="1" applyAlignment="1" applyProtection="1">
      <alignment vertical="center"/>
      <protection hidden="1"/>
    </xf>
    <xf numFmtId="178" fontId="13" fillId="12" borderId="18" xfId="4" applyNumberFormat="1" applyFont="1" applyFill="1" applyBorder="1" applyAlignment="1" applyProtection="1">
      <alignment vertical="center"/>
      <protection hidden="1"/>
    </xf>
    <xf numFmtId="0" fontId="12" fillId="7" borderId="0" xfId="4" applyFont="1" applyFill="1" applyBorder="1" applyProtection="1">
      <protection hidden="1"/>
    </xf>
    <xf numFmtId="178" fontId="12" fillId="12" borderId="0" xfId="4" applyNumberFormat="1" applyFont="1" applyFill="1" applyBorder="1" applyAlignment="1" applyProtection="1">
      <protection hidden="1"/>
    </xf>
    <xf numFmtId="178" fontId="12" fillId="7" borderId="0" xfId="4" applyNumberFormat="1" applyFont="1" applyFill="1" applyBorder="1" applyProtection="1">
      <protection hidden="1"/>
    </xf>
    <xf numFmtId="0" fontId="13" fillId="5" borderId="6" xfId="4" applyFont="1" applyFill="1" applyBorder="1" applyAlignment="1" applyProtection="1">
      <alignment horizontal="center" vertical="top"/>
      <protection hidden="1"/>
    </xf>
    <xf numFmtId="0" fontId="13" fillId="3" borderId="0" xfId="0" applyFont="1" applyFill="1" applyBorder="1" applyAlignment="1" applyProtection="1">
      <alignment horizontal="center" vertical="top"/>
      <protection hidden="1"/>
    </xf>
    <xf numFmtId="0" fontId="13" fillId="9" borderId="0" xfId="0" applyFont="1" applyFill="1" applyBorder="1" applyAlignment="1" applyProtection="1">
      <alignment vertical="top" wrapText="1"/>
      <protection hidden="1"/>
    </xf>
    <xf numFmtId="0" fontId="12" fillId="9" borderId="0" xfId="0" applyFont="1" applyFill="1" applyBorder="1" applyProtection="1">
      <protection hidden="1"/>
    </xf>
    <xf numFmtId="0" fontId="12" fillId="9" borderId="0" xfId="0" applyFont="1" applyFill="1" applyProtection="1">
      <protection hidden="1"/>
    </xf>
    <xf numFmtId="0" fontId="12" fillId="5" borderId="0" xfId="0" applyFont="1" applyFill="1" applyBorder="1" applyProtection="1">
      <protection hidden="1"/>
    </xf>
    <xf numFmtId="178" fontId="13" fillId="9" borderId="18" xfId="0" applyNumberFormat="1" applyFont="1" applyFill="1" applyBorder="1" applyAlignment="1" applyProtection="1">
      <alignment vertical="center"/>
      <protection hidden="1"/>
    </xf>
    <xf numFmtId="178" fontId="13" fillId="9" borderId="46" xfId="0" applyNumberFormat="1" applyFont="1" applyFill="1" applyBorder="1" applyAlignment="1" applyProtection="1">
      <alignment vertical="center"/>
      <protection hidden="1"/>
    </xf>
    <xf numFmtId="0" fontId="13" fillId="9" borderId="4" xfId="0" applyFont="1" applyFill="1" applyBorder="1" applyAlignment="1" applyProtection="1">
      <alignment vertical="top" wrapText="1"/>
      <protection hidden="1"/>
    </xf>
    <xf numFmtId="0" fontId="13" fillId="3" borderId="0" xfId="0" applyFont="1" applyFill="1" applyBorder="1" applyAlignment="1" applyProtection="1">
      <alignment horizontal="right" vertical="center" indent="1"/>
      <protection hidden="1"/>
    </xf>
    <xf numFmtId="168" fontId="12" fillId="3" borderId="0" xfId="0" applyNumberFormat="1" applyFont="1" applyFill="1" applyBorder="1" applyProtection="1">
      <protection hidden="1"/>
    </xf>
    <xf numFmtId="175" fontId="12" fillId="12" borderId="31" xfId="4" applyNumberFormat="1" applyFont="1" applyFill="1" applyBorder="1" applyAlignment="1" applyProtection="1">
      <alignment vertical="center"/>
      <protection hidden="1"/>
    </xf>
    <xf numFmtId="0" fontId="28" fillId="5" borderId="0" xfId="0" applyFont="1" applyFill="1" applyAlignment="1" applyProtection="1">
      <alignment vertical="center"/>
      <protection hidden="1"/>
    </xf>
    <xf numFmtId="0" fontId="12" fillId="5" borderId="0" xfId="0" applyFont="1" applyFill="1" applyBorder="1" applyAlignment="1" applyProtection="1">
      <alignment horizontal="center" vertical="center" wrapText="1"/>
      <protection hidden="1"/>
    </xf>
    <xf numFmtId="0" fontId="22" fillId="5" borderId="0" xfId="0" applyFont="1" applyFill="1" applyBorder="1" applyAlignment="1" applyProtection="1">
      <protection hidden="1"/>
    </xf>
    <xf numFmtId="171" fontId="13" fillId="5" borderId="0" xfId="0" applyNumberFormat="1" applyFont="1" applyFill="1" applyBorder="1" applyAlignment="1" applyProtection="1">
      <protection hidden="1"/>
    </xf>
    <xf numFmtId="0" fontId="12" fillId="5" borderId="0" xfId="0" applyFont="1" applyFill="1" applyBorder="1" applyAlignment="1" applyProtection="1">
      <alignment vertical="center"/>
      <protection hidden="1"/>
    </xf>
    <xf numFmtId="0" fontId="12" fillId="5" borderId="60" xfId="0" applyFont="1" applyFill="1" applyBorder="1" applyAlignment="1" applyProtection="1">
      <alignment vertical="center"/>
      <protection hidden="1"/>
    </xf>
    <xf numFmtId="171" fontId="13" fillId="5" borderId="23" xfId="0" applyNumberFormat="1" applyFont="1" applyFill="1" applyBorder="1" applyAlignment="1" applyProtection="1">
      <alignment horizontal="center" vertical="top" wrapText="1"/>
      <protection hidden="1"/>
    </xf>
    <xf numFmtId="171" fontId="13" fillId="5" borderId="5" xfId="0" applyNumberFormat="1" applyFont="1" applyFill="1" applyBorder="1" applyAlignment="1" applyProtection="1">
      <alignment horizontal="center" vertical="center"/>
      <protection hidden="1"/>
    </xf>
    <xf numFmtId="171" fontId="13" fillId="5" borderId="6" xfId="0" applyNumberFormat="1" applyFont="1" applyFill="1" applyBorder="1" applyAlignment="1" applyProtection="1">
      <alignment horizontal="center" vertical="center"/>
      <protection hidden="1"/>
    </xf>
    <xf numFmtId="0" fontId="22" fillId="5" borderId="9" xfId="0" applyFont="1" applyFill="1" applyBorder="1" applyAlignment="1" applyProtection="1">
      <protection hidden="1"/>
    </xf>
    <xf numFmtId="171" fontId="12" fillId="5" borderId="0" xfId="0" applyNumberFormat="1" applyFont="1" applyFill="1" applyBorder="1" applyAlignment="1" applyProtection="1">
      <alignment horizontal="center"/>
      <protection hidden="1"/>
    </xf>
    <xf numFmtId="0" fontId="12" fillId="5" borderId="8" xfId="0" applyFont="1" applyFill="1" applyBorder="1" applyProtection="1">
      <protection hidden="1"/>
    </xf>
    <xf numFmtId="0" fontId="12" fillId="5" borderId="60" xfId="0" applyFont="1" applyFill="1" applyBorder="1" applyAlignment="1" applyProtection="1">
      <protection hidden="1"/>
    </xf>
    <xf numFmtId="171" fontId="13" fillId="5" borderId="39" xfId="0" applyNumberFormat="1" applyFont="1" applyFill="1" applyBorder="1" applyAlignment="1" applyProtection="1">
      <alignment horizontal="center" vertical="top" wrapText="1"/>
      <protection hidden="1"/>
    </xf>
    <xf numFmtId="0" fontId="12" fillId="5" borderId="31" xfId="0" applyFont="1" applyFill="1" applyBorder="1" applyAlignment="1" applyProtection="1">
      <alignment vertical="center"/>
      <protection hidden="1"/>
    </xf>
    <xf numFmtId="0" fontId="13" fillId="9" borderId="8" xfId="0" applyNumberFormat="1" applyFont="1" applyFill="1" applyBorder="1" applyAlignment="1" applyProtection="1">
      <alignment vertical="center"/>
      <protection hidden="1"/>
    </xf>
    <xf numFmtId="0" fontId="19" fillId="5" borderId="2" xfId="0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 applyAlignment="1" applyProtection="1">
      <alignment vertical="center"/>
      <protection hidden="1"/>
    </xf>
    <xf numFmtId="0" fontId="12" fillId="3" borderId="0" xfId="0" applyFont="1" applyFill="1" applyBorder="1" applyAlignment="1" applyProtection="1">
      <alignment horizontal="centerContinuous" vertical="center"/>
      <protection hidden="1"/>
    </xf>
    <xf numFmtId="0" fontId="13" fillId="9" borderId="2" xfId="0" applyFont="1" applyFill="1" applyBorder="1" applyAlignment="1" applyProtection="1">
      <alignment vertical="top" wrapText="1"/>
      <protection hidden="1"/>
    </xf>
    <xf numFmtId="184" fontId="12" fillId="2" borderId="29" xfId="0" applyNumberFormat="1" applyFont="1" applyFill="1" applyBorder="1" applyAlignment="1" applyProtection="1">
      <alignment vertical="center"/>
      <protection hidden="1"/>
    </xf>
    <xf numFmtId="0" fontId="12" fillId="5" borderId="0" xfId="9" applyFont="1" applyFill="1" applyProtection="1">
      <protection hidden="1"/>
    </xf>
    <xf numFmtId="0" fontId="13" fillId="4" borderId="0" xfId="9" applyFont="1" applyFill="1" applyBorder="1" applyAlignment="1" applyProtection="1">
      <alignment horizontal="right" vertical="top"/>
      <protection hidden="1"/>
    </xf>
    <xf numFmtId="0" fontId="12" fillId="2" borderId="0" xfId="9" applyFont="1" applyFill="1" applyAlignment="1" applyProtection="1">
      <alignment vertical="top"/>
      <protection hidden="1"/>
    </xf>
    <xf numFmtId="0" fontId="12" fillId="3" borderId="0" xfId="9" applyFont="1" applyFill="1" applyBorder="1" applyAlignment="1" applyProtection="1">
      <alignment vertical="top"/>
      <protection hidden="1"/>
    </xf>
    <xf numFmtId="0" fontId="12" fillId="4" borderId="0" xfId="9" applyFont="1" applyFill="1" applyBorder="1" applyAlignment="1" applyProtection="1">
      <alignment vertical="center"/>
      <protection hidden="1"/>
    </xf>
    <xf numFmtId="0" fontId="12" fillId="2" borderId="0" xfId="9" applyFont="1" applyFill="1" applyProtection="1">
      <protection hidden="1"/>
    </xf>
    <xf numFmtId="0" fontId="12" fillId="4" borderId="0" xfId="9" applyFont="1" applyFill="1" applyBorder="1" applyAlignment="1" applyProtection="1">
      <alignment horizontal="center" vertical="center"/>
      <protection hidden="1"/>
    </xf>
    <xf numFmtId="0" fontId="12" fillId="4" borderId="0" xfId="9" applyFont="1" applyFill="1" applyBorder="1" applyProtection="1">
      <protection hidden="1"/>
    </xf>
    <xf numFmtId="0" fontId="12" fillId="3" borderId="0" xfId="9" applyFont="1" applyFill="1" applyBorder="1" applyProtection="1">
      <protection hidden="1"/>
    </xf>
    <xf numFmtId="0" fontId="12" fillId="9" borderId="0" xfId="9" applyNumberFormat="1" applyFont="1" applyFill="1" applyBorder="1" applyAlignment="1" applyProtection="1">
      <protection hidden="1"/>
    </xf>
    <xf numFmtId="0" fontId="12" fillId="2" borderId="0" xfId="9" applyNumberFormat="1" applyFont="1" applyFill="1" applyBorder="1" applyAlignment="1" applyProtection="1">
      <protection hidden="1"/>
    </xf>
    <xf numFmtId="0" fontId="12" fillId="9" borderId="0" xfId="0" applyNumberFormat="1" applyFont="1" applyFill="1" applyBorder="1" applyAlignment="1" applyProtection="1">
      <protection hidden="1"/>
    </xf>
    <xf numFmtId="0" fontId="12" fillId="2" borderId="0" xfId="0" applyNumberFormat="1" applyFont="1" applyFill="1" applyBorder="1" applyAlignment="1" applyProtection="1">
      <protection hidden="1"/>
    </xf>
    <xf numFmtId="0" fontId="13" fillId="3" borderId="9" xfId="9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left" vertical="center" indent="2"/>
      <protection hidden="1"/>
    </xf>
    <xf numFmtId="0" fontId="12" fillId="9" borderId="0" xfId="0" quotePrefix="1" applyNumberFormat="1" applyFont="1" applyFill="1" applyBorder="1" applyAlignment="1" applyProtection="1">
      <protection hidden="1"/>
    </xf>
    <xf numFmtId="0" fontId="13" fillId="3" borderId="32" xfId="9" applyFont="1" applyFill="1" applyBorder="1" applyAlignment="1" applyProtection="1">
      <alignment horizontal="left" vertical="center" indent="1"/>
      <protection hidden="1"/>
    </xf>
    <xf numFmtId="0" fontId="12" fillId="2" borderId="0" xfId="0" quotePrefix="1" applyNumberFormat="1" applyFont="1" applyFill="1" applyBorder="1" applyAlignment="1" applyProtection="1"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2" fontId="12" fillId="2" borderId="0" xfId="0" quotePrefix="1" applyNumberFormat="1" applyFont="1" applyFill="1" applyBorder="1" applyAlignment="1" applyProtection="1">
      <alignment horizontal="center" vertical="center"/>
      <protection hidden="1"/>
    </xf>
    <xf numFmtId="2" fontId="12" fillId="2" borderId="0" xfId="0" applyNumberFormat="1" applyFont="1" applyFill="1" applyBorder="1" applyAlignment="1" applyProtection="1">
      <alignment horizontal="center" vertical="center"/>
      <protection hidden="1"/>
    </xf>
    <xf numFmtId="0" fontId="12" fillId="3" borderId="0" xfId="9" applyFont="1" applyFill="1" applyBorder="1" applyAlignment="1" applyProtection="1">
      <protection hidden="1"/>
    </xf>
    <xf numFmtId="0" fontId="12" fillId="4" borderId="0" xfId="9" applyFont="1" applyFill="1" applyBorder="1" applyAlignment="1" applyProtection="1">
      <alignment horizontal="centerContinuous" vertical="center"/>
      <protection hidden="1"/>
    </xf>
    <xf numFmtId="0" fontId="12" fillId="2" borderId="0" xfId="9" applyFont="1" applyFill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protection hidden="1"/>
    </xf>
    <xf numFmtId="0" fontId="12" fillId="3" borderId="8" xfId="9" applyFont="1" applyFill="1" applyBorder="1" applyProtection="1">
      <protection hidden="1"/>
    </xf>
    <xf numFmtId="171" fontId="13" fillId="2" borderId="9" xfId="0" applyNumberFormat="1" applyFont="1" applyFill="1" applyBorder="1" applyAlignment="1" applyProtection="1">
      <alignment horizontal="center" vertical="top"/>
      <protection hidden="1"/>
    </xf>
    <xf numFmtId="0" fontId="13" fillId="3" borderId="8" xfId="9" applyFont="1" applyFill="1" applyBorder="1" applyAlignment="1" applyProtection="1">
      <alignment horizontal="left" vertical="center" indent="1"/>
      <protection hidden="1"/>
    </xf>
    <xf numFmtId="178" fontId="13" fillId="9" borderId="29" xfId="9" applyNumberFormat="1" applyFont="1" applyFill="1" applyBorder="1" applyAlignment="1" applyProtection="1">
      <alignment vertical="center"/>
      <protection hidden="1"/>
    </xf>
    <xf numFmtId="178" fontId="13" fillId="9" borderId="31" xfId="9" applyNumberFormat="1" applyFont="1" applyFill="1" applyBorder="1" applyAlignment="1" applyProtection="1">
      <alignment vertical="center"/>
      <protection hidden="1"/>
    </xf>
    <xf numFmtId="171" fontId="13" fillId="2" borderId="9" xfId="0" applyNumberFormat="1" applyFont="1" applyFill="1" applyBorder="1" applyAlignment="1" applyProtection="1">
      <alignment horizontal="center" vertical="center"/>
      <protection hidden="1"/>
    </xf>
    <xf numFmtId="0" fontId="13" fillId="3" borderId="0" xfId="9" applyFont="1" applyFill="1" applyBorder="1" applyAlignment="1" applyProtection="1">
      <alignment horizontal="center" vertical="top" wrapText="1"/>
      <protection hidden="1"/>
    </xf>
    <xf numFmtId="0" fontId="13" fillId="3" borderId="4" xfId="9" applyFont="1" applyFill="1" applyBorder="1" applyAlignment="1" applyProtection="1">
      <alignment horizontal="center" vertical="center"/>
      <protection hidden="1"/>
    </xf>
    <xf numFmtId="0" fontId="13" fillId="3" borderId="10" xfId="9" applyFont="1" applyFill="1" applyBorder="1" applyAlignment="1" applyProtection="1">
      <alignment horizontal="center" vertical="center"/>
      <protection hidden="1"/>
    </xf>
    <xf numFmtId="171" fontId="13" fillId="2" borderId="4" xfId="0" applyNumberFormat="1" applyFont="1" applyFill="1" applyBorder="1" applyAlignment="1" applyProtection="1">
      <alignment horizontal="center" vertical="top"/>
      <protection hidden="1"/>
    </xf>
    <xf numFmtId="171" fontId="13" fillId="2" borderId="10" xfId="0" applyNumberFormat="1" applyFont="1" applyFill="1" applyBorder="1" applyAlignment="1" applyProtection="1">
      <alignment horizontal="center" vertical="top"/>
      <protection hidden="1"/>
    </xf>
    <xf numFmtId="178" fontId="13" fillId="9" borderId="37" xfId="9" applyNumberFormat="1" applyFont="1" applyFill="1" applyBorder="1" applyAlignment="1" applyProtection="1">
      <alignment vertical="center"/>
      <protection hidden="1"/>
    </xf>
    <xf numFmtId="0" fontId="13" fillId="3" borderId="4" xfId="9" applyFont="1" applyFill="1" applyBorder="1" applyAlignment="1" applyProtection="1">
      <alignment horizontal="center" vertical="top"/>
      <protection hidden="1"/>
    </xf>
    <xf numFmtId="0" fontId="13" fillId="3" borderId="0" xfId="9" applyFont="1" applyFill="1" applyBorder="1" applyAlignment="1" applyProtection="1">
      <alignment horizontal="center" vertical="center"/>
      <protection hidden="1"/>
    </xf>
    <xf numFmtId="171" fontId="13" fillId="2" borderId="0" xfId="0" applyNumberFormat="1" applyFont="1" applyFill="1" applyBorder="1" applyAlignment="1" applyProtection="1">
      <alignment horizontal="center" vertical="top"/>
      <protection hidden="1"/>
    </xf>
    <xf numFmtId="0" fontId="12" fillId="3" borderId="10" xfId="9" applyFont="1" applyFill="1" applyBorder="1" applyAlignment="1" applyProtection="1">
      <protection hidden="1"/>
    </xf>
    <xf numFmtId="0" fontId="12" fillId="3" borderId="10" xfId="9" applyFont="1" applyFill="1" applyBorder="1" applyProtection="1">
      <protection hidden="1"/>
    </xf>
    <xf numFmtId="0" fontId="12" fillId="3" borderId="16" xfId="9" applyFont="1" applyFill="1" applyBorder="1" applyProtection="1">
      <protection hidden="1"/>
    </xf>
    <xf numFmtId="0" fontId="12" fillId="3" borderId="8" xfId="9" applyFont="1" applyFill="1" applyBorder="1" applyAlignment="1" applyProtection="1">
      <protection hidden="1"/>
    </xf>
    <xf numFmtId="0" fontId="13" fillId="2" borderId="34" xfId="0" applyFont="1" applyFill="1" applyBorder="1" applyAlignment="1" applyProtection="1">
      <alignment horizontal="left" vertical="center" indent="2"/>
      <protection hidden="1"/>
    </xf>
    <xf numFmtId="0" fontId="12" fillId="2" borderId="37" xfId="0" applyFont="1" applyFill="1" applyBorder="1" applyAlignment="1" applyProtection="1">
      <alignment horizontal="left" vertical="center" indent="1"/>
      <protection hidden="1"/>
    </xf>
    <xf numFmtId="0" fontId="13" fillId="3" borderId="8" xfId="9" applyFont="1" applyFill="1" applyBorder="1" applyAlignment="1" applyProtection="1">
      <alignment horizontal="center" vertical="center"/>
      <protection hidden="1"/>
    </xf>
    <xf numFmtId="178" fontId="13" fillId="3" borderId="76" xfId="9" applyNumberFormat="1" applyFont="1" applyFill="1" applyBorder="1" applyAlignment="1" applyProtection="1">
      <alignment vertical="center"/>
      <protection hidden="1"/>
    </xf>
    <xf numFmtId="178" fontId="13" fillId="2" borderId="41" xfId="9" applyNumberFormat="1" applyFont="1" applyFill="1" applyBorder="1" applyAlignment="1" applyProtection="1">
      <alignment vertical="center"/>
      <protection hidden="1"/>
    </xf>
    <xf numFmtId="178" fontId="13" fillId="2" borderId="77" xfId="9" applyNumberFormat="1" applyFont="1" applyFill="1" applyBorder="1" applyAlignment="1" applyProtection="1">
      <alignment vertical="center"/>
      <protection hidden="1"/>
    </xf>
    <xf numFmtId="178" fontId="13" fillId="9" borderId="75" xfId="9" applyNumberFormat="1" applyFont="1" applyFill="1" applyBorder="1" applyAlignment="1" applyProtection="1">
      <alignment vertical="center"/>
      <protection hidden="1"/>
    </xf>
    <xf numFmtId="178" fontId="13" fillId="9" borderId="74" xfId="9" applyNumberFormat="1" applyFont="1" applyFill="1" applyBorder="1" applyAlignment="1" applyProtection="1">
      <alignment vertical="center"/>
      <protection hidden="1"/>
    </xf>
    <xf numFmtId="178" fontId="13" fillId="9" borderId="52" xfId="9" applyNumberFormat="1" applyFont="1" applyFill="1" applyBorder="1" applyAlignment="1" applyProtection="1">
      <alignment vertical="center"/>
      <protection hidden="1"/>
    </xf>
    <xf numFmtId="178" fontId="13" fillId="9" borderId="47" xfId="9" applyNumberFormat="1" applyFont="1" applyFill="1" applyBorder="1" applyAlignment="1" applyProtection="1">
      <alignment vertical="center"/>
      <protection hidden="1"/>
    </xf>
    <xf numFmtId="178" fontId="13" fillId="9" borderId="48" xfId="9" applyNumberFormat="1" applyFont="1" applyFill="1" applyBorder="1" applyAlignment="1" applyProtection="1">
      <alignment vertical="center"/>
      <protection hidden="1"/>
    </xf>
    <xf numFmtId="178" fontId="13" fillId="9" borderId="50" xfId="9" applyNumberFormat="1" applyFont="1" applyFill="1" applyBorder="1" applyAlignment="1" applyProtection="1">
      <alignment vertical="center"/>
      <protection hidden="1"/>
    </xf>
    <xf numFmtId="178" fontId="13" fillId="2" borderId="50" xfId="0" applyNumberFormat="1" applyFont="1" applyFill="1" applyBorder="1" applyAlignment="1" applyProtection="1">
      <alignment vertical="center"/>
      <protection hidden="1"/>
    </xf>
    <xf numFmtId="0" fontId="12" fillId="2" borderId="60" xfId="0" applyFont="1" applyFill="1" applyBorder="1" applyAlignment="1" applyProtection="1">
      <protection hidden="1"/>
    </xf>
    <xf numFmtId="0" fontId="12" fillId="2" borderId="0" xfId="9" applyFont="1" applyFill="1" applyAlignment="1" applyProtection="1">
      <protection hidden="1"/>
    </xf>
    <xf numFmtId="168" fontId="13" fillId="3" borderId="0" xfId="0" applyNumberFormat="1" applyFont="1" applyFill="1" applyBorder="1" applyProtection="1">
      <protection hidden="1"/>
    </xf>
    <xf numFmtId="0" fontId="13" fillId="5" borderId="61" xfId="0" applyNumberFormat="1" applyFont="1" applyFill="1" applyBorder="1" applyAlignment="1" applyProtection="1">
      <protection hidden="1"/>
    </xf>
    <xf numFmtId="0" fontId="13" fillId="5" borderId="6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vertical="center"/>
      <protection hidden="1"/>
    </xf>
    <xf numFmtId="0" fontId="13" fillId="5" borderId="0" xfId="0" applyNumberFormat="1" applyFont="1" applyFill="1" applyBorder="1" applyAlignment="1" applyProtection="1">
      <protection hidden="1"/>
    </xf>
    <xf numFmtId="0" fontId="13" fillId="5" borderId="2" xfId="0" applyFont="1" applyFill="1" applyBorder="1" applyAlignment="1" applyProtection="1">
      <alignment horizontal="right" indent="1"/>
      <protection hidden="1"/>
    </xf>
    <xf numFmtId="0" fontId="12" fillId="5" borderId="2" xfId="0" applyFont="1" applyFill="1" applyBorder="1" applyAlignment="1" applyProtection="1">
      <protection hidden="1"/>
    </xf>
    <xf numFmtId="177" fontId="12" fillId="5" borderId="0" xfId="0" applyNumberFormat="1" applyFont="1" applyFill="1" applyBorder="1" applyAlignment="1" applyProtection="1">
      <alignment vertical="center"/>
      <protection hidden="1"/>
    </xf>
    <xf numFmtId="0" fontId="12" fillId="9" borderId="7" xfId="0" applyFont="1" applyFill="1" applyBorder="1" applyProtection="1">
      <protection hidden="1"/>
    </xf>
    <xf numFmtId="0" fontId="12" fillId="5" borderId="2" xfId="0" applyNumberFormat="1" applyFont="1" applyFill="1" applyBorder="1" applyAlignment="1" applyProtection="1">
      <protection hidden="1"/>
    </xf>
    <xf numFmtId="0" fontId="12" fillId="9" borderId="2" xfId="0" applyFont="1" applyFill="1" applyBorder="1" applyAlignment="1" applyProtection="1">
      <alignment vertical="top" wrapText="1"/>
      <protection hidden="1"/>
    </xf>
    <xf numFmtId="0" fontId="12" fillId="9" borderId="2" xfId="0" applyFont="1" applyFill="1" applyBorder="1" applyProtection="1">
      <protection hidden="1"/>
    </xf>
    <xf numFmtId="0" fontId="12" fillId="9" borderId="2" xfId="0" applyNumberFormat="1" applyFont="1" applyFill="1" applyBorder="1" applyAlignment="1" applyProtection="1">
      <protection hidden="1"/>
    </xf>
    <xf numFmtId="0" fontId="12" fillId="9" borderId="4" xfId="0" applyFont="1" applyFill="1" applyBorder="1" applyAlignment="1" applyProtection="1">
      <alignment vertical="top" wrapText="1"/>
      <protection hidden="1"/>
    </xf>
    <xf numFmtId="0" fontId="12" fillId="9" borderId="57" xfId="0" applyFont="1" applyFill="1" applyBorder="1" applyProtection="1">
      <protection hidden="1"/>
    </xf>
    <xf numFmtId="171" fontId="12" fillId="9" borderId="57" xfId="0" applyNumberFormat="1" applyFont="1" applyFill="1" applyBorder="1" applyProtection="1">
      <protection hidden="1"/>
    </xf>
    <xf numFmtId="0" fontId="12" fillId="9" borderId="40" xfId="0" applyFont="1" applyFill="1" applyBorder="1" applyProtection="1">
      <protection hidden="1"/>
    </xf>
    <xf numFmtId="0" fontId="12" fillId="9" borderId="58" xfId="0" applyFont="1" applyFill="1" applyBorder="1" applyProtection="1">
      <protection hidden="1"/>
    </xf>
    <xf numFmtId="0" fontId="13" fillId="4" borderId="0" xfId="0" applyFont="1" applyFill="1" applyBorder="1" applyAlignment="1" applyProtection="1">
      <alignment vertical="center"/>
      <protection hidden="1"/>
    </xf>
    <xf numFmtId="0" fontId="12" fillId="4" borderId="60" xfId="0" applyFont="1" applyFill="1" applyBorder="1" applyAlignment="1" applyProtection="1">
      <alignment horizontal="left" indent="2"/>
      <protection hidden="1"/>
    </xf>
    <xf numFmtId="0" fontId="12" fillId="9" borderId="0" xfId="0" applyFont="1" applyFill="1" applyBorder="1" applyAlignment="1" applyProtection="1">
      <protection hidden="1"/>
    </xf>
    <xf numFmtId="171" fontId="13" fillId="5" borderId="0" xfId="0" applyNumberFormat="1" applyFont="1" applyFill="1" applyBorder="1" applyAlignment="1" applyProtection="1">
      <alignment horizontal="center" vertical="center"/>
      <protection hidden="1"/>
    </xf>
    <xf numFmtId="0" fontId="12" fillId="5" borderId="24" xfId="0" applyFont="1" applyFill="1" applyBorder="1" applyAlignment="1" applyProtection="1">
      <protection hidden="1"/>
    </xf>
    <xf numFmtId="0" fontId="23" fillId="5" borderId="10" xfId="0" applyFont="1" applyFill="1" applyBorder="1" applyAlignment="1" applyProtection="1">
      <alignment vertical="center"/>
      <protection hidden="1"/>
    </xf>
    <xf numFmtId="165" fontId="23" fillId="5" borderId="16" xfId="0" applyNumberFormat="1" applyFont="1" applyFill="1" applyBorder="1" applyAlignment="1" applyProtection="1">
      <protection hidden="1"/>
    </xf>
    <xf numFmtId="0" fontId="18" fillId="9" borderId="60" xfId="0" applyFont="1" applyFill="1" applyBorder="1" applyAlignment="1" applyProtection="1">
      <protection hidden="1"/>
    </xf>
    <xf numFmtId="0" fontId="13" fillId="9" borderId="2" xfId="0" applyNumberFormat="1" applyFont="1" applyFill="1" applyBorder="1" applyAlignment="1" applyProtection="1">
      <alignment vertical="center"/>
      <protection hidden="1"/>
    </xf>
    <xf numFmtId="0" fontId="18" fillId="10" borderId="0" xfId="0" applyFont="1" applyFill="1" applyBorder="1" applyAlignment="1" applyProtection="1">
      <alignment horizontal="center" vertical="center"/>
      <protection hidden="1"/>
    </xf>
    <xf numFmtId="171" fontId="13" fillId="5" borderId="9" xfId="0" applyNumberFormat="1" applyFont="1" applyFill="1" applyBorder="1" applyAlignment="1" applyProtection="1">
      <alignment horizontal="center" vertical="center"/>
      <protection hidden="1"/>
    </xf>
    <xf numFmtId="0" fontId="12" fillId="9" borderId="7" xfId="0" applyFont="1" applyFill="1" applyBorder="1" applyAlignment="1" applyProtection="1">
      <protection hidden="1"/>
    </xf>
    <xf numFmtId="0" fontId="12" fillId="9" borderId="79" xfId="0" applyFont="1" applyFill="1" applyBorder="1" applyProtection="1">
      <protection hidden="1"/>
    </xf>
    <xf numFmtId="0" fontId="12" fillId="9" borderId="6" xfId="4" applyFont="1" applyFill="1" applyBorder="1" applyAlignment="1" applyProtection="1">
      <protection hidden="1"/>
    </xf>
    <xf numFmtId="0" fontId="12" fillId="9" borderId="6" xfId="4" applyFont="1" applyFill="1" applyBorder="1" applyProtection="1">
      <protection hidden="1"/>
    </xf>
    <xf numFmtId="171" fontId="13" fillId="5" borderId="0" xfId="4" applyNumberFormat="1" applyFont="1" applyFill="1" applyBorder="1" applyAlignment="1" applyProtection="1">
      <alignment vertical="center"/>
      <protection hidden="1"/>
    </xf>
    <xf numFmtId="171" fontId="13" fillId="5" borderId="0" xfId="4" applyNumberFormat="1" applyFont="1" applyFill="1" applyBorder="1" applyAlignment="1" applyProtection="1">
      <protection hidden="1"/>
    </xf>
    <xf numFmtId="171" fontId="13" fillId="5" borderId="0" xfId="4" applyNumberFormat="1" applyFont="1" applyFill="1" applyBorder="1" applyAlignment="1" applyProtection="1">
      <alignment horizontal="left" vertical="center" indent="1"/>
      <protection hidden="1"/>
    </xf>
    <xf numFmtId="0" fontId="12" fillId="9" borderId="58" xfId="4" applyFont="1" applyFill="1" applyBorder="1" applyProtection="1">
      <protection hidden="1"/>
    </xf>
    <xf numFmtId="0" fontId="12" fillId="5" borderId="79" xfId="4" applyFont="1" applyFill="1" applyBorder="1" applyAlignment="1" applyProtection="1">
      <protection hidden="1"/>
    </xf>
    <xf numFmtId="0" fontId="16" fillId="6" borderId="79" xfId="0" applyFont="1" applyFill="1" applyBorder="1" applyAlignment="1" applyProtection="1">
      <alignment vertical="center"/>
      <protection hidden="1"/>
    </xf>
    <xf numFmtId="0" fontId="12" fillId="5" borderId="79" xfId="4" applyFont="1" applyFill="1" applyBorder="1" applyProtection="1">
      <protection hidden="1"/>
    </xf>
    <xf numFmtId="0" fontId="16" fillId="6" borderId="79" xfId="0" applyFont="1" applyFill="1" applyBorder="1" applyAlignment="1" applyProtection="1">
      <protection hidden="1"/>
    </xf>
    <xf numFmtId="0" fontId="12" fillId="7" borderId="79" xfId="4" applyFont="1" applyFill="1" applyBorder="1" applyProtection="1">
      <protection hidden="1"/>
    </xf>
    <xf numFmtId="0" fontId="12" fillId="5" borderId="40" xfId="4" applyFont="1" applyFill="1" applyBorder="1" applyProtection="1">
      <protection hidden="1"/>
    </xf>
    <xf numFmtId="0" fontId="12" fillId="7" borderId="58" xfId="4" applyFont="1" applyFill="1" applyBorder="1" applyProtection="1">
      <protection hidden="1"/>
    </xf>
    <xf numFmtId="0" fontId="12" fillId="7" borderId="40" xfId="4" applyFont="1" applyFill="1" applyBorder="1" applyProtection="1">
      <protection hidden="1"/>
    </xf>
    <xf numFmtId="0" fontId="17" fillId="4" borderId="0" xfId="0" applyFont="1" applyFill="1" applyBorder="1" applyAlignment="1" applyProtection="1">
      <protection hidden="1"/>
    </xf>
    <xf numFmtId="0" fontId="13" fillId="4" borderId="0" xfId="0" applyFont="1" applyFill="1" applyBorder="1" applyAlignment="1" applyProtection="1">
      <alignment horizontal="right" vertical="center"/>
      <protection hidden="1"/>
    </xf>
    <xf numFmtId="0" fontId="12" fillId="9" borderId="42" xfId="0" applyFont="1" applyFill="1" applyBorder="1" applyProtection="1">
      <protection hidden="1"/>
    </xf>
    <xf numFmtId="0" fontId="12" fillId="4" borderId="24" xfId="0" applyFont="1" applyFill="1" applyBorder="1" applyAlignment="1" applyProtection="1">
      <protection hidden="1"/>
    </xf>
    <xf numFmtId="0" fontId="12" fillId="4" borderId="10" xfId="0" applyFont="1" applyFill="1" applyBorder="1" applyAlignment="1" applyProtection="1">
      <alignment vertical="center" wrapText="1"/>
      <protection hidden="1"/>
    </xf>
    <xf numFmtId="0" fontId="13" fillId="4" borderId="10" xfId="0" applyFont="1" applyFill="1" applyBorder="1" applyAlignment="1" applyProtection="1">
      <protection hidden="1"/>
    </xf>
    <xf numFmtId="0" fontId="13" fillId="4" borderId="16" xfId="0" applyFont="1" applyFill="1" applyBorder="1" applyAlignment="1" applyProtection="1">
      <protection hidden="1"/>
    </xf>
    <xf numFmtId="0" fontId="13" fillId="4" borderId="10" xfId="0" applyFont="1" applyFill="1" applyBorder="1" applyAlignment="1" applyProtection="1">
      <alignment horizontal="left" vertical="center" indent="1"/>
      <protection hidden="1"/>
    </xf>
    <xf numFmtId="0" fontId="13" fillId="4" borderId="10" xfId="0" applyFont="1" applyFill="1" applyBorder="1" applyAlignment="1" applyProtection="1">
      <alignment horizontal="left" vertical="center" indent="2"/>
      <protection hidden="1"/>
    </xf>
    <xf numFmtId="0" fontId="13" fillId="4" borderId="16" xfId="0" applyFont="1" applyFill="1" applyBorder="1" applyAlignment="1" applyProtection="1">
      <alignment horizontal="left" vertical="center" indent="2"/>
      <protection hidden="1"/>
    </xf>
    <xf numFmtId="0" fontId="17" fillId="4" borderId="0" xfId="0" applyFont="1" applyFill="1" applyBorder="1" applyProtection="1">
      <protection hidden="1"/>
    </xf>
    <xf numFmtId="0" fontId="13" fillId="4" borderId="0" xfId="0" applyFont="1" applyFill="1" applyBorder="1" applyAlignment="1" applyProtection="1">
      <alignment horizontal="left"/>
      <protection hidden="1"/>
    </xf>
    <xf numFmtId="0" fontId="13" fillId="3" borderId="0" xfId="9" applyFont="1" applyFill="1" applyBorder="1" applyProtection="1">
      <protection hidden="1"/>
    </xf>
    <xf numFmtId="0" fontId="13" fillId="4" borderId="57" xfId="0" applyFont="1" applyFill="1" applyBorder="1" applyAlignment="1" applyProtection="1">
      <alignment horizontal="left" vertical="center" indent="1"/>
      <protection hidden="1"/>
    </xf>
    <xf numFmtId="0" fontId="13" fillId="4" borderId="22" xfId="0" applyFont="1" applyFill="1" applyBorder="1" applyAlignment="1" applyProtection="1">
      <alignment horizontal="left"/>
      <protection hidden="1"/>
    </xf>
    <xf numFmtId="0" fontId="13" fillId="4" borderId="4" xfId="0" applyFont="1" applyFill="1" applyBorder="1" applyAlignment="1" applyProtection="1">
      <alignment horizontal="left" vertical="center" indent="1"/>
      <protection hidden="1"/>
    </xf>
    <xf numFmtId="0" fontId="12" fillId="4" borderId="4" xfId="0" applyFont="1" applyFill="1" applyBorder="1" applyAlignment="1" applyProtection="1">
      <alignment vertical="center"/>
      <protection hidden="1"/>
    </xf>
    <xf numFmtId="0" fontId="12" fillId="4" borderId="13" xfId="0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protection hidden="1"/>
    </xf>
    <xf numFmtId="0" fontId="12" fillId="5" borderId="22" xfId="0" applyFont="1" applyFill="1" applyBorder="1" applyProtection="1">
      <protection hidden="1"/>
    </xf>
    <xf numFmtId="0" fontId="13" fillId="4" borderId="4" xfId="0" applyFont="1" applyFill="1" applyBorder="1" applyAlignment="1" applyProtection="1">
      <alignment horizontal="left" vertical="center" wrapText="1" indent="1"/>
      <protection hidden="1"/>
    </xf>
    <xf numFmtId="0" fontId="12" fillId="5" borderId="4" xfId="0" applyFont="1" applyFill="1" applyBorder="1" applyProtection="1">
      <protection hidden="1"/>
    </xf>
    <xf numFmtId="0" fontId="12" fillId="4" borderId="4" xfId="0" applyFont="1" applyFill="1" applyBorder="1" applyAlignment="1" applyProtection="1">
      <protection hidden="1"/>
    </xf>
    <xf numFmtId="0" fontId="12" fillId="4" borderId="13" xfId="0" applyFont="1" applyFill="1" applyBorder="1" applyAlignment="1" applyProtection="1">
      <protection hidden="1"/>
    </xf>
    <xf numFmtId="0" fontId="12" fillId="4" borderId="4" xfId="0" applyFont="1" applyFill="1" applyBorder="1" applyAlignment="1" applyProtection="1">
      <alignment horizontal="left" vertical="center" indent="1"/>
      <protection hidden="1"/>
    </xf>
    <xf numFmtId="0" fontId="12" fillId="9" borderId="0" xfId="9" applyFont="1" applyFill="1" applyProtection="1">
      <protection hidden="1"/>
    </xf>
    <xf numFmtId="0" fontId="12" fillId="4" borderId="0" xfId="0" applyFont="1" applyFill="1" applyBorder="1" applyAlignment="1" applyProtection="1">
      <alignment horizontal="left" vertical="center"/>
      <protection hidden="1"/>
    </xf>
    <xf numFmtId="0" fontId="13" fillId="3" borderId="0" xfId="9" applyFont="1" applyFill="1" applyBorder="1" applyAlignment="1" applyProtection="1">
      <alignment horizontal="left"/>
      <protection hidden="1"/>
    </xf>
    <xf numFmtId="0" fontId="13" fillId="3" borderId="0" xfId="9" applyFont="1" applyFill="1" applyBorder="1" applyAlignment="1" applyProtection="1">
      <alignment horizontal="left" vertical="center" indent="1"/>
      <protection hidden="1"/>
    </xf>
    <xf numFmtId="0" fontId="13" fillId="3" borderId="0" xfId="0" applyFont="1" applyFill="1" applyBorder="1" applyAlignment="1" applyProtection="1">
      <alignment horizontal="left"/>
      <protection hidden="1"/>
    </xf>
    <xf numFmtId="0" fontId="13" fillId="3" borderId="0" xfId="0" applyFont="1" applyFill="1" applyBorder="1" applyAlignment="1" applyProtection="1">
      <alignment horizontal="left" indent="1"/>
      <protection hidden="1"/>
    </xf>
    <xf numFmtId="0" fontId="13" fillId="4" borderId="0" xfId="0" applyFont="1" applyFill="1" applyBorder="1" applyAlignment="1" applyProtection="1">
      <alignment horizontal="left" vertical="center"/>
      <protection hidden="1"/>
    </xf>
    <xf numFmtId="0" fontId="13" fillId="9" borderId="0" xfId="0" applyFont="1" applyFill="1" applyBorder="1" applyProtection="1">
      <protection hidden="1"/>
    </xf>
    <xf numFmtId="0" fontId="12" fillId="10" borderId="0" xfId="0" applyFont="1" applyFill="1" applyBorder="1" applyAlignment="1" applyProtection="1">
      <protection hidden="1"/>
    </xf>
    <xf numFmtId="0" fontId="12" fillId="10" borderId="57" xfId="0" applyFont="1" applyFill="1" applyBorder="1" applyAlignment="1" applyProtection="1">
      <protection hidden="1"/>
    </xf>
    <xf numFmtId="0" fontId="12" fillId="9" borderId="42" xfId="0" applyFont="1" applyFill="1" applyBorder="1" applyAlignment="1" applyProtection="1">
      <alignment vertical="center"/>
      <protection hidden="1"/>
    </xf>
    <xf numFmtId="0" fontId="16" fillId="9" borderId="60" xfId="0" applyFont="1" applyFill="1" applyBorder="1" applyAlignment="1" applyProtection="1">
      <protection hidden="1"/>
    </xf>
    <xf numFmtId="0" fontId="12" fillId="9" borderId="81" xfId="0" applyFont="1" applyFill="1" applyBorder="1" applyAlignment="1" applyProtection="1">
      <alignment vertical="center"/>
      <protection hidden="1"/>
    </xf>
    <xf numFmtId="0" fontId="12" fillId="9" borderId="81" xfId="0" applyFont="1" applyFill="1" applyBorder="1" applyProtection="1">
      <protection hidden="1"/>
    </xf>
    <xf numFmtId="0" fontId="12" fillId="9" borderId="81" xfId="0" applyFont="1" applyFill="1" applyBorder="1" applyAlignment="1" applyProtection="1">
      <protection hidden="1"/>
    </xf>
    <xf numFmtId="0" fontId="16" fillId="5" borderId="60" xfId="0" applyFont="1" applyFill="1" applyBorder="1" applyAlignment="1" applyProtection="1">
      <alignment vertical="center"/>
      <protection hidden="1"/>
    </xf>
    <xf numFmtId="0" fontId="13" fillId="4" borderId="0" xfId="0" applyFont="1" applyFill="1" applyBorder="1" applyAlignment="1" applyProtection="1">
      <alignment horizontal="center" vertical="center"/>
      <protection hidden="1"/>
    </xf>
    <xf numFmtId="0" fontId="12" fillId="4" borderId="8" xfId="0" applyFont="1" applyFill="1" applyBorder="1" applyAlignment="1" applyProtection="1">
      <alignment vertical="center"/>
      <protection hidden="1"/>
    </xf>
    <xf numFmtId="0" fontId="12" fillId="4" borderId="32" xfId="0" applyFont="1" applyFill="1" applyBorder="1" applyAlignment="1" applyProtection="1">
      <alignment vertical="center"/>
      <protection hidden="1"/>
    </xf>
    <xf numFmtId="0" fontId="12" fillId="4" borderId="8" xfId="0" applyFont="1" applyFill="1" applyBorder="1" applyAlignment="1" applyProtection="1">
      <alignment horizontal="left" vertical="center" indent="1"/>
      <protection hidden="1"/>
    </xf>
    <xf numFmtId="0" fontId="12" fillId="4" borderId="37" xfId="0" applyFont="1" applyFill="1" applyBorder="1" applyAlignment="1" applyProtection="1">
      <alignment horizontal="left" vertical="center" indent="1"/>
      <protection hidden="1"/>
    </xf>
    <xf numFmtId="0" fontId="13" fillId="4" borderId="10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178" fontId="13" fillId="9" borderId="16" xfId="0" applyNumberFormat="1" applyFont="1" applyFill="1" applyBorder="1" applyAlignment="1" applyProtection="1">
      <alignment vertical="center"/>
      <protection hidden="1"/>
    </xf>
    <xf numFmtId="0" fontId="12" fillId="4" borderId="57" xfId="0" applyFont="1" applyFill="1" applyBorder="1" applyAlignment="1" applyProtection="1">
      <protection hidden="1"/>
    </xf>
    <xf numFmtId="184" fontId="12" fillId="9" borderId="47" xfId="0" applyNumberFormat="1" applyFont="1" applyFill="1" applyBorder="1" applyAlignment="1" applyProtection="1">
      <alignment vertical="center"/>
      <protection hidden="1"/>
    </xf>
    <xf numFmtId="171" fontId="13" fillId="5" borderId="10" xfId="0" applyNumberFormat="1" applyFont="1" applyFill="1" applyBorder="1" applyAlignment="1" applyProtection="1">
      <alignment horizontal="center" vertical="center"/>
      <protection hidden="1"/>
    </xf>
    <xf numFmtId="171" fontId="12" fillId="5" borderId="0" xfId="0" applyNumberFormat="1" applyFont="1" applyFill="1" applyBorder="1" applyProtection="1">
      <protection hidden="1"/>
    </xf>
    <xf numFmtId="164" fontId="12" fillId="5" borderId="84" xfId="0" applyNumberFormat="1" applyFont="1" applyFill="1" applyBorder="1" applyAlignment="1" applyProtection="1">
      <alignment vertical="center"/>
      <protection hidden="1"/>
    </xf>
    <xf numFmtId="0" fontId="12" fillId="5" borderId="84" xfId="0" applyFont="1" applyFill="1" applyBorder="1" applyAlignment="1" applyProtection="1">
      <alignment vertical="center"/>
      <protection hidden="1"/>
    </xf>
    <xf numFmtId="0" fontId="13" fillId="9" borderId="44" xfId="0" applyFont="1" applyFill="1" applyBorder="1" applyAlignment="1" applyProtection="1">
      <alignment horizontal="left" vertical="center" indent="1"/>
      <protection hidden="1"/>
    </xf>
    <xf numFmtId="178" fontId="13" fillId="9" borderId="53" xfId="0" applyNumberFormat="1" applyFont="1" applyFill="1" applyBorder="1" applyAlignment="1" applyProtection="1">
      <alignment vertical="center"/>
      <protection hidden="1"/>
    </xf>
    <xf numFmtId="0" fontId="12" fillId="3" borderId="19" xfId="0" applyFont="1" applyFill="1" applyBorder="1" applyAlignment="1" applyProtection="1">
      <protection hidden="1"/>
    </xf>
    <xf numFmtId="0" fontId="13" fillId="3" borderId="8" xfId="0" applyFont="1" applyFill="1" applyBorder="1" applyProtection="1">
      <protection hidden="1"/>
    </xf>
    <xf numFmtId="0" fontId="12" fillId="3" borderId="8" xfId="0" applyFont="1" applyFill="1" applyBorder="1" applyProtection="1">
      <protection hidden="1"/>
    </xf>
    <xf numFmtId="0" fontId="12" fillId="3" borderId="32" xfId="0" applyFont="1" applyFill="1" applyBorder="1" applyProtection="1">
      <protection hidden="1"/>
    </xf>
    <xf numFmtId="0" fontId="12" fillId="5" borderId="0" xfId="12" applyFont="1" applyFill="1" applyBorder="1" applyProtection="1">
      <protection hidden="1"/>
    </xf>
    <xf numFmtId="0" fontId="15" fillId="0" borderId="0" xfId="0" applyFont="1" applyAlignment="1" applyProtection="1">
      <alignment horizontal="left" vertical="center" indent="1"/>
      <protection hidden="1"/>
    </xf>
    <xf numFmtId="174" fontId="13" fillId="0" borderId="0" xfId="5" applyNumberFormat="1" applyFont="1" applyFill="1" applyBorder="1" applyAlignment="1" applyProtection="1">
      <alignment horizontal="center" vertical="top" wrapText="1"/>
      <protection hidden="1"/>
    </xf>
    <xf numFmtId="0" fontId="13" fillId="0" borderId="8" xfId="12" applyFont="1" applyBorder="1" applyAlignment="1" applyProtection="1">
      <alignment horizontal="center" vertical="center"/>
      <protection hidden="1"/>
    </xf>
    <xf numFmtId="0" fontId="14" fillId="0" borderId="0" xfId="11" applyNumberFormat="1" applyFont="1" applyFill="1" applyBorder="1" applyAlignment="1" applyProtection="1">
      <protection hidden="1"/>
    </xf>
    <xf numFmtId="0" fontId="14" fillId="0" borderId="0" xfId="12" applyNumberFormat="1" applyFont="1" applyFill="1" applyBorder="1" applyAlignment="1" applyProtection="1">
      <protection hidden="1"/>
    </xf>
    <xf numFmtId="0" fontId="14" fillId="0" borderId="0" xfId="8" applyNumberFormat="1" applyFont="1" applyBorder="1" applyAlignment="1" applyProtection="1">
      <alignment horizontal="left" indent="1"/>
      <protection hidden="1"/>
    </xf>
    <xf numFmtId="0" fontId="13" fillId="7" borderId="0" xfId="0" applyFont="1" applyFill="1" applyBorder="1" applyAlignment="1" applyProtection="1">
      <alignment horizontal="center" vertical="center" wrapText="1"/>
      <protection hidden="1"/>
    </xf>
    <xf numFmtId="0" fontId="24" fillId="7" borderId="0" xfId="0" applyFont="1" applyFill="1" applyBorder="1" applyAlignment="1" applyProtection="1">
      <alignment horizontal="center" vertical="top" wrapText="1"/>
      <protection hidden="1"/>
    </xf>
    <xf numFmtId="0" fontId="12" fillId="7" borderId="55" xfId="4" applyFont="1" applyFill="1" applyBorder="1" applyProtection="1">
      <protection hidden="1"/>
    </xf>
    <xf numFmtId="0" fontId="24" fillId="7" borderId="81" xfId="0" applyFont="1" applyFill="1" applyBorder="1" applyAlignment="1" applyProtection="1">
      <alignment horizontal="center" vertical="top" wrapText="1"/>
      <protection hidden="1"/>
    </xf>
    <xf numFmtId="0" fontId="13" fillId="7" borderId="6" xfId="0" applyFont="1" applyFill="1" applyBorder="1" applyAlignment="1" applyProtection="1">
      <alignment horizontal="center" vertical="center" wrapText="1"/>
      <protection hidden="1"/>
    </xf>
    <xf numFmtId="178" fontId="13" fillId="7" borderId="15" xfId="4" applyNumberFormat="1" applyFont="1" applyFill="1" applyBorder="1" applyAlignment="1" applyProtection="1">
      <alignment vertical="center"/>
      <protection hidden="1"/>
    </xf>
    <xf numFmtId="0" fontId="12" fillId="7" borderId="5" xfId="0" applyFont="1" applyFill="1" applyBorder="1" applyAlignment="1" applyProtection="1">
      <alignment horizontal="center" vertical="top" wrapText="1"/>
      <protection hidden="1"/>
    </xf>
    <xf numFmtId="175" fontId="12" fillId="7" borderId="86" xfId="4" applyNumberFormat="1" applyFont="1" applyFill="1" applyBorder="1" applyAlignment="1" applyProtection="1">
      <alignment vertical="center"/>
      <protection hidden="1"/>
    </xf>
    <xf numFmtId="175" fontId="13" fillId="7" borderId="60" xfId="4" applyNumberFormat="1" applyFont="1" applyFill="1" applyBorder="1" applyAlignment="1" applyProtection="1">
      <alignment vertical="center"/>
      <protection hidden="1"/>
    </xf>
    <xf numFmtId="175" fontId="12" fillId="7" borderId="6" xfId="4" applyNumberFormat="1" applyFont="1" applyFill="1" applyBorder="1" applyAlignment="1" applyProtection="1">
      <alignment vertical="center"/>
      <protection hidden="1"/>
    </xf>
    <xf numFmtId="175" fontId="13" fillId="7" borderId="6" xfId="4" applyNumberFormat="1" applyFont="1" applyFill="1" applyBorder="1" applyAlignment="1" applyProtection="1">
      <alignment vertical="center"/>
      <protection hidden="1"/>
    </xf>
    <xf numFmtId="178" fontId="13" fillId="7" borderId="70" xfId="4" applyNumberFormat="1" applyFont="1" applyFill="1" applyBorder="1" applyAlignment="1" applyProtection="1">
      <alignment vertical="center"/>
      <protection hidden="1"/>
    </xf>
    <xf numFmtId="175" fontId="12" fillId="7" borderId="44" xfId="4" applyNumberFormat="1" applyFont="1" applyFill="1" applyBorder="1" applyAlignment="1" applyProtection="1">
      <alignment vertical="center"/>
      <protection hidden="1"/>
    </xf>
    <xf numFmtId="175" fontId="12" fillId="7" borderId="18" xfId="4" applyNumberFormat="1" applyFont="1" applyFill="1" applyBorder="1" applyAlignment="1" applyProtection="1">
      <alignment vertical="center"/>
      <protection hidden="1"/>
    </xf>
    <xf numFmtId="175" fontId="12" fillId="7" borderId="69" xfId="4" applyNumberFormat="1" applyFont="1" applyFill="1" applyBorder="1" applyAlignment="1" applyProtection="1">
      <alignment vertical="center"/>
      <protection hidden="1"/>
    </xf>
    <xf numFmtId="185" fontId="13" fillId="5" borderId="11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5" borderId="12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5" borderId="13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5" borderId="14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5" borderId="16" xfId="0" quotePrefix="1" applyNumberFormat="1" applyFont="1" applyFill="1" applyBorder="1" applyAlignment="1" applyProtection="1">
      <alignment horizontal="center" vertical="center" wrapText="1"/>
      <protection hidden="1"/>
    </xf>
    <xf numFmtId="0" fontId="12" fillId="7" borderId="6" xfId="4" applyNumberFormat="1" applyFont="1" applyFill="1" applyBorder="1" applyAlignment="1" applyProtection="1">
      <alignment vertical="center"/>
      <protection hidden="1"/>
    </xf>
    <xf numFmtId="0" fontId="12" fillId="7" borderId="6" xfId="4" applyNumberFormat="1" applyFont="1" applyFill="1" applyBorder="1" applyAlignment="1" applyProtection="1">
      <protection hidden="1"/>
    </xf>
    <xf numFmtId="175" fontId="13" fillId="7" borderId="46" xfId="4" applyNumberFormat="1" applyFont="1" applyFill="1" applyBorder="1" applyAlignment="1" applyProtection="1">
      <alignment vertical="center"/>
      <protection hidden="1"/>
    </xf>
    <xf numFmtId="0" fontId="12" fillId="0" borderId="0" xfId="5" applyNumberFormat="1" applyFont="1" applyFill="1" applyBorder="1" applyAlignment="1" applyProtection="1">
      <protection hidden="1"/>
    </xf>
    <xf numFmtId="185" fontId="13" fillId="3" borderId="13" xfId="0" quotePrefix="1" applyNumberFormat="1" applyFont="1" applyFill="1" applyBorder="1" applyAlignment="1" applyProtection="1">
      <alignment horizontal="center" vertical="center"/>
      <protection hidden="1"/>
    </xf>
    <xf numFmtId="185" fontId="13" fillId="3" borderId="11" xfId="0" quotePrefix="1" applyNumberFormat="1" applyFont="1" applyFill="1" applyBorder="1" applyAlignment="1" applyProtection="1">
      <alignment horizontal="center" vertical="center"/>
      <protection hidden="1"/>
    </xf>
    <xf numFmtId="185" fontId="13" fillId="3" borderId="14" xfId="0" quotePrefix="1" applyNumberFormat="1" applyFont="1" applyFill="1" applyBorder="1" applyAlignment="1" applyProtection="1">
      <alignment horizontal="center" vertical="center"/>
      <protection hidden="1"/>
    </xf>
    <xf numFmtId="185" fontId="13" fillId="4" borderId="62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4" borderId="14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2" borderId="60" xfId="0" quotePrefix="1" applyNumberFormat="1" applyFont="1" applyFill="1" applyBorder="1" applyAlignment="1" applyProtection="1">
      <alignment horizontal="center" vertical="center"/>
      <protection hidden="1"/>
    </xf>
    <xf numFmtId="185" fontId="13" fillId="2" borderId="13" xfId="0" quotePrefix="1" applyNumberFormat="1" applyFont="1" applyFill="1" applyBorder="1" applyAlignment="1" applyProtection="1">
      <alignment horizontal="center" vertical="center"/>
      <protection hidden="1"/>
    </xf>
    <xf numFmtId="185" fontId="13" fillId="2" borderId="11" xfId="0" quotePrefix="1" applyNumberFormat="1" applyFont="1" applyFill="1" applyBorder="1" applyAlignment="1" applyProtection="1">
      <alignment horizontal="center" vertical="center"/>
      <protection hidden="1"/>
    </xf>
    <xf numFmtId="185" fontId="13" fillId="2" borderId="62" xfId="0" quotePrefix="1" applyNumberFormat="1" applyFont="1" applyFill="1" applyBorder="1" applyAlignment="1" applyProtection="1">
      <alignment horizontal="center" vertical="center"/>
      <protection hidden="1"/>
    </xf>
    <xf numFmtId="185" fontId="13" fillId="2" borderId="16" xfId="0" quotePrefix="1" applyNumberFormat="1" applyFont="1" applyFill="1" applyBorder="1" applyAlignment="1" applyProtection="1">
      <alignment horizontal="center" vertical="center"/>
      <protection hidden="1"/>
    </xf>
    <xf numFmtId="185" fontId="13" fillId="2" borderId="14" xfId="0" quotePrefix="1" applyNumberFormat="1" applyFont="1" applyFill="1" applyBorder="1" applyAlignment="1" applyProtection="1">
      <alignment horizontal="center" vertical="center"/>
      <protection hidden="1"/>
    </xf>
    <xf numFmtId="185" fontId="13" fillId="2" borderId="15" xfId="0" quotePrefix="1" applyNumberFormat="1" applyFont="1" applyFill="1" applyBorder="1" applyAlignment="1" applyProtection="1">
      <alignment horizontal="center" vertical="center"/>
      <protection hidden="1"/>
    </xf>
    <xf numFmtId="185" fontId="13" fillId="3" borderId="62" xfId="0" quotePrefix="1" applyNumberFormat="1" applyFont="1" applyFill="1" applyBorder="1" applyAlignment="1" applyProtection="1">
      <alignment horizontal="center" vertical="center"/>
      <protection hidden="1"/>
    </xf>
    <xf numFmtId="185" fontId="13" fillId="5" borderId="16" xfId="0" quotePrefix="1" applyNumberFormat="1" applyFont="1" applyFill="1" applyBorder="1" applyAlignment="1" applyProtection="1">
      <alignment horizontal="center" vertical="center"/>
      <protection hidden="1"/>
    </xf>
    <xf numFmtId="185" fontId="13" fillId="5" borderId="15" xfId="0" quotePrefix="1" applyNumberFormat="1" applyFont="1" applyFill="1" applyBorder="1" applyAlignment="1" applyProtection="1">
      <alignment horizontal="center" vertical="center"/>
      <protection hidden="1"/>
    </xf>
    <xf numFmtId="0" fontId="15" fillId="0" borderId="0" xfId="14" applyFont="1" applyAlignment="1" applyProtection="1">
      <alignment vertical="center"/>
      <protection hidden="1"/>
    </xf>
    <xf numFmtId="0" fontId="14" fillId="0" borderId="0" xfId="14" applyFont="1" applyProtection="1">
      <protection hidden="1"/>
    </xf>
    <xf numFmtId="0" fontId="15" fillId="0" borderId="0" xfId="14" applyFont="1" applyFill="1" applyBorder="1" applyAlignment="1" applyProtection="1">
      <protection hidden="1"/>
    </xf>
    <xf numFmtId="0" fontId="14" fillId="0" borderId="0" xfId="14" applyNumberFormat="1" applyFont="1" applyFill="1" applyProtection="1">
      <protection hidden="1"/>
    </xf>
    <xf numFmtId="0" fontId="14" fillId="0" borderId="0" xfId="14" applyNumberFormat="1" applyFont="1" applyBorder="1" applyProtection="1">
      <protection hidden="1"/>
    </xf>
    <xf numFmtId="0" fontId="14" fillId="0" borderId="0" xfId="14" applyFont="1" applyFill="1" applyProtection="1">
      <protection hidden="1"/>
    </xf>
    <xf numFmtId="0" fontId="14" fillId="0" borderId="0" xfId="14" applyFont="1" applyBorder="1" applyAlignment="1" applyProtection="1">
      <protection hidden="1"/>
    </xf>
    <xf numFmtId="176" fontId="14" fillId="0" borderId="0" xfId="14" applyNumberFormat="1" applyFont="1" applyFill="1" applyAlignment="1" applyProtection="1">
      <alignment horizontal="center"/>
      <protection hidden="1"/>
    </xf>
    <xf numFmtId="171" fontId="14" fillId="0" borderId="0" xfId="14" applyNumberFormat="1" applyFont="1" applyFill="1" applyProtection="1">
      <protection hidden="1"/>
    </xf>
    <xf numFmtId="173" fontId="14" fillId="0" borderId="8" xfId="14" applyNumberFormat="1" applyFont="1" applyBorder="1" applyProtection="1">
      <protection hidden="1"/>
    </xf>
    <xf numFmtId="0" fontId="14" fillId="0" borderId="0" xfId="14" applyFont="1" applyFill="1" applyBorder="1" applyAlignment="1" applyProtection="1">
      <alignment horizontal="left" indent="1"/>
      <protection hidden="1"/>
    </xf>
    <xf numFmtId="168" fontId="14" fillId="0" borderId="32" xfId="14" applyNumberFormat="1" applyFont="1" applyBorder="1" applyAlignment="1" applyProtection="1">
      <alignment vertical="center"/>
      <protection hidden="1"/>
    </xf>
    <xf numFmtId="0" fontId="14" fillId="0" borderId="60" xfId="14" applyFont="1" applyFill="1" applyBorder="1" applyAlignment="1" applyProtection="1">
      <alignment horizontal="left" vertical="center" indent="1"/>
      <protection hidden="1"/>
    </xf>
    <xf numFmtId="176" fontId="14" fillId="0" borderId="11" xfId="14" applyNumberFormat="1" applyFont="1" applyFill="1" applyBorder="1" applyAlignment="1" applyProtection="1">
      <alignment horizontal="center" vertical="center"/>
      <protection hidden="1"/>
    </xf>
    <xf numFmtId="176" fontId="14" fillId="0" borderId="11" xfId="14" applyNumberFormat="1" applyFont="1" applyBorder="1" applyAlignment="1" applyProtection="1">
      <alignment horizontal="center" vertical="center"/>
      <protection hidden="1"/>
    </xf>
    <xf numFmtId="176" fontId="14" fillId="0" borderId="11" xfId="14" applyNumberFormat="1" applyFont="1" applyBorder="1" applyAlignment="1" applyProtection="1">
      <alignment horizontal="center"/>
      <protection hidden="1"/>
    </xf>
    <xf numFmtId="180" fontId="14" fillId="0" borderId="12" xfId="14" applyNumberFormat="1" applyFont="1" applyFill="1" applyBorder="1" applyAlignment="1" applyProtection="1">
      <alignment vertical="center"/>
      <protection hidden="1"/>
    </xf>
    <xf numFmtId="174" fontId="13" fillId="0" borderId="8" xfId="5" applyNumberFormat="1" applyFont="1" applyFill="1" applyBorder="1" applyAlignment="1" applyProtection="1">
      <alignment horizontal="center" vertical="top" wrapText="1"/>
      <protection hidden="1"/>
    </xf>
    <xf numFmtId="0" fontId="13" fillId="0" borderId="4" xfId="11" applyFont="1" applyBorder="1" applyAlignment="1" applyProtection="1">
      <alignment horizontal="center" vertical="center"/>
      <protection hidden="1"/>
    </xf>
    <xf numFmtId="0" fontId="14" fillId="0" borderId="0" xfId="14" applyFont="1" applyBorder="1" applyProtection="1">
      <protection hidden="1"/>
    </xf>
    <xf numFmtId="174" fontId="12" fillId="0" borderId="0" xfId="12" applyNumberFormat="1" applyFont="1" applyFill="1" applyBorder="1" applyAlignment="1" applyProtection="1"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3" fillId="12" borderId="0" xfId="0" applyFont="1" applyFill="1" applyBorder="1" applyAlignment="1" applyProtection="1">
      <alignment horizontal="center" vertical="center" wrapText="1"/>
      <protection hidden="1"/>
    </xf>
    <xf numFmtId="0" fontId="12" fillId="12" borderId="55" xfId="4" applyFont="1" applyFill="1" applyBorder="1" applyProtection="1">
      <protection hidden="1"/>
    </xf>
    <xf numFmtId="185" fontId="13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7" borderId="11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7" borderId="60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7" borderId="32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7" borderId="15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12" borderId="32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12" borderId="11" xfId="0" quotePrefix="1" applyNumberFormat="1" applyFont="1" applyFill="1" applyBorder="1" applyAlignment="1" applyProtection="1">
      <alignment horizontal="center" vertical="center" wrapText="1"/>
      <protection hidden="1"/>
    </xf>
    <xf numFmtId="185" fontId="13" fillId="12" borderId="60" xfId="0" quotePrefix="1" applyNumberFormat="1" applyFont="1" applyFill="1" applyBorder="1" applyAlignment="1" applyProtection="1">
      <alignment horizontal="center" vertical="center" wrapText="1"/>
      <protection hidden="1"/>
    </xf>
    <xf numFmtId="0" fontId="12" fillId="9" borderId="94" xfId="4" applyFont="1" applyFill="1" applyBorder="1" applyAlignment="1" applyProtection="1">
      <alignment vertical="top"/>
      <protection hidden="1"/>
    </xf>
    <xf numFmtId="0" fontId="13" fillId="5" borderId="82" xfId="0" applyNumberFormat="1" applyFont="1" applyFill="1" applyBorder="1" applyAlignment="1" applyProtection="1">
      <protection hidden="1"/>
    </xf>
    <xf numFmtId="0" fontId="12" fillId="9" borderId="81" xfId="4" applyFont="1" applyFill="1" applyBorder="1" applyAlignment="1" applyProtection="1">
      <alignment vertical="top"/>
      <protection hidden="1"/>
    </xf>
    <xf numFmtId="0" fontId="12" fillId="9" borderId="81" xfId="4" applyFont="1" applyFill="1" applyBorder="1" applyAlignment="1" applyProtection="1">
      <protection hidden="1"/>
    </xf>
    <xf numFmtId="0" fontId="12" fillId="13" borderId="79" xfId="4" applyFont="1" applyFill="1" applyBorder="1" applyAlignment="1" applyProtection="1">
      <protection hidden="1"/>
    </xf>
    <xf numFmtId="0" fontId="16" fillId="6" borderId="81" xfId="0" applyFont="1" applyFill="1" applyBorder="1" applyAlignment="1" applyProtection="1">
      <alignment vertical="center"/>
      <protection hidden="1"/>
    </xf>
    <xf numFmtId="0" fontId="16" fillId="6" borderId="81" xfId="0" applyFont="1" applyFill="1" applyBorder="1" applyAlignment="1" applyProtection="1">
      <protection hidden="1"/>
    </xf>
    <xf numFmtId="171" fontId="24" fillId="6" borderId="94" xfId="0" applyNumberFormat="1" applyFont="1" applyFill="1" applyBorder="1" applyAlignment="1" applyProtection="1">
      <alignment horizontal="center" vertical="top" wrapText="1"/>
      <protection hidden="1"/>
    </xf>
    <xf numFmtId="0" fontId="12" fillId="13" borderId="79" xfId="4" applyFont="1" applyFill="1" applyBorder="1" applyProtection="1">
      <protection hidden="1"/>
    </xf>
    <xf numFmtId="0" fontId="13" fillId="5" borderId="92" xfId="4" applyFont="1" applyFill="1" applyBorder="1" applyAlignment="1" applyProtection="1">
      <alignment horizontal="center" vertical="top"/>
      <protection hidden="1"/>
    </xf>
    <xf numFmtId="0" fontId="13" fillId="5" borderId="93" xfId="4" applyFont="1" applyFill="1" applyBorder="1" applyAlignment="1" applyProtection="1">
      <alignment horizontal="center" vertical="top"/>
      <protection hidden="1"/>
    </xf>
    <xf numFmtId="0" fontId="12" fillId="7" borderId="81" xfId="4" applyFont="1" applyFill="1" applyBorder="1" applyProtection="1">
      <protection hidden="1"/>
    </xf>
    <xf numFmtId="0" fontId="13" fillId="5" borderId="81" xfId="0" applyFont="1" applyFill="1" applyBorder="1" applyAlignment="1" applyProtection="1">
      <alignment horizontal="center" vertical="center" wrapText="1"/>
      <protection hidden="1"/>
    </xf>
    <xf numFmtId="0" fontId="13" fillId="5" borderId="81" xfId="0" applyFont="1" applyFill="1" applyBorder="1" applyAlignment="1" applyProtection="1">
      <alignment horizontal="center" vertical="top" wrapText="1"/>
      <protection hidden="1"/>
    </xf>
    <xf numFmtId="178" fontId="21" fillId="5" borderId="88" xfId="4" applyNumberFormat="1" applyFont="1" applyFill="1" applyBorder="1" applyAlignment="1" applyProtection="1">
      <alignment vertical="center"/>
      <protection hidden="1"/>
    </xf>
    <xf numFmtId="178" fontId="13" fillId="7" borderId="29" xfId="4" applyNumberFormat="1" applyFont="1" applyFill="1" applyBorder="1" applyAlignment="1" applyProtection="1">
      <alignment vertical="center"/>
      <protection hidden="1"/>
    </xf>
    <xf numFmtId="175" fontId="12" fillId="12" borderId="86" xfId="4" applyNumberFormat="1" applyFont="1" applyFill="1" applyBorder="1" applyAlignment="1" applyProtection="1">
      <alignment vertical="center"/>
      <protection hidden="1"/>
    </xf>
    <xf numFmtId="177" fontId="12" fillId="0" borderId="88" xfId="7" applyNumberFormat="1" applyFont="1" applyFill="1" applyBorder="1" applyAlignment="1" applyProtection="1">
      <alignment vertical="center"/>
      <protection locked="0"/>
    </xf>
    <xf numFmtId="0" fontId="12" fillId="7" borderId="93" xfId="4" applyNumberFormat="1" applyFont="1" applyFill="1" applyBorder="1" applyAlignment="1" applyProtection="1">
      <protection hidden="1"/>
    </xf>
    <xf numFmtId="0" fontId="12" fillId="9" borderId="81" xfId="4" applyFont="1" applyFill="1" applyBorder="1" applyProtection="1">
      <protection hidden="1"/>
    </xf>
    <xf numFmtId="0" fontId="12" fillId="13" borderId="40" xfId="4" applyFont="1" applyFill="1" applyBorder="1" applyProtection="1">
      <protection hidden="1"/>
    </xf>
    <xf numFmtId="171" fontId="25" fillId="11" borderId="94" xfId="0" applyNumberFormat="1" applyFont="1" applyFill="1" applyBorder="1" applyAlignment="1" applyProtection="1">
      <alignment horizontal="center" vertical="top" wrapText="1"/>
      <protection hidden="1"/>
    </xf>
    <xf numFmtId="0" fontId="26" fillId="12" borderId="81" xfId="0" applyFont="1" applyFill="1" applyBorder="1" applyAlignment="1" applyProtection="1">
      <alignment horizontal="center" vertical="top" wrapText="1"/>
      <protection hidden="1"/>
    </xf>
    <xf numFmtId="0" fontId="25" fillId="12" borderId="81" xfId="0" applyFont="1" applyFill="1" applyBorder="1" applyAlignment="1" applyProtection="1">
      <alignment horizontal="center" vertical="top" wrapText="1"/>
      <protection hidden="1"/>
    </xf>
    <xf numFmtId="175" fontId="13" fillId="12" borderId="0" xfId="4" applyNumberFormat="1" applyFont="1" applyFill="1" applyBorder="1" applyAlignment="1" applyProtection="1">
      <alignment vertical="center"/>
      <protection hidden="1"/>
    </xf>
    <xf numFmtId="185" fontId="13" fillId="12" borderId="14" xfId="0" quotePrefix="1" applyNumberFormat="1" applyFont="1" applyFill="1" applyBorder="1" applyAlignment="1" applyProtection="1">
      <alignment horizontal="center" vertical="center" wrapText="1"/>
      <protection hidden="1"/>
    </xf>
    <xf numFmtId="178" fontId="13" fillId="12" borderId="54" xfId="4" applyNumberFormat="1" applyFont="1" applyFill="1" applyBorder="1" applyAlignment="1" applyProtection="1">
      <alignment vertical="center"/>
      <protection hidden="1"/>
    </xf>
    <xf numFmtId="0" fontId="12" fillId="12" borderId="45" xfId="4" applyFont="1" applyFill="1" applyBorder="1" applyProtection="1">
      <protection hidden="1"/>
    </xf>
    <xf numFmtId="0" fontId="12" fillId="12" borderId="58" xfId="4" applyFont="1" applyFill="1" applyBorder="1" applyProtection="1">
      <protection hidden="1"/>
    </xf>
    <xf numFmtId="178" fontId="13" fillId="12" borderId="38" xfId="4" applyNumberFormat="1" applyFont="1" applyFill="1" applyBorder="1" applyAlignment="1" applyProtection="1">
      <alignment vertical="center"/>
      <protection hidden="1"/>
    </xf>
    <xf numFmtId="0" fontId="12" fillId="12" borderId="81" xfId="4" applyFont="1" applyFill="1" applyBorder="1" applyProtection="1">
      <protection hidden="1"/>
    </xf>
    <xf numFmtId="0" fontId="12" fillId="12" borderId="38" xfId="4" applyFont="1" applyFill="1" applyBorder="1" applyProtection="1">
      <protection hidden="1"/>
    </xf>
    <xf numFmtId="0" fontId="13" fillId="12" borderId="6" xfId="0" applyFont="1" applyFill="1" applyBorder="1" applyAlignment="1" applyProtection="1">
      <alignment horizontal="center" vertical="center" wrapText="1"/>
      <protection hidden="1"/>
    </xf>
    <xf numFmtId="178" fontId="13" fillId="12" borderId="6" xfId="4" applyNumberFormat="1" applyFont="1" applyFill="1" applyBorder="1" applyAlignment="1" applyProtection="1">
      <alignment vertical="center"/>
      <protection hidden="1"/>
    </xf>
    <xf numFmtId="175" fontId="12" fillId="12" borderId="44" xfId="4" applyNumberFormat="1" applyFont="1" applyFill="1" applyBorder="1" applyAlignment="1" applyProtection="1">
      <alignment vertical="center"/>
      <protection hidden="1"/>
    </xf>
    <xf numFmtId="175" fontId="12" fillId="12" borderId="18" xfId="4" applyNumberFormat="1" applyFont="1" applyFill="1" applyBorder="1" applyAlignment="1" applyProtection="1">
      <alignment vertical="center"/>
      <protection hidden="1"/>
    </xf>
    <xf numFmtId="175" fontId="12" fillId="12" borderId="69" xfId="4" applyNumberFormat="1" applyFont="1" applyFill="1" applyBorder="1" applyAlignment="1" applyProtection="1">
      <alignment vertical="center"/>
      <protection hidden="1"/>
    </xf>
    <xf numFmtId="0" fontId="12" fillId="12" borderId="46" xfId="4" applyFont="1" applyFill="1" applyBorder="1" applyProtection="1">
      <protection hidden="1"/>
    </xf>
    <xf numFmtId="0" fontId="12" fillId="12" borderId="23" xfId="4" applyNumberFormat="1" applyFont="1" applyFill="1" applyBorder="1" applyAlignment="1" applyProtection="1">
      <protection hidden="1"/>
    </xf>
    <xf numFmtId="0" fontId="12" fillId="12" borderId="6" xfId="4" applyNumberFormat="1" applyFont="1" applyFill="1" applyBorder="1" applyAlignment="1" applyProtection="1">
      <protection hidden="1"/>
    </xf>
    <xf numFmtId="178" fontId="12" fillId="12" borderId="31" xfId="4" applyNumberFormat="1" applyFont="1" applyFill="1" applyBorder="1" applyAlignment="1" applyProtection="1">
      <alignment vertical="center"/>
      <protection hidden="1"/>
    </xf>
    <xf numFmtId="175" fontId="12" fillId="7" borderId="31" xfId="4" applyNumberFormat="1" applyFont="1" applyFill="1" applyBorder="1" applyAlignment="1" applyProtection="1">
      <alignment vertical="center"/>
      <protection hidden="1"/>
    </xf>
    <xf numFmtId="0" fontId="22" fillId="9" borderId="0" xfId="0" applyFont="1" applyFill="1" applyBorder="1" applyAlignment="1" applyProtection="1">
      <protection hidden="1"/>
    </xf>
    <xf numFmtId="0" fontId="12" fillId="14" borderId="0" xfId="4" applyFont="1" applyFill="1" applyProtection="1">
      <protection hidden="1"/>
    </xf>
    <xf numFmtId="0" fontId="12" fillId="14" borderId="0" xfId="4" applyFont="1" applyFill="1" applyBorder="1" applyProtection="1">
      <protection hidden="1"/>
    </xf>
    <xf numFmtId="0" fontId="12" fillId="14" borderId="0" xfId="4" applyFont="1" applyFill="1" applyAlignment="1" applyProtection="1">
      <alignment vertical="top"/>
      <protection hidden="1"/>
    </xf>
    <xf numFmtId="0" fontId="12" fillId="14" borderId="0" xfId="4" applyFont="1" applyFill="1" applyAlignment="1" applyProtection="1">
      <protection hidden="1"/>
    </xf>
    <xf numFmtId="169" fontId="12" fillId="14" borderId="0" xfId="0" applyNumberFormat="1" applyFont="1" applyFill="1" applyBorder="1" applyAlignment="1" applyProtection="1">
      <alignment vertical="center"/>
      <protection hidden="1"/>
    </xf>
    <xf numFmtId="169" fontId="12" fillId="14" borderId="0" xfId="0" applyNumberFormat="1" applyFont="1" applyFill="1" applyBorder="1" applyProtection="1">
      <protection hidden="1"/>
    </xf>
    <xf numFmtId="0" fontId="12" fillId="14" borderId="0" xfId="0" applyFont="1" applyFill="1" applyBorder="1" applyProtection="1">
      <protection hidden="1"/>
    </xf>
    <xf numFmtId="0" fontId="12" fillId="14" borderId="0" xfId="0" applyFont="1" applyFill="1" applyProtection="1">
      <protection hidden="1"/>
    </xf>
    <xf numFmtId="0" fontId="13" fillId="14" borderId="0" xfId="0" applyFont="1" applyFill="1" applyAlignment="1" applyProtection="1">
      <alignment vertical="top" wrapText="1"/>
      <protection hidden="1"/>
    </xf>
    <xf numFmtId="0" fontId="12" fillId="14" borderId="0" xfId="0" applyFont="1" applyFill="1" applyAlignment="1" applyProtection="1">
      <protection hidden="1"/>
    </xf>
    <xf numFmtId="0" fontId="12" fillId="14" borderId="0" xfId="0" applyFont="1" applyFill="1" applyBorder="1" applyAlignment="1" applyProtection="1">
      <protection hidden="1"/>
    </xf>
    <xf numFmtId="0" fontId="12" fillId="14" borderId="0" xfId="9" applyFont="1" applyFill="1" applyProtection="1">
      <protection hidden="1"/>
    </xf>
    <xf numFmtId="0" fontId="12" fillId="14" borderId="0" xfId="9" applyFont="1" applyFill="1" applyAlignment="1" applyProtection="1">
      <alignment vertical="top"/>
      <protection hidden="1"/>
    </xf>
    <xf numFmtId="0" fontId="12" fillId="14" borderId="0" xfId="9" applyFont="1" applyFill="1" applyAlignment="1" applyProtection="1">
      <alignment vertical="center"/>
      <protection hidden="1"/>
    </xf>
    <xf numFmtId="0" fontId="12" fillId="14" borderId="0" xfId="0" applyNumberFormat="1" applyFont="1" applyFill="1" applyAlignment="1" applyProtection="1">
      <protection hidden="1"/>
    </xf>
    <xf numFmtId="0" fontId="12" fillId="14" borderId="0" xfId="0" applyFont="1" applyFill="1" applyAlignment="1" applyProtection="1">
      <alignment vertical="center"/>
      <protection hidden="1"/>
    </xf>
    <xf numFmtId="0" fontId="12" fillId="14" borderId="0" xfId="0" applyNumberFormat="1" applyFont="1" applyFill="1" applyBorder="1" applyProtection="1">
      <protection hidden="1"/>
    </xf>
    <xf numFmtId="171" fontId="12" fillId="14" borderId="0" xfId="0" applyNumberFormat="1" applyFont="1" applyFill="1" applyProtection="1">
      <protection hidden="1"/>
    </xf>
    <xf numFmtId="0" fontId="12" fillId="14" borderId="0" xfId="0" applyFont="1" applyFill="1" applyAlignment="1" applyProtection="1">
      <alignment vertical="top"/>
      <protection hidden="1"/>
    </xf>
    <xf numFmtId="0" fontId="14" fillId="0" borderId="11" xfId="14" applyNumberFormat="1" applyFont="1" applyFill="1" applyBorder="1" applyAlignment="1" applyProtection="1">
      <protection hidden="1"/>
    </xf>
    <xf numFmtId="178" fontId="13" fillId="9" borderId="60" xfId="0" applyNumberFormat="1" applyFont="1" applyFill="1" applyBorder="1" applyAlignment="1" applyProtection="1">
      <alignment vertical="center"/>
      <protection hidden="1"/>
    </xf>
    <xf numFmtId="0" fontId="12" fillId="5" borderId="79" xfId="0" applyFont="1" applyFill="1" applyBorder="1" applyAlignment="1" applyProtection="1">
      <protection hidden="1"/>
    </xf>
    <xf numFmtId="176" fontId="14" fillId="0" borderId="14" xfId="14" applyNumberFormat="1" applyFont="1" applyBorder="1" applyAlignment="1" applyProtection="1">
      <alignment horizontal="center"/>
      <protection hidden="1"/>
    </xf>
    <xf numFmtId="178" fontId="13" fillId="9" borderId="14" xfId="0" applyNumberFormat="1" applyFont="1" applyFill="1" applyBorder="1" applyAlignment="1" applyProtection="1">
      <alignment vertical="center"/>
      <protection hidden="1"/>
    </xf>
    <xf numFmtId="0" fontId="12" fillId="10" borderId="0" xfId="0" applyFont="1" applyFill="1" applyBorder="1" applyAlignment="1" applyProtection="1">
      <alignment horizontal="left" indent="2"/>
      <protection hidden="1"/>
    </xf>
    <xf numFmtId="0" fontId="13" fillId="5" borderId="97" xfId="0" applyNumberFormat="1" applyFont="1" applyFill="1" applyBorder="1" applyAlignment="1" applyProtection="1">
      <protection hidden="1"/>
    </xf>
    <xf numFmtId="0" fontId="12" fillId="9" borderId="84" xfId="0" applyFont="1" applyFill="1" applyBorder="1" applyProtection="1">
      <protection hidden="1"/>
    </xf>
    <xf numFmtId="0" fontId="13" fillId="9" borderId="44" xfId="5" applyNumberFormat="1" applyFont="1" applyFill="1" applyBorder="1" applyAlignment="1" applyProtection="1">
      <alignment horizontal="left" vertical="center" indent="1"/>
      <protection hidden="1"/>
    </xf>
    <xf numFmtId="0" fontId="13" fillId="9" borderId="69" xfId="5" applyNumberFormat="1" applyFont="1" applyFill="1" applyBorder="1" applyAlignment="1" applyProtection="1">
      <alignment horizontal="left" vertical="center" indent="1"/>
      <protection hidden="1"/>
    </xf>
    <xf numFmtId="0" fontId="29" fillId="9" borderId="28" xfId="0" applyFont="1" applyFill="1" applyBorder="1" applyAlignment="1" applyProtection="1">
      <alignment horizontal="left" vertical="center" indent="1"/>
      <protection hidden="1"/>
    </xf>
    <xf numFmtId="173" fontId="11" fillId="0" borderId="46" xfId="0" applyNumberFormat="1" applyFont="1" applyFill="1" applyBorder="1" applyAlignment="1" applyProtection="1">
      <alignment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3" borderId="9" xfId="0" applyFont="1" applyFill="1" applyBorder="1" applyAlignment="1" applyProtection="1">
      <alignment horizontal="center" vertical="center"/>
      <protection hidden="1"/>
    </xf>
    <xf numFmtId="185" fontId="13" fillId="3" borderId="15" xfId="0" quotePrefix="1" applyNumberFormat="1" applyFont="1" applyFill="1" applyBorder="1" applyAlignment="1" applyProtection="1">
      <alignment horizontal="center" vertical="center"/>
      <protection hidden="1"/>
    </xf>
    <xf numFmtId="0" fontId="14" fillId="0" borderId="0" xfId="14" applyNumberFormat="1" applyFont="1" applyAlignment="1" applyProtection="1">
      <protection hidden="1"/>
    </xf>
    <xf numFmtId="173" fontId="14" fillId="0" borderId="14" xfId="14" applyNumberFormat="1" applyFont="1" applyBorder="1" applyAlignment="1" applyProtection="1">
      <alignment vertical="center"/>
      <protection hidden="1"/>
    </xf>
    <xf numFmtId="174" fontId="13" fillId="0" borderId="4" xfId="5" applyNumberFormat="1" applyFont="1" applyFill="1" applyBorder="1" applyAlignment="1" applyProtection="1">
      <alignment horizontal="center" vertical="top" wrapText="1"/>
      <protection hidden="1"/>
    </xf>
    <xf numFmtId="0" fontId="12" fillId="4" borderId="37" xfId="12" applyFont="1" applyFill="1" applyBorder="1" applyAlignment="1" applyProtection="1">
      <alignment horizontal="left" vertical="center" indent="1"/>
      <protection hidden="1"/>
    </xf>
    <xf numFmtId="0" fontId="12" fillId="10" borderId="0" xfId="9" applyFont="1" applyFill="1" applyBorder="1" applyProtection="1">
      <protection hidden="1"/>
    </xf>
    <xf numFmtId="178" fontId="13" fillId="9" borderId="89" xfId="9" applyNumberFormat="1" applyFont="1" applyFill="1" applyBorder="1" applyAlignment="1" applyProtection="1">
      <alignment vertical="center"/>
      <protection hidden="1"/>
    </xf>
    <xf numFmtId="178" fontId="13" fillId="9" borderId="98" xfId="9" applyNumberFormat="1" applyFont="1" applyFill="1" applyBorder="1" applyAlignment="1" applyProtection="1">
      <alignment vertical="center"/>
      <protection hidden="1"/>
    </xf>
    <xf numFmtId="0" fontId="12" fillId="3" borderId="8" xfId="0" applyFont="1" applyFill="1" applyBorder="1" applyAlignment="1" applyProtection="1">
      <protection hidden="1"/>
    </xf>
    <xf numFmtId="0" fontId="13" fillId="3" borderId="8" xfId="0" applyFont="1" applyFill="1" applyBorder="1" applyAlignment="1" applyProtection="1">
      <alignment horizontal="center" vertical="center"/>
      <protection hidden="1"/>
    </xf>
    <xf numFmtId="0" fontId="13" fillId="4" borderId="99" xfId="0" applyFont="1" applyFill="1" applyBorder="1" applyAlignment="1" applyProtection="1">
      <alignment horizontal="right"/>
      <protection hidden="1"/>
    </xf>
    <xf numFmtId="0" fontId="13" fillId="4" borderId="95" xfId="0" applyFont="1" applyFill="1" applyBorder="1" applyAlignment="1" applyProtection="1">
      <alignment horizontal="right"/>
      <protection hidden="1"/>
    </xf>
    <xf numFmtId="0" fontId="12" fillId="4" borderId="79" xfId="0" applyFont="1" applyFill="1" applyBorder="1" applyAlignment="1" applyProtection="1">
      <alignment vertical="top"/>
      <protection hidden="1"/>
    </xf>
    <xf numFmtId="0" fontId="12" fillId="4" borderId="79" xfId="0" applyFont="1" applyFill="1" applyBorder="1" applyAlignment="1" applyProtection="1">
      <alignment horizontal="right"/>
      <protection hidden="1"/>
    </xf>
    <xf numFmtId="0" fontId="13" fillId="4" borderId="79" xfId="0" applyFont="1" applyFill="1" applyBorder="1" applyAlignment="1" applyProtection="1">
      <alignment horizontal="center" vertical="center" wrapText="1"/>
      <protection hidden="1"/>
    </xf>
    <xf numFmtId="185" fontId="13" fillId="4" borderId="79" xfId="0" quotePrefix="1" applyNumberFormat="1" applyFont="1" applyFill="1" applyBorder="1" applyAlignment="1" applyProtection="1">
      <alignment horizontal="center" vertical="center" wrapText="1"/>
      <protection hidden="1"/>
    </xf>
    <xf numFmtId="180" fontId="12" fillId="9" borderId="79" xfId="0" applyNumberFormat="1" applyFont="1" applyFill="1" applyBorder="1" applyAlignment="1" applyProtection="1">
      <alignment vertical="center"/>
      <protection hidden="1"/>
    </xf>
    <xf numFmtId="0" fontId="13" fillId="4" borderId="79" xfId="0" applyFont="1" applyFill="1" applyBorder="1" applyAlignment="1" applyProtection="1">
      <alignment vertical="center"/>
      <protection hidden="1"/>
    </xf>
    <xf numFmtId="0" fontId="13" fillId="4" borderId="21" xfId="0" applyFont="1" applyFill="1" applyBorder="1" applyAlignment="1" applyProtection="1">
      <alignment horizontal="center" vertical="top"/>
      <protection hidden="1"/>
    </xf>
    <xf numFmtId="185" fontId="13" fillId="4" borderId="15" xfId="0" quotePrefix="1" applyNumberFormat="1" applyFont="1" applyFill="1" applyBorder="1" applyAlignment="1" applyProtection="1">
      <alignment horizontal="center" vertical="center" wrapText="1"/>
      <protection hidden="1"/>
    </xf>
    <xf numFmtId="180" fontId="12" fillId="9" borderId="21" xfId="0" applyNumberFormat="1" applyFont="1" applyFill="1" applyBorder="1" applyAlignment="1" applyProtection="1">
      <alignment vertical="center"/>
      <protection hidden="1"/>
    </xf>
    <xf numFmtId="183" fontId="12" fillId="9" borderId="79" xfId="0" applyNumberFormat="1" applyFont="1" applyFill="1" applyBorder="1" applyAlignment="1" applyProtection="1">
      <alignment vertical="center"/>
      <protection hidden="1"/>
    </xf>
    <xf numFmtId="168" fontId="12" fillId="9" borderId="0" xfId="0" applyNumberFormat="1" applyFont="1" applyFill="1" applyBorder="1" applyAlignment="1" applyProtection="1">
      <protection hidden="1"/>
    </xf>
    <xf numFmtId="0" fontId="12" fillId="9" borderId="0" xfId="0" applyFont="1" applyFill="1" applyBorder="1" applyAlignment="1" applyProtection="1">
      <alignment wrapText="1"/>
      <protection hidden="1"/>
    </xf>
    <xf numFmtId="0" fontId="13" fillId="9" borderId="52" xfId="0" applyFont="1" applyFill="1" applyBorder="1" applyAlignment="1" applyProtection="1">
      <alignment horizontal="left" vertical="center" indent="1"/>
      <protection hidden="1"/>
    </xf>
    <xf numFmtId="0" fontId="12" fillId="9" borderId="14" xfId="0" applyFont="1" applyFill="1" applyBorder="1" applyProtection="1">
      <protection hidden="1"/>
    </xf>
    <xf numFmtId="0" fontId="12" fillId="9" borderId="11" xfId="0" applyFont="1" applyFill="1" applyBorder="1" applyProtection="1">
      <protection hidden="1"/>
    </xf>
    <xf numFmtId="0" fontId="12" fillId="9" borderId="13" xfId="0" applyFont="1" applyFill="1" applyBorder="1" applyProtection="1">
      <protection hidden="1"/>
    </xf>
    <xf numFmtId="0" fontId="12" fillId="9" borderId="48" xfId="0" applyFont="1" applyFill="1" applyBorder="1" applyAlignment="1" applyProtection="1">
      <alignment horizontal="center" vertical="center"/>
      <protection hidden="1"/>
    </xf>
    <xf numFmtId="0" fontId="13" fillId="3" borderId="10" xfId="0" applyFont="1" applyFill="1" applyBorder="1" applyAlignment="1" applyProtection="1">
      <alignment horizontal="center" vertical="center"/>
      <protection hidden="1"/>
    </xf>
    <xf numFmtId="185" fontId="13" fillId="3" borderId="16" xfId="0" quotePrefix="1" applyNumberFormat="1" applyFont="1" applyFill="1" applyBorder="1" applyAlignment="1" applyProtection="1">
      <alignment horizontal="center" vertical="center"/>
      <protection hidden="1"/>
    </xf>
    <xf numFmtId="169" fontId="12" fillId="2" borderId="10" xfId="0" applyNumberFormat="1" applyFont="1" applyFill="1" applyBorder="1" applyAlignment="1" applyProtection="1">
      <alignment vertical="center"/>
      <protection hidden="1"/>
    </xf>
    <xf numFmtId="178" fontId="13" fillId="9" borderId="56" xfId="0" applyNumberFormat="1" applyFont="1" applyFill="1" applyBorder="1" applyAlignment="1" applyProtection="1">
      <alignment vertical="center"/>
      <protection hidden="1"/>
    </xf>
    <xf numFmtId="0" fontId="12" fillId="3" borderId="10" xfId="0" applyFont="1" applyFill="1" applyBorder="1" applyAlignment="1" applyProtection="1">
      <protection hidden="1"/>
    </xf>
    <xf numFmtId="168" fontId="12" fillId="3" borderId="9" xfId="0" applyNumberFormat="1" applyFont="1" applyFill="1" applyBorder="1" applyProtection="1">
      <protection hidden="1"/>
    </xf>
    <xf numFmtId="0" fontId="13" fillId="9" borderId="9" xfId="0" applyFont="1" applyFill="1" applyBorder="1" applyAlignment="1" applyProtection="1">
      <alignment vertical="top" wrapText="1"/>
      <protection hidden="1"/>
    </xf>
    <xf numFmtId="0" fontId="12" fillId="10" borderId="0" xfId="0" applyFont="1" applyFill="1" applyBorder="1" applyAlignment="1" applyProtection="1">
      <alignment vertical="top"/>
      <protection hidden="1"/>
    </xf>
    <xf numFmtId="168" fontId="12" fillId="3" borderId="4" xfId="0" applyNumberFormat="1" applyFont="1" applyFill="1" applyBorder="1" applyProtection="1">
      <protection hidden="1"/>
    </xf>
    <xf numFmtId="178" fontId="13" fillId="9" borderId="29" xfId="0" applyNumberFormat="1" applyFont="1" applyFill="1" applyBorder="1" applyAlignment="1" applyProtection="1">
      <alignment vertical="center"/>
      <protection hidden="1"/>
    </xf>
    <xf numFmtId="0" fontId="12" fillId="3" borderId="19" xfId="0" applyFont="1" applyFill="1" applyBorder="1" applyProtection="1">
      <protection hidden="1"/>
    </xf>
    <xf numFmtId="168" fontId="13" fillId="3" borderId="20" xfId="0" applyNumberFormat="1" applyFont="1" applyFill="1" applyBorder="1" applyAlignment="1" applyProtection="1">
      <alignment horizontal="center" vertical="top"/>
      <protection hidden="1"/>
    </xf>
    <xf numFmtId="0" fontId="13" fillId="2" borderId="21" xfId="0" applyFont="1" applyFill="1" applyBorder="1" applyAlignment="1" applyProtection="1">
      <alignment horizontal="center" vertical="top"/>
      <protection hidden="1"/>
    </xf>
    <xf numFmtId="3" fontId="15" fillId="0" borderId="9" xfId="14" applyNumberFormat="1" applyFont="1" applyFill="1" applyBorder="1" applyAlignment="1" applyProtection="1">
      <alignment horizontal="center" vertical="center"/>
      <protection hidden="1"/>
    </xf>
    <xf numFmtId="0" fontId="12" fillId="9" borderId="0" xfId="12" applyFont="1" applyFill="1" applyProtection="1">
      <protection hidden="1"/>
    </xf>
    <xf numFmtId="0" fontId="12" fillId="14" borderId="0" xfId="12" applyFont="1" applyFill="1" applyProtection="1">
      <protection hidden="1"/>
    </xf>
    <xf numFmtId="0" fontId="12" fillId="9" borderId="94" xfId="12" applyFont="1" applyFill="1" applyBorder="1" applyAlignment="1" applyProtection="1">
      <alignment vertical="center"/>
      <protection hidden="1"/>
    </xf>
    <xf numFmtId="0" fontId="13" fillId="9" borderId="100" xfId="12" applyNumberFormat="1" applyFont="1" applyFill="1" applyBorder="1" applyAlignment="1" applyProtection="1">
      <protection hidden="1"/>
    </xf>
    <xf numFmtId="0" fontId="13" fillId="9" borderId="100" xfId="12" applyFont="1" applyFill="1" applyBorder="1" applyAlignment="1" applyProtection="1">
      <alignment horizontal="center" vertical="center" wrapText="1"/>
      <protection hidden="1"/>
    </xf>
    <xf numFmtId="0" fontId="13" fillId="9" borderId="95" xfId="12" applyFont="1" applyFill="1" applyBorder="1" applyAlignment="1" applyProtection="1">
      <alignment horizontal="center" vertical="center" wrapText="1"/>
      <protection hidden="1"/>
    </xf>
    <xf numFmtId="0" fontId="12" fillId="14" borderId="0" xfId="12" applyFont="1" applyFill="1" applyAlignment="1" applyProtection="1">
      <alignment vertical="center"/>
      <protection hidden="1"/>
    </xf>
    <xf numFmtId="0" fontId="12" fillId="9" borderId="101" xfId="12" applyFont="1" applyFill="1" applyBorder="1" applyAlignment="1" applyProtection="1">
      <alignment vertical="center"/>
      <protection hidden="1"/>
    </xf>
    <xf numFmtId="0" fontId="13" fillId="10" borderId="0" xfId="12" applyFont="1" applyFill="1" applyBorder="1" applyAlignment="1" applyProtection="1">
      <alignment horizontal="left"/>
      <protection hidden="1"/>
    </xf>
    <xf numFmtId="0" fontId="13" fillId="9" borderId="0" xfId="12" applyFont="1" applyFill="1" applyBorder="1" applyAlignment="1" applyProtection="1">
      <alignment horizontal="center" vertical="center" wrapText="1"/>
      <protection hidden="1"/>
    </xf>
    <xf numFmtId="0" fontId="13" fillId="9" borderId="79" xfId="12" applyFont="1" applyFill="1" applyBorder="1" applyAlignment="1" applyProtection="1">
      <alignment horizontal="center" vertical="center" wrapText="1"/>
      <protection hidden="1"/>
    </xf>
    <xf numFmtId="0" fontId="12" fillId="9" borderId="101" xfId="12" applyFont="1" applyFill="1" applyBorder="1" applyProtection="1">
      <protection hidden="1"/>
    </xf>
    <xf numFmtId="0" fontId="13" fillId="10" borderId="0" xfId="12" applyFont="1" applyFill="1" applyBorder="1" applyAlignment="1" applyProtection="1">
      <alignment horizontal="left" vertical="center"/>
      <protection hidden="1"/>
    </xf>
    <xf numFmtId="0" fontId="12" fillId="9" borderId="0" xfId="12" applyNumberFormat="1" applyFont="1" applyFill="1" applyBorder="1" applyAlignment="1" applyProtection="1">
      <alignment vertical="center"/>
      <protection hidden="1"/>
    </xf>
    <xf numFmtId="0" fontId="19" fillId="9" borderId="79" xfId="12" applyNumberFormat="1" applyFont="1" applyFill="1" applyBorder="1" applyAlignment="1" applyProtection="1">
      <alignment horizontal="center" vertical="center"/>
      <protection hidden="1"/>
    </xf>
    <xf numFmtId="0" fontId="12" fillId="9" borderId="0" xfId="12" applyFont="1" applyFill="1" applyBorder="1" applyProtection="1">
      <protection hidden="1"/>
    </xf>
    <xf numFmtId="0" fontId="12" fillId="9" borderId="79" xfId="12" applyFont="1" applyFill="1" applyBorder="1" applyProtection="1">
      <protection hidden="1"/>
    </xf>
    <xf numFmtId="0" fontId="13" fillId="9" borderId="22" xfId="12" applyFont="1" applyFill="1" applyBorder="1" applyAlignment="1" applyProtection="1">
      <alignment horizontal="left" vertical="center" indent="1"/>
      <protection hidden="1"/>
    </xf>
    <xf numFmtId="0" fontId="13" fillId="9" borderId="20" xfId="12" applyFont="1" applyFill="1" applyBorder="1" applyAlignment="1" applyProtection="1">
      <alignment horizontal="left" vertical="center" indent="1"/>
      <protection hidden="1"/>
    </xf>
    <xf numFmtId="0" fontId="13" fillId="9" borderId="21" xfId="12" applyFont="1" applyFill="1" applyBorder="1" applyAlignment="1" applyProtection="1">
      <alignment horizontal="center" vertical="top" wrapText="1"/>
      <protection hidden="1"/>
    </xf>
    <xf numFmtId="0" fontId="13" fillId="9" borderId="4" xfId="12" applyFont="1" applyFill="1" applyBorder="1" applyAlignment="1" applyProtection="1">
      <alignment horizontal="left" vertical="center" indent="1"/>
      <protection hidden="1"/>
    </xf>
    <xf numFmtId="0" fontId="13" fillId="9" borderId="5" xfId="12" applyFont="1" applyFill="1" applyBorder="1" applyAlignment="1" applyProtection="1">
      <alignment horizontal="left" vertical="center" indent="1"/>
      <protection hidden="1"/>
    </xf>
    <xf numFmtId="0" fontId="13" fillId="9" borderId="9" xfId="12" applyFont="1" applyFill="1" applyBorder="1" applyAlignment="1" applyProtection="1">
      <alignment horizontal="center" vertical="center"/>
      <protection hidden="1"/>
    </xf>
    <xf numFmtId="0" fontId="12" fillId="9" borderId="13" xfId="12" applyFont="1" applyFill="1" applyBorder="1" applyProtection="1">
      <protection hidden="1"/>
    </xf>
    <xf numFmtId="0" fontId="12" fillId="9" borderId="11" xfId="12" applyFont="1" applyFill="1" applyBorder="1" applyProtection="1">
      <protection hidden="1"/>
    </xf>
    <xf numFmtId="185" fontId="13" fillId="9" borderId="15" xfId="12" applyNumberFormat="1" applyFont="1" applyFill="1" applyBorder="1" applyAlignment="1" applyProtection="1">
      <alignment horizontal="center" vertical="center"/>
      <protection hidden="1"/>
    </xf>
    <xf numFmtId="178" fontId="12" fillId="0" borderId="9" xfId="12" applyNumberFormat="1" applyFont="1" applyFill="1" applyBorder="1" applyAlignment="1" applyProtection="1">
      <alignment vertical="center"/>
      <protection locked="0"/>
    </xf>
    <xf numFmtId="0" fontId="13" fillId="9" borderId="28" xfId="12" applyFont="1" applyFill="1" applyBorder="1" applyAlignment="1" applyProtection="1">
      <alignment horizontal="left" vertical="center" indent="1"/>
      <protection hidden="1"/>
    </xf>
    <xf numFmtId="0" fontId="13" fillId="9" borderId="29" xfId="12" applyFont="1" applyFill="1" applyBorder="1" applyAlignment="1" applyProtection="1">
      <alignment horizontal="left" vertical="center" indent="1"/>
      <protection hidden="1"/>
    </xf>
    <xf numFmtId="178" fontId="12" fillId="0" borderId="98" xfId="12" applyNumberFormat="1" applyFont="1" applyFill="1" applyBorder="1" applyAlignment="1" applyProtection="1">
      <alignment vertical="center"/>
      <protection locked="0"/>
    </xf>
    <xf numFmtId="0" fontId="13" fillId="9" borderId="13" xfId="12" applyFont="1" applyFill="1" applyBorder="1" applyAlignment="1" applyProtection="1">
      <alignment horizontal="left" vertical="center" indent="1"/>
      <protection hidden="1"/>
    </xf>
    <xf numFmtId="0" fontId="13" fillId="9" borderId="11" xfId="12" applyFont="1" applyFill="1" applyBorder="1" applyAlignment="1" applyProtection="1">
      <alignment horizontal="left" vertical="center" indent="1"/>
      <protection hidden="1"/>
    </xf>
    <xf numFmtId="178" fontId="12" fillId="0" borderId="15" xfId="12" applyNumberFormat="1" applyFont="1" applyFill="1" applyBorder="1" applyAlignment="1" applyProtection="1">
      <alignment vertical="center"/>
      <protection locked="0"/>
    </xf>
    <xf numFmtId="0" fontId="13" fillId="9" borderId="44" xfId="12" applyFont="1" applyFill="1" applyBorder="1" applyAlignment="1" applyProtection="1">
      <alignment horizontal="left" vertical="center" indent="1"/>
      <protection hidden="1"/>
    </xf>
    <xf numFmtId="0" fontId="12" fillId="9" borderId="69" xfId="12" applyFont="1" applyFill="1" applyBorder="1" applyAlignment="1" applyProtection="1">
      <alignment horizontal="left" vertical="center" indent="1"/>
      <protection hidden="1"/>
    </xf>
    <xf numFmtId="182" fontId="12" fillId="9" borderId="70" xfId="12" applyNumberFormat="1" applyFont="1" applyFill="1" applyBorder="1" applyAlignment="1" applyProtection="1">
      <alignment vertical="center"/>
      <protection hidden="1"/>
    </xf>
    <xf numFmtId="178" fontId="13" fillId="9" borderId="70" xfId="12" applyNumberFormat="1" applyFont="1" applyFill="1" applyBorder="1" applyAlignment="1" applyProtection="1">
      <alignment vertical="center"/>
      <protection hidden="1"/>
    </xf>
    <xf numFmtId="0" fontId="12" fillId="9" borderId="0" xfId="12" applyFont="1" applyFill="1" applyBorder="1" applyAlignment="1" applyProtection="1">
      <protection hidden="1"/>
    </xf>
    <xf numFmtId="0" fontId="12" fillId="9" borderId="58" xfId="12" applyFont="1" applyFill="1" applyBorder="1" applyProtection="1">
      <protection hidden="1"/>
    </xf>
    <xf numFmtId="0" fontId="12" fillId="9" borderId="84" xfId="12" applyFont="1" applyFill="1" applyBorder="1" applyProtection="1">
      <protection hidden="1"/>
    </xf>
    <xf numFmtId="0" fontId="12" fillId="9" borderId="85" xfId="12" applyFont="1" applyFill="1" applyBorder="1" applyProtection="1">
      <protection hidden="1"/>
    </xf>
    <xf numFmtId="0" fontId="13" fillId="5" borderId="100" xfId="0" applyFont="1" applyFill="1" applyBorder="1" applyAlignment="1" applyProtection="1">
      <alignment horizontal="center" vertical="center" wrapText="1"/>
      <protection hidden="1"/>
    </xf>
    <xf numFmtId="171" fontId="12" fillId="9" borderId="84" xfId="0" applyNumberFormat="1" applyFont="1" applyFill="1" applyBorder="1" applyProtection="1">
      <protection hidden="1"/>
    </xf>
    <xf numFmtId="0" fontId="12" fillId="9" borderId="101" xfId="0" applyFont="1" applyFill="1" applyBorder="1" applyProtection="1">
      <protection hidden="1"/>
    </xf>
    <xf numFmtId="171" fontId="13" fillId="5" borderId="92" xfId="0" applyNumberFormat="1" applyFont="1" applyFill="1" applyBorder="1" applyAlignment="1" applyProtection="1">
      <alignment horizontal="center" vertical="center"/>
      <protection hidden="1"/>
    </xf>
    <xf numFmtId="171" fontId="13" fillId="5" borderId="93" xfId="0" applyNumberFormat="1" applyFont="1" applyFill="1" applyBorder="1" applyAlignment="1" applyProtection="1">
      <alignment horizontal="center" vertical="center"/>
      <protection hidden="1"/>
    </xf>
    <xf numFmtId="0" fontId="12" fillId="9" borderId="0" xfId="12" applyFont="1" applyFill="1" applyAlignment="1" applyProtection="1">
      <alignment vertical="center"/>
      <protection hidden="1"/>
    </xf>
    <xf numFmtId="171" fontId="13" fillId="5" borderId="95" xfId="0" applyNumberFormat="1" applyFont="1" applyFill="1" applyBorder="1" applyAlignment="1" applyProtection="1">
      <alignment horizontal="center" vertical="center"/>
      <protection hidden="1"/>
    </xf>
    <xf numFmtId="171" fontId="13" fillId="5" borderId="102" xfId="0" applyNumberFormat="1" applyFont="1" applyFill="1" applyBorder="1" applyAlignment="1" applyProtection="1">
      <alignment horizontal="center" vertical="center"/>
      <protection hidden="1"/>
    </xf>
    <xf numFmtId="185" fontId="13" fillId="5" borderId="12" xfId="0" quotePrefix="1" applyNumberFormat="1" applyFont="1" applyFill="1" applyBorder="1" applyAlignment="1" applyProtection="1">
      <alignment horizontal="center" vertical="center"/>
      <protection hidden="1"/>
    </xf>
    <xf numFmtId="185" fontId="13" fillId="5" borderId="60" xfId="0" quotePrefix="1" applyNumberFormat="1" applyFont="1" applyFill="1" applyBorder="1" applyAlignment="1" applyProtection="1">
      <alignment horizontal="center" vertical="center"/>
      <protection hidden="1"/>
    </xf>
    <xf numFmtId="185" fontId="13" fillId="5" borderId="11" xfId="0" quotePrefix="1" applyNumberFormat="1" applyFont="1" applyFill="1" applyBorder="1" applyAlignment="1" applyProtection="1">
      <alignment horizontal="center" vertical="center"/>
      <protection hidden="1"/>
    </xf>
    <xf numFmtId="0" fontId="13" fillId="0" borderId="56" xfId="0" applyNumberFormat="1" applyFont="1" applyFill="1" applyBorder="1" applyAlignment="1" applyProtection="1">
      <alignment horizontal="left" vertical="center" indent="1"/>
      <protection hidden="1"/>
    </xf>
    <xf numFmtId="0" fontId="13" fillId="0" borderId="56" xfId="12" applyNumberFormat="1" applyFont="1" applyFill="1" applyBorder="1" applyAlignment="1" applyProtection="1">
      <alignment horizontal="left" vertical="center" indent="1"/>
      <protection hidden="1"/>
    </xf>
    <xf numFmtId="0" fontId="19" fillId="5" borderId="102" xfId="0" applyFont="1" applyFill="1" applyBorder="1" applyAlignment="1" applyProtection="1">
      <alignment horizontal="center" vertical="center"/>
      <protection hidden="1"/>
    </xf>
    <xf numFmtId="0" fontId="19" fillId="9" borderId="0" xfId="0" quotePrefix="1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vertical="center"/>
      <protection hidden="1"/>
    </xf>
    <xf numFmtId="0" fontId="12" fillId="5" borderId="102" xfId="4" applyFont="1" applyFill="1" applyBorder="1" applyProtection="1">
      <protection hidden="1"/>
    </xf>
    <xf numFmtId="0" fontId="12" fillId="7" borderId="101" xfId="4" applyFont="1" applyFill="1" applyBorder="1" applyProtection="1">
      <protection hidden="1"/>
    </xf>
    <xf numFmtId="0" fontId="12" fillId="7" borderId="102" xfId="4" applyFont="1" applyFill="1" applyBorder="1" applyProtection="1">
      <protection hidden="1"/>
    </xf>
    <xf numFmtId="0" fontId="12" fillId="13" borderId="102" xfId="4" applyFont="1" applyFill="1" applyBorder="1" applyProtection="1">
      <protection hidden="1"/>
    </xf>
    <xf numFmtId="0" fontId="13" fillId="5" borderId="101" xfId="0" applyFont="1" applyFill="1" applyBorder="1" applyAlignment="1" applyProtection="1">
      <alignment horizontal="center" vertical="center" wrapText="1"/>
      <protection hidden="1"/>
    </xf>
    <xf numFmtId="0" fontId="13" fillId="5" borderId="101" xfId="0" applyFont="1" applyFill="1" applyBorder="1" applyAlignment="1" applyProtection="1">
      <alignment horizontal="center" vertical="top" wrapText="1"/>
      <protection hidden="1"/>
    </xf>
    <xf numFmtId="178" fontId="21" fillId="9" borderId="46" xfId="4" applyNumberFormat="1" applyFont="1" applyFill="1" applyBorder="1" applyAlignment="1" applyProtection="1">
      <alignment vertical="center"/>
      <protection hidden="1"/>
    </xf>
    <xf numFmtId="178" fontId="21" fillId="9" borderId="31" xfId="4" applyNumberFormat="1" applyFont="1" applyFill="1" applyBorder="1" applyAlignment="1" applyProtection="1">
      <alignment vertical="center"/>
      <protection hidden="1"/>
    </xf>
    <xf numFmtId="0" fontId="12" fillId="5" borderId="22" xfId="7" applyNumberFormat="1" applyFont="1" applyFill="1" applyBorder="1" applyAlignment="1" applyProtection="1">
      <protection hidden="1"/>
    </xf>
    <xf numFmtId="0" fontId="11" fillId="5" borderId="45" xfId="4" applyNumberFormat="1" applyFont="1" applyFill="1" applyBorder="1" applyAlignment="1" applyProtection="1">
      <protection hidden="1"/>
    </xf>
    <xf numFmtId="0" fontId="12" fillId="5" borderId="23" xfId="7" applyNumberFormat="1" applyFont="1" applyFill="1" applyBorder="1" applyAlignment="1" applyProtection="1">
      <protection hidden="1"/>
    </xf>
    <xf numFmtId="0" fontId="12" fillId="5" borderId="20" xfId="7" applyNumberFormat="1" applyFont="1" applyFill="1" applyBorder="1" applyAlignment="1" applyProtection="1">
      <protection hidden="1"/>
    </xf>
    <xf numFmtId="0" fontId="12" fillId="5" borderId="23" xfId="4" applyNumberFormat="1" applyFont="1" applyFill="1" applyBorder="1" applyAlignment="1" applyProtection="1">
      <protection hidden="1"/>
    </xf>
    <xf numFmtId="0" fontId="12" fillId="5" borderId="20" xfId="4" applyNumberFormat="1" applyFont="1" applyFill="1" applyBorder="1" applyAlignment="1" applyProtection="1">
      <protection hidden="1"/>
    </xf>
    <xf numFmtId="0" fontId="12" fillId="5" borderId="4" xfId="7" applyNumberFormat="1" applyFont="1" applyFill="1" applyBorder="1" applyAlignment="1" applyProtection="1">
      <protection hidden="1"/>
    </xf>
    <xf numFmtId="0" fontId="11" fillId="5" borderId="101" xfId="4" applyNumberFormat="1" applyFont="1" applyFill="1" applyBorder="1" applyAlignment="1" applyProtection="1">
      <protection hidden="1"/>
    </xf>
    <xf numFmtId="0" fontId="12" fillId="5" borderId="6" xfId="7" applyNumberFormat="1" applyFont="1" applyFill="1" applyBorder="1" applyAlignment="1" applyProtection="1">
      <protection hidden="1"/>
    </xf>
    <xf numFmtId="0" fontId="12" fillId="5" borderId="25" xfId="7" applyNumberFormat="1" applyFont="1" applyFill="1" applyBorder="1" applyAlignment="1" applyProtection="1">
      <protection hidden="1"/>
    </xf>
    <xf numFmtId="0" fontId="12" fillId="5" borderId="26" xfId="7" applyNumberFormat="1" applyFont="1" applyFill="1" applyBorder="1" applyAlignment="1" applyProtection="1">
      <protection hidden="1"/>
    </xf>
    <xf numFmtId="0" fontId="12" fillId="5" borderId="27" xfId="4" applyNumberFormat="1" applyFont="1" applyFill="1" applyBorder="1" applyAlignment="1" applyProtection="1">
      <protection hidden="1"/>
    </xf>
    <xf numFmtId="0" fontId="12" fillId="5" borderId="26" xfId="4" applyNumberFormat="1" applyFont="1" applyFill="1" applyBorder="1" applyAlignment="1" applyProtection="1">
      <protection hidden="1"/>
    </xf>
    <xf numFmtId="0" fontId="13" fillId="5" borderId="101" xfId="0" applyNumberFormat="1" applyFont="1" applyFill="1" applyBorder="1" applyAlignment="1" applyProtection="1">
      <alignment horizontal="center" vertical="top"/>
      <protection hidden="1"/>
    </xf>
    <xf numFmtId="0" fontId="13" fillId="5" borderId="6" xfId="0" applyNumberFormat="1" applyFont="1" applyFill="1" applyBorder="1" applyAlignment="1" applyProtection="1">
      <alignment horizontal="center" vertical="top"/>
      <protection hidden="1"/>
    </xf>
    <xf numFmtId="0" fontId="12" fillId="5" borderId="22" xfId="7" applyNumberFormat="1" applyFont="1" applyFill="1" applyBorder="1" applyAlignment="1" applyProtection="1">
      <alignment vertical="center"/>
      <protection hidden="1"/>
    </xf>
    <xf numFmtId="0" fontId="11" fillId="5" borderId="45" xfId="4" applyNumberFormat="1" applyFont="1" applyFill="1" applyBorder="1" applyAlignment="1" applyProtection="1">
      <alignment horizontal="right" vertical="center" indent="1"/>
      <protection hidden="1"/>
    </xf>
    <xf numFmtId="0" fontId="12" fillId="5" borderId="23" xfId="7" applyNumberFormat="1" applyFont="1" applyFill="1" applyBorder="1" applyAlignment="1" applyProtection="1">
      <alignment vertical="center"/>
      <protection hidden="1"/>
    </xf>
    <xf numFmtId="0" fontId="12" fillId="5" borderId="21" xfId="4" applyNumberFormat="1" applyFont="1" applyFill="1" applyBorder="1" applyProtection="1">
      <protection hidden="1"/>
    </xf>
    <xf numFmtId="0" fontId="12" fillId="5" borderId="20" xfId="7" applyNumberFormat="1" applyFont="1" applyFill="1" applyBorder="1" applyAlignment="1" applyProtection="1">
      <alignment vertical="center"/>
      <protection hidden="1"/>
    </xf>
    <xf numFmtId="0" fontId="12" fillId="5" borderId="23" xfId="4" applyNumberFormat="1" applyFont="1" applyFill="1" applyBorder="1" applyProtection="1">
      <protection hidden="1"/>
    </xf>
    <xf numFmtId="0" fontId="12" fillId="5" borderId="5" xfId="4" applyNumberFormat="1" applyFont="1" applyFill="1" applyBorder="1" applyProtection="1">
      <protection hidden="1"/>
    </xf>
    <xf numFmtId="0" fontId="12" fillId="5" borderId="6" xfId="4" applyNumberFormat="1" applyFont="1" applyFill="1" applyBorder="1" applyProtection="1">
      <protection hidden="1"/>
    </xf>
    <xf numFmtId="0" fontId="12" fillId="5" borderId="25" xfId="7" applyNumberFormat="1" applyFont="1" applyFill="1" applyBorder="1" applyAlignment="1" applyProtection="1">
      <alignment vertical="center"/>
      <protection hidden="1"/>
    </xf>
    <xf numFmtId="0" fontId="11" fillId="5" borderId="58" xfId="4" applyNumberFormat="1" applyFont="1" applyFill="1" applyBorder="1" applyAlignment="1" applyProtection="1">
      <alignment horizontal="right" vertical="center" indent="1"/>
      <protection hidden="1"/>
    </xf>
    <xf numFmtId="0" fontId="12" fillId="5" borderId="27" xfId="7" applyNumberFormat="1" applyFont="1" applyFill="1" applyBorder="1" applyAlignment="1" applyProtection="1">
      <alignment vertical="center"/>
      <protection hidden="1"/>
    </xf>
    <xf numFmtId="0" fontId="12" fillId="5" borderId="35" xfId="4" applyNumberFormat="1" applyFont="1" applyFill="1" applyBorder="1" applyProtection="1">
      <protection hidden="1"/>
    </xf>
    <xf numFmtId="0" fontId="12" fillId="5" borderId="26" xfId="7" applyNumberFormat="1" applyFont="1" applyFill="1" applyBorder="1" applyAlignment="1" applyProtection="1">
      <alignment vertical="center"/>
      <protection hidden="1"/>
    </xf>
    <xf numFmtId="0" fontId="12" fillId="5" borderId="27" xfId="4" applyNumberFormat="1" applyFont="1" applyFill="1" applyBorder="1" applyProtection="1">
      <protection hidden="1"/>
    </xf>
    <xf numFmtId="0" fontId="12" fillId="5" borderId="26" xfId="4" applyNumberFormat="1" applyFont="1" applyFill="1" applyBorder="1" applyProtection="1">
      <protection hidden="1"/>
    </xf>
    <xf numFmtId="0" fontId="12" fillId="5" borderId="20" xfId="4" applyNumberFormat="1" applyFont="1" applyFill="1" applyBorder="1" applyProtection="1">
      <protection hidden="1"/>
    </xf>
    <xf numFmtId="0" fontId="12" fillId="5" borderId="4" xfId="7" applyNumberFormat="1" applyFont="1" applyFill="1" applyBorder="1" applyAlignment="1" applyProtection="1">
      <alignment vertical="center"/>
      <protection hidden="1"/>
    </xf>
    <xf numFmtId="0" fontId="11" fillId="5" borderId="101" xfId="4" applyNumberFormat="1" applyFont="1" applyFill="1" applyBorder="1" applyAlignment="1" applyProtection="1">
      <alignment horizontal="right" vertical="center" indent="1"/>
      <protection hidden="1"/>
    </xf>
    <xf numFmtId="0" fontId="12" fillId="5" borderId="6" xfId="7" applyNumberFormat="1" applyFont="1" applyFill="1" applyBorder="1" applyAlignment="1" applyProtection="1">
      <alignment vertical="center"/>
      <protection hidden="1"/>
    </xf>
    <xf numFmtId="0" fontId="12" fillId="5" borderId="9" xfId="4" applyNumberFormat="1" applyFont="1" applyFill="1" applyBorder="1" applyProtection="1">
      <protection hidden="1"/>
    </xf>
    <xf numFmtId="0" fontId="12" fillId="5" borderId="5" xfId="7" applyNumberFormat="1" applyFont="1" applyFill="1" applyBorder="1" applyAlignment="1" applyProtection="1">
      <alignment vertical="center"/>
      <protection hidden="1"/>
    </xf>
    <xf numFmtId="0" fontId="12" fillId="5" borderId="34" xfId="7" applyNumberFormat="1" applyFont="1" applyFill="1" applyBorder="1" applyAlignment="1" applyProtection="1">
      <alignment vertical="center"/>
      <protection hidden="1"/>
    </xf>
    <xf numFmtId="0" fontId="12" fillId="5" borderId="28" xfId="7" applyNumberFormat="1" applyFont="1" applyFill="1" applyBorder="1" applyAlignment="1" applyProtection="1">
      <alignment vertical="center"/>
      <protection hidden="1"/>
    </xf>
    <xf numFmtId="0" fontId="11" fillId="5" borderId="38" xfId="4" applyNumberFormat="1" applyFont="1" applyFill="1" applyBorder="1" applyAlignment="1" applyProtection="1">
      <alignment horizontal="right" vertical="center" indent="1"/>
      <protection hidden="1"/>
    </xf>
    <xf numFmtId="0" fontId="12" fillId="5" borderId="31" xfId="7" applyNumberFormat="1" applyFont="1" applyFill="1" applyBorder="1" applyAlignment="1" applyProtection="1">
      <alignment vertical="center"/>
      <protection hidden="1"/>
    </xf>
    <xf numFmtId="0" fontId="12" fillId="5" borderId="88" xfId="7" applyNumberFormat="1" applyFont="1" applyFill="1" applyBorder="1" applyAlignment="1" applyProtection="1">
      <alignment vertical="center"/>
      <protection hidden="1"/>
    </xf>
    <xf numFmtId="0" fontId="12" fillId="5" borderId="29" xfId="7" applyNumberFormat="1" applyFont="1" applyFill="1" applyBorder="1" applyAlignment="1" applyProtection="1">
      <alignment vertical="center"/>
      <protection hidden="1"/>
    </xf>
    <xf numFmtId="0" fontId="12" fillId="5" borderId="31" xfId="4" applyNumberFormat="1" applyFont="1" applyFill="1" applyBorder="1" applyProtection="1">
      <protection hidden="1"/>
    </xf>
    <xf numFmtId="0" fontId="12" fillId="5" borderId="29" xfId="4" applyNumberFormat="1" applyFont="1" applyFill="1" applyBorder="1" applyProtection="1">
      <protection hidden="1"/>
    </xf>
    <xf numFmtId="178" fontId="13" fillId="5" borderId="56" xfId="4" applyNumberFormat="1" applyFont="1" applyFill="1" applyBorder="1" applyAlignment="1" applyProtection="1">
      <alignment vertical="center"/>
      <protection hidden="1"/>
    </xf>
    <xf numFmtId="0" fontId="12" fillId="5" borderId="8" xfId="4" applyNumberFormat="1" applyFont="1" applyFill="1" applyBorder="1" applyProtection="1">
      <protection hidden="1"/>
    </xf>
    <xf numFmtId="0" fontId="12" fillId="5" borderId="0" xfId="4" applyNumberFormat="1" applyFont="1" applyFill="1" applyBorder="1" applyProtection="1">
      <protection hidden="1"/>
    </xf>
    <xf numFmtId="0" fontId="12" fillId="5" borderId="10" xfId="4" applyNumberFormat="1" applyFont="1" applyFill="1" applyBorder="1" applyProtection="1">
      <protection hidden="1"/>
    </xf>
    <xf numFmtId="0" fontId="12" fillId="5" borderId="19" xfId="4" applyNumberFormat="1" applyFont="1" applyFill="1" applyBorder="1" applyProtection="1">
      <protection hidden="1"/>
    </xf>
    <xf numFmtId="0" fontId="12" fillId="5" borderId="24" xfId="4" applyNumberFormat="1" applyFont="1" applyFill="1" applyBorder="1" applyProtection="1">
      <protection hidden="1"/>
    </xf>
    <xf numFmtId="0" fontId="12" fillId="5" borderId="36" xfId="4" applyNumberFormat="1" applyFont="1" applyFill="1" applyBorder="1" applyProtection="1">
      <protection hidden="1"/>
    </xf>
    <xf numFmtId="0" fontId="12" fillId="5" borderId="37" xfId="7" applyNumberFormat="1" applyFont="1" applyFill="1" applyBorder="1" applyAlignment="1" applyProtection="1">
      <alignment vertical="center"/>
      <protection hidden="1"/>
    </xf>
    <xf numFmtId="0" fontId="12" fillId="5" borderId="33" xfId="4" applyNumberFormat="1" applyFont="1" applyFill="1" applyBorder="1" applyProtection="1">
      <protection hidden="1"/>
    </xf>
    <xf numFmtId="0" fontId="12" fillId="5" borderId="90" xfId="7" applyNumberFormat="1" applyFont="1" applyFill="1" applyBorder="1" applyAlignment="1" applyProtection="1">
      <alignment vertical="center"/>
      <protection hidden="1"/>
    </xf>
    <xf numFmtId="0" fontId="12" fillId="5" borderId="92" xfId="7" applyNumberFormat="1" applyFont="1" applyFill="1" applyBorder="1" applyAlignment="1" applyProtection="1">
      <alignment vertical="center"/>
      <protection hidden="1"/>
    </xf>
    <xf numFmtId="0" fontId="12" fillId="5" borderId="91" xfId="4" applyNumberFormat="1" applyFont="1" applyFill="1" applyBorder="1" applyProtection="1">
      <protection hidden="1"/>
    </xf>
    <xf numFmtId="0" fontId="12" fillId="7" borderId="87" xfId="4" applyFont="1" applyFill="1" applyBorder="1" applyProtection="1">
      <protection hidden="1"/>
    </xf>
    <xf numFmtId="0" fontId="12" fillId="7" borderId="92" xfId="4" applyFont="1" applyFill="1" applyBorder="1" applyProtection="1">
      <protection hidden="1"/>
    </xf>
    <xf numFmtId="0" fontId="12" fillId="12" borderId="87" xfId="4" applyFont="1" applyFill="1" applyBorder="1" applyProtection="1">
      <protection hidden="1"/>
    </xf>
    <xf numFmtId="0" fontId="12" fillId="12" borderId="92" xfId="4" applyFont="1" applyFill="1" applyBorder="1" applyProtection="1">
      <protection hidden="1"/>
    </xf>
    <xf numFmtId="0" fontId="12" fillId="12" borderId="101" xfId="4" applyFont="1" applyFill="1" applyBorder="1" applyProtection="1">
      <protection hidden="1"/>
    </xf>
    <xf numFmtId="178" fontId="13" fillId="12" borderId="8" xfId="4" applyNumberFormat="1" applyFont="1" applyFill="1" applyBorder="1" applyAlignment="1" applyProtection="1">
      <alignment vertical="center"/>
      <protection hidden="1"/>
    </xf>
    <xf numFmtId="178" fontId="13" fillId="12" borderId="92" xfId="4" applyNumberFormat="1" applyFont="1" applyFill="1" applyBorder="1" applyAlignment="1" applyProtection="1">
      <alignment vertical="center"/>
      <protection hidden="1"/>
    </xf>
    <xf numFmtId="175" fontId="13" fillId="12" borderId="69" xfId="4" applyNumberFormat="1" applyFont="1" applyFill="1" applyBorder="1" applyAlignment="1" applyProtection="1">
      <alignment vertical="center"/>
      <protection hidden="1"/>
    </xf>
    <xf numFmtId="175" fontId="13" fillId="12" borderId="18" xfId="4" applyNumberFormat="1" applyFont="1" applyFill="1" applyBorder="1" applyAlignment="1" applyProtection="1">
      <alignment vertical="center"/>
      <protection hidden="1"/>
    </xf>
    <xf numFmtId="0" fontId="13" fillId="3" borderId="10" xfId="9" applyFont="1" applyFill="1" applyBorder="1" applyAlignment="1" applyProtection="1">
      <alignment vertical="top" wrapText="1"/>
      <protection hidden="1"/>
    </xf>
    <xf numFmtId="178" fontId="13" fillId="9" borderId="41" xfId="0" applyNumberFormat="1" applyFont="1" applyFill="1" applyBorder="1" applyAlignment="1" applyProtection="1">
      <alignment vertical="center"/>
      <protection hidden="1"/>
    </xf>
    <xf numFmtId="178" fontId="21" fillId="9" borderId="6" xfId="0" applyNumberFormat="1" applyFont="1" applyFill="1" applyBorder="1" applyAlignment="1" applyProtection="1">
      <alignment vertical="center"/>
      <protection hidden="1"/>
    </xf>
    <xf numFmtId="178" fontId="21" fillId="9" borderId="93" xfId="0" applyNumberFormat="1" applyFont="1" applyFill="1" applyBorder="1" applyAlignment="1" applyProtection="1">
      <alignment vertical="center"/>
      <protection hidden="1"/>
    </xf>
    <xf numFmtId="171" fontId="12" fillId="5" borderId="0" xfId="0" quotePrefix="1" applyNumberFormat="1" applyFont="1" applyFill="1" applyBorder="1" applyAlignment="1" applyProtection="1">
      <alignment horizontal="left"/>
      <protection hidden="1"/>
    </xf>
    <xf numFmtId="0" fontId="12" fillId="9" borderId="102" xfId="0" applyFont="1" applyFill="1" applyBorder="1" applyProtection="1">
      <protection hidden="1"/>
    </xf>
    <xf numFmtId="0" fontId="30" fillId="0" borderId="28" xfId="0" applyFont="1" applyFill="1" applyBorder="1" applyAlignment="1" applyProtection="1">
      <alignment horizontal="left" vertical="center" indent="1"/>
      <protection hidden="1"/>
    </xf>
    <xf numFmtId="0" fontId="12" fillId="3" borderId="0" xfId="0" applyNumberFormat="1" applyFont="1" applyFill="1" applyBorder="1" applyAlignment="1" applyProtection="1">
      <protection hidden="1"/>
    </xf>
    <xf numFmtId="0" fontId="13" fillId="5" borderId="95" xfId="0" applyFont="1" applyFill="1" applyBorder="1" applyAlignment="1" applyProtection="1">
      <alignment horizontal="center" vertical="center" wrapText="1"/>
      <protection hidden="1"/>
    </xf>
    <xf numFmtId="171" fontId="12" fillId="9" borderId="40" xfId="0" applyNumberFormat="1" applyFont="1" applyFill="1" applyBorder="1" applyProtection="1">
      <protection hidden="1"/>
    </xf>
    <xf numFmtId="177" fontId="11" fillId="0" borderId="44" xfId="4" applyNumberFormat="1" applyFont="1" applyFill="1" applyBorder="1" applyAlignment="1" applyProtection="1">
      <alignment vertical="center"/>
      <protection locked="0"/>
    </xf>
    <xf numFmtId="177" fontId="11" fillId="0" borderId="54" xfId="4" applyNumberFormat="1" applyFont="1" applyFill="1" applyBorder="1" applyAlignment="1" applyProtection="1">
      <alignment vertical="center"/>
      <protection locked="0"/>
    </xf>
    <xf numFmtId="179" fontId="13" fillId="8" borderId="104" xfId="0" applyNumberFormat="1" applyFont="1" applyFill="1" applyBorder="1" applyAlignment="1" applyProtection="1">
      <alignment vertical="center"/>
      <protection hidden="1"/>
    </xf>
    <xf numFmtId="0" fontId="12" fillId="9" borderId="6" xfId="12" applyFont="1" applyFill="1" applyBorder="1" applyProtection="1">
      <protection hidden="1"/>
    </xf>
    <xf numFmtId="178" fontId="21" fillId="9" borderId="31" xfId="12" applyNumberFormat="1" applyFont="1" applyFill="1" applyBorder="1" applyAlignment="1" applyProtection="1">
      <alignment vertical="center"/>
      <protection hidden="1"/>
    </xf>
    <xf numFmtId="178" fontId="13" fillId="5" borderId="28" xfId="12" applyNumberFormat="1" applyFont="1" applyFill="1" applyBorder="1" applyAlignment="1" applyProtection="1">
      <alignment vertical="center"/>
      <protection hidden="1"/>
    </xf>
    <xf numFmtId="178" fontId="13" fillId="5" borderId="29" xfId="12" applyNumberFormat="1" applyFont="1" applyFill="1" applyBorder="1" applyAlignment="1" applyProtection="1">
      <alignment vertical="center"/>
      <protection hidden="1"/>
    </xf>
    <xf numFmtId="178" fontId="13" fillId="5" borderId="31" xfId="12" applyNumberFormat="1" applyFont="1" applyFill="1" applyBorder="1" applyAlignment="1" applyProtection="1">
      <alignment vertical="center"/>
      <protection hidden="1"/>
    </xf>
    <xf numFmtId="178" fontId="13" fillId="5" borderId="98" xfId="12" applyNumberFormat="1" applyFont="1" applyFill="1" applyBorder="1" applyAlignment="1" applyProtection="1">
      <alignment vertical="center"/>
      <protection hidden="1"/>
    </xf>
    <xf numFmtId="178" fontId="13" fillId="5" borderId="41" xfId="12" applyNumberFormat="1" applyFont="1" applyFill="1" applyBorder="1" applyAlignment="1" applyProtection="1">
      <alignment vertical="center"/>
      <protection hidden="1"/>
    </xf>
    <xf numFmtId="0" fontId="12" fillId="5" borderId="102" xfId="12" applyFont="1" applyFill="1" applyBorder="1" applyProtection="1">
      <protection hidden="1"/>
    </xf>
    <xf numFmtId="0" fontId="12" fillId="7" borderId="102" xfId="12" applyFont="1" applyFill="1" applyBorder="1" applyProtection="1">
      <protection hidden="1"/>
    </xf>
    <xf numFmtId="0" fontId="12" fillId="12" borderId="0" xfId="12" applyFont="1" applyFill="1" applyBorder="1" applyProtection="1">
      <protection hidden="1"/>
    </xf>
    <xf numFmtId="0" fontId="12" fillId="13" borderId="102" xfId="12" applyFont="1" applyFill="1" applyBorder="1" applyProtection="1">
      <protection hidden="1"/>
    </xf>
    <xf numFmtId="177" fontId="12" fillId="0" borderId="38" xfId="7" applyNumberFormat="1" applyFont="1" applyFill="1" applyBorder="1" applyAlignment="1" applyProtection="1">
      <alignment vertical="center"/>
      <protection locked="0"/>
    </xf>
    <xf numFmtId="177" fontId="12" fillId="0" borderId="90" xfId="7" applyNumberFormat="1" applyFont="1" applyFill="1" applyBorder="1" applyAlignment="1" applyProtection="1">
      <alignment vertical="center"/>
      <protection locked="0"/>
    </xf>
    <xf numFmtId="177" fontId="12" fillId="0" borderId="92" xfId="7" applyNumberFormat="1" applyFont="1" applyFill="1" applyBorder="1" applyAlignment="1" applyProtection="1">
      <alignment vertical="center"/>
      <protection locked="0"/>
    </xf>
    <xf numFmtId="178" fontId="21" fillId="5" borderId="31" xfId="12" applyNumberFormat="1" applyFont="1" applyFill="1" applyBorder="1" applyAlignment="1" applyProtection="1">
      <alignment vertical="center"/>
      <protection hidden="1"/>
    </xf>
    <xf numFmtId="0" fontId="12" fillId="9" borderId="0" xfId="12" applyFont="1" applyFill="1" applyAlignment="1" applyProtection="1">
      <alignment horizontal="center" vertical="center"/>
      <protection hidden="1"/>
    </xf>
    <xf numFmtId="0" fontId="28" fillId="5" borderId="0" xfId="12" applyFont="1" applyFill="1" applyAlignment="1" applyProtection="1">
      <alignment vertical="center"/>
      <protection hidden="1"/>
    </xf>
    <xf numFmtId="0" fontId="12" fillId="5" borderId="0" xfId="12" applyFont="1" applyFill="1" applyProtection="1">
      <protection hidden="1"/>
    </xf>
    <xf numFmtId="0" fontId="12" fillId="5" borderId="0" xfId="12" applyFont="1" applyFill="1" applyAlignment="1" applyProtection="1">
      <protection hidden="1"/>
    </xf>
    <xf numFmtId="0" fontId="13" fillId="5" borderId="100" xfId="12" applyNumberFormat="1" applyFont="1" applyFill="1" applyBorder="1" applyAlignment="1" applyProtection="1">
      <protection hidden="1"/>
    </xf>
    <xf numFmtId="0" fontId="13" fillId="4" borderId="0" xfId="12" applyFont="1" applyFill="1" applyBorder="1" applyAlignment="1" applyProtection="1">
      <alignment vertical="center"/>
      <protection hidden="1"/>
    </xf>
    <xf numFmtId="0" fontId="12" fillId="2" borderId="0" xfId="12" applyFont="1" applyFill="1" applyProtection="1">
      <protection hidden="1"/>
    </xf>
    <xf numFmtId="0" fontId="17" fillId="4" borderId="0" xfId="12" applyFont="1" applyFill="1" applyBorder="1" applyAlignment="1" applyProtection="1">
      <protection hidden="1"/>
    </xf>
    <xf numFmtId="0" fontId="12" fillId="4" borderId="0" xfId="12" applyFont="1" applyFill="1" applyBorder="1" applyAlignment="1" applyProtection="1">
      <alignment horizontal="left" indent="2"/>
      <protection hidden="1"/>
    </xf>
    <xf numFmtId="0" fontId="12" fillId="4" borderId="102" xfId="12" applyFont="1" applyFill="1" applyBorder="1" applyAlignment="1" applyProtection="1">
      <protection hidden="1"/>
    </xf>
    <xf numFmtId="0" fontId="12" fillId="4" borderId="0" xfId="12" applyFont="1" applyFill="1" applyBorder="1" applyAlignment="1" applyProtection="1">
      <protection hidden="1"/>
    </xf>
    <xf numFmtId="0" fontId="13" fillId="2" borderId="0" xfId="12" applyFont="1" applyFill="1" applyBorder="1" applyAlignment="1" applyProtection="1">
      <alignment vertical="center"/>
      <protection hidden="1"/>
    </xf>
    <xf numFmtId="0" fontId="18" fillId="5" borderId="0" xfId="12" applyFont="1" applyFill="1" applyBorder="1" applyAlignment="1" applyProtection="1">
      <alignment horizontal="center" vertical="center"/>
      <protection hidden="1"/>
    </xf>
    <xf numFmtId="0" fontId="13" fillId="4" borderId="0" xfId="12" applyFont="1" applyFill="1" applyBorder="1" applyAlignment="1" applyProtection="1">
      <protection hidden="1"/>
    </xf>
    <xf numFmtId="0" fontId="13" fillId="5" borderId="0" xfId="12" applyFont="1" applyFill="1" applyBorder="1" applyAlignment="1" applyProtection="1">
      <alignment horizontal="left" vertical="center" indent="1"/>
      <protection hidden="1"/>
    </xf>
    <xf numFmtId="0" fontId="13" fillId="5" borderId="0" xfId="12" applyFont="1" applyFill="1" applyBorder="1" applyAlignment="1" applyProtection="1">
      <alignment vertical="center"/>
      <protection hidden="1"/>
    </xf>
    <xf numFmtId="0" fontId="12" fillId="5" borderId="0" xfId="12" applyFont="1" applyFill="1" applyBorder="1" applyAlignment="1" applyProtection="1">
      <alignment horizontal="left" indent="2"/>
      <protection hidden="1"/>
    </xf>
    <xf numFmtId="0" fontId="13" fillId="4" borderId="0" xfId="12" applyFont="1" applyFill="1" applyBorder="1" applyAlignment="1" applyProtection="1">
      <alignment horizontal="right" vertical="center"/>
      <protection hidden="1"/>
    </xf>
    <xf numFmtId="0" fontId="12" fillId="4" borderId="60" xfId="12" applyFont="1" applyFill="1" applyBorder="1" applyAlignment="1" applyProtection="1">
      <alignment horizontal="left" indent="2"/>
      <protection hidden="1"/>
    </xf>
    <xf numFmtId="0" fontId="12" fillId="4" borderId="24" xfId="12" applyFont="1" applyFill="1" applyBorder="1" applyAlignment="1" applyProtection="1">
      <protection hidden="1"/>
    </xf>
    <xf numFmtId="0" fontId="12" fillId="4" borderId="102" xfId="12" applyFont="1" applyFill="1" applyBorder="1" applyAlignment="1" applyProtection="1">
      <alignment vertical="center"/>
      <protection hidden="1"/>
    </xf>
    <xf numFmtId="0" fontId="12" fillId="4" borderId="0" xfId="12" applyFont="1" applyFill="1" applyBorder="1" applyAlignment="1" applyProtection="1">
      <alignment vertical="center"/>
      <protection hidden="1"/>
    </xf>
    <xf numFmtId="0" fontId="12" fillId="4" borderId="10" xfId="12" applyFont="1" applyFill="1" applyBorder="1" applyAlignment="1" applyProtection="1">
      <alignment vertical="center" wrapText="1"/>
      <protection hidden="1"/>
    </xf>
    <xf numFmtId="0" fontId="13" fillId="4" borderId="4" xfId="12" applyFont="1" applyFill="1" applyBorder="1" applyAlignment="1" applyProtection="1">
      <alignment horizontal="center" vertical="center"/>
      <protection hidden="1"/>
    </xf>
    <xf numFmtId="0" fontId="13" fillId="4" borderId="10" xfId="12" applyFont="1" applyFill="1" applyBorder="1" applyAlignment="1" applyProtection="1">
      <protection hidden="1"/>
    </xf>
    <xf numFmtId="0" fontId="13" fillId="3" borderId="4" xfId="12" applyFont="1" applyFill="1" applyBorder="1" applyAlignment="1" applyProtection="1">
      <alignment horizontal="center" vertical="center"/>
      <protection hidden="1"/>
    </xf>
    <xf numFmtId="0" fontId="12" fillId="2" borderId="0" xfId="12" applyFont="1" applyFill="1" applyAlignment="1" applyProtection="1">
      <protection hidden="1"/>
    </xf>
    <xf numFmtId="0" fontId="13" fillId="4" borderId="16" xfId="12" applyFont="1" applyFill="1" applyBorder="1" applyAlignment="1" applyProtection="1">
      <protection hidden="1"/>
    </xf>
    <xf numFmtId="185" fontId="13" fillId="3" borderId="13" xfId="12" quotePrefix="1" applyNumberFormat="1" applyFont="1" applyFill="1" applyBorder="1" applyAlignment="1" applyProtection="1">
      <alignment horizontal="center" vertical="center"/>
      <protection hidden="1"/>
    </xf>
    <xf numFmtId="185" fontId="13" fillId="3" borderId="11" xfId="12" quotePrefix="1" applyNumberFormat="1" applyFont="1" applyFill="1" applyBorder="1" applyAlignment="1" applyProtection="1">
      <alignment horizontal="center" vertical="center"/>
      <protection hidden="1"/>
    </xf>
    <xf numFmtId="185" fontId="13" fillId="3" borderId="14" xfId="12" quotePrefix="1" applyNumberFormat="1" applyFont="1" applyFill="1" applyBorder="1" applyAlignment="1" applyProtection="1">
      <alignment horizontal="center" vertical="center"/>
      <protection hidden="1"/>
    </xf>
    <xf numFmtId="0" fontId="17" fillId="4" borderId="102" xfId="12" applyFont="1" applyFill="1" applyBorder="1" applyAlignment="1" applyProtection="1">
      <alignment vertical="top"/>
      <protection hidden="1"/>
    </xf>
    <xf numFmtId="0" fontId="17" fillId="4" borderId="0" xfId="12" applyFont="1" applyFill="1" applyBorder="1" applyAlignment="1" applyProtection="1">
      <alignment vertical="top"/>
      <protection hidden="1"/>
    </xf>
    <xf numFmtId="0" fontId="12" fillId="14" borderId="0" xfId="12" applyFont="1" applyFill="1" applyAlignment="1" applyProtection="1">
      <protection hidden="1"/>
    </xf>
    <xf numFmtId="0" fontId="13" fillId="14" borderId="0" xfId="12" applyFont="1" applyFill="1" applyAlignment="1" applyProtection="1">
      <alignment vertical="top" wrapText="1"/>
      <protection hidden="1"/>
    </xf>
    <xf numFmtId="0" fontId="12" fillId="4" borderId="0" xfId="12" applyFont="1" applyFill="1" applyBorder="1" applyProtection="1">
      <protection hidden="1"/>
    </xf>
    <xf numFmtId="0" fontId="17" fillId="4" borderId="0" xfId="12" applyFont="1" applyFill="1" applyBorder="1" applyProtection="1">
      <protection hidden="1"/>
    </xf>
    <xf numFmtId="0" fontId="13" fillId="4" borderId="0" xfId="12" applyFont="1" applyFill="1" applyBorder="1" applyAlignment="1" applyProtection="1">
      <alignment horizontal="left" vertical="center"/>
      <protection hidden="1"/>
    </xf>
    <xf numFmtId="0" fontId="13" fillId="4" borderId="0" xfId="12" applyFont="1" applyFill="1" applyBorder="1" applyAlignment="1" applyProtection="1">
      <alignment horizontal="left"/>
      <protection hidden="1"/>
    </xf>
    <xf numFmtId="0" fontId="12" fillId="7" borderId="106" xfId="12" applyFont="1" applyFill="1" applyBorder="1" applyProtection="1">
      <protection hidden="1"/>
    </xf>
    <xf numFmtId="3" fontId="15" fillId="0" borderId="102" xfId="14" applyNumberFormat="1" applyFont="1" applyFill="1" applyBorder="1" applyAlignment="1" applyProtection="1">
      <alignment horizontal="center" vertical="center"/>
      <protection hidden="1"/>
    </xf>
    <xf numFmtId="0" fontId="13" fillId="0" borderId="102" xfId="12" applyFont="1" applyBorder="1" applyAlignment="1" applyProtection="1">
      <alignment horizontal="center" vertical="center"/>
      <protection hidden="1"/>
    </xf>
    <xf numFmtId="0" fontId="30" fillId="0" borderId="102" xfId="0" applyFont="1" applyFill="1" applyBorder="1" applyAlignment="1" applyProtection="1">
      <alignment horizontal="left" vertical="center" indent="1"/>
      <protection hidden="1"/>
    </xf>
    <xf numFmtId="0" fontId="15" fillId="0" borderId="87" xfId="14" applyFont="1" applyBorder="1" applyAlignment="1" applyProtection="1">
      <alignment horizontal="center" vertical="top" wrapText="1"/>
      <protection hidden="1"/>
    </xf>
    <xf numFmtId="0" fontId="13" fillId="0" borderId="102" xfId="11" applyFont="1" applyBorder="1" applyAlignment="1" applyProtection="1">
      <alignment horizontal="center" vertical="center"/>
      <protection hidden="1"/>
    </xf>
    <xf numFmtId="185" fontId="13" fillId="0" borderId="26" xfId="8" quotePrefix="1" applyNumberFormat="1" applyFont="1" applyBorder="1" applyAlignment="1" applyProtection="1">
      <alignment horizontal="center" vertical="center"/>
      <protection hidden="1"/>
    </xf>
    <xf numFmtId="185" fontId="13" fillId="0" borderId="27" xfId="8" quotePrefix="1" applyNumberFormat="1" applyFont="1" applyBorder="1" applyAlignment="1" applyProtection="1">
      <alignment horizontal="center" vertical="center"/>
      <protection hidden="1"/>
    </xf>
    <xf numFmtId="185" fontId="13" fillId="0" borderId="58" xfId="8" quotePrefix="1" applyNumberFormat="1" applyFont="1" applyBorder="1" applyAlignment="1" applyProtection="1">
      <alignment horizontal="center" vertical="center"/>
      <protection hidden="1"/>
    </xf>
    <xf numFmtId="185" fontId="13" fillId="0" borderId="25" xfId="8" quotePrefix="1" applyNumberFormat="1" applyFont="1" applyBorder="1" applyAlignment="1" applyProtection="1">
      <alignment horizontal="center" vertical="center"/>
      <protection hidden="1"/>
    </xf>
    <xf numFmtId="174" fontId="12" fillId="0" borderId="102" xfId="11" applyNumberFormat="1" applyFont="1" applyFill="1" applyBorder="1" applyAlignment="1" applyProtection="1">
      <protection hidden="1"/>
    </xf>
    <xf numFmtId="0" fontId="12" fillId="0" borderId="9" xfId="8" applyNumberFormat="1" applyFont="1" applyBorder="1" applyAlignment="1" applyProtection="1">
      <alignment horizontal="left" indent="1"/>
      <protection hidden="1"/>
    </xf>
    <xf numFmtId="185" fontId="13" fillId="0" borderId="34" xfId="8" quotePrefix="1" applyNumberFormat="1" applyFont="1" applyBorder="1" applyAlignment="1" applyProtection="1">
      <alignment horizontal="center" vertical="center"/>
      <protection hidden="1"/>
    </xf>
    <xf numFmtId="185" fontId="13" fillId="0" borderId="36" xfId="8" quotePrefix="1" applyNumberFormat="1" applyFont="1" applyBorder="1" applyAlignment="1" applyProtection="1">
      <alignment horizontal="center" vertical="center"/>
      <protection hidden="1"/>
    </xf>
    <xf numFmtId="174" fontId="12" fillId="0" borderId="102" xfId="12" applyNumberFormat="1" applyFont="1" applyFill="1" applyBorder="1" applyAlignment="1" applyProtection="1">
      <protection hidden="1"/>
    </xf>
    <xf numFmtId="0" fontId="13" fillId="0" borderId="9" xfId="12" applyFont="1" applyFill="1" applyBorder="1" applyAlignment="1" applyProtection="1">
      <alignment horizontal="left" vertical="center" indent="1"/>
      <protection hidden="1"/>
    </xf>
    <xf numFmtId="174" fontId="12" fillId="0" borderId="10" xfId="12" applyNumberFormat="1" applyFont="1" applyFill="1" applyBorder="1" applyAlignment="1" applyProtection="1">
      <protection hidden="1"/>
    </xf>
    <xf numFmtId="0" fontId="13" fillId="0" borderId="9" xfId="12" applyFont="1" applyFill="1" applyBorder="1" applyAlignment="1" applyProtection="1">
      <alignment horizontal="left" vertical="center" indent="3"/>
      <protection hidden="1"/>
    </xf>
    <xf numFmtId="0" fontId="12" fillId="0" borderId="9" xfId="12" applyFont="1" applyFill="1" applyBorder="1" applyAlignment="1" applyProtection="1">
      <alignment horizontal="left" vertical="center" indent="4"/>
      <protection hidden="1"/>
    </xf>
    <xf numFmtId="174" fontId="12" fillId="0" borderId="102" xfId="12" applyNumberFormat="1" applyFont="1" applyFill="1" applyBorder="1" applyAlignment="1" applyProtection="1">
      <alignment vertical="center"/>
      <protection hidden="1"/>
    </xf>
    <xf numFmtId="0" fontId="13" fillId="0" borderId="9" xfId="12" applyFont="1" applyFill="1" applyBorder="1" applyAlignment="1" applyProtection="1">
      <alignment horizontal="left" vertical="center" indent="4"/>
      <protection hidden="1"/>
    </xf>
    <xf numFmtId="0" fontId="12" fillId="0" borderId="9" xfId="12" applyFont="1" applyFill="1" applyBorder="1" applyAlignment="1" applyProtection="1">
      <alignment horizontal="left" vertical="center" indent="5"/>
      <protection hidden="1"/>
    </xf>
    <xf numFmtId="0" fontId="12" fillId="0" borderId="0" xfId="12" applyNumberFormat="1" applyFont="1" applyFill="1" applyBorder="1" applyAlignment="1" applyProtection="1">
      <protection hidden="1"/>
    </xf>
    <xf numFmtId="0" fontId="12" fillId="0" borderId="102" xfId="12" applyNumberFormat="1" applyFont="1" applyFill="1" applyBorder="1" applyAlignment="1" applyProtection="1">
      <protection hidden="1"/>
    </xf>
    <xf numFmtId="185" fontId="13" fillId="0" borderId="57" xfId="8" quotePrefix="1" applyNumberFormat="1" applyFont="1" applyBorder="1" applyAlignment="1" applyProtection="1">
      <alignment horizontal="center" vertical="center"/>
      <protection hidden="1"/>
    </xf>
    <xf numFmtId="0" fontId="15" fillId="0" borderId="0" xfId="14" applyFont="1" applyBorder="1" applyAlignment="1" applyProtection="1">
      <alignment horizontal="left" vertical="top" indent="1"/>
      <protection hidden="1"/>
    </xf>
    <xf numFmtId="3" fontId="15" fillId="0" borderId="102" xfId="14" applyNumberFormat="1" applyFont="1" applyFill="1" applyBorder="1" applyAlignment="1" applyProtection="1">
      <alignment horizontal="center" vertical="top"/>
      <protection hidden="1"/>
    </xf>
    <xf numFmtId="0" fontId="15" fillId="0" borderId="4" xfId="14" applyFont="1" applyBorder="1" applyAlignment="1" applyProtection="1">
      <alignment horizontal="center" vertical="top" wrapText="1"/>
      <protection hidden="1"/>
    </xf>
    <xf numFmtId="185" fontId="15" fillId="0" borderId="27" xfId="14" applyNumberFormat="1" applyFont="1" applyFill="1" applyBorder="1" applyAlignment="1" applyProtection="1">
      <alignment horizontal="center" vertical="center"/>
      <protection hidden="1"/>
    </xf>
    <xf numFmtId="185" fontId="15" fillId="0" borderId="58" xfId="14" applyNumberFormat="1" applyFont="1" applyFill="1" applyBorder="1" applyAlignment="1" applyProtection="1">
      <alignment horizontal="center" vertical="center"/>
      <protection hidden="1"/>
    </xf>
    <xf numFmtId="185" fontId="15" fillId="0" borderId="26" xfId="14" applyNumberFormat="1" applyFont="1" applyFill="1" applyBorder="1" applyAlignment="1" applyProtection="1">
      <alignment horizontal="center" vertical="center"/>
      <protection hidden="1"/>
    </xf>
    <xf numFmtId="185" fontId="15" fillId="0" borderId="57" xfId="14" applyNumberFormat="1" applyFont="1" applyBorder="1" applyAlignment="1" applyProtection="1">
      <alignment horizontal="center" vertical="center"/>
      <protection hidden="1"/>
    </xf>
    <xf numFmtId="185" fontId="15" fillId="0" borderId="25" xfId="14" applyNumberFormat="1" applyFont="1" applyBorder="1" applyAlignment="1" applyProtection="1">
      <alignment horizontal="center" vertical="center"/>
      <protection hidden="1"/>
    </xf>
    <xf numFmtId="0" fontId="12" fillId="7" borderId="109" xfId="4" applyFont="1" applyFill="1" applyBorder="1" applyProtection="1">
      <protection hidden="1"/>
    </xf>
    <xf numFmtId="178" fontId="12" fillId="12" borderId="6" xfId="4" applyNumberFormat="1" applyFont="1" applyFill="1" applyBorder="1" applyAlignment="1" applyProtection="1">
      <alignment vertical="center"/>
      <protection hidden="1"/>
    </xf>
    <xf numFmtId="175" fontId="12" fillId="12" borderId="0" xfId="4" applyNumberFormat="1" applyFont="1" applyFill="1" applyBorder="1" applyAlignment="1" applyProtection="1">
      <alignment vertical="center"/>
      <protection hidden="1"/>
    </xf>
    <xf numFmtId="175" fontId="12" fillId="12" borderId="5" xfId="4" applyNumberFormat="1" applyFont="1" applyFill="1" applyBorder="1" applyAlignment="1" applyProtection="1">
      <alignment vertical="center"/>
      <protection hidden="1"/>
    </xf>
    <xf numFmtId="175" fontId="12" fillId="12" borderId="6" xfId="4" applyNumberFormat="1" applyFont="1" applyFill="1" applyBorder="1" applyAlignment="1" applyProtection="1">
      <alignment vertical="center"/>
      <protection hidden="1"/>
    </xf>
    <xf numFmtId="0" fontId="12" fillId="14" borderId="0" xfId="0" applyNumberFormat="1" applyFont="1" applyFill="1" applyBorder="1" applyAlignment="1" applyProtection="1">
      <protection hidden="1"/>
    </xf>
    <xf numFmtId="0" fontId="12" fillId="7" borderId="23" xfId="4" applyFont="1" applyFill="1" applyBorder="1" applyProtection="1">
      <protection hidden="1"/>
    </xf>
    <xf numFmtId="178" fontId="13" fillId="9" borderId="103" xfId="9" applyNumberFormat="1" applyFont="1" applyFill="1" applyBorder="1" applyAlignment="1" applyProtection="1">
      <alignment vertical="center"/>
      <protection hidden="1"/>
    </xf>
    <xf numFmtId="0" fontId="13" fillId="3" borderId="102" xfId="9" applyFont="1" applyFill="1" applyBorder="1" applyAlignment="1" applyProtection="1">
      <alignment horizontal="center" vertical="top"/>
      <protection hidden="1"/>
    </xf>
    <xf numFmtId="0" fontId="12" fillId="4" borderId="102" xfId="9" applyFont="1" applyFill="1" applyBorder="1" applyProtection="1">
      <protection hidden="1"/>
    </xf>
    <xf numFmtId="171" fontId="13" fillId="2" borderId="10" xfId="0" applyNumberFormat="1" applyFont="1" applyFill="1" applyBorder="1" applyAlignment="1" applyProtection="1">
      <alignment horizontal="center" vertical="center"/>
      <protection hidden="1"/>
    </xf>
    <xf numFmtId="0" fontId="13" fillId="3" borderId="102" xfId="9" applyFont="1" applyFill="1" applyBorder="1" applyAlignment="1" applyProtection="1">
      <alignment horizontal="center" vertical="center"/>
      <protection hidden="1"/>
    </xf>
    <xf numFmtId="171" fontId="13" fillId="2" borderId="102" xfId="0" applyNumberFormat="1" applyFont="1" applyFill="1" applyBorder="1" applyAlignment="1" applyProtection="1">
      <alignment horizontal="center" vertical="center"/>
      <protection hidden="1"/>
    </xf>
    <xf numFmtId="178" fontId="13" fillId="3" borderId="110" xfId="9" applyNumberFormat="1" applyFont="1" applyFill="1" applyBorder="1" applyAlignment="1" applyProtection="1">
      <alignment vertical="center"/>
      <protection hidden="1"/>
    </xf>
    <xf numFmtId="0" fontId="13" fillId="10" borderId="0" xfId="9" applyFont="1" applyFill="1" applyBorder="1" applyAlignment="1" applyProtection="1">
      <alignment vertical="center"/>
      <protection hidden="1"/>
    </xf>
    <xf numFmtId="0" fontId="12" fillId="9" borderId="0" xfId="9" applyFont="1" applyFill="1" applyBorder="1" applyProtection="1">
      <protection hidden="1"/>
    </xf>
    <xf numFmtId="171" fontId="13" fillId="5" borderId="0" xfId="0" applyNumberFormat="1" applyFont="1" applyFill="1" applyBorder="1" applyAlignment="1" applyProtection="1">
      <alignment horizontal="center" vertical="center"/>
      <protection hidden="1"/>
    </xf>
    <xf numFmtId="171" fontId="13" fillId="5" borderId="9" xfId="0" applyNumberFormat="1" applyFont="1" applyFill="1" applyBorder="1" applyAlignment="1" applyProtection="1">
      <alignment horizontal="center" vertical="center"/>
      <protection hidden="1"/>
    </xf>
    <xf numFmtId="0" fontId="13" fillId="2" borderId="32" xfId="0" applyFont="1" applyFill="1" applyBorder="1" applyAlignment="1" applyProtection="1">
      <alignment horizontal="center" vertical="top" wrapText="1"/>
      <protection hidden="1"/>
    </xf>
    <xf numFmtId="0" fontId="12" fillId="2" borderId="60" xfId="0" applyFont="1" applyFill="1" applyBorder="1" applyAlignment="1" applyProtection="1">
      <alignment horizontal="center" vertical="center"/>
      <protection hidden="1"/>
    </xf>
    <xf numFmtId="0" fontId="12" fillId="9" borderId="15" xfId="9" applyFont="1" applyFill="1" applyBorder="1" applyProtection="1">
      <protection hidden="1"/>
    </xf>
    <xf numFmtId="0" fontId="12" fillId="2" borderId="0" xfId="0" applyFont="1" applyFill="1" applyBorder="1" applyAlignment="1" applyProtection="1">
      <protection hidden="1"/>
    </xf>
    <xf numFmtId="171" fontId="13" fillId="2" borderId="0" xfId="0" applyNumberFormat="1" applyFont="1" applyFill="1" applyBorder="1" applyAlignment="1" applyProtection="1">
      <alignment horizontal="center" vertical="center"/>
      <protection hidden="1"/>
    </xf>
    <xf numFmtId="171" fontId="13" fillId="2" borderId="4" xfId="0" applyNumberFormat="1" applyFont="1" applyFill="1" applyBorder="1" applyAlignment="1" applyProtection="1">
      <alignment horizontal="center" vertical="center"/>
      <protection hidden="1"/>
    </xf>
    <xf numFmtId="0" fontId="13" fillId="5" borderId="100" xfId="0" applyNumberFormat="1" applyFont="1" applyFill="1" applyBorder="1" applyAlignment="1" applyProtection="1">
      <protection hidden="1"/>
    </xf>
    <xf numFmtId="0" fontId="18" fillId="4" borderId="8" xfId="0" applyFont="1" applyFill="1" applyBorder="1" applyAlignment="1" applyProtection="1">
      <alignment horizontal="center" vertical="center"/>
      <protection hidden="1"/>
    </xf>
    <xf numFmtId="177" fontId="12" fillId="5" borderId="10" xfId="0" applyNumberFormat="1" applyFont="1" applyFill="1" applyBorder="1" applyAlignment="1" applyProtection="1">
      <alignment vertical="center"/>
      <protection hidden="1"/>
    </xf>
    <xf numFmtId="0" fontId="13" fillId="5" borderId="102" xfId="0" applyFont="1" applyFill="1" applyBorder="1" applyAlignment="1" applyProtection="1">
      <alignment horizontal="center" vertical="center" wrapText="1"/>
      <protection hidden="1"/>
    </xf>
    <xf numFmtId="171" fontId="12" fillId="9" borderId="102" xfId="0" applyNumberFormat="1" applyFont="1" applyFill="1" applyBorder="1" applyProtection="1">
      <protection hidden="1"/>
    </xf>
    <xf numFmtId="0" fontId="12" fillId="5" borderId="102" xfId="0" applyFont="1" applyFill="1" applyBorder="1" applyAlignment="1" applyProtection="1">
      <alignment horizontal="center" vertical="center" wrapText="1"/>
      <protection hidden="1"/>
    </xf>
    <xf numFmtId="0" fontId="18" fillId="4" borderId="102" xfId="0" applyFont="1" applyFill="1" applyBorder="1" applyAlignment="1" applyProtection="1">
      <alignment horizontal="center" vertical="center"/>
      <protection hidden="1"/>
    </xf>
    <xf numFmtId="178" fontId="21" fillId="5" borderId="102" xfId="0" applyNumberFormat="1" applyFont="1" applyFill="1" applyBorder="1" applyAlignment="1" applyProtection="1">
      <alignment vertical="center"/>
      <protection hidden="1"/>
    </xf>
    <xf numFmtId="0" fontId="12" fillId="9" borderId="111" xfId="12" applyFont="1" applyFill="1" applyBorder="1" applyProtection="1">
      <protection hidden="1"/>
    </xf>
    <xf numFmtId="0" fontId="12" fillId="9" borderId="102" xfId="12" applyFont="1" applyFill="1" applyBorder="1" applyProtection="1">
      <protection hidden="1"/>
    </xf>
    <xf numFmtId="182" fontId="13" fillId="9" borderId="9" xfId="12" applyNumberFormat="1" applyFont="1" applyFill="1" applyBorder="1" applyAlignment="1" applyProtection="1">
      <alignment vertical="center"/>
      <protection hidden="1"/>
    </xf>
    <xf numFmtId="182" fontId="13" fillId="9" borderId="98" xfId="12" applyNumberFormat="1" applyFont="1" applyFill="1" applyBorder="1" applyAlignment="1" applyProtection="1">
      <alignment vertical="center"/>
      <protection hidden="1"/>
    </xf>
    <xf numFmtId="182" fontId="13" fillId="9" borderId="15" xfId="12" applyNumberFormat="1" applyFont="1" applyFill="1" applyBorder="1" applyAlignment="1" applyProtection="1">
      <alignment vertical="center"/>
      <protection hidden="1"/>
    </xf>
    <xf numFmtId="0" fontId="13" fillId="5" borderId="10" xfId="0" applyFont="1" applyFill="1" applyBorder="1" applyAlignment="1" applyProtection="1">
      <alignment horizontal="left" vertical="top" indent="1"/>
      <protection hidden="1"/>
    </xf>
    <xf numFmtId="0" fontId="13" fillId="9" borderId="78" xfId="5" applyFont="1" applyFill="1" applyBorder="1" applyAlignment="1" applyProtection="1">
      <alignment horizontal="left" vertical="center" indent="1"/>
      <protection hidden="1"/>
    </xf>
    <xf numFmtId="0" fontId="13" fillId="9" borderId="41" xfId="0" applyFont="1" applyFill="1" applyBorder="1" applyAlignment="1" applyProtection="1">
      <alignment horizontal="left" vertical="center" indent="1"/>
      <protection hidden="1"/>
    </xf>
    <xf numFmtId="0" fontId="13" fillId="9" borderId="16" xfId="0" applyFont="1" applyFill="1" applyBorder="1" applyAlignment="1" applyProtection="1">
      <alignment horizontal="left" vertical="center" indent="1"/>
      <protection hidden="1"/>
    </xf>
    <xf numFmtId="177" fontId="12" fillId="9" borderId="105" xfId="0" applyNumberFormat="1" applyFont="1" applyFill="1" applyBorder="1" applyAlignment="1" applyProtection="1">
      <alignment vertical="center"/>
      <protection locked="0"/>
    </xf>
    <xf numFmtId="177" fontId="12" fillId="9" borderId="47" xfId="0" applyNumberFormat="1" applyFont="1" applyFill="1" applyBorder="1" applyAlignment="1" applyProtection="1">
      <alignment vertical="center"/>
      <protection locked="0"/>
    </xf>
    <xf numFmtId="0" fontId="12" fillId="9" borderId="0" xfId="0" applyFont="1" applyFill="1" applyAlignment="1" applyProtection="1">
      <alignment vertical="center"/>
      <protection hidden="1"/>
    </xf>
    <xf numFmtId="0" fontId="12" fillId="9" borderId="0" xfId="0" applyFont="1" applyFill="1" applyAlignment="1" applyProtection="1">
      <protection hidden="1"/>
    </xf>
    <xf numFmtId="0" fontId="12" fillId="10" borderId="0" xfId="9" applyFont="1" applyFill="1" applyBorder="1" applyAlignment="1" applyProtection="1">
      <alignment vertical="top"/>
      <protection hidden="1"/>
    </xf>
    <xf numFmtId="0" fontId="12" fillId="9" borderId="96" xfId="9" applyFont="1" applyFill="1" applyBorder="1" applyAlignment="1" applyProtection="1">
      <alignment vertical="top"/>
      <protection hidden="1"/>
    </xf>
    <xf numFmtId="0" fontId="13" fillId="3" borderId="82" xfId="9" applyFont="1" applyFill="1" applyBorder="1" applyAlignment="1" applyProtection="1">
      <alignment horizontal="left" vertical="center"/>
      <protection hidden="1"/>
    </xf>
    <xf numFmtId="0" fontId="13" fillId="10" borderId="82" xfId="9" applyFont="1" applyFill="1" applyBorder="1" applyAlignment="1" applyProtection="1">
      <alignment horizontal="left" vertical="center"/>
      <protection hidden="1"/>
    </xf>
    <xf numFmtId="0" fontId="13" fillId="4" borderId="95" xfId="9" applyFont="1" applyFill="1" applyBorder="1" applyAlignment="1" applyProtection="1">
      <alignment horizontal="right" vertical="top"/>
      <protection hidden="1"/>
    </xf>
    <xf numFmtId="0" fontId="12" fillId="9" borderId="111" xfId="9" applyFont="1" applyFill="1" applyBorder="1" applyProtection="1">
      <protection hidden="1"/>
    </xf>
    <xf numFmtId="0" fontId="12" fillId="4" borderId="102" xfId="9" applyFont="1" applyFill="1" applyBorder="1" applyAlignment="1" applyProtection="1">
      <alignment vertical="center"/>
      <protection hidden="1"/>
    </xf>
    <xf numFmtId="0" fontId="13" fillId="9" borderId="0" xfId="0" applyFont="1" applyFill="1" applyAlignment="1" applyProtection="1">
      <alignment vertical="top" wrapText="1"/>
      <protection hidden="1"/>
    </xf>
    <xf numFmtId="171" fontId="13" fillId="2" borderId="108" xfId="0" applyNumberFormat="1" applyFont="1" applyFill="1" applyBorder="1" applyAlignment="1" applyProtection="1">
      <alignment horizontal="center" vertical="center"/>
      <protection hidden="1"/>
    </xf>
    <xf numFmtId="0" fontId="13" fillId="3" borderId="108" xfId="9" applyFont="1" applyFill="1" applyBorder="1" applyAlignment="1" applyProtection="1">
      <alignment horizontal="center" vertical="center"/>
      <protection hidden="1"/>
    </xf>
    <xf numFmtId="0" fontId="13" fillId="3" borderId="107" xfId="9" applyFont="1" applyFill="1" applyBorder="1" applyAlignment="1" applyProtection="1">
      <alignment horizontal="center" vertical="center"/>
      <protection hidden="1"/>
    </xf>
    <xf numFmtId="178" fontId="13" fillId="3" borderId="98" xfId="9" applyNumberFormat="1" applyFont="1" applyFill="1" applyBorder="1" applyAlignment="1" applyProtection="1">
      <alignment vertical="center"/>
      <protection hidden="1"/>
    </xf>
    <xf numFmtId="0" fontId="13" fillId="3" borderId="108" xfId="9" applyFont="1" applyFill="1" applyBorder="1" applyAlignment="1" applyProtection="1">
      <alignment horizontal="center" vertical="top"/>
      <protection hidden="1"/>
    </xf>
    <xf numFmtId="171" fontId="13" fillId="2" borderId="108" xfId="0" applyNumberFormat="1" applyFont="1" applyFill="1" applyBorder="1" applyAlignment="1" applyProtection="1">
      <alignment horizontal="center" vertical="top"/>
      <protection hidden="1"/>
    </xf>
    <xf numFmtId="0" fontId="12" fillId="9" borderId="10" xfId="9" applyFont="1" applyFill="1" applyBorder="1" applyProtection="1">
      <protection hidden="1"/>
    </xf>
    <xf numFmtId="0" fontId="13" fillId="3" borderId="10" xfId="9" applyFont="1" applyFill="1" applyBorder="1" applyAlignment="1" applyProtection="1">
      <alignment horizontal="center" vertical="top"/>
      <protection hidden="1"/>
    </xf>
    <xf numFmtId="0" fontId="13" fillId="10" borderId="36" xfId="9" applyFont="1" applyFill="1" applyBorder="1" applyAlignment="1" applyProtection="1">
      <alignment horizontal="center" vertical="center"/>
      <protection hidden="1"/>
    </xf>
    <xf numFmtId="0" fontId="13" fillId="9" borderId="24" xfId="9" applyFont="1" applyFill="1" applyBorder="1" applyAlignment="1" applyProtection="1">
      <alignment horizontal="center" vertical="center"/>
      <protection hidden="1"/>
    </xf>
    <xf numFmtId="0" fontId="13" fillId="4" borderId="82" xfId="9" applyFont="1" applyFill="1" applyBorder="1" applyAlignment="1" applyProtection="1">
      <alignment horizontal="right" vertical="top"/>
      <protection hidden="1"/>
    </xf>
    <xf numFmtId="0" fontId="12" fillId="4" borderId="60" xfId="9" applyFont="1" applyFill="1" applyBorder="1" applyProtection="1">
      <protection hidden="1"/>
    </xf>
    <xf numFmtId="0" fontId="12" fillId="4" borderId="102" xfId="9" applyFont="1" applyFill="1" applyBorder="1" applyAlignment="1" applyProtection="1">
      <alignment horizontal="center" vertical="center"/>
      <protection hidden="1"/>
    </xf>
    <xf numFmtId="178" fontId="13" fillId="9" borderId="82" xfId="9" applyNumberFormat="1" applyFont="1" applyFill="1" applyBorder="1" applyAlignment="1" applyProtection="1">
      <alignment vertical="center"/>
      <protection hidden="1"/>
    </xf>
    <xf numFmtId="178" fontId="13" fillId="9" borderId="112" xfId="9" applyNumberFormat="1" applyFont="1" applyFill="1" applyBorder="1" applyAlignment="1" applyProtection="1">
      <alignment vertical="center"/>
      <protection hidden="1"/>
    </xf>
    <xf numFmtId="0" fontId="12" fillId="9" borderId="113" xfId="9" applyFont="1" applyFill="1" applyBorder="1" applyAlignment="1" applyProtection="1">
      <alignment vertical="center"/>
      <protection hidden="1"/>
    </xf>
    <xf numFmtId="0" fontId="17" fillId="4" borderId="84" xfId="0" applyFont="1" applyFill="1" applyBorder="1" applyAlignment="1" applyProtection="1">
      <alignment horizontal="left" vertical="center"/>
      <protection hidden="1"/>
    </xf>
    <xf numFmtId="0" fontId="12" fillId="3" borderId="84" xfId="9" applyFont="1" applyFill="1" applyBorder="1" applyAlignment="1" applyProtection="1">
      <alignment horizontal="centerContinuous" vertical="center"/>
      <protection hidden="1"/>
    </xf>
    <xf numFmtId="0" fontId="12" fillId="4" borderId="84" xfId="9" applyFont="1" applyFill="1" applyBorder="1" applyAlignment="1" applyProtection="1">
      <alignment horizontal="centerContinuous" vertical="center"/>
      <protection hidden="1"/>
    </xf>
    <xf numFmtId="0" fontId="12" fillId="4" borderId="85" xfId="9" applyFont="1" applyFill="1" applyBorder="1" applyAlignment="1" applyProtection="1">
      <alignment horizontal="centerContinuous" vertical="center"/>
      <protection hidden="1"/>
    </xf>
    <xf numFmtId="184" fontId="12" fillId="2" borderId="47" xfId="0" quotePrefix="1" applyNumberFormat="1" applyFont="1" applyFill="1" applyBorder="1" applyAlignment="1" applyProtection="1">
      <alignment vertical="center"/>
      <protection hidden="1"/>
    </xf>
    <xf numFmtId="0" fontId="12" fillId="2" borderId="55" xfId="0" applyNumberFormat="1" applyFont="1" applyFill="1" applyBorder="1" applyAlignment="1" applyProtection="1">
      <protection hidden="1"/>
    </xf>
    <xf numFmtId="0" fontId="12" fillId="2" borderId="55" xfId="0" quotePrefix="1" applyNumberFormat="1" applyFont="1" applyFill="1" applyBorder="1" applyAlignment="1" applyProtection="1">
      <protection hidden="1"/>
    </xf>
    <xf numFmtId="178" fontId="12" fillId="9" borderId="41" xfId="9" applyNumberFormat="1" applyFont="1" applyFill="1" applyBorder="1" applyAlignment="1" applyProtection="1">
      <alignment vertical="center"/>
      <protection locked="0"/>
    </xf>
    <xf numFmtId="178" fontId="12" fillId="9" borderId="98" xfId="9" applyNumberFormat="1" applyFont="1" applyFill="1" applyBorder="1" applyAlignment="1" applyProtection="1">
      <alignment vertical="center"/>
      <protection locked="0"/>
    </xf>
    <xf numFmtId="178" fontId="12" fillId="9" borderId="86" xfId="9" applyNumberFormat="1" applyFont="1" applyFill="1" applyBorder="1" applyAlignment="1" applyProtection="1">
      <alignment vertical="center"/>
      <protection locked="0"/>
    </xf>
    <xf numFmtId="178" fontId="12" fillId="9" borderId="28" xfId="9" applyNumberFormat="1" applyFont="1" applyFill="1" applyBorder="1" applyAlignment="1" applyProtection="1">
      <alignment vertical="center"/>
      <protection locked="0"/>
    </xf>
    <xf numFmtId="178" fontId="12" fillId="9" borderId="29" xfId="9" applyNumberFormat="1" applyFont="1" applyFill="1" applyBorder="1" applyAlignment="1" applyProtection="1">
      <alignment vertical="center"/>
      <protection locked="0"/>
    </xf>
    <xf numFmtId="178" fontId="12" fillId="9" borderId="10" xfId="9" applyNumberFormat="1" applyFont="1" applyFill="1" applyBorder="1" applyAlignment="1" applyProtection="1">
      <alignment vertical="center"/>
      <protection locked="0"/>
    </xf>
    <xf numFmtId="178" fontId="12" fillId="9" borderId="35" xfId="9" applyNumberFormat="1" applyFont="1" applyFill="1" applyBorder="1" applyAlignment="1" applyProtection="1">
      <alignment vertical="center"/>
      <protection locked="0"/>
    </xf>
    <xf numFmtId="178" fontId="12" fillId="9" borderId="0" xfId="9" applyNumberFormat="1" applyFont="1" applyFill="1" applyBorder="1" applyAlignment="1" applyProtection="1">
      <alignment vertical="center"/>
      <protection locked="0"/>
    </xf>
    <xf numFmtId="178" fontId="12" fillId="9" borderId="4" xfId="9" applyNumberFormat="1" applyFont="1" applyFill="1" applyBorder="1" applyAlignment="1" applyProtection="1">
      <alignment vertical="center"/>
      <protection locked="0"/>
    </xf>
    <xf numFmtId="178" fontId="12" fillId="9" borderId="108" xfId="9" applyNumberFormat="1" applyFont="1" applyFill="1" applyBorder="1" applyAlignment="1" applyProtection="1">
      <alignment vertical="center"/>
      <protection locked="0"/>
    </xf>
    <xf numFmtId="178" fontId="12" fillId="9" borderId="89" xfId="9" applyNumberFormat="1" applyFont="1" applyFill="1" applyBorder="1" applyAlignment="1" applyProtection="1">
      <alignment vertical="center"/>
      <protection locked="0"/>
    </xf>
    <xf numFmtId="178" fontId="12" fillId="9" borderId="82" xfId="9" applyNumberFormat="1" applyFont="1" applyFill="1" applyBorder="1" applyAlignment="1" applyProtection="1">
      <alignment vertical="center"/>
      <protection locked="0"/>
    </xf>
    <xf numFmtId="178" fontId="12" fillId="9" borderId="87" xfId="9" applyNumberFormat="1" applyFont="1" applyFill="1" applyBorder="1" applyAlignment="1" applyProtection="1">
      <alignment vertical="center"/>
      <protection locked="0"/>
    </xf>
    <xf numFmtId="178" fontId="12" fillId="9" borderId="92" xfId="9" applyNumberFormat="1" applyFont="1" applyFill="1" applyBorder="1" applyAlignment="1" applyProtection="1">
      <alignment vertical="center"/>
      <protection locked="0"/>
    </xf>
    <xf numFmtId="178" fontId="12" fillId="9" borderId="9" xfId="9" applyNumberFormat="1" applyFont="1" applyFill="1" applyBorder="1" applyAlignment="1" applyProtection="1">
      <alignment vertical="center"/>
      <protection locked="0"/>
    </xf>
    <xf numFmtId="178" fontId="12" fillId="9" borderId="103" xfId="9" applyNumberFormat="1" applyFont="1" applyFill="1" applyBorder="1" applyAlignment="1" applyProtection="1">
      <alignment vertical="center"/>
      <protection locked="0"/>
    </xf>
    <xf numFmtId="177" fontId="12" fillId="9" borderId="41" xfId="0" applyNumberFormat="1" applyFont="1" applyFill="1" applyBorder="1" applyAlignment="1" applyProtection="1">
      <alignment vertical="center"/>
      <protection locked="0"/>
    </xf>
    <xf numFmtId="177" fontId="12" fillId="9" borderId="29" xfId="0" applyNumberFormat="1" applyFont="1" applyFill="1" applyBorder="1" applyAlignment="1" applyProtection="1">
      <alignment vertical="center"/>
      <protection locked="0"/>
    </xf>
    <xf numFmtId="177" fontId="12" fillId="9" borderId="10" xfId="0" applyNumberFormat="1" applyFont="1" applyFill="1" applyBorder="1" applyAlignment="1" applyProtection="1">
      <alignment vertical="center"/>
      <protection locked="0"/>
    </xf>
    <xf numFmtId="167" fontId="12" fillId="9" borderId="26" xfId="0" applyNumberFormat="1" applyFont="1" applyFill="1" applyBorder="1" applyAlignment="1" applyProtection="1">
      <alignment vertical="center"/>
      <protection locked="0"/>
    </xf>
    <xf numFmtId="169" fontId="12" fillId="9" borderId="40" xfId="0" applyNumberFormat="1" applyFont="1" applyFill="1" applyBorder="1" applyAlignment="1" applyProtection="1">
      <alignment vertical="center"/>
      <protection locked="0"/>
    </xf>
    <xf numFmtId="167" fontId="12" fillId="9" borderId="58" xfId="0" applyNumberFormat="1" applyFont="1" applyFill="1" applyBorder="1" applyAlignment="1" applyProtection="1">
      <alignment vertical="center"/>
      <protection locked="0"/>
    </xf>
    <xf numFmtId="169" fontId="12" fillId="9" borderId="26" xfId="0" applyNumberFormat="1" applyFont="1" applyFill="1" applyBorder="1" applyAlignment="1" applyProtection="1">
      <alignment vertical="center"/>
      <protection locked="0"/>
    </xf>
    <xf numFmtId="167" fontId="12" fillId="9" borderId="11" xfId="0" applyNumberFormat="1" applyFont="1" applyFill="1" applyBorder="1" applyAlignment="1" applyProtection="1">
      <alignment vertical="center"/>
      <protection locked="0"/>
    </xf>
    <xf numFmtId="169" fontId="12" fillId="9" borderId="62" xfId="0" applyNumberFormat="1" applyFont="1" applyFill="1" applyBorder="1" applyAlignment="1" applyProtection="1">
      <alignment vertical="center"/>
      <protection locked="0"/>
    </xf>
    <xf numFmtId="167" fontId="12" fillId="9" borderId="12" xfId="0" applyNumberFormat="1" applyFont="1" applyFill="1" applyBorder="1" applyAlignment="1" applyProtection="1">
      <alignment vertical="center"/>
      <protection locked="0"/>
    </xf>
    <xf numFmtId="169" fontId="12" fillId="9" borderId="11" xfId="0" applyNumberFormat="1" applyFont="1" applyFill="1" applyBorder="1" applyAlignment="1" applyProtection="1">
      <alignment vertical="center"/>
      <protection locked="0"/>
    </xf>
    <xf numFmtId="180" fontId="12" fillId="9" borderId="40" xfId="0" applyNumberFormat="1" applyFont="1" applyFill="1" applyBorder="1" applyAlignment="1" applyProtection="1">
      <alignment vertical="center"/>
      <protection locked="0"/>
    </xf>
    <xf numFmtId="3" fontId="15" fillId="0" borderId="102" xfId="14" applyNumberFormat="1" applyFont="1" applyFill="1" applyBorder="1" applyAlignment="1" applyProtection="1">
      <alignment horizontal="center" vertical="top" wrapText="1"/>
      <protection hidden="1"/>
    </xf>
    <xf numFmtId="185" fontId="15" fillId="0" borderId="85" xfId="14" applyNumberFormat="1" applyFont="1" applyFill="1" applyBorder="1" applyAlignment="1" applyProtection="1">
      <alignment horizontal="center" vertical="center"/>
      <protection hidden="1"/>
    </xf>
    <xf numFmtId="171" fontId="15" fillId="0" borderId="108" xfId="14" applyNumberFormat="1" applyFont="1" applyFill="1" applyBorder="1" applyAlignment="1" applyProtection="1">
      <alignment horizontal="center" vertical="center"/>
      <protection hidden="1"/>
    </xf>
    <xf numFmtId="3" fontId="15" fillId="0" borderId="108" xfId="14" applyNumberFormat="1" applyFont="1" applyFill="1" applyBorder="1" applyAlignment="1" applyProtection="1">
      <alignment horizontal="center" vertical="center"/>
      <protection hidden="1"/>
    </xf>
    <xf numFmtId="171" fontId="15" fillId="0" borderId="108" xfId="14" applyNumberFormat="1" applyFont="1" applyFill="1" applyBorder="1" applyAlignment="1" applyProtection="1">
      <alignment horizontal="center" vertical="top"/>
      <protection hidden="1"/>
    </xf>
    <xf numFmtId="171" fontId="15" fillId="0" borderId="108" xfId="14" applyNumberFormat="1" applyFont="1" applyFill="1" applyBorder="1" applyAlignment="1" applyProtection="1">
      <alignment horizontal="center" vertical="top" wrapText="1"/>
      <protection hidden="1"/>
    </xf>
    <xf numFmtId="3" fontId="15" fillId="0" borderId="108" xfId="14" applyNumberFormat="1" applyFont="1" applyFill="1" applyBorder="1" applyAlignment="1" applyProtection="1">
      <alignment horizontal="center" vertical="top" wrapText="1"/>
      <protection hidden="1"/>
    </xf>
    <xf numFmtId="3" fontId="15" fillId="0" borderId="107" xfId="14" applyNumberFormat="1" applyFont="1" applyFill="1" applyBorder="1" applyAlignment="1" applyProtection="1">
      <alignment horizontal="center" vertical="top"/>
      <protection hidden="1"/>
    </xf>
    <xf numFmtId="176" fontId="14" fillId="0" borderId="108" xfId="14" applyNumberFormat="1" applyFont="1" applyFill="1" applyBorder="1" applyAlignment="1" applyProtection="1">
      <alignment horizontal="center"/>
      <protection hidden="1"/>
    </xf>
    <xf numFmtId="176" fontId="14" fillId="0" borderId="108" xfId="14" applyNumberFormat="1" applyFont="1" applyBorder="1" applyAlignment="1" applyProtection="1">
      <alignment horizontal="center"/>
      <protection hidden="1"/>
    </xf>
    <xf numFmtId="176" fontId="14" fillId="0" borderId="107" xfId="14" applyNumberFormat="1" applyFont="1" applyBorder="1" applyAlignment="1" applyProtection="1">
      <alignment horizontal="center"/>
      <protection hidden="1"/>
    </xf>
    <xf numFmtId="0" fontId="12" fillId="5" borderId="95" xfId="12" applyFont="1" applyFill="1" applyBorder="1" applyAlignment="1" applyProtection="1">
      <alignment vertical="center"/>
      <protection hidden="1"/>
    </xf>
    <xf numFmtId="0" fontId="13" fillId="9" borderId="102" xfId="12" applyNumberFormat="1" applyFont="1" applyFill="1" applyBorder="1" applyAlignment="1" applyProtection="1">
      <alignment vertical="center"/>
      <protection hidden="1"/>
    </xf>
    <xf numFmtId="0" fontId="13" fillId="0" borderId="29" xfId="12" applyNumberFormat="1" applyFont="1" applyFill="1" applyBorder="1" applyAlignment="1" applyProtection="1">
      <alignment horizontal="left" vertical="center" indent="1"/>
      <protection hidden="1"/>
    </xf>
    <xf numFmtId="0" fontId="19" fillId="9" borderId="0" xfId="12" applyFont="1" applyFill="1" applyBorder="1" applyAlignment="1" applyProtection="1">
      <alignment horizontal="center" vertical="center"/>
      <protection hidden="1"/>
    </xf>
    <xf numFmtId="0" fontId="12" fillId="5" borderId="0" xfId="12" applyFont="1" applyFill="1" applyBorder="1" applyAlignment="1" applyProtection="1">
      <alignment horizontal="center" vertical="center" wrapText="1"/>
      <protection hidden="1"/>
    </xf>
    <xf numFmtId="0" fontId="12" fillId="5" borderId="102" xfId="12" applyFont="1" applyFill="1" applyBorder="1" applyAlignment="1" applyProtection="1">
      <protection hidden="1"/>
    </xf>
    <xf numFmtId="0" fontId="16" fillId="9" borderId="0" xfId="12" applyFont="1" applyFill="1" applyBorder="1" applyAlignment="1" applyProtection="1">
      <protection hidden="1"/>
    </xf>
    <xf numFmtId="0" fontId="18" fillId="9" borderId="0" xfId="12" applyFont="1" applyFill="1" applyBorder="1" applyAlignment="1" applyProtection="1">
      <protection hidden="1"/>
    </xf>
    <xf numFmtId="0" fontId="12" fillId="9" borderId="102" xfId="12" applyNumberFormat="1" applyFont="1" applyFill="1" applyBorder="1" applyAlignment="1" applyProtection="1">
      <protection hidden="1"/>
    </xf>
    <xf numFmtId="0" fontId="13" fillId="5" borderId="24" xfId="12" applyFont="1" applyFill="1" applyBorder="1" applyAlignment="1" applyProtection="1">
      <alignment horizontal="center" vertical="center"/>
      <protection hidden="1"/>
    </xf>
    <xf numFmtId="0" fontId="12" fillId="5" borderId="10" xfId="12" applyFont="1" applyFill="1" applyBorder="1" applyAlignment="1" applyProtection="1">
      <protection hidden="1"/>
    </xf>
    <xf numFmtId="171" fontId="13" fillId="5" borderId="9" xfId="12" applyNumberFormat="1" applyFont="1" applyFill="1" applyBorder="1" applyAlignment="1" applyProtection="1">
      <alignment horizontal="center" vertical="center"/>
      <protection hidden="1"/>
    </xf>
    <xf numFmtId="0" fontId="12" fillId="9" borderId="102" xfId="12" applyFont="1" applyFill="1" applyBorder="1" applyAlignment="1" applyProtection="1">
      <alignment vertical="top" wrapText="1"/>
      <protection hidden="1"/>
    </xf>
    <xf numFmtId="0" fontId="13" fillId="5" borderId="10" xfId="12" applyFont="1" applyFill="1" applyBorder="1" applyAlignment="1" applyProtection="1">
      <alignment horizontal="center" vertical="center"/>
      <protection hidden="1"/>
    </xf>
    <xf numFmtId="185" fontId="13" fillId="5" borderId="16" xfId="12" applyNumberFormat="1" applyFont="1" applyFill="1" applyBorder="1" applyAlignment="1" applyProtection="1">
      <alignment horizontal="center" vertical="center"/>
      <protection hidden="1"/>
    </xf>
    <xf numFmtId="185" fontId="13" fillId="5" borderId="15" xfId="12" quotePrefix="1" applyNumberFormat="1" applyFont="1" applyFill="1" applyBorder="1" applyAlignment="1" applyProtection="1">
      <alignment horizontal="center" vertical="center"/>
      <protection hidden="1"/>
    </xf>
    <xf numFmtId="0" fontId="13" fillId="9" borderId="102" xfId="12" applyFont="1" applyFill="1" applyBorder="1" applyAlignment="1" applyProtection="1">
      <alignment vertical="top" wrapText="1"/>
      <protection hidden="1"/>
    </xf>
    <xf numFmtId="187" fontId="13" fillId="9" borderId="41" xfId="12" applyNumberFormat="1" applyFont="1" applyFill="1" applyBorder="1" applyAlignment="1" applyProtection="1">
      <alignment horizontal="left" vertical="center" wrapText="1" indent="1"/>
      <protection locked="0"/>
    </xf>
    <xf numFmtId="187" fontId="13" fillId="9" borderId="41" xfId="5" applyNumberFormat="1" applyFont="1" applyFill="1" applyBorder="1" applyAlignment="1" applyProtection="1">
      <alignment horizontal="left" vertical="center" wrapText="1" indent="1"/>
      <protection locked="0"/>
    </xf>
    <xf numFmtId="177" fontId="11" fillId="9" borderId="9" xfId="12" applyNumberFormat="1" applyFont="1" applyFill="1" applyBorder="1" applyAlignment="1" applyProtection="1">
      <alignment vertical="center"/>
      <protection locked="0"/>
    </xf>
    <xf numFmtId="0" fontId="13" fillId="9" borderId="75" xfId="12" applyFont="1" applyFill="1" applyBorder="1" applyAlignment="1" applyProtection="1">
      <alignment horizontal="left" vertical="center" indent="1"/>
      <protection hidden="1"/>
    </xf>
    <xf numFmtId="178" fontId="13" fillId="9" borderId="15" xfId="12" applyNumberFormat="1" applyFont="1" applyFill="1" applyBorder="1" applyAlignment="1" applyProtection="1">
      <alignment vertical="center"/>
      <protection hidden="1"/>
    </xf>
    <xf numFmtId="0" fontId="12" fillId="10" borderId="55" xfId="12" applyFont="1" applyFill="1" applyBorder="1" applyAlignment="1" applyProtection="1">
      <protection hidden="1"/>
    </xf>
    <xf numFmtId="171" fontId="12" fillId="9" borderId="0" xfId="12" applyNumberFormat="1" applyFont="1" applyFill="1" applyBorder="1" applyProtection="1">
      <protection hidden="1"/>
    </xf>
    <xf numFmtId="0" fontId="12" fillId="9" borderId="113" xfId="12" applyFont="1" applyFill="1" applyBorder="1" applyProtection="1">
      <protection hidden="1"/>
    </xf>
    <xf numFmtId="171" fontId="12" fillId="9" borderId="84" xfId="12" applyNumberFormat="1" applyFont="1" applyFill="1" applyBorder="1" applyProtection="1">
      <protection hidden="1"/>
    </xf>
    <xf numFmtId="171" fontId="12" fillId="14" borderId="0" xfId="12" applyNumberFormat="1" applyFont="1" applyFill="1" applyProtection="1">
      <protection hidden="1"/>
    </xf>
    <xf numFmtId="0" fontId="19" fillId="9" borderId="126" xfId="12" applyFont="1" applyFill="1" applyBorder="1" applyAlignment="1" applyProtection="1">
      <alignment horizontal="center" vertical="center"/>
      <protection hidden="1"/>
    </xf>
    <xf numFmtId="0" fontId="12" fillId="9" borderId="36" xfId="5" applyNumberFormat="1" applyFont="1" applyFill="1" applyBorder="1" applyAlignment="1" applyProtection="1">
      <alignment horizontal="left" vertical="center" wrapText="1" indent="1"/>
      <protection locked="0"/>
    </xf>
    <xf numFmtId="177" fontId="11" fillId="9" borderId="0" xfId="0" applyNumberFormat="1" applyFont="1" applyFill="1" applyBorder="1" applyAlignment="1" applyProtection="1">
      <alignment vertical="center"/>
      <protection locked="0"/>
    </xf>
    <xf numFmtId="177" fontId="11" fillId="9" borderId="10" xfId="0" applyNumberFormat="1" applyFont="1" applyFill="1" applyBorder="1" applyAlignment="1" applyProtection="1">
      <alignment vertical="center"/>
      <protection locked="0"/>
    </xf>
    <xf numFmtId="177" fontId="11" fillId="9" borderId="101" xfId="0" applyNumberFormat="1" applyFont="1" applyFill="1" applyBorder="1" applyAlignment="1" applyProtection="1">
      <alignment vertical="center"/>
      <protection locked="0"/>
    </xf>
    <xf numFmtId="0" fontId="12" fillId="9" borderId="41" xfId="5" applyNumberFormat="1" applyFont="1" applyFill="1" applyBorder="1" applyAlignment="1" applyProtection="1">
      <alignment horizontal="left" vertical="center" wrapText="1" indent="1"/>
      <protection locked="0"/>
    </xf>
    <xf numFmtId="177" fontId="11" fillId="9" borderId="86" xfId="0" applyNumberFormat="1" applyFont="1" applyFill="1" applyBorder="1" applyAlignment="1" applyProtection="1">
      <alignment vertical="center"/>
      <protection locked="0"/>
    </xf>
    <xf numFmtId="177" fontId="11" fillId="9" borderId="41" xfId="0" applyNumberFormat="1" applyFont="1" applyFill="1" applyBorder="1" applyAlignment="1" applyProtection="1">
      <alignment vertical="center"/>
      <protection locked="0"/>
    </xf>
    <xf numFmtId="177" fontId="11" fillId="9" borderId="38" xfId="0" applyNumberFormat="1" applyFont="1" applyFill="1" applyBorder="1" applyAlignment="1" applyProtection="1">
      <alignment vertical="center"/>
      <protection locked="0"/>
    </xf>
    <xf numFmtId="0" fontId="12" fillId="9" borderId="75" xfId="5" applyNumberFormat="1" applyFont="1" applyFill="1" applyBorder="1" applyAlignment="1" applyProtection="1">
      <alignment horizontal="left" vertical="center" wrapText="1" indent="1"/>
      <protection locked="0"/>
    </xf>
    <xf numFmtId="177" fontId="11" fillId="9" borderId="16" xfId="0" applyNumberFormat="1" applyFont="1" applyFill="1" applyBorder="1" applyAlignment="1" applyProtection="1">
      <alignment vertical="center"/>
      <protection locked="0"/>
    </xf>
    <xf numFmtId="178" fontId="21" fillId="9" borderId="72" xfId="0" applyNumberFormat="1" applyFont="1" applyFill="1" applyBorder="1" applyAlignment="1" applyProtection="1">
      <alignment vertical="center"/>
      <protection hidden="1"/>
    </xf>
    <xf numFmtId="178" fontId="21" fillId="9" borderId="78" xfId="0" applyNumberFormat="1" applyFont="1" applyFill="1" applyBorder="1" applyAlignment="1" applyProtection="1">
      <alignment vertical="center"/>
      <protection hidden="1"/>
    </xf>
    <xf numFmtId="178" fontId="21" fillId="9" borderId="65" xfId="0" applyNumberFormat="1" applyFont="1" applyFill="1" applyBorder="1" applyAlignment="1" applyProtection="1">
      <alignment vertical="center"/>
      <protection hidden="1"/>
    </xf>
    <xf numFmtId="178" fontId="21" fillId="9" borderId="67" xfId="0" applyNumberFormat="1" applyFont="1" applyFill="1" applyBorder="1" applyAlignment="1" applyProtection="1">
      <alignment vertical="center"/>
      <protection hidden="1"/>
    </xf>
    <xf numFmtId="178" fontId="21" fillId="9" borderId="68" xfId="0" applyNumberFormat="1" applyFont="1" applyFill="1" applyBorder="1" applyAlignment="1" applyProtection="1">
      <alignment vertical="center"/>
      <protection hidden="1"/>
    </xf>
    <xf numFmtId="177" fontId="13" fillId="9" borderId="86" xfId="0" applyNumberFormat="1" applyFont="1" applyFill="1" applyBorder="1" applyAlignment="1" applyProtection="1">
      <alignment vertical="center"/>
      <protection hidden="1"/>
    </xf>
    <xf numFmtId="177" fontId="13" fillId="9" borderId="41" xfId="0" applyNumberFormat="1" applyFont="1" applyFill="1" applyBorder="1" applyAlignment="1" applyProtection="1">
      <alignment vertical="center"/>
      <protection hidden="1"/>
    </xf>
    <xf numFmtId="177" fontId="13" fillId="9" borderId="31" xfId="0" applyNumberFormat="1" applyFont="1" applyFill="1" applyBorder="1" applyAlignment="1" applyProtection="1">
      <alignment vertical="center"/>
      <protection hidden="1"/>
    </xf>
    <xf numFmtId="177" fontId="13" fillId="9" borderId="37" xfId="0" applyNumberFormat="1" applyFont="1" applyFill="1" applyBorder="1" applyAlignment="1" applyProtection="1">
      <alignment vertical="center"/>
      <protection hidden="1"/>
    </xf>
    <xf numFmtId="177" fontId="13" fillId="9" borderId="30" xfId="0" applyNumberFormat="1" applyFont="1" applyFill="1" applyBorder="1" applyAlignment="1" applyProtection="1">
      <alignment vertical="center"/>
      <protection hidden="1"/>
    </xf>
    <xf numFmtId="178" fontId="13" fillId="9" borderId="32" xfId="0" applyNumberFormat="1" applyFont="1" applyFill="1" applyBorder="1" applyAlignment="1" applyProtection="1">
      <alignment vertical="center"/>
      <protection hidden="1"/>
    </xf>
    <xf numFmtId="178" fontId="13" fillId="9" borderId="62" xfId="0" applyNumberFormat="1" applyFont="1" applyFill="1" applyBorder="1" applyAlignment="1" applyProtection="1">
      <alignment vertical="center"/>
      <protection hidden="1"/>
    </xf>
    <xf numFmtId="0" fontId="5" fillId="9" borderId="19" xfId="73" applyFill="1" applyBorder="1" applyProtection="1">
      <protection hidden="1"/>
    </xf>
    <xf numFmtId="0" fontId="5" fillId="9" borderId="55" xfId="73" applyFill="1" applyBorder="1" applyProtection="1">
      <protection hidden="1"/>
    </xf>
    <xf numFmtId="0" fontId="5" fillId="9" borderId="21" xfId="73" applyFill="1" applyBorder="1" applyProtection="1">
      <protection hidden="1"/>
    </xf>
    <xf numFmtId="0" fontId="5" fillId="9" borderId="8" xfId="73" applyFill="1" applyBorder="1" applyProtection="1">
      <protection hidden="1"/>
    </xf>
    <xf numFmtId="0" fontId="5" fillId="9" borderId="0" xfId="73" applyFill="1" applyBorder="1" applyProtection="1">
      <protection hidden="1"/>
    </xf>
    <xf numFmtId="0" fontId="5" fillId="9" borderId="9" xfId="73" applyFill="1" applyBorder="1" applyProtection="1">
      <protection hidden="1"/>
    </xf>
    <xf numFmtId="0" fontId="32" fillId="9" borderId="0" xfId="73" applyFont="1" applyFill="1" applyBorder="1" applyAlignment="1" applyProtection="1">
      <alignment vertical="center"/>
      <protection hidden="1"/>
    </xf>
    <xf numFmtId="0" fontId="5" fillId="9" borderId="0" xfId="73" applyFill="1" applyBorder="1" applyAlignment="1" applyProtection="1">
      <alignment horizontal="left" vertical="center" indent="1"/>
      <protection hidden="1"/>
    </xf>
    <xf numFmtId="0" fontId="32" fillId="9" borderId="0" xfId="73" applyFont="1" applyFill="1" applyBorder="1" applyProtection="1">
      <protection hidden="1"/>
    </xf>
    <xf numFmtId="0" fontId="5" fillId="9" borderId="22" xfId="73" applyFill="1" applyBorder="1" applyAlignment="1" applyProtection="1">
      <alignment vertical="center"/>
      <protection hidden="1"/>
    </xf>
    <xf numFmtId="0" fontId="32" fillId="9" borderId="127" xfId="73" applyFont="1" applyFill="1" applyBorder="1" applyAlignment="1" applyProtection="1">
      <alignment horizontal="center" vertical="center"/>
      <protection hidden="1"/>
    </xf>
    <xf numFmtId="0" fontId="32" fillId="9" borderId="92" xfId="73" applyFont="1" applyFill="1" applyBorder="1" applyAlignment="1" applyProtection="1">
      <alignment horizontal="center" vertical="center"/>
      <protection hidden="1"/>
    </xf>
    <xf numFmtId="0" fontId="32" fillId="9" borderId="93" xfId="73" applyFont="1" applyFill="1" applyBorder="1" applyAlignment="1" applyProtection="1">
      <alignment horizontal="center" vertical="center"/>
      <protection hidden="1"/>
    </xf>
    <xf numFmtId="0" fontId="5" fillId="9" borderId="4" xfId="73" applyFill="1" applyBorder="1" applyAlignment="1" applyProtection="1">
      <alignment horizontal="center" vertical="center"/>
      <protection hidden="1"/>
    </xf>
    <xf numFmtId="0" fontId="33" fillId="9" borderId="4" xfId="73" applyFont="1" applyFill="1" applyBorder="1" applyAlignment="1" applyProtection="1">
      <alignment horizontal="left" vertical="center" indent="2"/>
      <protection hidden="1"/>
    </xf>
    <xf numFmtId="0" fontId="5" fillId="9" borderId="32" xfId="73" applyFill="1" applyBorder="1" applyProtection="1">
      <protection hidden="1"/>
    </xf>
    <xf numFmtId="0" fontId="5" fillId="9" borderId="60" xfId="73" applyFill="1" applyBorder="1" applyProtection="1">
      <protection hidden="1"/>
    </xf>
    <xf numFmtId="0" fontId="5" fillId="9" borderId="15" xfId="73" applyFill="1" applyBorder="1" applyProtection="1">
      <protection hidden="1"/>
    </xf>
    <xf numFmtId="0" fontId="32" fillId="9" borderId="0" xfId="73" applyFont="1" applyFill="1" applyBorder="1" applyAlignment="1" applyProtection="1">
      <protection hidden="1"/>
    </xf>
    <xf numFmtId="0" fontId="5" fillId="14" borderId="0" xfId="73" applyFill="1" applyProtection="1">
      <protection hidden="1"/>
    </xf>
    <xf numFmtId="0" fontId="32" fillId="9" borderId="4" xfId="73" applyFont="1" applyFill="1" applyBorder="1" applyAlignment="1" applyProtection="1">
      <alignment horizontal="center"/>
      <protection hidden="1"/>
    </xf>
    <xf numFmtId="0" fontId="32" fillId="9" borderId="8" xfId="73" applyFont="1" applyFill="1" applyBorder="1" applyAlignment="1" applyProtection="1">
      <alignment horizontal="left" vertical="center" indent="1"/>
      <protection hidden="1"/>
    </xf>
    <xf numFmtId="0" fontId="32" fillId="9" borderId="4" xfId="73" applyFont="1" applyFill="1" applyBorder="1" applyAlignment="1" applyProtection="1">
      <alignment horizontal="left" vertical="center" indent="2"/>
      <protection hidden="1"/>
    </xf>
    <xf numFmtId="0" fontId="32" fillId="9" borderId="100" xfId="73" applyFont="1" applyFill="1" applyBorder="1" applyAlignment="1" applyProtection="1">
      <alignment horizontal="center" vertical="center"/>
      <protection hidden="1"/>
    </xf>
    <xf numFmtId="0" fontId="32" fillId="9" borderId="90" xfId="73" applyFont="1" applyFill="1" applyBorder="1" applyAlignment="1" applyProtection="1">
      <alignment horizontal="center" vertical="center"/>
      <protection hidden="1"/>
    </xf>
    <xf numFmtId="185" fontId="32" fillId="9" borderId="108" xfId="73" quotePrefix="1" applyNumberFormat="1" applyFont="1" applyFill="1" applyBorder="1" applyAlignment="1" applyProtection="1">
      <alignment horizontal="center" vertical="center"/>
      <protection hidden="1"/>
    </xf>
    <xf numFmtId="185" fontId="32" fillId="9" borderId="126" xfId="73" quotePrefix="1" applyNumberFormat="1" applyFont="1" applyFill="1" applyBorder="1" applyAlignment="1" applyProtection="1">
      <alignment horizontal="center" vertical="center"/>
      <protection hidden="1"/>
    </xf>
    <xf numFmtId="185" fontId="32" fillId="9" borderId="4" xfId="73" quotePrefix="1" applyNumberFormat="1" applyFont="1" applyFill="1" applyBorder="1" applyAlignment="1" applyProtection="1">
      <alignment horizontal="center" vertical="center"/>
      <protection hidden="1"/>
    </xf>
    <xf numFmtId="185" fontId="32" fillId="9" borderId="107" xfId="73" quotePrefix="1" applyNumberFormat="1" applyFont="1" applyFill="1" applyBorder="1" applyAlignment="1" applyProtection="1">
      <alignment horizontal="center" vertical="center"/>
      <protection hidden="1"/>
    </xf>
    <xf numFmtId="185" fontId="32" fillId="9" borderId="102" xfId="73" quotePrefix="1" applyNumberFormat="1" applyFont="1" applyFill="1" applyBorder="1" applyAlignment="1" applyProtection="1">
      <alignment horizontal="center" vertical="center"/>
      <protection hidden="1"/>
    </xf>
    <xf numFmtId="0" fontId="32" fillId="9" borderId="22" xfId="73" applyFont="1" applyFill="1" applyBorder="1" applyAlignment="1" applyProtection="1">
      <alignment horizontal="left" vertical="center" indent="1"/>
      <protection hidden="1"/>
    </xf>
    <xf numFmtId="0" fontId="0" fillId="14" borderId="0" xfId="0" applyFill="1" applyProtection="1">
      <protection hidden="1"/>
    </xf>
    <xf numFmtId="179" fontId="5" fillId="0" borderId="29" xfId="73" applyNumberFormat="1" applyFill="1" applyBorder="1" applyAlignment="1" applyProtection="1">
      <alignment vertical="center"/>
      <protection locked="0"/>
    </xf>
    <xf numFmtId="179" fontId="32" fillId="9" borderId="80" xfId="73" applyNumberFormat="1" applyFont="1" applyFill="1" applyBorder="1" applyAlignment="1" applyProtection="1">
      <alignment vertical="center"/>
      <protection hidden="1"/>
    </xf>
    <xf numFmtId="179" fontId="5" fillId="0" borderId="28" xfId="73" applyNumberFormat="1" applyFill="1" applyBorder="1" applyAlignment="1" applyProtection="1">
      <alignment vertical="center"/>
      <protection locked="0"/>
    </xf>
    <xf numFmtId="179" fontId="32" fillId="9" borderId="31" xfId="73" applyNumberFormat="1" applyFont="1" applyFill="1" applyBorder="1" applyAlignment="1" applyProtection="1">
      <alignment vertical="center"/>
      <protection hidden="1"/>
    </xf>
    <xf numFmtId="179" fontId="32" fillId="9" borderId="88" xfId="73" applyNumberFormat="1" applyFont="1" applyFill="1" applyBorder="1" applyAlignment="1" applyProtection="1">
      <alignment vertical="center"/>
      <protection hidden="1"/>
    </xf>
    <xf numFmtId="179" fontId="32" fillId="9" borderId="29" xfId="73" applyNumberFormat="1" applyFont="1" applyFill="1" applyBorder="1" applyAlignment="1" applyProtection="1">
      <alignment vertical="center"/>
      <protection hidden="1"/>
    </xf>
    <xf numFmtId="179" fontId="32" fillId="9" borderId="92" xfId="73" applyNumberFormat="1" applyFont="1" applyFill="1" applyBorder="1" applyAlignment="1" applyProtection="1">
      <alignment vertical="center"/>
      <protection hidden="1"/>
    </xf>
    <xf numFmtId="179" fontId="32" fillId="9" borderId="127" xfId="73" applyNumberFormat="1" applyFont="1" applyFill="1" applyBorder="1" applyAlignment="1" applyProtection="1">
      <alignment vertical="center"/>
      <protection hidden="1"/>
    </xf>
    <xf numFmtId="179" fontId="32" fillId="9" borderId="87" xfId="73" applyNumberFormat="1" applyFont="1" applyFill="1" applyBorder="1" applyAlignment="1" applyProtection="1">
      <alignment vertical="center"/>
      <protection hidden="1"/>
    </xf>
    <xf numFmtId="179" fontId="32" fillId="9" borderId="93" xfId="73" applyNumberFormat="1" applyFont="1" applyFill="1" applyBorder="1" applyAlignment="1" applyProtection="1">
      <alignment vertical="center"/>
      <protection hidden="1"/>
    </xf>
    <xf numFmtId="179" fontId="32" fillId="9" borderId="95" xfId="73" applyNumberFormat="1" applyFont="1" applyFill="1" applyBorder="1" applyAlignment="1" applyProtection="1">
      <alignment vertical="center"/>
      <protection hidden="1"/>
    </xf>
    <xf numFmtId="179" fontId="32" fillId="9" borderId="26" xfId="73" quotePrefix="1" applyNumberFormat="1" applyFont="1" applyFill="1" applyBorder="1" applyAlignment="1" applyProtection="1">
      <alignment horizontal="center" vertical="center"/>
      <protection hidden="1"/>
    </xf>
    <xf numFmtId="179" fontId="32" fillId="9" borderId="58" xfId="73" quotePrefix="1" applyNumberFormat="1" applyFont="1" applyFill="1" applyBorder="1" applyAlignment="1" applyProtection="1">
      <alignment horizontal="center" vertical="center"/>
      <protection hidden="1"/>
    </xf>
    <xf numFmtId="179" fontId="32" fillId="9" borderId="25" xfId="73" quotePrefix="1" applyNumberFormat="1" applyFont="1" applyFill="1" applyBorder="1" applyAlignment="1" applyProtection="1">
      <alignment horizontal="center" vertical="center"/>
      <protection hidden="1"/>
    </xf>
    <xf numFmtId="179" fontId="32" fillId="9" borderId="27" xfId="73" quotePrefix="1" applyNumberFormat="1" applyFont="1" applyFill="1" applyBorder="1" applyAlignment="1" applyProtection="1">
      <alignment horizontal="center" vertical="center"/>
      <protection hidden="1"/>
    </xf>
    <xf numFmtId="179" fontId="32" fillId="9" borderId="40" xfId="73" quotePrefix="1" applyNumberFormat="1" applyFont="1" applyFill="1" applyBorder="1" applyAlignment="1" applyProtection="1">
      <alignment horizontal="center" vertical="center"/>
      <protection hidden="1"/>
    </xf>
    <xf numFmtId="179" fontId="32" fillId="9" borderId="28" xfId="73" applyNumberFormat="1" applyFont="1" applyFill="1" applyBorder="1" applyAlignment="1" applyProtection="1">
      <alignment vertical="center"/>
      <protection hidden="1"/>
    </xf>
    <xf numFmtId="0" fontId="13" fillId="4" borderId="0" xfId="0" applyFont="1" applyFill="1" applyBorder="1" applyAlignment="1" applyProtection="1">
      <alignment horizontal="right"/>
      <protection hidden="1"/>
    </xf>
    <xf numFmtId="0" fontId="13" fillId="4" borderId="0" xfId="0" applyFont="1" applyFill="1" applyBorder="1" applyAlignment="1" applyProtection="1">
      <alignment horizontal="center" vertical="top" wrapText="1"/>
      <protection hidden="1"/>
    </xf>
    <xf numFmtId="0" fontId="13" fillId="5" borderId="0" xfId="0" quotePrefix="1" applyFont="1" applyFill="1" applyBorder="1" applyAlignment="1" applyProtection="1">
      <alignment horizontal="center" vertical="center" wrapText="1"/>
      <protection hidden="1"/>
    </xf>
    <xf numFmtId="179" fontId="13" fillId="8" borderId="0" xfId="0" applyNumberFormat="1" applyFont="1" applyFill="1" applyBorder="1" applyAlignment="1" applyProtection="1">
      <alignment vertical="center"/>
      <protection hidden="1"/>
    </xf>
    <xf numFmtId="0" fontId="12" fillId="9" borderId="126" xfId="0" applyFont="1" applyFill="1" applyBorder="1" applyProtection="1">
      <protection hidden="1"/>
    </xf>
    <xf numFmtId="0" fontId="12" fillId="4" borderId="102" xfId="0" applyFont="1" applyFill="1" applyBorder="1" applyProtection="1">
      <protection hidden="1"/>
    </xf>
    <xf numFmtId="0" fontId="13" fillId="4" borderId="24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Protection="1">
      <protection hidden="1"/>
    </xf>
    <xf numFmtId="0" fontId="13" fillId="4" borderId="100" xfId="0" applyFont="1" applyFill="1" applyBorder="1" applyAlignment="1" applyProtection="1">
      <alignment horizontal="right"/>
      <protection hidden="1"/>
    </xf>
    <xf numFmtId="0" fontId="13" fillId="4" borderId="19" xfId="0" applyFont="1" applyFill="1" applyBorder="1" applyAlignment="1" applyProtection="1">
      <alignment horizontal="center" vertical="center"/>
      <protection hidden="1"/>
    </xf>
    <xf numFmtId="0" fontId="13" fillId="4" borderId="44" xfId="0" applyFont="1" applyFill="1" applyBorder="1" applyAlignment="1" applyProtection="1">
      <alignment horizontal="left" vertical="center" indent="1"/>
      <protection hidden="1"/>
    </xf>
    <xf numFmtId="178" fontId="13" fillId="9" borderId="70" xfId="0" applyNumberFormat="1" applyFont="1" applyFill="1" applyBorder="1" applyAlignment="1" applyProtection="1">
      <alignment vertical="center"/>
      <protection hidden="1"/>
    </xf>
    <xf numFmtId="0" fontId="19" fillId="10" borderId="0" xfId="0" applyFont="1" applyFill="1" applyBorder="1" applyAlignment="1" applyProtection="1">
      <alignment horizontal="left" vertical="center" indent="2"/>
      <protection hidden="1"/>
    </xf>
    <xf numFmtId="0" fontId="13" fillId="4" borderId="0" xfId="0" applyFont="1" applyFill="1" applyBorder="1" applyProtection="1">
      <protection hidden="1"/>
    </xf>
    <xf numFmtId="0" fontId="12" fillId="9" borderId="127" xfId="0" applyFont="1" applyFill="1" applyBorder="1" applyProtection="1">
      <protection hidden="1"/>
    </xf>
    <xf numFmtId="0" fontId="12" fillId="4" borderId="100" xfId="0" applyFont="1" applyFill="1" applyBorder="1" applyProtection="1">
      <protection hidden="1"/>
    </xf>
    <xf numFmtId="0" fontId="12" fillId="4" borderId="102" xfId="0" applyFont="1" applyFill="1" applyBorder="1" applyAlignment="1" applyProtection="1">
      <alignment horizontal="left" indent="2"/>
      <protection hidden="1"/>
    </xf>
    <xf numFmtId="0" fontId="13" fillId="4" borderId="102" xfId="0" applyFont="1" applyFill="1" applyBorder="1" applyAlignment="1" applyProtection="1">
      <alignment horizontal="center" vertical="top" wrapText="1"/>
      <protection hidden="1"/>
    </xf>
    <xf numFmtId="0" fontId="13" fillId="5" borderId="102" xfId="0" quotePrefix="1" applyFont="1" applyFill="1" applyBorder="1" applyAlignment="1" applyProtection="1">
      <alignment horizontal="center" vertical="center" wrapText="1"/>
      <protection hidden="1"/>
    </xf>
    <xf numFmtId="179" fontId="13" fillId="8" borderId="102" xfId="0" applyNumberFormat="1" applyFont="1" applyFill="1" applyBorder="1" applyAlignment="1" applyProtection="1">
      <alignment vertical="center"/>
      <protection hidden="1"/>
    </xf>
    <xf numFmtId="178" fontId="12" fillId="9" borderId="10" xfId="0" applyNumberFormat="1" applyFont="1" applyFill="1" applyBorder="1" applyAlignment="1" applyProtection="1">
      <alignment vertical="center"/>
      <protection locked="0"/>
    </xf>
    <xf numFmtId="178" fontId="12" fillId="9" borderId="41" xfId="0" applyNumberFormat="1" applyFont="1" applyFill="1" applyBorder="1" applyAlignment="1" applyProtection="1">
      <alignment vertical="center"/>
      <protection locked="0"/>
    </xf>
    <xf numFmtId="178" fontId="12" fillId="9" borderId="75" xfId="0" applyNumberFormat="1" applyFont="1" applyFill="1" applyBorder="1" applyAlignment="1" applyProtection="1">
      <alignment vertical="center"/>
      <protection locked="0"/>
    </xf>
    <xf numFmtId="0" fontId="12" fillId="9" borderId="78" xfId="0" applyFont="1" applyFill="1" applyBorder="1" applyAlignment="1" applyProtection="1">
      <alignment horizontal="left" vertical="center" indent="1"/>
      <protection locked="0"/>
    </xf>
    <xf numFmtId="0" fontId="12" fillId="9" borderId="41" xfId="0" applyFont="1" applyFill="1" applyBorder="1" applyAlignment="1" applyProtection="1">
      <alignment horizontal="left" vertical="center" indent="1"/>
      <protection locked="0"/>
    </xf>
    <xf numFmtId="0" fontId="12" fillId="4" borderId="8" xfId="0" applyFont="1" applyFill="1" applyBorder="1" applyAlignment="1" applyProtection="1">
      <protection hidden="1"/>
    </xf>
    <xf numFmtId="178" fontId="12" fillId="9" borderId="52" xfId="0" applyNumberFormat="1" applyFont="1" applyFill="1" applyBorder="1" applyAlignment="1" applyProtection="1">
      <alignment vertical="center"/>
      <protection hidden="1"/>
    </xf>
    <xf numFmtId="2" fontId="12" fillId="9" borderId="48" xfId="0" applyNumberFormat="1" applyFont="1" applyFill="1" applyBorder="1" applyAlignment="1" applyProtection="1">
      <alignment horizontal="center" vertical="center"/>
      <protection hidden="1"/>
    </xf>
    <xf numFmtId="0" fontId="13" fillId="9" borderId="22" xfId="0" applyFont="1" applyFill="1" applyBorder="1" applyAlignment="1" applyProtection="1">
      <alignment horizontal="center" vertical="top"/>
      <protection hidden="1"/>
    </xf>
    <xf numFmtId="0" fontId="13" fillId="9" borderId="23" xfId="0" applyFont="1" applyFill="1" applyBorder="1" applyAlignment="1" applyProtection="1">
      <alignment horizontal="center" vertical="top"/>
      <protection hidden="1"/>
    </xf>
    <xf numFmtId="0" fontId="12" fillId="10" borderId="0" xfId="0" applyFont="1" applyFill="1" applyBorder="1" applyProtection="1">
      <protection hidden="1"/>
    </xf>
    <xf numFmtId="0" fontId="13" fillId="9" borderId="0" xfId="0" applyFont="1" applyFill="1" applyBorder="1" applyAlignment="1" applyProtection="1">
      <protection hidden="1"/>
    </xf>
    <xf numFmtId="0" fontId="12" fillId="10" borderId="0" xfId="0" applyNumberFormat="1" applyFont="1" applyFill="1" applyBorder="1" applyAlignment="1" applyProtection="1">
      <protection hidden="1"/>
    </xf>
    <xf numFmtId="0" fontId="13" fillId="4" borderId="108" xfId="0" applyFont="1" applyFill="1" applyBorder="1" applyAlignment="1" applyProtection="1">
      <alignment horizontal="center" vertical="center"/>
      <protection hidden="1"/>
    </xf>
    <xf numFmtId="0" fontId="13" fillId="4" borderId="126" xfId="0" applyFont="1" applyFill="1" applyBorder="1" applyAlignment="1" applyProtection="1">
      <alignment horizontal="center" vertical="center"/>
      <protection hidden="1"/>
    </xf>
    <xf numFmtId="0" fontId="13" fillId="3" borderId="107" xfId="0" applyFont="1" applyFill="1" applyBorder="1" applyAlignment="1" applyProtection="1">
      <alignment horizontal="center" vertical="center"/>
      <protection hidden="1"/>
    </xf>
    <xf numFmtId="168" fontId="12" fillId="4" borderId="8" xfId="0" applyNumberFormat="1" applyFont="1" applyFill="1" applyBorder="1" applyAlignment="1" applyProtection="1">
      <alignment vertical="center"/>
      <protection hidden="1"/>
    </xf>
    <xf numFmtId="0" fontId="12" fillId="4" borderId="102" xfId="0" applyFont="1" applyFill="1" applyBorder="1" applyAlignment="1" applyProtection="1">
      <protection hidden="1"/>
    </xf>
    <xf numFmtId="0" fontId="12" fillId="4" borderId="102" xfId="0" applyFont="1" applyFill="1" applyBorder="1" applyAlignment="1" applyProtection="1">
      <alignment vertical="center"/>
      <protection hidden="1"/>
    </xf>
    <xf numFmtId="0" fontId="13" fillId="3" borderId="102" xfId="0" applyFont="1" applyFill="1" applyBorder="1" applyAlignment="1" applyProtection="1">
      <alignment horizontal="center" vertical="center"/>
      <protection hidden="1"/>
    </xf>
    <xf numFmtId="0" fontId="17" fillId="4" borderId="102" xfId="0" applyFont="1" applyFill="1" applyBorder="1" applyAlignment="1" applyProtection="1">
      <alignment vertical="top"/>
      <protection hidden="1"/>
    </xf>
    <xf numFmtId="0" fontId="18" fillId="9" borderId="0" xfId="0" applyNumberFormat="1" applyFont="1" applyFill="1" applyBorder="1" applyAlignment="1" applyProtection="1">
      <protection hidden="1"/>
    </xf>
    <xf numFmtId="0" fontId="12" fillId="10" borderId="8" xfId="0" applyNumberFormat="1" applyFont="1" applyFill="1" applyBorder="1" applyAlignment="1" applyProtection="1">
      <protection hidden="1"/>
    </xf>
    <xf numFmtId="0" fontId="12" fillId="10" borderId="0" xfId="0" quotePrefix="1" applyNumberFormat="1" applyFont="1" applyFill="1" applyBorder="1" applyAlignment="1" applyProtection="1">
      <protection hidden="1"/>
    </xf>
    <xf numFmtId="0" fontId="12" fillId="10" borderId="57" xfId="0" applyNumberFormat="1" applyFont="1" applyFill="1" applyBorder="1" applyAlignment="1" applyProtection="1">
      <protection hidden="1"/>
    </xf>
    <xf numFmtId="177" fontId="12" fillId="9" borderId="28" xfId="0" applyNumberFormat="1" applyFont="1" applyFill="1" applyBorder="1" applyAlignment="1" applyProtection="1">
      <alignment vertical="center"/>
      <protection locked="0"/>
    </xf>
    <xf numFmtId="177" fontId="12" fillId="9" borderId="37" xfId="0" applyNumberFormat="1" applyFont="1" applyFill="1" applyBorder="1" applyAlignment="1" applyProtection="1">
      <alignment vertical="center"/>
      <protection locked="0"/>
    </xf>
    <xf numFmtId="178" fontId="13" fillId="10" borderId="28" xfId="0" applyNumberFormat="1" applyFont="1" applyFill="1" applyBorder="1" applyAlignment="1" applyProtection="1">
      <alignment vertical="center"/>
      <protection hidden="1"/>
    </xf>
    <xf numFmtId="178" fontId="13" fillId="10" borderId="37" xfId="0" applyNumberFormat="1" applyFont="1" applyFill="1" applyBorder="1" applyAlignment="1" applyProtection="1">
      <alignment vertical="center"/>
      <protection hidden="1"/>
    </xf>
    <xf numFmtId="178" fontId="13" fillId="10" borderId="29" xfId="0" applyNumberFormat="1" applyFont="1" applyFill="1" applyBorder="1" applyAlignment="1" applyProtection="1">
      <alignment vertical="center"/>
      <protection hidden="1"/>
    </xf>
    <xf numFmtId="178" fontId="13" fillId="10" borderId="52" xfId="0" applyNumberFormat="1" applyFont="1" applyFill="1" applyBorder="1" applyAlignment="1" applyProtection="1">
      <alignment vertical="center"/>
      <protection hidden="1"/>
    </xf>
    <xf numFmtId="178" fontId="13" fillId="10" borderId="50" xfId="0" applyNumberFormat="1" applyFont="1" applyFill="1" applyBorder="1" applyAlignment="1" applyProtection="1">
      <alignment vertical="center"/>
      <protection hidden="1"/>
    </xf>
    <xf numFmtId="178" fontId="13" fillId="10" borderId="47" xfId="0" applyNumberFormat="1" applyFont="1" applyFill="1" applyBorder="1" applyAlignment="1" applyProtection="1">
      <alignment vertical="center"/>
      <protection hidden="1"/>
    </xf>
    <xf numFmtId="0" fontId="12" fillId="4" borderId="34" xfId="0" applyFont="1" applyFill="1" applyBorder="1" applyProtection="1">
      <protection hidden="1"/>
    </xf>
    <xf numFmtId="0" fontId="12" fillId="4" borderId="35" xfId="0" applyFont="1" applyFill="1" applyBorder="1" applyProtection="1">
      <protection hidden="1"/>
    </xf>
    <xf numFmtId="0" fontId="12" fillId="10" borderId="37" xfId="0" applyFont="1" applyFill="1" applyBorder="1" applyAlignment="1" applyProtection="1">
      <protection hidden="1"/>
    </xf>
    <xf numFmtId="0" fontId="12" fillId="10" borderId="37" xfId="0" applyFont="1" applyFill="1" applyBorder="1" applyProtection="1">
      <protection hidden="1"/>
    </xf>
    <xf numFmtId="168" fontId="12" fillId="46" borderId="51" xfId="0" applyNumberFormat="1" applyFont="1" applyFill="1" applyBorder="1" applyAlignment="1" applyProtection="1">
      <alignment vertical="center"/>
      <protection hidden="1"/>
    </xf>
    <xf numFmtId="168" fontId="12" fillId="46" borderId="74" xfId="0" applyNumberFormat="1" applyFont="1" applyFill="1" applyBorder="1" applyAlignment="1" applyProtection="1">
      <alignment vertical="center"/>
      <protection hidden="1"/>
    </xf>
    <xf numFmtId="178" fontId="13" fillId="9" borderId="28" xfId="0" applyNumberFormat="1" applyFont="1" applyFill="1" applyBorder="1" applyAlignment="1" applyProtection="1">
      <alignment vertical="center"/>
      <protection hidden="1"/>
    </xf>
    <xf numFmtId="0" fontId="16" fillId="10" borderId="0" xfId="0" applyNumberFormat="1" applyFont="1" applyFill="1" applyBorder="1" applyAlignment="1" applyProtection="1">
      <protection hidden="1"/>
    </xf>
    <xf numFmtId="0" fontId="12" fillId="9" borderId="126" xfId="0" applyNumberFormat="1" applyFont="1" applyFill="1" applyBorder="1" applyAlignment="1" applyProtection="1">
      <protection hidden="1"/>
    </xf>
    <xf numFmtId="0" fontId="12" fillId="10" borderId="60" xfId="0" applyNumberFormat="1" applyFont="1" applyFill="1" applyBorder="1" applyAlignment="1" applyProtection="1">
      <protection hidden="1"/>
    </xf>
    <xf numFmtId="0" fontId="13" fillId="4" borderId="16" xfId="0" applyFont="1" applyFill="1" applyBorder="1" applyAlignment="1" applyProtection="1">
      <alignment vertical="center" wrapText="1"/>
      <protection hidden="1"/>
    </xf>
    <xf numFmtId="177" fontId="12" fillId="9" borderId="52" xfId="0" applyNumberFormat="1" applyFont="1" applyFill="1" applyBorder="1" applyAlignment="1" applyProtection="1">
      <alignment vertical="center"/>
      <protection locked="0"/>
    </xf>
    <xf numFmtId="177" fontId="12" fillId="9" borderId="59" xfId="0" applyNumberFormat="1" applyFont="1" applyFill="1" applyBorder="1" applyAlignment="1" applyProtection="1">
      <alignment vertical="center"/>
      <protection locked="0"/>
    </xf>
    <xf numFmtId="0" fontId="16" fillId="10" borderId="0" xfId="0" applyFont="1" applyFill="1" applyBorder="1" applyAlignment="1" applyProtection="1">
      <protection hidden="1"/>
    </xf>
    <xf numFmtId="184" fontId="12" fillId="2" borderId="67" xfId="0" applyNumberFormat="1" applyFont="1" applyFill="1" applyBorder="1" applyAlignment="1" applyProtection="1">
      <alignment vertical="center"/>
      <protection hidden="1"/>
    </xf>
    <xf numFmtId="2" fontId="12" fillId="2" borderId="66" xfId="0" applyNumberFormat="1" applyFont="1" applyFill="1" applyBorder="1" applyAlignment="1" applyProtection="1">
      <alignment horizontal="center" vertical="center"/>
      <protection hidden="1"/>
    </xf>
    <xf numFmtId="0" fontId="12" fillId="9" borderId="60" xfId="0" applyNumberFormat="1" applyFont="1" applyFill="1" applyBorder="1" applyAlignment="1" applyProtection="1">
      <protection hidden="1"/>
    </xf>
    <xf numFmtId="0" fontId="12" fillId="2" borderId="55" xfId="0" applyFont="1" applyFill="1" applyBorder="1" applyAlignment="1" applyProtection="1">
      <protection hidden="1"/>
    </xf>
    <xf numFmtId="184" fontId="12" fillId="2" borderId="18" xfId="0" applyNumberFormat="1" applyFont="1" applyFill="1" applyBorder="1" applyAlignment="1" applyProtection="1">
      <alignment vertical="center"/>
      <protection hidden="1"/>
    </xf>
    <xf numFmtId="0" fontId="13" fillId="2" borderId="16" xfId="0" applyFont="1" applyFill="1" applyBorder="1" applyAlignment="1" applyProtection="1">
      <alignment horizontal="center" vertical="top" wrapText="1"/>
      <protection hidden="1"/>
    </xf>
    <xf numFmtId="0" fontId="12" fillId="2" borderId="78" xfId="0" applyFont="1" applyFill="1" applyBorder="1" applyAlignment="1" applyProtection="1">
      <alignment horizontal="center" vertical="center"/>
      <protection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12" fillId="2" borderId="75" xfId="0" applyFont="1" applyFill="1" applyBorder="1" applyAlignment="1" applyProtection="1">
      <alignment horizontal="center" vertical="center"/>
      <protection hidden="1"/>
    </xf>
    <xf numFmtId="0" fontId="12" fillId="2" borderId="56" xfId="0" applyFont="1" applyFill="1" applyBorder="1" applyAlignment="1" applyProtection="1">
      <alignment horizontal="center" vertical="center"/>
      <protection hidden="1"/>
    </xf>
    <xf numFmtId="188" fontId="12" fillId="9" borderId="41" xfId="0" applyNumberFormat="1" applyFont="1" applyFill="1" applyBorder="1" applyAlignment="1" applyProtection="1">
      <alignment vertical="center"/>
      <protection locked="0"/>
    </xf>
    <xf numFmtId="189" fontId="13" fillId="10" borderId="41" xfId="0" applyNumberFormat="1" applyFont="1" applyFill="1" applyBorder="1" applyAlignment="1" applyProtection="1">
      <alignment vertical="center"/>
      <protection hidden="1"/>
    </xf>
    <xf numFmtId="189" fontId="13" fillId="9" borderId="41" xfId="0" applyNumberFormat="1" applyFont="1" applyFill="1" applyBorder="1" applyAlignment="1" applyProtection="1">
      <alignment vertical="center"/>
      <protection hidden="1"/>
    </xf>
    <xf numFmtId="189" fontId="13" fillId="10" borderId="75" xfId="0" applyNumberFormat="1" applyFont="1" applyFill="1" applyBorder="1" applyAlignment="1" applyProtection="1">
      <alignment vertical="center"/>
      <protection hidden="1"/>
    </xf>
    <xf numFmtId="184" fontId="12" fillId="2" borderId="47" xfId="0" applyNumberFormat="1" applyFont="1" applyFill="1" applyBorder="1" applyAlignment="1" applyProtection="1">
      <alignment vertical="center"/>
      <protection hidden="1"/>
    </xf>
    <xf numFmtId="178" fontId="13" fillId="10" borderId="48" xfId="0" applyNumberFormat="1" applyFont="1" applyFill="1" applyBorder="1" applyAlignment="1" applyProtection="1">
      <alignment vertical="center"/>
      <protection hidden="1"/>
    </xf>
    <xf numFmtId="0" fontId="13" fillId="4" borderId="92" xfId="0" applyFont="1" applyFill="1" applyBorder="1" applyAlignment="1" applyProtection="1">
      <alignment horizontal="center" vertical="center"/>
      <protection hidden="1"/>
    </xf>
    <xf numFmtId="0" fontId="12" fillId="5" borderId="0" xfId="12" applyNumberFormat="1" applyFont="1" applyFill="1" applyBorder="1" applyAlignment="1" applyProtection="1">
      <protection hidden="1"/>
    </xf>
    <xf numFmtId="0" fontId="12" fillId="9" borderId="127" xfId="12" applyFont="1" applyFill="1" applyBorder="1" applyProtection="1">
      <protection hidden="1"/>
    </xf>
    <xf numFmtId="0" fontId="12" fillId="9" borderId="126" xfId="12" applyFont="1" applyFill="1" applyBorder="1" applyProtection="1">
      <protection hidden="1"/>
    </xf>
    <xf numFmtId="0" fontId="12" fillId="4" borderId="0" xfId="12" applyNumberFormat="1" applyFont="1" applyFill="1" applyBorder="1" applyAlignment="1" applyProtection="1">
      <protection hidden="1"/>
    </xf>
    <xf numFmtId="0" fontId="13" fillId="4" borderId="108" xfId="12" applyFont="1" applyFill="1" applyBorder="1" applyAlignment="1" applyProtection="1">
      <alignment horizontal="center" vertical="center"/>
      <protection hidden="1"/>
    </xf>
    <xf numFmtId="0" fontId="13" fillId="4" borderId="107" xfId="12" applyFont="1" applyFill="1" applyBorder="1" applyAlignment="1" applyProtection="1">
      <alignment horizontal="center" vertical="center"/>
      <protection hidden="1"/>
    </xf>
    <xf numFmtId="0" fontId="13" fillId="3" borderId="107" xfId="12" applyFont="1" applyFill="1" applyBorder="1" applyAlignment="1" applyProtection="1">
      <alignment horizontal="center" vertical="center"/>
      <protection hidden="1"/>
    </xf>
    <xf numFmtId="0" fontId="13" fillId="3" borderId="108" xfId="12" applyFont="1" applyFill="1" applyBorder="1" applyAlignment="1" applyProtection="1">
      <alignment horizontal="center" vertical="center"/>
      <protection hidden="1"/>
    </xf>
    <xf numFmtId="0" fontId="12" fillId="3" borderId="0" xfId="12" quotePrefix="1" applyNumberFormat="1" applyFont="1" applyFill="1" applyBorder="1" applyAlignment="1" applyProtection="1">
      <protection hidden="1"/>
    </xf>
    <xf numFmtId="0" fontId="12" fillId="9" borderId="41" xfId="12" applyFont="1" applyFill="1" applyBorder="1" applyAlignment="1" applyProtection="1">
      <alignment horizontal="left" vertical="center" wrapText="1" indent="2"/>
      <protection locked="0"/>
    </xf>
    <xf numFmtId="177" fontId="12" fillId="9" borderId="28" xfId="12" applyNumberFormat="1" applyFont="1" applyFill="1" applyBorder="1" applyAlignment="1" applyProtection="1">
      <alignment vertical="center"/>
      <protection locked="0"/>
    </xf>
    <xf numFmtId="0" fontId="12" fillId="10" borderId="0" xfId="12" applyNumberFormat="1" applyFont="1" applyFill="1" applyBorder="1" applyAlignment="1" applyProtection="1">
      <protection hidden="1"/>
    </xf>
    <xf numFmtId="177" fontId="12" fillId="9" borderId="29" xfId="12" applyNumberFormat="1" applyFont="1" applyFill="1" applyBorder="1" applyAlignment="1" applyProtection="1">
      <alignment vertical="center"/>
      <protection locked="0"/>
    </xf>
    <xf numFmtId="0" fontId="13" fillId="4" borderId="0" xfId="12" applyFont="1" applyFill="1" applyBorder="1" applyAlignment="1" applyProtection="1">
      <alignment horizontal="left" vertical="center" indent="2"/>
      <protection hidden="1"/>
    </xf>
    <xf numFmtId="178" fontId="13" fillId="4" borderId="0" xfId="12" applyNumberFormat="1" applyFont="1" applyFill="1" applyBorder="1" applyAlignment="1" applyProtection="1">
      <alignment vertical="center"/>
      <protection hidden="1"/>
    </xf>
    <xf numFmtId="0" fontId="13" fillId="9" borderId="0" xfId="12" applyFont="1" applyFill="1" applyAlignment="1" applyProtection="1">
      <alignment vertical="top" wrapText="1"/>
      <protection hidden="1"/>
    </xf>
    <xf numFmtId="0" fontId="12" fillId="9" borderId="0" xfId="12" applyNumberFormat="1" applyFont="1" applyFill="1" applyBorder="1" applyAlignment="1" applyProtection="1">
      <protection hidden="1"/>
    </xf>
    <xf numFmtId="0" fontId="12" fillId="14" borderId="0" xfId="12" applyNumberFormat="1" applyFont="1" applyFill="1" applyBorder="1" applyAlignment="1" applyProtection="1">
      <protection hidden="1"/>
    </xf>
    <xf numFmtId="0" fontId="12" fillId="4" borderId="126" xfId="12" applyNumberFormat="1" applyFont="1" applyFill="1" applyBorder="1" applyAlignment="1" applyProtection="1">
      <protection hidden="1"/>
    </xf>
    <xf numFmtId="0" fontId="13" fillId="4" borderId="126" xfId="12" applyFont="1" applyFill="1" applyBorder="1" applyAlignment="1" applyProtection="1">
      <alignment horizontal="center" vertical="center"/>
      <protection hidden="1"/>
    </xf>
    <xf numFmtId="0" fontId="12" fillId="3" borderId="126" xfId="12" applyNumberFormat="1" applyFont="1" applyFill="1" applyBorder="1" applyAlignment="1" applyProtection="1">
      <protection hidden="1"/>
    </xf>
    <xf numFmtId="0" fontId="12" fillId="3" borderId="126" xfId="12" quotePrefix="1" applyNumberFormat="1" applyFont="1" applyFill="1" applyBorder="1" applyAlignment="1" applyProtection="1">
      <protection hidden="1"/>
    </xf>
    <xf numFmtId="0" fontId="12" fillId="4" borderId="102" xfId="12" applyNumberFormat="1" applyFont="1" applyFill="1" applyBorder="1" applyAlignment="1" applyProtection="1">
      <protection hidden="1"/>
    </xf>
    <xf numFmtId="0" fontId="12" fillId="14" borderId="0" xfId="12" applyNumberFormat="1" applyFont="1" applyFill="1" applyAlignment="1" applyProtection="1">
      <protection hidden="1"/>
    </xf>
    <xf numFmtId="0" fontId="12" fillId="9" borderId="126" xfId="0" applyFont="1" applyFill="1" applyBorder="1" applyAlignment="1" applyProtection="1">
      <alignment vertical="top"/>
      <protection hidden="1"/>
    </xf>
    <xf numFmtId="0" fontId="12" fillId="9" borderId="126" xfId="0" applyFont="1" applyFill="1" applyBorder="1" applyAlignment="1" applyProtection="1">
      <protection hidden="1"/>
    </xf>
    <xf numFmtId="0" fontId="12" fillId="9" borderId="10" xfId="0" applyFont="1" applyFill="1" applyBorder="1" applyAlignment="1" applyProtection="1">
      <alignment vertical="center" wrapText="1"/>
      <protection hidden="1"/>
    </xf>
    <xf numFmtId="0" fontId="13" fillId="5" borderId="126" xfId="0" applyFont="1" applyFill="1" applyBorder="1" applyAlignment="1" applyProtection="1">
      <alignment horizontal="center" vertical="center"/>
      <protection hidden="1"/>
    </xf>
    <xf numFmtId="0" fontId="13" fillId="5" borderId="10" xfId="0" applyFont="1" applyFill="1" applyBorder="1" applyAlignment="1" applyProtection="1">
      <alignment horizontal="center" vertical="center"/>
      <protection hidden="1"/>
    </xf>
    <xf numFmtId="0" fontId="13" fillId="5" borderId="4" xfId="0" applyFont="1" applyFill="1" applyBorder="1" applyAlignment="1" applyProtection="1">
      <alignment horizontal="center" vertical="center"/>
      <protection hidden="1"/>
    </xf>
    <xf numFmtId="171" fontId="13" fillId="5" borderId="4" xfId="0" applyNumberFormat="1" applyFont="1" applyFill="1" applyBorder="1" applyAlignment="1" applyProtection="1">
      <alignment horizontal="center" vertical="center"/>
      <protection hidden="1"/>
    </xf>
    <xf numFmtId="0" fontId="12" fillId="5" borderId="16" xfId="0" applyFont="1" applyFill="1" applyBorder="1" applyAlignment="1" applyProtection="1">
      <alignment horizontal="left" vertical="center" wrapText="1" indent="2"/>
      <protection hidden="1"/>
    </xf>
    <xf numFmtId="185" fontId="13" fillId="5" borderId="13" xfId="0" quotePrefix="1" applyNumberFormat="1" applyFont="1" applyFill="1" applyBorder="1" applyAlignment="1" applyProtection="1">
      <alignment horizontal="center" vertical="center"/>
      <protection hidden="1"/>
    </xf>
    <xf numFmtId="185" fontId="13" fillId="5" borderId="14" xfId="0" quotePrefix="1" applyNumberFormat="1" applyFont="1" applyFill="1" applyBorder="1" applyAlignment="1" applyProtection="1">
      <alignment horizontal="center" vertical="center"/>
      <protection hidden="1"/>
    </xf>
    <xf numFmtId="165" fontId="23" fillId="5" borderId="10" xfId="0" applyNumberFormat="1" applyFont="1" applyFill="1" applyBorder="1" applyAlignment="1" applyProtection="1">
      <alignment horizontal="left" vertical="center" indent="1"/>
      <protection hidden="1"/>
    </xf>
    <xf numFmtId="171" fontId="12" fillId="5" borderId="126" xfId="0" quotePrefix="1" applyNumberFormat="1" applyFont="1" applyFill="1" applyBorder="1" applyAlignment="1" applyProtection="1">
      <alignment horizontal="center" vertical="center"/>
      <protection hidden="1"/>
    </xf>
    <xf numFmtId="171" fontId="12" fillId="5" borderId="10" xfId="0" quotePrefix="1" applyNumberFormat="1" applyFont="1" applyFill="1" applyBorder="1" applyAlignment="1" applyProtection="1">
      <alignment horizontal="center" vertical="center"/>
      <protection hidden="1"/>
    </xf>
    <xf numFmtId="171" fontId="12" fillId="5" borderId="129" xfId="0" quotePrefix="1" applyNumberFormat="1" applyFont="1" applyFill="1" applyBorder="1" applyAlignment="1" applyProtection="1">
      <alignment horizontal="center" vertical="center"/>
      <protection hidden="1"/>
    </xf>
    <xf numFmtId="0" fontId="13" fillId="5" borderId="10" xfId="0" applyFont="1" applyFill="1" applyBorder="1" applyAlignment="1" applyProtection="1">
      <alignment horizontal="left" vertical="center" indent="2"/>
      <protection hidden="1"/>
    </xf>
    <xf numFmtId="174" fontId="13" fillId="5" borderId="130" xfId="0" applyNumberFormat="1" applyFont="1" applyFill="1" applyBorder="1" applyAlignment="1" applyProtection="1">
      <alignment vertical="center"/>
      <protection hidden="1"/>
    </xf>
    <xf numFmtId="174" fontId="13" fillId="5" borderId="131" xfId="0" applyNumberFormat="1" applyFont="1" applyFill="1" applyBorder="1" applyAlignment="1" applyProtection="1">
      <alignment vertical="center"/>
      <protection hidden="1"/>
    </xf>
    <xf numFmtId="174" fontId="13" fillId="5" borderId="132" xfId="0" applyNumberFormat="1" applyFont="1" applyFill="1" applyBorder="1" applyAlignment="1" applyProtection="1">
      <alignment vertical="center"/>
      <protection hidden="1"/>
    </xf>
    <xf numFmtId="174" fontId="21" fillId="5" borderId="133" xfId="0" applyNumberFormat="1" applyFont="1" applyFill="1" applyBorder="1" applyAlignment="1" applyProtection="1">
      <alignment vertical="center"/>
      <protection hidden="1"/>
    </xf>
    <xf numFmtId="175" fontId="21" fillId="5" borderId="31" xfId="0" applyNumberFormat="1" applyFont="1" applyFill="1" applyBorder="1" applyAlignment="1" applyProtection="1">
      <alignment vertical="center"/>
      <protection hidden="1"/>
    </xf>
    <xf numFmtId="174" fontId="13" fillId="5" borderId="134" xfId="0" applyNumberFormat="1" applyFont="1" applyFill="1" applyBorder="1" applyAlignment="1" applyProtection="1">
      <alignment vertical="center"/>
      <protection hidden="1"/>
    </xf>
    <xf numFmtId="174" fontId="13" fillId="5" borderId="135" xfId="0" applyNumberFormat="1" applyFont="1" applyFill="1" applyBorder="1" applyAlignment="1" applyProtection="1">
      <alignment vertical="center"/>
      <protection hidden="1"/>
    </xf>
    <xf numFmtId="174" fontId="13" fillId="5" borderId="136" xfId="0" applyNumberFormat="1" applyFont="1" applyFill="1" applyBorder="1" applyAlignment="1" applyProtection="1">
      <alignment vertical="center"/>
      <protection hidden="1"/>
    </xf>
    <xf numFmtId="174" fontId="13" fillId="5" borderId="137" xfId="0" applyNumberFormat="1" applyFont="1" applyFill="1" applyBorder="1" applyAlignment="1" applyProtection="1">
      <alignment vertical="center"/>
      <protection hidden="1"/>
    </xf>
    <xf numFmtId="174" fontId="21" fillId="5" borderId="138" xfId="0" applyNumberFormat="1" applyFont="1" applyFill="1" applyBorder="1" applyAlignment="1" applyProtection="1">
      <alignment vertical="center"/>
      <protection hidden="1"/>
    </xf>
    <xf numFmtId="0" fontId="13" fillId="5" borderId="103" xfId="0" applyFont="1" applyFill="1" applyBorder="1" applyAlignment="1" applyProtection="1">
      <alignment horizontal="center" vertical="center"/>
      <protection hidden="1"/>
    </xf>
    <xf numFmtId="0" fontId="23" fillId="5" borderId="24" xfId="0" applyFont="1" applyFill="1" applyBorder="1" applyAlignment="1" applyProtection="1">
      <alignment horizontal="left" vertical="center" indent="1"/>
      <protection hidden="1"/>
    </xf>
    <xf numFmtId="171" fontId="12" fillId="5" borderId="39" xfId="0" applyNumberFormat="1" applyFont="1" applyFill="1" applyBorder="1" applyAlignment="1" applyProtection="1">
      <alignment vertical="center"/>
      <protection hidden="1"/>
    </xf>
    <xf numFmtId="171" fontId="12" fillId="5" borderId="45" xfId="0" applyNumberFormat="1" applyFont="1" applyFill="1" applyBorder="1" applyAlignment="1" applyProtection="1">
      <alignment vertical="center"/>
      <protection hidden="1"/>
    </xf>
    <xf numFmtId="171" fontId="12" fillId="5" borderId="24" xfId="0" applyNumberFormat="1" applyFont="1" applyFill="1" applyBorder="1" applyAlignment="1" applyProtection="1">
      <alignment vertical="center"/>
      <protection hidden="1"/>
    </xf>
    <xf numFmtId="171" fontId="11" fillId="5" borderId="22" xfId="0" applyNumberFormat="1" applyFont="1" applyFill="1" applyBorder="1" applyAlignment="1" applyProtection="1">
      <alignment vertical="center"/>
      <protection hidden="1"/>
    </xf>
    <xf numFmtId="175" fontId="11" fillId="5" borderId="23" xfId="0" applyNumberFormat="1" applyFont="1" applyFill="1" applyBorder="1" applyAlignment="1" applyProtection="1">
      <alignment vertical="center"/>
      <protection hidden="1"/>
    </xf>
    <xf numFmtId="0" fontId="22" fillId="5" borderId="21" xfId="0" applyFont="1" applyFill="1" applyBorder="1" applyAlignment="1" applyProtection="1">
      <protection hidden="1"/>
    </xf>
    <xf numFmtId="164" fontId="13" fillId="9" borderId="16" xfId="0" applyNumberFormat="1" applyFont="1" applyFill="1" applyBorder="1" applyAlignment="1" applyProtection="1">
      <alignment horizontal="left" vertical="center" indent="2"/>
      <protection hidden="1"/>
    </xf>
    <xf numFmtId="174" fontId="13" fillId="5" borderId="139" xfId="0" applyNumberFormat="1" applyFont="1" applyFill="1" applyBorder="1" applyAlignment="1" applyProtection="1">
      <alignment vertical="center"/>
      <protection hidden="1"/>
    </xf>
    <xf numFmtId="174" fontId="13" fillId="5" borderId="140" xfId="0" applyNumberFormat="1" applyFont="1" applyFill="1" applyBorder="1" applyAlignment="1" applyProtection="1">
      <alignment vertical="center"/>
      <protection hidden="1"/>
    </xf>
    <xf numFmtId="174" fontId="13" fillId="5" borderId="75" xfId="0" applyNumberFormat="1" applyFont="1" applyFill="1" applyBorder="1" applyAlignment="1" applyProtection="1">
      <alignment vertical="center"/>
      <protection hidden="1"/>
    </xf>
    <xf numFmtId="174" fontId="21" fillId="5" borderId="52" xfId="0" applyNumberFormat="1" applyFont="1" applyFill="1" applyBorder="1" applyAlignment="1" applyProtection="1">
      <alignment vertical="center"/>
      <protection hidden="1"/>
    </xf>
    <xf numFmtId="175" fontId="21" fillId="5" borderId="48" xfId="0" applyNumberFormat="1" applyFont="1" applyFill="1" applyBorder="1" applyAlignment="1" applyProtection="1">
      <alignment vertical="center"/>
      <protection hidden="1"/>
    </xf>
    <xf numFmtId="0" fontId="13" fillId="5" borderId="50" xfId="0" applyFont="1" applyFill="1" applyBorder="1" applyAlignment="1" applyProtection="1">
      <alignment horizontal="center" vertical="center"/>
      <protection hidden="1"/>
    </xf>
    <xf numFmtId="0" fontId="23" fillId="5" borderId="10" xfId="0" applyFont="1" applyFill="1" applyBorder="1" applyAlignment="1" applyProtection="1">
      <alignment horizontal="left" vertical="center" indent="1"/>
      <protection hidden="1"/>
    </xf>
    <xf numFmtId="0" fontId="12" fillId="5" borderId="128" xfId="0" applyNumberFormat="1" applyFont="1" applyFill="1" applyBorder="1" applyAlignment="1" applyProtection="1">
      <protection hidden="1"/>
    </xf>
    <xf numFmtId="0" fontId="12" fillId="5" borderId="126" xfId="0" applyNumberFormat="1" applyFont="1" applyFill="1" applyBorder="1" applyAlignment="1" applyProtection="1">
      <protection hidden="1"/>
    </xf>
    <xf numFmtId="0" fontId="12" fillId="5" borderId="10" xfId="0" applyNumberFormat="1" applyFont="1" applyFill="1" applyBorder="1" applyAlignment="1" applyProtection="1">
      <protection hidden="1"/>
    </xf>
    <xf numFmtId="0" fontId="11" fillId="5" borderId="129" xfId="0" applyNumberFormat="1" applyFont="1" applyFill="1" applyBorder="1" applyAlignment="1" applyProtection="1">
      <protection hidden="1"/>
    </xf>
    <xf numFmtId="0" fontId="22" fillId="5" borderId="9" xfId="0" applyNumberFormat="1" applyFont="1" applyFill="1" applyBorder="1" applyAlignment="1" applyProtection="1">
      <protection hidden="1"/>
    </xf>
    <xf numFmtId="174" fontId="21" fillId="5" borderId="141" xfId="0" applyNumberFormat="1" applyFont="1" applyFill="1" applyBorder="1" applyAlignment="1" applyProtection="1">
      <alignment vertical="center"/>
      <protection hidden="1"/>
    </xf>
    <xf numFmtId="0" fontId="12" fillId="5" borderId="128" xfId="0" applyNumberFormat="1" applyFont="1" applyFill="1" applyBorder="1" applyAlignment="1" applyProtection="1">
      <alignment vertical="center"/>
      <protection hidden="1"/>
    </xf>
    <xf numFmtId="0" fontId="12" fillId="5" borderId="10" xfId="0" applyNumberFormat="1" applyFont="1" applyFill="1" applyBorder="1" applyAlignment="1" applyProtection="1">
      <alignment vertical="center"/>
      <protection hidden="1"/>
    </xf>
    <xf numFmtId="0" fontId="11" fillId="5" borderId="129" xfId="0" applyNumberFormat="1" applyFont="1" applyFill="1" applyBorder="1" applyAlignment="1" applyProtection="1">
      <alignment vertical="center"/>
      <protection hidden="1"/>
    </xf>
    <xf numFmtId="0" fontId="13" fillId="5" borderId="16" xfId="0" applyFont="1" applyFill="1" applyBorder="1" applyAlignment="1" applyProtection="1">
      <alignment horizontal="left" vertical="center" indent="2"/>
      <protection hidden="1"/>
    </xf>
    <xf numFmtId="174" fontId="21" fillId="5" borderId="143" xfId="0" applyNumberFormat="1" applyFont="1" applyFill="1" applyBorder="1" applyAlignment="1" applyProtection="1">
      <alignment vertical="center"/>
      <protection hidden="1"/>
    </xf>
    <xf numFmtId="0" fontId="12" fillId="5" borderId="0" xfId="0" applyNumberFormat="1" applyFont="1" applyFill="1" applyBorder="1" applyAlignment="1" applyProtection="1">
      <protection hidden="1"/>
    </xf>
    <xf numFmtId="0" fontId="22" fillId="5" borderId="0" xfId="0" applyNumberFormat="1" applyFont="1" applyFill="1" applyBorder="1" applyAlignment="1" applyProtection="1">
      <protection hidden="1"/>
    </xf>
    <xf numFmtId="0" fontId="12" fillId="9" borderId="9" xfId="0" applyFont="1" applyFill="1" applyBorder="1" applyAlignment="1" applyProtection="1">
      <alignment horizontal="center" vertical="top" wrapText="1"/>
      <protection hidden="1"/>
    </xf>
    <xf numFmtId="0" fontId="13" fillId="5" borderId="0" xfId="0" applyFont="1" applyFill="1" applyBorder="1" applyAlignment="1" applyProtection="1">
      <alignment horizontal="center" vertical="center"/>
      <protection hidden="1"/>
    </xf>
    <xf numFmtId="0" fontId="12" fillId="5" borderId="10" xfId="0" applyFont="1" applyFill="1" applyBorder="1" applyAlignment="1" applyProtection="1">
      <alignment horizontal="left" vertical="center" wrapText="1" indent="2"/>
      <protection hidden="1"/>
    </xf>
    <xf numFmtId="0" fontId="13" fillId="5" borderId="10" xfId="0" applyFont="1" applyFill="1" applyBorder="1" applyAlignment="1" applyProtection="1">
      <alignment horizontal="left" vertical="center" wrapText="1" indent="1"/>
      <protection hidden="1"/>
    </xf>
    <xf numFmtId="174" fontId="13" fillId="5" borderId="4" xfId="0" applyNumberFormat="1" applyFont="1" applyFill="1" applyBorder="1" applyAlignment="1" applyProtection="1">
      <alignment vertical="center"/>
      <protection hidden="1"/>
    </xf>
    <xf numFmtId="175" fontId="13" fillId="5" borderId="9" xfId="0" applyNumberFormat="1" applyFont="1" applyFill="1" applyBorder="1" applyAlignment="1" applyProtection="1">
      <alignment vertical="center"/>
      <protection hidden="1"/>
    </xf>
    <xf numFmtId="0" fontId="13" fillId="5" borderId="9" xfId="0" applyFont="1" applyFill="1" applyBorder="1" applyAlignment="1" applyProtection="1">
      <alignment horizontal="center" vertical="center"/>
      <protection hidden="1"/>
    </xf>
    <xf numFmtId="174" fontId="13" fillId="5" borderId="105" xfId="0" applyNumberFormat="1" applyFont="1" applyFill="1" applyBorder="1" applyAlignment="1" applyProtection="1">
      <alignment vertical="center"/>
      <protection hidden="1"/>
    </xf>
    <xf numFmtId="174" fontId="13" fillId="5" borderId="52" xfId="0" applyNumberFormat="1" applyFont="1" applyFill="1" applyBorder="1" applyAlignment="1" applyProtection="1">
      <alignment vertical="center"/>
      <protection hidden="1"/>
    </xf>
    <xf numFmtId="175" fontId="13" fillId="5" borderId="50" xfId="0" applyNumberFormat="1" applyFont="1" applyFill="1" applyBorder="1" applyAlignment="1" applyProtection="1">
      <alignment vertical="center"/>
      <protection hidden="1"/>
    </xf>
    <xf numFmtId="0" fontId="12" fillId="5" borderId="0" xfId="0" quotePrefix="1" applyNumberFormat="1" applyFont="1" applyFill="1" applyBorder="1" applyAlignment="1" applyProtection="1">
      <protection hidden="1"/>
    </xf>
    <xf numFmtId="171" fontId="13" fillId="5" borderId="45" xfId="0" applyNumberFormat="1" applyFont="1" applyFill="1" applyBorder="1" applyAlignment="1" applyProtection="1">
      <alignment horizontal="center" vertical="top" wrapText="1"/>
      <protection hidden="1"/>
    </xf>
    <xf numFmtId="171" fontId="13" fillId="5" borderId="21" xfId="0" applyNumberFormat="1" applyFont="1" applyFill="1" applyBorder="1" applyAlignment="1" applyProtection="1">
      <alignment horizontal="center" vertical="top" wrapText="1"/>
      <protection hidden="1"/>
    </xf>
    <xf numFmtId="0" fontId="12" fillId="5" borderId="10" xfId="0" applyFont="1" applyFill="1" applyBorder="1" applyAlignment="1" applyProtection="1">
      <alignment horizontal="left"/>
      <protection hidden="1"/>
    </xf>
    <xf numFmtId="0" fontId="12" fillId="5" borderId="9" xfId="0" applyFont="1" applyFill="1" applyBorder="1" applyAlignment="1" applyProtection="1">
      <protection hidden="1"/>
    </xf>
    <xf numFmtId="171" fontId="13" fillId="5" borderId="126" xfId="0" applyNumberFormat="1" applyFont="1" applyFill="1" applyBorder="1" applyAlignment="1" applyProtection="1">
      <alignment horizontal="center" vertical="center"/>
      <protection hidden="1"/>
    </xf>
    <xf numFmtId="0" fontId="12" fillId="5" borderId="10" xfId="0" applyFont="1" applyFill="1" applyBorder="1" applyAlignment="1" applyProtection="1">
      <alignment horizontal="left" wrapText="1" indent="2"/>
      <protection hidden="1"/>
    </xf>
    <xf numFmtId="185" fontId="13" fillId="5" borderId="102" xfId="0" quotePrefix="1" applyNumberFormat="1" applyFont="1" applyFill="1" applyBorder="1" applyAlignment="1" applyProtection="1">
      <alignment horizontal="center" vertical="center"/>
      <protection hidden="1"/>
    </xf>
    <xf numFmtId="185" fontId="13" fillId="5" borderId="126" xfId="0" quotePrefix="1" applyNumberFormat="1" applyFont="1" applyFill="1" applyBorder="1" applyAlignment="1" applyProtection="1">
      <alignment horizontal="center" vertical="center"/>
      <protection hidden="1"/>
    </xf>
    <xf numFmtId="185" fontId="13" fillId="5" borderId="4" xfId="0" quotePrefix="1" applyNumberFormat="1" applyFont="1" applyFill="1" applyBorder="1" applyAlignment="1" applyProtection="1">
      <alignment horizontal="center" vertical="center"/>
      <protection hidden="1"/>
    </xf>
    <xf numFmtId="185" fontId="13" fillId="5" borderId="9" xfId="0" quotePrefix="1" applyNumberFormat="1" applyFont="1" applyFill="1" applyBorder="1" applyAlignment="1" applyProtection="1">
      <alignment horizontal="center" vertical="center"/>
      <protection hidden="1"/>
    </xf>
    <xf numFmtId="165" fontId="23" fillId="5" borderId="24" xfId="0" applyNumberFormat="1" applyFont="1" applyFill="1" applyBorder="1" applyAlignment="1" applyProtection="1">
      <alignment horizontal="left" vertical="center" wrapText="1" indent="1"/>
      <protection hidden="1"/>
    </xf>
    <xf numFmtId="0" fontId="12" fillId="5" borderId="39" xfId="0" applyNumberFormat="1" applyFont="1" applyFill="1" applyBorder="1" applyAlignment="1" applyProtection="1">
      <alignment vertical="center"/>
      <protection hidden="1"/>
    </xf>
    <xf numFmtId="174" fontId="13" fillId="5" borderId="45" xfId="0" applyNumberFormat="1" applyFont="1" applyFill="1" applyBorder="1" applyAlignment="1" applyProtection="1">
      <alignment vertical="center"/>
      <protection hidden="1"/>
    </xf>
    <xf numFmtId="174" fontId="13" fillId="5" borderId="22" xfId="0" applyNumberFormat="1" applyFont="1" applyFill="1" applyBorder="1" applyAlignment="1" applyProtection="1">
      <alignment vertical="center"/>
      <protection hidden="1"/>
    </xf>
    <xf numFmtId="175" fontId="13" fillId="5" borderId="23" xfId="0" applyNumberFormat="1" applyFont="1" applyFill="1" applyBorder="1" applyAlignment="1" applyProtection="1">
      <alignment vertical="center"/>
      <protection hidden="1"/>
    </xf>
    <xf numFmtId="171" fontId="13" fillId="5" borderId="21" xfId="0" applyNumberFormat="1" applyFont="1" applyFill="1" applyBorder="1" applyAlignment="1" applyProtection="1">
      <alignment horizontal="center" vertical="center"/>
      <protection hidden="1"/>
    </xf>
    <xf numFmtId="174" fontId="13" fillId="5" borderId="28" xfId="0" applyNumberFormat="1" applyFont="1" applyFill="1" applyBorder="1" applyAlignment="1" applyProtection="1">
      <alignment vertical="center"/>
      <protection hidden="1"/>
    </xf>
    <xf numFmtId="175" fontId="13" fillId="5" borderId="31" xfId="0" applyNumberFormat="1" applyFont="1" applyFill="1" applyBorder="1" applyAlignment="1" applyProtection="1">
      <alignment vertical="center"/>
      <protection hidden="1"/>
    </xf>
    <xf numFmtId="0" fontId="12" fillId="5" borderId="28" xfId="0" applyFont="1" applyFill="1" applyBorder="1" applyAlignment="1" applyProtection="1">
      <alignment vertical="center"/>
      <protection hidden="1"/>
    </xf>
    <xf numFmtId="0" fontId="13" fillId="5" borderId="10" xfId="0" applyFont="1" applyFill="1" applyBorder="1" applyAlignment="1" applyProtection="1">
      <alignment horizontal="left" vertical="center" indent="3"/>
      <protection hidden="1"/>
    </xf>
    <xf numFmtId="174" fontId="13" fillId="5" borderId="51" xfId="0" applyNumberFormat="1" applyFont="1" applyFill="1" applyBorder="1" applyAlignment="1" applyProtection="1">
      <alignment vertical="center"/>
      <protection hidden="1"/>
    </xf>
    <xf numFmtId="175" fontId="13" fillId="5" borderId="48" xfId="0" applyNumberFormat="1" applyFont="1" applyFill="1" applyBorder="1" applyAlignment="1" applyProtection="1">
      <alignment vertical="center"/>
      <protection hidden="1"/>
    </xf>
    <xf numFmtId="171" fontId="13" fillId="5" borderId="50" xfId="0" applyNumberFormat="1" applyFont="1" applyFill="1" applyBorder="1" applyAlignment="1" applyProtection="1">
      <alignment horizontal="center" vertical="center"/>
      <protection hidden="1"/>
    </xf>
    <xf numFmtId="0" fontId="12" fillId="5" borderId="40" xfId="0" applyFont="1" applyFill="1" applyBorder="1" applyAlignment="1" applyProtection="1">
      <alignment vertical="center"/>
      <protection hidden="1"/>
    </xf>
    <xf numFmtId="0" fontId="12" fillId="5" borderId="58" xfId="0" applyFont="1" applyFill="1" applyBorder="1" applyAlignment="1" applyProtection="1">
      <alignment vertical="center"/>
      <protection hidden="1"/>
    </xf>
    <xf numFmtId="0" fontId="12" fillId="5" borderId="25" xfId="0" applyFont="1" applyFill="1" applyBorder="1" applyAlignment="1" applyProtection="1">
      <alignment vertical="center"/>
      <protection hidden="1"/>
    </xf>
    <xf numFmtId="0" fontId="12" fillId="5" borderId="27" xfId="0" applyFont="1" applyFill="1" applyBorder="1" applyAlignment="1" applyProtection="1">
      <alignment vertical="center"/>
      <protection hidden="1"/>
    </xf>
    <xf numFmtId="0" fontId="12" fillId="5" borderId="35" xfId="0" applyFont="1" applyFill="1" applyBorder="1" applyAlignment="1" applyProtection="1">
      <alignment vertical="center"/>
      <protection hidden="1"/>
    </xf>
    <xf numFmtId="0" fontId="12" fillId="5" borderId="84" xfId="0" applyNumberFormat="1" applyFont="1" applyFill="1" applyBorder="1" applyAlignment="1" applyProtection="1">
      <protection hidden="1"/>
    </xf>
    <xf numFmtId="0" fontId="20" fillId="5" borderId="0" xfId="0" applyNumberFormat="1" applyFont="1" applyFill="1" applyBorder="1" applyAlignment="1" applyProtection="1">
      <protection hidden="1"/>
    </xf>
    <xf numFmtId="0" fontId="20" fillId="9" borderId="0" xfId="0" applyNumberFormat="1" applyFont="1" applyFill="1" applyBorder="1" applyAlignment="1" applyProtection="1">
      <protection hidden="1"/>
    </xf>
    <xf numFmtId="165" fontId="23" fillId="5" borderId="24" xfId="0" applyNumberFormat="1" applyFont="1" applyFill="1" applyBorder="1" applyAlignment="1" applyProtection="1">
      <alignment horizontal="left" vertical="center" indent="1"/>
      <protection hidden="1"/>
    </xf>
    <xf numFmtId="171" fontId="12" fillId="5" borderId="144" xfId="0" quotePrefix="1" applyNumberFormat="1" applyFont="1" applyFill="1" applyBorder="1" applyAlignment="1" applyProtection="1">
      <alignment horizontal="center" vertical="center"/>
      <protection hidden="1"/>
    </xf>
    <xf numFmtId="171" fontId="12" fillId="5" borderId="21" xfId="0" quotePrefix="1" applyNumberFormat="1" applyFont="1" applyFill="1" applyBorder="1" applyAlignment="1" applyProtection="1">
      <alignment horizontal="center" vertical="center"/>
      <protection hidden="1"/>
    </xf>
    <xf numFmtId="171" fontId="12" fillId="5" borderId="22" xfId="0" quotePrefix="1" applyNumberFormat="1" applyFont="1" applyFill="1" applyBorder="1" applyAlignment="1" applyProtection="1">
      <alignment horizontal="center" vertical="center"/>
      <protection hidden="1"/>
    </xf>
    <xf numFmtId="0" fontId="12" fillId="5" borderId="8" xfId="0" quotePrefix="1" applyNumberFormat="1" applyFont="1" applyFill="1" applyBorder="1" applyAlignment="1" applyProtection="1">
      <protection hidden="1"/>
    </xf>
    <xf numFmtId="174" fontId="13" fillId="5" borderId="145" xfId="0" applyNumberFormat="1" applyFont="1" applyFill="1" applyBorder="1" applyAlignment="1" applyProtection="1">
      <alignment vertical="center"/>
      <protection hidden="1"/>
    </xf>
    <xf numFmtId="174" fontId="13" fillId="5" borderId="133" xfId="0" applyNumberFormat="1" applyFont="1" applyFill="1" applyBorder="1" applyAlignment="1" applyProtection="1">
      <alignment vertical="center"/>
      <protection hidden="1"/>
    </xf>
    <xf numFmtId="175" fontId="13" fillId="5" borderId="146" xfId="0" applyNumberFormat="1" applyFont="1" applyFill="1" applyBorder="1" applyAlignment="1" applyProtection="1">
      <alignment vertical="center"/>
      <protection hidden="1"/>
    </xf>
    <xf numFmtId="0" fontId="11" fillId="5" borderId="8" xfId="0" applyNumberFormat="1" applyFont="1" applyFill="1" applyBorder="1" applyAlignment="1" applyProtection="1">
      <protection hidden="1"/>
    </xf>
    <xf numFmtId="0" fontId="11" fillId="5" borderId="0" xfId="0" applyNumberFormat="1" applyFont="1" applyFill="1" applyBorder="1" applyAlignment="1" applyProtection="1">
      <protection hidden="1"/>
    </xf>
    <xf numFmtId="174" fontId="13" fillId="5" borderId="147" xfId="0" applyNumberFormat="1" applyFont="1" applyFill="1" applyBorder="1" applyAlignment="1" applyProtection="1">
      <alignment vertical="center"/>
      <protection hidden="1"/>
    </xf>
    <xf numFmtId="171" fontId="12" fillId="5" borderId="21" xfId="0" applyNumberFormat="1" applyFont="1" applyFill="1" applyBorder="1" applyAlignment="1" applyProtection="1">
      <alignment vertical="center"/>
      <protection hidden="1"/>
    </xf>
    <xf numFmtId="171" fontId="12" fillId="5" borderId="22" xfId="0" applyNumberFormat="1" applyFont="1" applyFill="1" applyBorder="1" applyAlignment="1" applyProtection="1">
      <alignment vertical="center"/>
      <protection hidden="1"/>
    </xf>
    <xf numFmtId="174" fontId="13" fillId="5" borderId="148" xfId="0" applyNumberFormat="1" applyFont="1" applyFill="1" applyBorder="1" applyAlignment="1" applyProtection="1">
      <alignment vertical="center"/>
      <protection hidden="1"/>
    </xf>
    <xf numFmtId="0" fontId="12" fillId="5" borderId="76" xfId="0" applyNumberFormat="1" applyFont="1" applyFill="1" applyBorder="1" applyAlignment="1" applyProtection="1">
      <protection hidden="1"/>
    </xf>
    <xf numFmtId="174" fontId="13" fillId="5" borderId="146" xfId="0" applyNumberFormat="1" applyFont="1" applyFill="1" applyBorder="1" applyAlignment="1" applyProtection="1">
      <alignment vertical="center"/>
      <protection hidden="1"/>
    </xf>
    <xf numFmtId="0" fontId="12" fillId="5" borderId="76" xfId="0" applyNumberFormat="1" applyFont="1" applyFill="1" applyBorder="1" applyAlignment="1" applyProtection="1">
      <alignment vertical="center"/>
      <protection hidden="1"/>
    </xf>
    <xf numFmtId="0" fontId="12" fillId="5" borderId="4" xfId="0" applyNumberFormat="1" applyFont="1" applyFill="1" applyBorder="1" applyAlignment="1" applyProtection="1">
      <alignment vertical="center"/>
      <protection hidden="1"/>
    </xf>
    <xf numFmtId="0" fontId="12" fillId="5" borderId="9" xfId="0" applyNumberFormat="1" applyFont="1" applyFill="1" applyBorder="1" applyAlignment="1" applyProtection="1">
      <alignment vertical="center"/>
      <protection hidden="1"/>
    </xf>
    <xf numFmtId="174" fontId="13" fillId="5" borderId="143" xfId="0" applyNumberFormat="1" applyFont="1" applyFill="1" applyBorder="1" applyAlignment="1" applyProtection="1">
      <alignment vertical="center"/>
      <protection hidden="1"/>
    </xf>
    <xf numFmtId="175" fontId="13" fillId="5" borderId="149" xfId="0" applyNumberFormat="1" applyFont="1" applyFill="1" applyBorder="1" applyAlignment="1" applyProtection="1">
      <alignment vertical="center"/>
      <protection hidden="1"/>
    </xf>
    <xf numFmtId="0" fontId="16" fillId="10" borderId="102" xfId="0" applyNumberFormat="1" applyFont="1" applyFill="1" applyBorder="1" applyAlignment="1" applyProtection="1">
      <protection hidden="1"/>
    </xf>
    <xf numFmtId="0" fontId="13" fillId="9" borderId="102" xfId="0" applyFont="1" applyFill="1" applyBorder="1" applyAlignment="1" applyProtection="1">
      <alignment vertical="top" wrapText="1"/>
      <protection hidden="1"/>
    </xf>
    <xf numFmtId="0" fontId="13" fillId="2" borderId="14" xfId="0" applyFont="1" applyFill="1" applyBorder="1" applyAlignment="1" applyProtection="1">
      <alignment horizontal="center" vertical="top" wrapText="1"/>
      <protection hidden="1"/>
    </xf>
    <xf numFmtId="2" fontId="12" fillId="2" borderId="46" xfId="0" applyNumberFormat="1" applyFont="1" applyFill="1" applyBorder="1" applyAlignment="1" applyProtection="1">
      <alignment horizontal="center" vertical="center"/>
      <protection hidden="1"/>
    </xf>
    <xf numFmtId="2" fontId="12" fillId="2" borderId="68" xfId="0" applyNumberFormat="1" applyFont="1" applyFill="1" applyBorder="1" applyAlignment="1" applyProtection="1">
      <alignment horizontal="center" vertical="center"/>
      <protection hidden="1"/>
    </xf>
    <xf numFmtId="2" fontId="12" fillId="2" borderId="31" xfId="0" applyNumberFormat="1" applyFont="1" applyFill="1" applyBorder="1" applyAlignment="1" applyProtection="1">
      <alignment horizontal="center" vertical="center"/>
      <protection hidden="1"/>
    </xf>
    <xf numFmtId="2" fontId="12" fillId="2" borderId="48" xfId="0" applyNumberFormat="1" applyFont="1" applyFill="1" applyBorder="1" applyAlignment="1" applyProtection="1">
      <alignment horizontal="center" vertical="center"/>
      <protection hidden="1"/>
    </xf>
    <xf numFmtId="0" fontId="12" fillId="9" borderId="60" xfId="0" applyFont="1" applyFill="1" applyBorder="1" applyProtection="1">
      <protection hidden="1"/>
    </xf>
    <xf numFmtId="0" fontId="13" fillId="4" borderId="102" xfId="0" applyFont="1" applyFill="1" applyBorder="1" applyAlignment="1" applyProtection="1">
      <alignment horizontal="center" vertical="center"/>
      <protection hidden="1"/>
    </xf>
    <xf numFmtId="185" fontId="13" fillId="5" borderId="62" xfId="0" quotePrefix="1" applyNumberFormat="1" applyFont="1" applyFill="1" applyBorder="1" applyAlignment="1" applyProtection="1">
      <alignment horizontal="center" vertical="center" wrapText="1"/>
      <protection hidden="1"/>
    </xf>
    <xf numFmtId="178" fontId="13" fillId="8" borderId="57" xfId="0" applyNumberFormat="1" applyFont="1" applyFill="1" applyBorder="1" applyAlignment="1" applyProtection="1">
      <alignment vertical="center"/>
      <protection hidden="1"/>
    </xf>
    <xf numFmtId="178" fontId="13" fillId="8" borderId="74" xfId="0" applyNumberFormat="1" applyFont="1" applyFill="1" applyBorder="1" applyAlignment="1" applyProtection="1">
      <alignment vertical="center"/>
      <protection hidden="1"/>
    </xf>
    <xf numFmtId="0" fontId="13" fillId="4" borderId="80" xfId="0" applyFont="1" applyFill="1" applyBorder="1" applyAlignment="1" applyProtection="1">
      <alignment horizontal="centerContinuous" vertical="center"/>
      <protection hidden="1"/>
    </xf>
    <xf numFmtId="0" fontId="13" fillId="4" borderId="98" xfId="0" applyFont="1" applyFill="1" applyBorder="1" applyAlignment="1" applyProtection="1">
      <alignment horizontal="centerContinuous" vertical="center"/>
      <protection hidden="1"/>
    </xf>
    <xf numFmtId="0" fontId="13" fillId="4" borderId="103" xfId="0" applyFont="1" applyFill="1" applyBorder="1" applyAlignment="1" applyProtection="1">
      <alignment horizontal="center" vertical="top" wrapText="1"/>
      <protection hidden="1"/>
    </xf>
    <xf numFmtId="169" fontId="12" fillId="9" borderId="35" xfId="0" applyNumberFormat="1" applyFont="1" applyFill="1" applyBorder="1" applyAlignment="1" applyProtection="1">
      <alignment vertical="center"/>
      <protection locked="0"/>
    </xf>
    <xf numFmtId="169" fontId="12" fillId="9" borderId="15" xfId="0" applyNumberFormat="1" applyFont="1" applyFill="1" applyBorder="1" applyAlignment="1" applyProtection="1">
      <alignment vertical="center"/>
      <protection locked="0"/>
    </xf>
    <xf numFmtId="0" fontId="12" fillId="4" borderId="87" xfId="0" applyFont="1" applyFill="1" applyBorder="1" applyAlignment="1" applyProtection="1">
      <alignment horizontal="left" vertical="center" indent="1"/>
      <protection hidden="1"/>
    </xf>
    <xf numFmtId="180" fontId="12" fillId="9" borderId="102" xfId="0" applyNumberFormat="1" applyFont="1" applyFill="1" applyBorder="1" applyAlignment="1" applyProtection="1">
      <alignment vertical="center"/>
      <protection locked="0"/>
    </xf>
    <xf numFmtId="0" fontId="13" fillId="5" borderId="17" xfId="0" applyFont="1" applyFill="1" applyBorder="1" applyAlignment="1" applyProtection="1">
      <alignment horizontal="left" vertical="center" wrapText="1" indent="1"/>
      <protection hidden="1"/>
    </xf>
    <xf numFmtId="179" fontId="13" fillId="4" borderId="18" xfId="0" applyNumberFormat="1" applyFont="1" applyFill="1" applyBorder="1" applyAlignment="1" applyProtection="1">
      <alignment vertical="center"/>
      <protection hidden="1"/>
    </xf>
    <xf numFmtId="179" fontId="13" fillId="4" borderId="46" xfId="0" applyNumberFormat="1" applyFont="1" applyFill="1" applyBorder="1" applyAlignment="1" applyProtection="1">
      <alignment vertical="center"/>
      <protection hidden="1"/>
    </xf>
    <xf numFmtId="179" fontId="13" fillId="4" borderId="35" xfId="0" applyNumberFormat="1" applyFont="1" applyFill="1" applyBorder="1" applyAlignment="1" applyProtection="1">
      <alignment vertical="center"/>
      <protection hidden="1"/>
    </xf>
    <xf numFmtId="179" fontId="13" fillId="4" borderId="9" xfId="0" applyNumberFormat="1" applyFont="1" applyFill="1" applyBorder="1" applyAlignment="1" applyProtection="1">
      <alignment vertical="center"/>
      <protection hidden="1"/>
    </xf>
    <xf numFmtId="179" fontId="13" fillId="4" borderId="70" xfId="0" applyNumberFormat="1" applyFont="1" applyFill="1" applyBorder="1" applyAlignment="1" applyProtection="1">
      <alignment vertical="center"/>
      <protection hidden="1"/>
    </xf>
    <xf numFmtId="0" fontId="13" fillId="4" borderId="93" xfId="0" applyFont="1" applyFill="1" applyBorder="1" applyAlignment="1" applyProtection="1">
      <alignment horizontal="center" vertical="top" wrapText="1"/>
      <protection hidden="1"/>
    </xf>
    <xf numFmtId="0" fontId="13" fillId="4" borderId="107" xfId="0" applyFont="1" applyFill="1" applyBorder="1" applyAlignment="1" applyProtection="1">
      <alignment horizontal="center" vertical="center" wrapText="1"/>
      <protection hidden="1"/>
    </xf>
    <xf numFmtId="180" fontId="12" fillId="9" borderId="27" xfId="0" applyNumberFormat="1" applyFont="1" applyFill="1" applyBorder="1" applyAlignment="1" applyProtection="1">
      <alignment vertical="center"/>
      <protection locked="0"/>
    </xf>
    <xf numFmtId="180" fontId="12" fillId="9" borderId="107" xfId="0" applyNumberFormat="1" applyFont="1" applyFill="1" applyBorder="1" applyAlignment="1" applyProtection="1">
      <alignment vertical="center"/>
      <protection locked="0"/>
    </xf>
    <xf numFmtId="178" fontId="13" fillId="10" borderId="103" xfId="12" applyNumberFormat="1" applyFont="1" applyFill="1" applyBorder="1" applyAlignment="1" applyProtection="1">
      <alignment vertical="center"/>
      <protection hidden="1"/>
    </xf>
    <xf numFmtId="0" fontId="13" fillId="4" borderId="56" xfId="12" applyFont="1" applyFill="1" applyBorder="1" applyAlignment="1" applyProtection="1">
      <alignment horizontal="left" vertical="center" indent="2"/>
      <protection hidden="1"/>
    </xf>
    <xf numFmtId="178" fontId="13" fillId="4" borderId="17" xfId="12" applyNumberFormat="1" applyFont="1" applyFill="1" applyBorder="1" applyAlignment="1" applyProtection="1">
      <alignment vertical="center"/>
      <protection hidden="1"/>
    </xf>
    <xf numFmtId="178" fontId="13" fillId="4" borderId="70" xfId="12" applyNumberFormat="1" applyFont="1" applyFill="1" applyBorder="1" applyAlignment="1" applyProtection="1">
      <alignment vertical="center"/>
      <protection hidden="1"/>
    </xf>
    <xf numFmtId="178" fontId="13" fillId="4" borderId="103" xfId="12" applyNumberFormat="1" applyFont="1" applyFill="1" applyBorder="1" applyAlignment="1" applyProtection="1">
      <alignment vertical="center"/>
      <protection hidden="1"/>
    </xf>
    <xf numFmtId="178" fontId="13" fillId="4" borderId="18" xfId="12" applyNumberFormat="1" applyFont="1" applyFill="1" applyBorder="1" applyAlignment="1" applyProtection="1">
      <alignment vertical="center"/>
      <protection hidden="1"/>
    </xf>
    <xf numFmtId="0" fontId="12" fillId="4" borderId="54" xfId="12" applyNumberFormat="1" applyFont="1" applyFill="1" applyBorder="1" applyAlignment="1" applyProtection="1">
      <alignment vertical="center"/>
      <protection hidden="1"/>
    </xf>
    <xf numFmtId="0" fontId="12" fillId="4" borderId="69" xfId="12" applyNumberFormat="1" applyFont="1" applyFill="1" applyBorder="1" applyAlignment="1" applyProtection="1">
      <alignment vertical="center"/>
      <protection hidden="1"/>
    </xf>
    <xf numFmtId="0" fontId="12" fillId="2" borderId="89" xfId="0" applyFont="1" applyFill="1" applyBorder="1" applyAlignment="1" applyProtection="1">
      <alignment horizontal="center" vertical="center"/>
      <protection hidden="1"/>
    </xf>
    <xf numFmtId="0" fontId="12" fillId="10" borderId="9" xfId="0" applyNumberFormat="1" applyFont="1" applyFill="1" applyBorder="1" applyAlignment="1" applyProtection="1">
      <protection hidden="1"/>
    </xf>
    <xf numFmtId="0" fontId="12" fillId="4" borderId="8" xfId="0" applyNumberFormat="1" applyFont="1" applyFill="1" applyBorder="1" applyAlignment="1" applyProtection="1">
      <protection hidden="1"/>
    </xf>
    <xf numFmtId="0" fontId="12" fillId="9" borderId="150" xfId="12" applyFont="1" applyFill="1" applyBorder="1" applyAlignment="1" applyProtection="1">
      <alignment horizontal="left" vertical="center" wrapText="1" indent="2"/>
      <protection locked="0"/>
    </xf>
    <xf numFmtId="177" fontId="12" fillId="9" borderId="37" xfId="12" applyNumberFormat="1" applyFont="1" applyFill="1" applyBorder="1" applyAlignment="1" applyProtection="1">
      <alignment vertical="center"/>
      <protection locked="0"/>
    </xf>
    <xf numFmtId="177" fontId="12" fillId="9" borderId="151" xfId="12" applyNumberFormat="1" applyFont="1" applyFill="1" applyBorder="1" applyAlignment="1" applyProtection="1">
      <alignment vertical="center"/>
      <protection locked="0"/>
    </xf>
    <xf numFmtId="178" fontId="13" fillId="4" borderId="44" xfId="12" applyNumberFormat="1" applyFont="1" applyFill="1" applyBorder="1" applyAlignment="1" applyProtection="1">
      <alignment vertical="center"/>
      <protection hidden="1"/>
    </xf>
    <xf numFmtId="177" fontId="12" fillId="9" borderId="25" xfId="0" applyNumberFormat="1" applyFont="1" applyFill="1" applyBorder="1" applyAlignment="1" applyProtection="1">
      <alignment vertical="center"/>
      <protection locked="0"/>
    </xf>
    <xf numFmtId="177" fontId="12" fillId="9" borderId="40" xfId="0" applyNumberFormat="1" applyFont="1" applyFill="1" applyBorder="1" applyAlignment="1" applyProtection="1">
      <alignment vertical="center"/>
      <protection locked="0"/>
    </xf>
    <xf numFmtId="178" fontId="13" fillId="4" borderId="35" xfId="0" applyNumberFormat="1" applyFont="1" applyFill="1" applyBorder="1" applyAlignment="1" applyProtection="1">
      <alignment vertical="center"/>
      <protection hidden="1"/>
    </xf>
    <xf numFmtId="177" fontId="12" fillId="9" borderId="34" xfId="0" applyNumberFormat="1" applyFont="1" applyFill="1" applyBorder="1" applyAlignment="1" applyProtection="1">
      <alignment vertical="center"/>
      <protection locked="0"/>
    </xf>
    <xf numFmtId="177" fontId="12" fillId="9" borderId="26" xfId="0" applyNumberFormat="1" applyFont="1" applyFill="1" applyBorder="1" applyAlignment="1" applyProtection="1">
      <alignment vertical="center"/>
      <protection locked="0"/>
    </xf>
    <xf numFmtId="0" fontId="12" fillId="9" borderId="36" xfId="12" applyFont="1" applyFill="1" applyBorder="1" applyAlignment="1" applyProtection="1">
      <alignment horizontal="left" vertical="center" wrapText="1" indent="2"/>
      <protection locked="0"/>
    </xf>
    <xf numFmtId="177" fontId="12" fillId="9" borderId="25" xfId="12" applyNumberFormat="1" applyFont="1" applyFill="1" applyBorder="1" applyAlignment="1" applyProtection="1">
      <alignment vertical="center"/>
      <protection locked="0"/>
    </xf>
    <xf numFmtId="177" fontId="12" fillId="9" borderId="40" xfId="12" applyNumberFormat="1" applyFont="1" applyFill="1" applyBorder="1" applyAlignment="1" applyProtection="1">
      <alignment vertical="center"/>
      <protection locked="0"/>
    </xf>
    <xf numFmtId="178" fontId="13" fillId="10" borderId="35" xfId="12" applyNumberFormat="1" applyFont="1" applyFill="1" applyBorder="1" applyAlignment="1" applyProtection="1">
      <alignment vertical="center"/>
      <protection hidden="1"/>
    </xf>
    <xf numFmtId="177" fontId="12" fillId="9" borderId="26" xfId="12" applyNumberFormat="1" applyFont="1" applyFill="1" applyBorder="1" applyAlignment="1" applyProtection="1">
      <alignment vertical="center"/>
      <protection locked="0"/>
    </xf>
    <xf numFmtId="177" fontId="12" fillId="14" borderId="58" xfId="12" applyNumberFormat="1" applyFont="1" applyFill="1" applyBorder="1" applyAlignment="1" applyProtection="1">
      <alignment vertical="center"/>
      <protection hidden="1"/>
    </xf>
    <xf numFmtId="177" fontId="12" fillId="14" borderId="57" xfId="12" applyNumberFormat="1" applyFont="1" applyFill="1" applyBorder="1" applyAlignment="1" applyProtection="1">
      <alignment vertical="center"/>
      <protection hidden="1"/>
    </xf>
    <xf numFmtId="178" fontId="13" fillId="4" borderId="35" xfId="12" applyNumberFormat="1" applyFont="1" applyFill="1" applyBorder="1" applyAlignment="1" applyProtection="1">
      <alignment vertical="center"/>
      <protection hidden="1"/>
    </xf>
    <xf numFmtId="177" fontId="12" fillId="9" borderId="34" xfId="12" applyNumberFormat="1" applyFont="1" applyFill="1" applyBorder="1" applyAlignment="1" applyProtection="1">
      <alignment vertical="center"/>
      <protection locked="0"/>
    </xf>
    <xf numFmtId="0" fontId="12" fillId="9" borderId="0" xfId="0" applyNumberFormat="1" applyFont="1" applyFill="1" applyBorder="1" applyProtection="1">
      <protection hidden="1"/>
    </xf>
    <xf numFmtId="174" fontId="13" fillId="5" borderId="150" xfId="0" applyNumberFormat="1" applyFont="1" applyFill="1" applyBorder="1" applyAlignment="1" applyProtection="1">
      <alignment vertical="center"/>
      <protection hidden="1"/>
    </xf>
    <xf numFmtId="0" fontId="12" fillId="9" borderId="126" xfId="0" applyNumberFormat="1" applyFont="1" applyFill="1" applyBorder="1" applyProtection="1">
      <protection hidden="1"/>
    </xf>
    <xf numFmtId="0" fontId="20" fillId="5" borderId="84" xfId="0" applyNumberFormat="1" applyFont="1" applyFill="1" applyBorder="1" applyAlignment="1" applyProtection="1">
      <protection hidden="1"/>
    </xf>
    <xf numFmtId="0" fontId="13" fillId="0" borderId="0" xfId="0" applyFont="1" applyFill="1" applyBorder="1" applyProtection="1">
      <protection hidden="1"/>
    </xf>
    <xf numFmtId="171" fontId="12" fillId="0" borderId="0" xfId="0" applyNumberFormat="1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166" fontId="12" fillId="0" borderId="0" xfId="0" applyNumberFormat="1" applyFont="1" applyFill="1" applyBorder="1" applyProtection="1">
      <protection hidden="1"/>
    </xf>
    <xf numFmtId="172" fontId="12" fillId="0" borderId="0" xfId="0" applyNumberFormat="1" applyFont="1" applyFill="1" applyBorder="1" applyProtection="1">
      <protection hidden="1"/>
    </xf>
    <xf numFmtId="0" fontId="13" fillId="5" borderId="75" xfId="0" applyFont="1" applyFill="1" applyBorder="1" applyAlignment="1" applyProtection="1">
      <alignment horizontal="center" vertical="center"/>
      <protection hidden="1"/>
    </xf>
    <xf numFmtId="0" fontId="5" fillId="9" borderId="8" xfId="73" applyFill="1" applyBorder="1" applyAlignment="1" applyProtection="1">
      <alignment horizontal="center" vertical="center"/>
      <protection hidden="1"/>
    </xf>
    <xf numFmtId="0" fontId="32" fillId="9" borderId="108" xfId="73" quotePrefix="1" applyFont="1" applyFill="1" applyBorder="1" applyAlignment="1" applyProtection="1">
      <alignment horizontal="center" vertical="center"/>
      <protection hidden="1"/>
    </xf>
    <xf numFmtId="0" fontId="32" fillId="9" borderId="126" xfId="73" quotePrefix="1" applyFont="1" applyFill="1" applyBorder="1" applyAlignment="1" applyProtection="1">
      <alignment horizontal="center" vertical="center"/>
      <protection hidden="1"/>
    </xf>
    <xf numFmtId="0" fontId="32" fillId="9" borderId="4" xfId="73" quotePrefix="1" applyFont="1" applyFill="1" applyBorder="1" applyAlignment="1" applyProtection="1">
      <alignment horizontal="center" vertical="center"/>
      <protection hidden="1"/>
    </xf>
    <xf numFmtId="0" fontId="32" fillId="9" borderId="107" xfId="73" quotePrefix="1" applyFont="1" applyFill="1" applyBorder="1" applyAlignment="1" applyProtection="1">
      <alignment horizontal="center" vertical="center"/>
      <protection hidden="1"/>
    </xf>
    <xf numFmtId="0" fontId="32" fillId="9" borderId="102" xfId="73" quotePrefix="1" applyFont="1" applyFill="1" applyBorder="1" applyAlignment="1" applyProtection="1">
      <alignment horizontal="center" vertical="center"/>
      <protection hidden="1"/>
    </xf>
    <xf numFmtId="0" fontId="32" fillId="9" borderId="19" xfId="73" applyFont="1" applyFill="1" applyBorder="1" applyAlignment="1" applyProtection="1">
      <alignment horizontal="left" vertical="center" indent="1"/>
      <protection hidden="1"/>
    </xf>
    <xf numFmtId="0" fontId="32" fillId="9" borderId="67" xfId="73" quotePrefix="1" applyFont="1" applyFill="1" applyBorder="1" applyAlignment="1" applyProtection="1">
      <alignment horizontal="center" vertical="center"/>
      <protection hidden="1"/>
    </xf>
    <xf numFmtId="0" fontId="32" fillId="9" borderId="73" xfId="73" quotePrefix="1" applyFont="1" applyFill="1" applyBorder="1" applyAlignment="1" applyProtection="1">
      <alignment horizontal="center" vertical="center"/>
      <protection hidden="1"/>
    </xf>
    <xf numFmtId="0" fontId="32" fillId="9" borderId="64" xfId="73" quotePrefix="1" applyFont="1" applyFill="1" applyBorder="1" applyAlignment="1" applyProtection="1">
      <alignment horizontal="center" vertical="center"/>
      <protection hidden="1"/>
    </xf>
    <xf numFmtId="0" fontId="32" fillId="9" borderId="68" xfId="73" quotePrefix="1" applyFont="1" applyFill="1" applyBorder="1" applyAlignment="1" applyProtection="1">
      <alignment horizontal="center" vertical="center"/>
      <protection hidden="1"/>
    </xf>
    <xf numFmtId="0" fontId="32" fillId="9" borderId="65" xfId="73" quotePrefix="1" applyFont="1" applyFill="1" applyBorder="1" applyAlignment="1" applyProtection="1">
      <alignment horizontal="center" vertical="center"/>
      <protection hidden="1"/>
    </xf>
    <xf numFmtId="179" fontId="32" fillId="9" borderId="152" xfId="73" applyNumberFormat="1" applyFont="1" applyFill="1" applyBorder="1" applyAlignment="1" applyProtection="1">
      <alignment vertical="center"/>
      <protection hidden="1"/>
    </xf>
    <xf numFmtId="174" fontId="13" fillId="5" borderId="142" xfId="0" applyNumberFormat="1" applyFont="1" applyFill="1" applyBorder="1" applyAlignment="1" applyProtection="1">
      <alignment vertical="center"/>
      <protection hidden="1"/>
    </xf>
    <xf numFmtId="0" fontId="13" fillId="4" borderId="16" xfId="0" applyFont="1" applyFill="1" applyBorder="1" applyAlignment="1" applyProtection="1">
      <alignment horizontal="left" vertical="center" indent="1"/>
      <protection hidden="1"/>
    </xf>
    <xf numFmtId="0" fontId="12" fillId="4" borderId="10" xfId="0" applyFont="1" applyFill="1" applyBorder="1" applyAlignment="1" applyProtection="1">
      <alignment horizontal="left" vertical="center" indent="2"/>
      <protection hidden="1"/>
    </xf>
    <xf numFmtId="178" fontId="13" fillId="9" borderId="9" xfId="0" applyNumberFormat="1" applyFont="1" applyFill="1" applyBorder="1" applyAlignment="1" applyProtection="1">
      <alignment vertical="center"/>
      <protection hidden="1"/>
    </xf>
    <xf numFmtId="178" fontId="13" fillId="9" borderId="98" xfId="0" applyNumberFormat="1" applyFont="1" applyFill="1" applyBorder="1" applyAlignment="1" applyProtection="1">
      <alignment vertical="center"/>
      <protection hidden="1"/>
    </xf>
    <xf numFmtId="0" fontId="30" fillId="0" borderId="4" xfId="0" applyFont="1" applyFill="1" applyBorder="1" applyAlignment="1" applyProtection="1">
      <alignment horizontal="left" vertical="center" indent="1"/>
      <protection hidden="1"/>
    </xf>
    <xf numFmtId="0" fontId="29" fillId="9" borderId="44" xfId="0" applyFont="1" applyFill="1" applyBorder="1" applyAlignment="1" applyProtection="1">
      <alignment horizontal="left" vertical="center" indent="1"/>
      <protection hidden="1"/>
    </xf>
    <xf numFmtId="0" fontId="30" fillId="9" borderId="53" xfId="0" applyFont="1" applyFill="1" applyBorder="1" applyAlignment="1" applyProtection="1">
      <alignment horizontal="left" vertical="center" indent="1"/>
      <protection hidden="1"/>
    </xf>
    <xf numFmtId="0" fontId="30" fillId="9" borderId="70" xfId="0" applyFont="1" applyFill="1" applyBorder="1" applyAlignment="1" applyProtection="1">
      <alignment horizontal="center" vertical="center"/>
      <protection hidden="1"/>
    </xf>
    <xf numFmtId="0" fontId="12" fillId="9" borderId="0" xfId="0" quotePrefix="1" applyFont="1" applyFill="1" applyBorder="1" applyAlignment="1" applyProtection="1">
      <protection hidden="1"/>
    </xf>
    <xf numFmtId="0" fontId="13" fillId="4" borderId="52" xfId="0" applyFont="1" applyFill="1" applyBorder="1" applyAlignment="1" applyProtection="1">
      <alignment horizontal="left" vertical="center" indent="1"/>
      <protection hidden="1"/>
    </xf>
    <xf numFmtId="0" fontId="12" fillId="2" borderId="68" xfId="0" applyFont="1" applyFill="1" applyBorder="1" applyAlignment="1" applyProtection="1">
      <alignment horizontal="center" vertical="center" wrapText="1"/>
      <protection hidden="1"/>
    </xf>
    <xf numFmtId="0" fontId="12" fillId="2" borderId="48" xfId="0" applyFont="1" applyFill="1" applyBorder="1" applyAlignment="1" applyProtection="1">
      <alignment horizontal="center" vertical="center" wrapText="1"/>
      <protection hidden="1"/>
    </xf>
    <xf numFmtId="0" fontId="12" fillId="4" borderId="41" xfId="0" applyFont="1" applyFill="1" applyBorder="1" applyAlignment="1" applyProtection="1">
      <alignment horizontal="center" vertical="center"/>
      <protection hidden="1"/>
    </xf>
    <xf numFmtId="0" fontId="12" fillId="4" borderId="75" xfId="0" applyFont="1" applyFill="1" applyBorder="1" applyAlignment="1" applyProtection="1">
      <alignment horizontal="center" vertical="center"/>
      <protection hidden="1"/>
    </xf>
    <xf numFmtId="184" fontId="12" fillId="9" borderId="20" xfId="0" applyNumberFormat="1" applyFont="1" applyFill="1" applyBorder="1" applyAlignment="1" applyProtection="1">
      <alignment vertical="center"/>
      <protection hidden="1"/>
    </xf>
    <xf numFmtId="0" fontId="13" fillId="9" borderId="0" xfId="0" applyFont="1" applyFill="1" applyAlignment="1" applyProtection="1">
      <alignment vertical="top"/>
      <protection hidden="1"/>
    </xf>
    <xf numFmtId="181" fontId="12" fillId="9" borderId="48" xfId="0" applyNumberFormat="1" applyFont="1" applyFill="1" applyBorder="1" applyAlignment="1" applyProtection="1">
      <alignment horizontal="center" vertical="center" wrapText="1"/>
      <protection hidden="1"/>
    </xf>
    <xf numFmtId="0" fontId="12" fillId="9" borderId="107" xfId="4" applyFont="1" applyFill="1" applyBorder="1" applyProtection="1">
      <protection hidden="1"/>
    </xf>
    <xf numFmtId="0" fontId="12" fillId="5" borderId="108" xfId="4" applyFont="1" applyFill="1" applyBorder="1" applyProtection="1">
      <protection hidden="1"/>
    </xf>
    <xf numFmtId="0" fontId="12" fillId="7" borderId="126" xfId="4" applyFont="1" applyFill="1" applyBorder="1" applyProtection="1">
      <protection hidden="1"/>
    </xf>
    <xf numFmtId="0" fontId="12" fillId="7" borderId="108" xfId="4" applyFont="1" applyFill="1" applyBorder="1" applyProtection="1">
      <protection hidden="1"/>
    </xf>
    <xf numFmtId="0" fontId="12" fillId="7" borderId="107" xfId="4" applyFont="1" applyFill="1" applyBorder="1" applyProtection="1">
      <protection hidden="1"/>
    </xf>
    <xf numFmtId="0" fontId="12" fillId="12" borderId="108" xfId="4" applyFont="1" applyFill="1" applyBorder="1" applyProtection="1">
      <protection hidden="1"/>
    </xf>
    <xf numFmtId="0" fontId="12" fillId="12" borderId="107" xfId="4" applyFont="1" applyFill="1" applyBorder="1" applyProtection="1">
      <protection hidden="1"/>
    </xf>
    <xf numFmtId="178" fontId="13" fillId="12" borderId="156" xfId="4" applyNumberFormat="1" applyFont="1" applyFill="1" applyBorder="1" applyAlignment="1" applyProtection="1">
      <alignment vertical="center"/>
      <protection hidden="1"/>
    </xf>
    <xf numFmtId="175" fontId="12" fillId="12" borderId="153" xfId="4" applyNumberFormat="1" applyFont="1" applyFill="1" applyBorder="1" applyAlignment="1" applyProtection="1">
      <alignment vertical="center"/>
      <protection hidden="1"/>
    </xf>
    <xf numFmtId="178" fontId="21" fillId="9" borderId="28" xfId="4" applyNumberFormat="1" applyFont="1" applyFill="1" applyBorder="1" applyAlignment="1" applyProtection="1">
      <alignment vertical="center"/>
      <protection hidden="1"/>
    </xf>
    <xf numFmtId="178" fontId="21" fillId="9" borderId="29" xfId="4" applyNumberFormat="1" applyFont="1" applyFill="1" applyBorder="1" applyAlignment="1" applyProtection="1">
      <alignment vertical="center"/>
      <protection hidden="1"/>
    </xf>
    <xf numFmtId="0" fontId="12" fillId="7" borderId="21" xfId="4" applyFont="1" applyFill="1" applyBorder="1" applyProtection="1">
      <protection hidden="1"/>
    </xf>
    <xf numFmtId="0" fontId="12" fillId="7" borderId="19" xfId="4" applyFont="1" applyFill="1" applyBorder="1" applyProtection="1">
      <protection hidden="1"/>
    </xf>
    <xf numFmtId="0" fontId="12" fillId="7" borderId="34" xfId="4" applyFont="1" applyFill="1" applyBorder="1" applyProtection="1">
      <protection hidden="1"/>
    </xf>
    <xf numFmtId="0" fontId="12" fillId="7" borderId="57" xfId="4" applyFont="1" applyFill="1" applyBorder="1" applyProtection="1">
      <protection hidden="1"/>
    </xf>
    <xf numFmtId="0" fontId="12" fillId="7" borderId="27" xfId="4" applyFont="1" applyFill="1" applyBorder="1" applyProtection="1">
      <protection hidden="1"/>
    </xf>
    <xf numFmtId="0" fontId="12" fillId="12" borderId="126" xfId="4" applyFont="1" applyFill="1" applyBorder="1" applyProtection="1">
      <protection hidden="1"/>
    </xf>
    <xf numFmtId="0" fontId="12" fillId="12" borderId="34" xfId="4" applyFont="1" applyFill="1" applyBorder="1" applyProtection="1">
      <protection hidden="1"/>
    </xf>
    <xf numFmtId="0" fontId="12" fillId="12" borderId="26" xfId="4" applyFont="1" applyFill="1" applyBorder="1" applyProtection="1">
      <protection hidden="1"/>
    </xf>
    <xf numFmtId="0" fontId="12" fillId="12" borderId="27" xfId="4" applyFont="1" applyFill="1" applyBorder="1" applyProtection="1">
      <protection hidden="1"/>
    </xf>
    <xf numFmtId="0" fontId="12" fillId="12" borderId="57" xfId="4" applyFont="1" applyFill="1" applyBorder="1" applyProtection="1">
      <protection hidden="1"/>
    </xf>
    <xf numFmtId="169" fontId="12" fillId="14" borderId="0" xfId="0" applyNumberFormat="1" applyFont="1" applyFill="1" applyBorder="1" applyAlignment="1" applyProtection="1">
      <protection hidden="1"/>
    </xf>
    <xf numFmtId="0" fontId="12" fillId="7" borderId="0" xfId="4" applyNumberFormat="1" applyFont="1" applyFill="1" applyBorder="1" applyAlignment="1" applyProtection="1">
      <protection hidden="1"/>
    </xf>
    <xf numFmtId="0" fontId="12" fillId="12" borderId="0" xfId="4" applyNumberFormat="1" applyFont="1" applyFill="1" applyBorder="1" applyAlignment="1" applyProtection="1">
      <protection hidden="1"/>
    </xf>
    <xf numFmtId="0" fontId="12" fillId="5" borderId="57" xfId="4" applyFont="1" applyFill="1" applyBorder="1" applyProtection="1">
      <protection hidden="1"/>
    </xf>
    <xf numFmtId="0" fontId="12" fillId="5" borderId="82" xfId="4" applyNumberFormat="1" applyFont="1" applyFill="1" applyBorder="1" applyAlignment="1" applyProtection="1">
      <protection hidden="1"/>
    </xf>
    <xf numFmtId="0" fontId="12" fillId="5" borderId="82" xfId="0" applyNumberFormat="1" applyFont="1" applyFill="1" applyBorder="1" applyAlignment="1" applyProtection="1">
      <protection hidden="1"/>
    </xf>
    <xf numFmtId="0" fontId="12" fillId="5" borderId="83" xfId="4" applyNumberFormat="1" applyFont="1" applyFill="1" applyBorder="1" applyAlignment="1" applyProtection="1">
      <protection hidden="1"/>
    </xf>
    <xf numFmtId="0" fontId="12" fillId="6" borderId="94" xfId="0" applyNumberFormat="1" applyFont="1" applyFill="1" applyBorder="1" applyAlignment="1" applyProtection="1">
      <protection hidden="1"/>
    </xf>
    <xf numFmtId="0" fontId="12" fillId="6" borderId="82" xfId="0" applyNumberFormat="1" applyFont="1" applyFill="1" applyBorder="1" applyAlignment="1" applyProtection="1">
      <protection hidden="1"/>
    </xf>
    <xf numFmtId="0" fontId="12" fillId="6" borderId="83" xfId="0" applyNumberFormat="1" applyFont="1" applyFill="1" applyBorder="1" applyAlignment="1" applyProtection="1">
      <protection hidden="1"/>
    </xf>
    <xf numFmtId="0" fontId="12" fillId="11" borderId="82" xfId="0" applyNumberFormat="1" applyFont="1" applyFill="1" applyBorder="1" applyAlignment="1" applyProtection="1">
      <protection hidden="1"/>
    </xf>
    <xf numFmtId="0" fontId="12" fillId="5" borderId="0" xfId="4" applyNumberFormat="1" applyFont="1" applyFill="1" applyBorder="1" applyAlignment="1" applyProtection="1">
      <protection hidden="1"/>
    </xf>
    <xf numFmtId="0" fontId="12" fillId="5" borderId="79" xfId="4" applyNumberFormat="1" applyFont="1" applyFill="1" applyBorder="1" applyAlignment="1" applyProtection="1">
      <protection hidden="1"/>
    </xf>
    <xf numFmtId="0" fontId="12" fillId="6" borderId="81" xfId="0" applyNumberFormat="1" applyFont="1" applyFill="1" applyBorder="1" applyAlignment="1" applyProtection="1">
      <protection hidden="1"/>
    </xf>
    <xf numFmtId="0" fontId="12" fillId="6" borderId="0" xfId="0" applyNumberFormat="1" applyFont="1" applyFill="1" applyBorder="1" applyAlignment="1" applyProtection="1">
      <protection hidden="1"/>
    </xf>
    <xf numFmtId="0" fontId="12" fillId="6" borderId="79" xfId="0" applyNumberFormat="1" applyFont="1" applyFill="1" applyBorder="1" applyAlignment="1" applyProtection="1">
      <protection hidden="1"/>
    </xf>
    <xf numFmtId="0" fontId="12" fillId="11" borderId="0" xfId="0" applyNumberFormat="1" applyFont="1" applyFill="1" applyBorder="1" applyAlignment="1" applyProtection="1">
      <protection hidden="1"/>
    </xf>
    <xf numFmtId="0" fontId="12" fillId="13" borderId="79" xfId="4" applyNumberFormat="1" applyFont="1" applyFill="1" applyBorder="1" applyAlignment="1" applyProtection="1">
      <protection hidden="1"/>
    </xf>
    <xf numFmtId="0" fontId="12" fillId="6" borderId="79" xfId="0" applyNumberFormat="1" applyFont="1" applyFill="1" applyBorder="1" applyAlignment="1" applyProtection="1">
      <alignment wrapText="1"/>
      <protection hidden="1"/>
    </xf>
    <xf numFmtId="0" fontId="12" fillId="11" borderId="0" xfId="0" applyNumberFormat="1" applyFont="1" applyFill="1" applyBorder="1" applyAlignment="1" applyProtection="1">
      <alignment wrapText="1"/>
      <protection hidden="1"/>
    </xf>
    <xf numFmtId="0" fontId="22" fillId="6" borderId="81" xfId="0" applyNumberFormat="1" applyFont="1" applyFill="1" applyBorder="1" applyAlignment="1" applyProtection="1">
      <protection hidden="1"/>
    </xf>
    <xf numFmtId="0" fontId="22" fillId="6" borderId="79" xfId="0" applyNumberFormat="1" applyFont="1" applyFill="1" applyBorder="1" applyAlignment="1" applyProtection="1">
      <protection hidden="1"/>
    </xf>
    <xf numFmtId="0" fontId="22" fillId="11" borderId="0" xfId="0" applyNumberFormat="1" applyFont="1" applyFill="1" applyBorder="1" applyAlignment="1" applyProtection="1">
      <protection hidden="1"/>
    </xf>
    <xf numFmtId="0" fontId="22" fillId="6" borderId="0" xfId="0" applyNumberFormat="1" applyFont="1" applyFill="1" applyBorder="1" applyAlignment="1" applyProtection="1">
      <protection hidden="1"/>
    </xf>
    <xf numFmtId="0" fontId="13" fillId="6" borderId="0" xfId="0" applyNumberFormat="1" applyFont="1" applyFill="1" applyBorder="1" applyAlignment="1" applyProtection="1">
      <protection hidden="1"/>
    </xf>
    <xf numFmtId="0" fontId="13" fillId="11" borderId="0" xfId="0" applyNumberFormat="1" applyFont="1" applyFill="1" applyBorder="1" applyAlignment="1" applyProtection="1">
      <protection hidden="1"/>
    </xf>
    <xf numFmtId="0" fontId="12" fillId="11" borderId="127" xfId="0" applyNumberFormat="1" applyFont="1" applyFill="1" applyBorder="1" applyAlignment="1" applyProtection="1">
      <protection hidden="1"/>
    </xf>
    <xf numFmtId="0" fontId="12" fillId="11" borderId="83" xfId="0" applyNumberFormat="1" applyFont="1" applyFill="1" applyBorder="1" applyAlignment="1" applyProtection="1">
      <protection hidden="1"/>
    </xf>
    <xf numFmtId="0" fontId="12" fillId="47" borderId="0" xfId="0" applyNumberFormat="1" applyFont="1" applyFill="1" applyBorder="1" applyAlignment="1" applyProtection="1">
      <protection hidden="1"/>
    </xf>
    <xf numFmtId="0" fontId="63" fillId="5" borderId="10" xfId="4" applyFont="1" applyFill="1" applyBorder="1" applyAlignment="1" applyProtection="1">
      <alignment horizontal="left" vertical="center" indent="4"/>
      <protection hidden="1"/>
    </xf>
    <xf numFmtId="0" fontId="12" fillId="2" borderId="24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 vertical="top" wrapText="1"/>
      <protection hidden="1"/>
    </xf>
    <xf numFmtId="178" fontId="12" fillId="4" borderId="17" xfId="12" applyNumberFormat="1" applyFont="1" applyFill="1" applyBorder="1" applyAlignment="1" applyProtection="1">
      <alignment vertical="center"/>
      <protection hidden="1"/>
    </xf>
    <xf numFmtId="178" fontId="12" fillId="4" borderId="18" xfId="12" applyNumberFormat="1" applyFont="1" applyFill="1" applyBorder="1" applyAlignment="1" applyProtection="1">
      <alignment vertical="center"/>
      <protection hidden="1"/>
    </xf>
    <xf numFmtId="178" fontId="12" fillId="4" borderId="46" xfId="12" applyNumberFormat="1" applyFont="1" applyFill="1" applyBorder="1" applyAlignment="1" applyProtection="1">
      <alignment vertical="center"/>
      <protection hidden="1"/>
    </xf>
    <xf numFmtId="178" fontId="12" fillId="4" borderId="70" xfId="12" applyNumberFormat="1" applyFont="1" applyFill="1" applyBorder="1" applyAlignment="1" applyProtection="1">
      <alignment vertical="center"/>
      <protection hidden="1"/>
    </xf>
    <xf numFmtId="0" fontId="13" fillId="4" borderId="55" xfId="12" applyFont="1" applyFill="1" applyBorder="1" applyAlignment="1" applyProtection="1">
      <protection hidden="1"/>
    </xf>
    <xf numFmtId="185" fontId="13" fillId="3" borderId="55" xfId="12" quotePrefix="1" applyNumberFormat="1" applyFont="1" applyFill="1" applyBorder="1" applyAlignment="1" applyProtection="1">
      <alignment horizontal="center" vertical="center"/>
      <protection hidden="1"/>
    </xf>
    <xf numFmtId="0" fontId="12" fillId="4" borderId="60" xfId="12" applyFont="1" applyFill="1" applyBorder="1" applyAlignment="1" applyProtection="1">
      <protection hidden="1"/>
    </xf>
    <xf numFmtId="0" fontId="12" fillId="10" borderId="60" xfId="12" applyFont="1" applyFill="1" applyBorder="1" applyProtection="1">
      <protection hidden="1"/>
    </xf>
    <xf numFmtId="0" fontId="12" fillId="4" borderId="60" xfId="12" applyFont="1" applyFill="1" applyBorder="1" applyProtection="1">
      <protection hidden="1"/>
    </xf>
    <xf numFmtId="0" fontId="12" fillId="9" borderId="152" xfId="12" applyFont="1" applyFill="1" applyBorder="1" applyProtection="1">
      <protection hidden="1"/>
    </xf>
    <xf numFmtId="0" fontId="13" fillId="5" borderId="82" xfId="12" applyNumberFormat="1" applyFont="1" applyFill="1" applyBorder="1" applyAlignment="1" applyProtection="1">
      <protection hidden="1"/>
    </xf>
    <xf numFmtId="0" fontId="12" fillId="4" borderId="82" xfId="12" applyFont="1" applyFill="1" applyBorder="1" applyAlignment="1" applyProtection="1">
      <alignment vertical="center"/>
      <protection hidden="1"/>
    </xf>
    <xf numFmtId="0" fontId="12" fillId="4" borderId="82" xfId="12" applyNumberFormat="1" applyFont="1" applyFill="1" applyBorder="1" applyAlignment="1" applyProtection="1">
      <protection hidden="1"/>
    </xf>
    <xf numFmtId="0" fontId="13" fillId="4" borderId="82" xfId="12" applyFont="1" applyFill="1" applyBorder="1" applyAlignment="1" applyProtection="1">
      <alignment horizontal="center"/>
      <protection hidden="1"/>
    </xf>
    <xf numFmtId="0" fontId="13" fillId="4" borderId="83" xfId="12" applyFont="1" applyFill="1" applyBorder="1" applyAlignment="1" applyProtection="1">
      <alignment vertical="center"/>
      <protection hidden="1"/>
    </xf>
    <xf numFmtId="177" fontId="12" fillId="9" borderId="158" xfId="12" applyNumberFormat="1" applyFont="1" applyFill="1" applyBorder="1" applyAlignment="1" applyProtection="1">
      <alignment vertical="center"/>
      <protection locked="0"/>
    </xf>
    <xf numFmtId="178" fontId="13" fillId="10" borderId="159" xfId="12" applyNumberFormat="1" applyFont="1" applyFill="1" applyBorder="1" applyAlignment="1" applyProtection="1">
      <alignment vertical="center"/>
      <protection hidden="1"/>
    </xf>
    <xf numFmtId="177" fontId="12" fillId="14" borderId="156" xfId="12" applyNumberFormat="1" applyFont="1" applyFill="1" applyBorder="1" applyAlignment="1" applyProtection="1">
      <alignment vertical="center"/>
      <protection hidden="1"/>
    </xf>
    <xf numFmtId="177" fontId="12" fillId="14" borderId="153" xfId="12" applyNumberFormat="1" applyFont="1" applyFill="1" applyBorder="1" applyAlignment="1" applyProtection="1">
      <alignment vertical="center"/>
      <protection hidden="1"/>
    </xf>
    <xf numFmtId="178" fontId="13" fillId="4" borderId="159" xfId="12" applyNumberFormat="1" applyFont="1" applyFill="1" applyBorder="1" applyAlignment="1" applyProtection="1">
      <alignment vertical="center"/>
      <protection hidden="1"/>
    </xf>
    <xf numFmtId="177" fontId="12" fillId="9" borderId="155" xfId="12" applyNumberFormat="1" applyFont="1" applyFill="1" applyBorder="1" applyAlignment="1" applyProtection="1">
      <alignment vertical="center"/>
      <protection locked="0"/>
    </xf>
    <xf numFmtId="177" fontId="12" fillId="9" borderId="83" xfId="12" applyNumberFormat="1" applyFont="1" applyFill="1" applyBorder="1" applyAlignment="1" applyProtection="1">
      <alignment vertical="center"/>
      <protection locked="0"/>
    </xf>
    <xf numFmtId="177" fontId="12" fillId="9" borderId="154" xfId="12" applyNumberFormat="1" applyFont="1" applyFill="1" applyBorder="1" applyAlignment="1" applyProtection="1">
      <alignment vertical="center"/>
      <protection locked="0"/>
    </xf>
    <xf numFmtId="177" fontId="12" fillId="14" borderId="152" xfId="12" applyNumberFormat="1" applyFont="1" applyFill="1" applyBorder="1" applyAlignment="1" applyProtection="1">
      <alignment vertical="center"/>
      <protection hidden="1"/>
    </xf>
    <xf numFmtId="177" fontId="12" fillId="14" borderId="82" xfId="12" applyNumberFormat="1" applyFont="1" applyFill="1" applyBorder="1" applyAlignment="1" applyProtection="1">
      <alignment vertical="center"/>
      <protection hidden="1"/>
    </xf>
    <xf numFmtId="0" fontId="12" fillId="9" borderId="57" xfId="12" applyFont="1" applyFill="1" applyBorder="1" applyProtection="1">
      <protection hidden="1"/>
    </xf>
    <xf numFmtId="0" fontId="13" fillId="9" borderId="57" xfId="12" applyFont="1" applyFill="1" applyBorder="1" applyAlignment="1" applyProtection="1">
      <alignment vertical="top" wrapText="1"/>
      <protection hidden="1"/>
    </xf>
    <xf numFmtId="0" fontId="12" fillId="9" borderId="57" xfId="12" applyNumberFormat="1" applyFont="1" applyFill="1" applyBorder="1" applyAlignment="1" applyProtection="1">
      <protection hidden="1"/>
    </xf>
    <xf numFmtId="0" fontId="13" fillId="9" borderId="40" xfId="12" applyFont="1" applyFill="1" applyBorder="1" applyAlignment="1" applyProtection="1">
      <alignment vertical="top" wrapText="1"/>
      <protection hidden="1"/>
    </xf>
    <xf numFmtId="0" fontId="13" fillId="2" borderId="69" xfId="0" applyFont="1" applyFill="1" applyBorder="1" applyAlignment="1" applyProtection="1">
      <alignment horizontal="center" vertical="top" wrapText="1"/>
      <protection hidden="1"/>
    </xf>
    <xf numFmtId="0" fontId="12" fillId="9" borderId="69" xfId="9" applyFont="1" applyFill="1" applyBorder="1" applyProtection="1">
      <protection hidden="1"/>
    </xf>
    <xf numFmtId="184" fontId="12" fillId="2" borderId="67" xfId="0" quotePrefix="1" applyNumberFormat="1" applyFont="1" applyFill="1" applyBorder="1" applyAlignment="1" applyProtection="1">
      <alignment vertical="center"/>
      <protection hidden="1"/>
    </xf>
    <xf numFmtId="0" fontId="13" fillId="2" borderId="55" xfId="0" applyFont="1" applyFill="1" applyBorder="1" applyAlignment="1" applyProtection="1">
      <alignment horizontal="center" vertical="top" wrapText="1"/>
      <protection hidden="1"/>
    </xf>
    <xf numFmtId="0" fontId="12" fillId="9" borderId="55" xfId="9" applyFont="1" applyFill="1" applyBorder="1" applyProtection="1">
      <protection hidden="1"/>
    </xf>
    <xf numFmtId="0" fontId="12" fillId="2" borderId="16" xfId="0" applyFont="1" applyFill="1" applyBorder="1" applyAlignment="1" applyProtection="1">
      <alignment horizontal="center" vertical="center"/>
      <protection hidden="1"/>
    </xf>
    <xf numFmtId="0" fontId="12" fillId="2" borderId="60" xfId="0" applyNumberFormat="1" applyFont="1" applyFill="1" applyBorder="1" applyAlignment="1" applyProtection="1">
      <protection hidden="1"/>
    </xf>
    <xf numFmtId="168" fontId="13" fillId="3" borderId="11" xfId="0" applyNumberFormat="1" applyFont="1" applyFill="1" applyBorder="1" applyAlignment="1" applyProtection="1">
      <alignment horizontal="center" vertical="center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181" fontId="12" fillId="9" borderId="23" xfId="0" applyNumberFormat="1" applyFont="1" applyFill="1" applyBorder="1" applyAlignment="1" applyProtection="1">
      <alignment horizontal="center" vertical="center"/>
      <protection hidden="1"/>
    </xf>
    <xf numFmtId="177" fontId="12" fillId="9" borderId="75" xfId="0" applyNumberFormat="1" applyFont="1" applyFill="1" applyBorder="1" applyAlignment="1" applyProtection="1">
      <alignment vertical="center"/>
      <protection locked="0"/>
    </xf>
    <xf numFmtId="0" fontId="32" fillId="9" borderId="59" xfId="73" applyFont="1" applyFill="1" applyBorder="1" applyAlignment="1" applyProtection="1">
      <alignment horizontal="left" vertical="center" indent="2"/>
      <protection hidden="1"/>
    </xf>
    <xf numFmtId="179" fontId="32" fillId="9" borderId="51" xfId="73" applyNumberFormat="1" applyFont="1" applyFill="1" applyBorder="1" applyAlignment="1" applyProtection="1">
      <alignment vertical="center"/>
      <protection hidden="1"/>
    </xf>
    <xf numFmtId="179" fontId="32" fillId="9" borderId="48" xfId="73" applyNumberFormat="1" applyFont="1" applyFill="1" applyBorder="1" applyAlignment="1" applyProtection="1">
      <alignment vertical="center"/>
      <protection hidden="1"/>
    </xf>
    <xf numFmtId="179" fontId="32" fillId="9" borderId="105" xfId="73" applyNumberFormat="1" applyFont="1" applyFill="1" applyBorder="1" applyAlignment="1" applyProtection="1">
      <alignment vertical="center"/>
      <protection hidden="1"/>
    </xf>
    <xf numFmtId="179" fontId="32" fillId="9" borderId="47" xfId="73" applyNumberFormat="1" applyFont="1" applyFill="1" applyBorder="1" applyAlignment="1" applyProtection="1">
      <alignment vertical="center"/>
      <protection hidden="1"/>
    </xf>
    <xf numFmtId="179" fontId="32" fillId="9" borderId="47" xfId="73" applyNumberFormat="1" applyFont="1" applyFill="1" applyBorder="1" applyAlignment="1" applyProtection="1">
      <alignment vertical="center"/>
      <protection locked="0"/>
    </xf>
    <xf numFmtId="179" fontId="32" fillId="9" borderId="52" xfId="73" applyNumberFormat="1" applyFont="1" applyFill="1" applyBorder="1" applyAlignment="1" applyProtection="1">
      <alignment vertical="center"/>
      <protection locked="0"/>
    </xf>
    <xf numFmtId="0" fontId="4" fillId="9" borderId="0" xfId="73" applyFont="1" applyFill="1" applyBorder="1" applyProtection="1">
      <protection hidden="1"/>
    </xf>
    <xf numFmtId="0" fontId="13" fillId="2" borderId="4" xfId="0" applyFont="1" applyFill="1" applyBorder="1" applyAlignment="1" applyProtection="1">
      <alignment horizontal="center" vertical="top" wrapText="1"/>
      <protection hidden="1"/>
    </xf>
    <xf numFmtId="0" fontId="12" fillId="4" borderId="82" xfId="0" applyFont="1" applyFill="1" applyBorder="1" applyAlignment="1" applyProtection="1">
      <alignment vertical="center"/>
      <protection hidden="1"/>
    </xf>
    <xf numFmtId="0" fontId="13" fillId="2" borderId="102" xfId="0" applyFont="1" applyFill="1" applyBorder="1" applyAlignment="1" applyProtection="1">
      <alignment horizontal="center" vertical="top" wrapText="1"/>
      <protection hidden="1"/>
    </xf>
    <xf numFmtId="177" fontId="12" fillId="9" borderId="158" xfId="0" applyNumberFormat="1" applyFont="1" applyFill="1" applyBorder="1" applyAlignment="1" applyProtection="1">
      <alignment vertical="center"/>
      <protection locked="0"/>
    </xf>
    <xf numFmtId="178" fontId="13" fillId="10" borderId="158" xfId="0" applyNumberFormat="1" applyFont="1" applyFill="1" applyBorder="1" applyAlignment="1" applyProtection="1">
      <alignment vertical="center"/>
      <protection hidden="1"/>
    </xf>
    <xf numFmtId="0" fontId="12" fillId="10" borderId="153" xfId="0" applyFont="1" applyFill="1" applyBorder="1" applyAlignment="1" applyProtection="1">
      <protection hidden="1"/>
    </xf>
    <xf numFmtId="0" fontId="13" fillId="2" borderId="9" xfId="0" applyFont="1" applyFill="1" applyBorder="1" applyAlignment="1" applyProtection="1">
      <alignment horizontal="center" vertical="top" wrapText="1"/>
      <protection hidden="1"/>
    </xf>
    <xf numFmtId="178" fontId="13" fillId="10" borderId="159" xfId="0" applyNumberFormat="1" applyFont="1" applyFill="1" applyBorder="1" applyAlignment="1" applyProtection="1">
      <alignment vertical="center"/>
      <protection hidden="1"/>
    </xf>
    <xf numFmtId="178" fontId="13" fillId="10" borderId="31" xfId="0" applyNumberFormat="1" applyFont="1" applyFill="1" applyBorder="1" applyAlignment="1" applyProtection="1">
      <alignment vertical="center"/>
      <protection hidden="1"/>
    </xf>
    <xf numFmtId="178" fontId="13" fillId="9" borderId="37" xfId="0" applyNumberFormat="1" applyFont="1" applyFill="1" applyBorder="1" applyAlignment="1" applyProtection="1">
      <alignment vertical="center"/>
      <protection hidden="1"/>
    </xf>
    <xf numFmtId="178" fontId="13" fillId="10" borderId="59" xfId="0" applyNumberFormat="1" applyFont="1" applyFill="1" applyBorder="1" applyAlignment="1" applyProtection="1">
      <alignment vertical="center"/>
      <protection hidden="1"/>
    </xf>
    <xf numFmtId="178" fontId="13" fillId="10" borderId="155" xfId="0" applyNumberFormat="1" applyFont="1" applyFill="1" applyBorder="1" applyAlignment="1" applyProtection="1">
      <alignment vertical="center"/>
      <protection hidden="1"/>
    </xf>
    <xf numFmtId="178" fontId="13" fillId="10" borderId="83" xfId="0" applyNumberFormat="1" applyFont="1" applyFill="1" applyBorder="1" applyAlignment="1" applyProtection="1">
      <alignment vertical="center"/>
      <protection hidden="1"/>
    </xf>
    <xf numFmtId="178" fontId="13" fillId="10" borderId="157" xfId="0" applyNumberFormat="1" applyFont="1" applyFill="1" applyBorder="1" applyAlignment="1" applyProtection="1">
      <alignment vertical="center"/>
      <protection hidden="1"/>
    </xf>
    <xf numFmtId="178" fontId="13" fillId="10" borderId="160" xfId="0" applyNumberFormat="1" applyFont="1" applyFill="1" applyBorder="1" applyAlignment="1" applyProtection="1">
      <alignment vertical="center"/>
      <protection hidden="1"/>
    </xf>
    <xf numFmtId="189" fontId="13" fillId="10" borderId="150" xfId="0" applyNumberFormat="1" applyFont="1" applyFill="1" applyBorder="1" applyAlignment="1" applyProtection="1">
      <alignment vertical="center"/>
      <protection hidden="1"/>
    </xf>
    <xf numFmtId="0" fontId="13" fillId="4" borderId="150" xfId="0" applyFont="1" applyFill="1" applyBorder="1" applyAlignment="1" applyProtection="1">
      <alignment horizontal="left" vertical="center" indent="1"/>
      <protection hidden="1"/>
    </xf>
    <xf numFmtId="0" fontId="12" fillId="10" borderId="159" xfId="0" applyFont="1" applyFill="1" applyBorder="1" applyProtection="1">
      <protection hidden="1"/>
    </xf>
    <xf numFmtId="0" fontId="13" fillId="4" borderId="36" xfId="0" applyFont="1" applyFill="1" applyBorder="1" applyAlignment="1" applyProtection="1">
      <alignment horizontal="left" vertical="center" indent="2"/>
      <protection hidden="1"/>
    </xf>
    <xf numFmtId="178" fontId="13" fillId="10" borderId="46" xfId="0" applyNumberFormat="1" applyFont="1" applyFill="1" applyBorder="1" applyAlignment="1" applyProtection="1">
      <alignment vertical="center"/>
      <protection hidden="1"/>
    </xf>
    <xf numFmtId="178" fontId="13" fillId="10" borderId="68" xfId="0" applyNumberFormat="1" applyFont="1" applyFill="1" applyBorder="1" applyAlignment="1" applyProtection="1">
      <alignment vertical="center"/>
      <protection hidden="1"/>
    </xf>
    <xf numFmtId="178" fontId="13" fillId="10" borderId="17" xfId="0" applyNumberFormat="1" applyFont="1" applyFill="1" applyBorder="1" applyAlignment="1" applyProtection="1">
      <alignment vertical="center"/>
      <protection hidden="1"/>
    </xf>
    <xf numFmtId="178" fontId="13" fillId="10" borderId="18" xfId="0" applyNumberFormat="1" applyFont="1" applyFill="1" applyBorder="1" applyAlignment="1" applyProtection="1">
      <alignment vertical="center"/>
      <protection hidden="1"/>
    </xf>
    <xf numFmtId="178" fontId="12" fillId="4" borderId="53" xfId="12" applyNumberFormat="1" applyFont="1" applyFill="1" applyBorder="1" applyAlignment="1" applyProtection="1">
      <alignment vertical="center"/>
      <protection hidden="1"/>
    </xf>
    <xf numFmtId="0" fontId="13" fillId="4" borderId="161" xfId="0" applyFont="1" applyFill="1" applyBorder="1" applyAlignment="1" applyProtection="1">
      <alignment horizontal="center" vertical="center"/>
      <protection hidden="1"/>
    </xf>
    <xf numFmtId="0" fontId="13" fillId="4" borderId="162" xfId="0" applyFont="1" applyFill="1" applyBorder="1" applyAlignment="1" applyProtection="1">
      <alignment horizontal="center" vertical="center"/>
      <protection hidden="1"/>
    </xf>
    <xf numFmtId="178" fontId="13" fillId="4" borderId="46" xfId="12" applyNumberFormat="1" applyFont="1" applyFill="1" applyBorder="1" applyAlignment="1" applyProtection="1">
      <alignment vertical="center"/>
      <protection hidden="1"/>
    </xf>
    <xf numFmtId="178" fontId="13" fillId="4" borderId="68" xfId="12" applyNumberFormat="1" applyFont="1" applyFill="1" applyBorder="1" applyAlignment="1" applyProtection="1">
      <alignment vertical="center"/>
      <protection hidden="1"/>
    </xf>
    <xf numFmtId="178" fontId="13" fillId="4" borderId="31" xfId="12" applyNumberFormat="1" applyFont="1" applyFill="1" applyBorder="1" applyAlignment="1" applyProtection="1">
      <alignment vertical="center"/>
      <protection hidden="1"/>
    </xf>
    <xf numFmtId="178" fontId="13" fillId="4" borderId="48" xfId="12" applyNumberFormat="1" applyFont="1" applyFill="1" applyBorder="1" applyAlignment="1" applyProtection="1">
      <alignment vertical="center"/>
      <protection hidden="1"/>
    </xf>
    <xf numFmtId="171" fontId="13" fillId="5" borderId="0" xfId="0" applyNumberFormat="1" applyFont="1" applyFill="1" applyBorder="1" applyAlignment="1" applyProtection="1">
      <alignment horizontal="center" vertical="center"/>
      <protection hidden="1"/>
    </xf>
    <xf numFmtId="171" fontId="13" fillId="5" borderId="9" xfId="0" applyNumberFormat="1" applyFont="1" applyFill="1" applyBorder="1" applyAlignment="1" applyProtection="1">
      <alignment horizontal="center" vertical="center"/>
      <protection hidden="1"/>
    </xf>
    <xf numFmtId="0" fontId="23" fillId="5" borderId="24" xfId="0" applyFont="1" applyFill="1" applyBorder="1" applyAlignment="1" applyProtection="1">
      <alignment horizontal="center" vertical="center"/>
      <protection hidden="1"/>
    </xf>
    <xf numFmtId="0" fontId="12" fillId="9" borderId="126" xfId="12" applyFont="1" applyFill="1" applyBorder="1" applyAlignment="1" applyProtection="1">
      <protection hidden="1"/>
    </xf>
    <xf numFmtId="0" fontId="13" fillId="5" borderId="41" xfId="0" applyFont="1" applyFill="1" applyBorder="1" applyAlignment="1" applyProtection="1">
      <alignment horizontal="center" vertical="center"/>
      <protection hidden="1"/>
    </xf>
    <xf numFmtId="0" fontId="13" fillId="5" borderId="75" xfId="0" applyFont="1" applyFill="1" applyBorder="1" applyAlignment="1" applyProtection="1">
      <alignment horizontal="left" vertical="center" indent="1"/>
      <protection hidden="1"/>
    </xf>
    <xf numFmtId="0" fontId="12" fillId="9" borderId="0" xfId="0" applyFont="1" applyFill="1" applyAlignment="1" applyProtection="1">
      <alignment vertical="top"/>
      <protection hidden="1"/>
    </xf>
    <xf numFmtId="0" fontId="12" fillId="9" borderId="0" xfId="0" applyNumberFormat="1" applyFont="1" applyFill="1" applyAlignment="1" applyProtection="1">
      <protection hidden="1"/>
    </xf>
    <xf numFmtId="0" fontId="12" fillId="9" borderId="152" xfId="0" applyFont="1" applyFill="1" applyBorder="1" applyProtection="1">
      <protection hidden="1"/>
    </xf>
    <xf numFmtId="171" fontId="12" fillId="5" borderId="82" xfId="0" applyNumberFormat="1" applyFont="1" applyFill="1" applyBorder="1" applyProtection="1">
      <protection hidden="1"/>
    </xf>
    <xf numFmtId="0" fontId="12" fillId="9" borderId="83" xfId="0" applyFont="1" applyFill="1" applyBorder="1" applyAlignment="1" applyProtection="1">
      <protection hidden="1"/>
    </xf>
    <xf numFmtId="0" fontId="12" fillId="9" borderId="102" xfId="0" applyFont="1" applyFill="1" applyBorder="1" applyAlignment="1" applyProtection="1">
      <protection hidden="1"/>
    </xf>
    <xf numFmtId="0" fontId="13" fillId="5" borderId="162" xfId="0" applyFont="1" applyFill="1" applyBorder="1" applyAlignment="1" applyProtection="1">
      <alignment horizontal="center" vertical="center" wrapText="1"/>
      <protection hidden="1"/>
    </xf>
    <xf numFmtId="171" fontId="12" fillId="5" borderId="162" xfId="0" quotePrefix="1" applyNumberFormat="1" applyFont="1" applyFill="1" applyBorder="1" applyAlignment="1" applyProtection="1">
      <alignment horizontal="center" vertical="center"/>
      <protection hidden="1"/>
    </xf>
    <xf numFmtId="0" fontId="13" fillId="5" borderId="159" xfId="0" applyFont="1" applyFill="1" applyBorder="1" applyAlignment="1" applyProtection="1">
      <alignment horizontal="center" vertical="center"/>
      <protection hidden="1"/>
    </xf>
    <xf numFmtId="175" fontId="21" fillId="5" borderId="157" xfId="0" applyNumberFormat="1" applyFont="1" applyFill="1" applyBorder="1" applyAlignment="1" applyProtection="1">
      <alignment vertical="center"/>
      <protection hidden="1"/>
    </xf>
    <xf numFmtId="174" fontId="21" fillId="5" borderId="155" xfId="0" applyNumberFormat="1" applyFont="1" applyFill="1" applyBorder="1" applyAlignment="1" applyProtection="1">
      <alignment vertical="center"/>
      <protection hidden="1"/>
    </xf>
    <xf numFmtId="0" fontId="11" fillId="5" borderId="162" xfId="0" applyNumberFormat="1" applyFont="1" applyFill="1" applyBorder="1" applyAlignment="1" applyProtection="1">
      <protection hidden="1"/>
    </xf>
    <xf numFmtId="0" fontId="11" fillId="5" borderId="162" xfId="0" applyNumberFormat="1" applyFont="1" applyFill="1" applyBorder="1" applyAlignment="1" applyProtection="1">
      <alignment vertical="center"/>
      <protection hidden="1"/>
    </xf>
    <xf numFmtId="171" fontId="13" fillId="5" borderId="155" xfId="0" applyNumberFormat="1" applyFont="1" applyFill="1" applyBorder="1" applyAlignment="1" applyProtection="1">
      <alignment horizontal="center" vertical="top" wrapText="1"/>
      <protection hidden="1"/>
    </xf>
    <xf numFmtId="0" fontId="12" fillId="9" borderId="102" xfId="0" applyNumberFormat="1" applyFont="1" applyFill="1" applyBorder="1" applyAlignment="1" applyProtection="1">
      <protection hidden="1"/>
    </xf>
    <xf numFmtId="0" fontId="13" fillId="5" borderId="162" xfId="0" applyFont="1" applyFill="1" applyBorder="1" applyAlignment="1" applyProtection="1">
      <alignment horizontal="center" vertical="center"/>
      <protection hidden="1"/>
    </xf>
    <xf numFmtId="171" fontId="13" fillId="5" borderId="162" xfId="0" applyNumberFormat="1" applyFont="1" applyFill="1" applyBorder="1" applyAlignment="1" applyProtection="1">
      <alignment horizontal="center" vertical="center"/>
      <protection hidden="1"/>
    </xf>
    <xf numFmtId="185" fontId="13" fillId="5" borderId="162" xfId="0" quotePrefix="1" applyNumberFormat="1" applyFont="1" applyFill="1" applyBorder="1" applyAlignment="1" applyProtection="1">
      <alignment horizontal="center" vertical="center"/>
      <protection hidden="1"/>
    </xf>
    <xf numFmtId="174" fontId="13" fillId="5" borderId="158" xfId="0" applyNumberFormat="1" applyFont="1" applyFill="1" applyBorder="1" applyAlignment="1" applyProtection="1">
      <alignment vertical="center"/>
      <protection hidden="1"/>
    </xf>
    <xf numFmtId="174" fontId="13" fillId="5" borderId="156" xfId="0" applyNumberFormat="1" applyFont="1" applyFill="1" applyBorder="1" applyAlignment="1" applyProtection="1">
      <alignment vertical="center"/>
      <protection hidden="1"/>
    </xf>
    <xf numFmtId="171" fontId="13" fillId="5" borderId="159" xfId="0" applyNumberFormat="1" applyFont="1" applyFill="1" applyBorder="1" applyAlignment="1" applyProtection="1">
      <alignment horizontal="center" vertical="center"/>
      <protection hidden="1"/>
    </xf>
    <xf numFmtId="0" fontId="12" fillId="5" borderId="156" xfId="0" applyFont="1" applyFill="1" applyBorder="1" applyAlignment="1" applyProtection="1">
      <alignment vertical="center"/>
      <protection hidden="1"/>
    </xf>
    <xf numFmtId="0" fontId="12" fillId="5" borderId="159" xfId="0" applyFont="1" applyFill="1" applyBorder="1" applyAlignment="1" applyProtection="1">
      <alignment vertical="center"/>
      <protection hidden="1"/>
    </xf>
    <xf numFmtId="0" fontId="13" fillId="5" borderId="155" xfId="0" applyFont="1" applyFill="1" applyBorder="1" applyAlignment="1" applyProtection="1">
      <alignment horizontal="center" vertical="center"/>
      <protection hidden="1"/>
    </xf>
    <xf numFmtId="171" fontId="13" fillId="5" borderId="100" xfId="0" applyNumberFormat="1" applyFont="1" applyFill="1" applyBorder="1" applyAlignment="1" applyProtection="1">
      <protection hidden="1"/>
    </xf>
    <xf numFmtId="0" fontId="12" fillId="5" borderId="100" xfId="0" applyFont="1" applyFill="1" applyBorder="1" applyAlignment="1" applyProtection="1">
      <alignment vertical="center"/>
      <protection hidden="1"/>
    </xf>
    <xf numFmtId="0" fontId="12" fillId="5" borderId="100" xfId="0" applyNumberFormat="1" applyFont="1" applyFill="1" applyBorder="1" applyAlignment="1" applyProtection="1">
      <protection hidden="1"/>
    </xf>
    <xf numFmtId="0" fontId="22" fillId="5" borderId="100" xfId="0" applyNumberFormat="1" applyFont="1" applyFill="1" applyBorder="1" applyAlignment="1" applyProtection="1">
      <protection hidden="1"/>
    </xf>
    <xf numFmtId="0" fontId="22" fillId="5" borderId="100" xfId="0" applyFont="1" applyFill="1" applyBorder="1" applyAlignment="1" applyProtection="1">
      <protection hidden="1"/>
    </xf>
    <xf numFmtId="0" fontId="12" fillId="9" borderId="95" xfId="0" applyFont="1" applyFill="1" applyBorder="1" applyAlignment="1" applyProtection="1">
      <protection hidden="1"/>
    </xf>
    <xf numFmtId="171" fontId="12" fillId="9" borderId="0" xfId="0" applyNumberFormat="1" applyFont="1" applyFill="1" applyBorder="1" applyProtection="1">
      <protection hidden="1"/>
    </xf>
    <xf numFmtId="171" fontId="12" fillId="14" borderId="0" xfId="0" applyNumberFormat="1" applyFont="1" applyFill="1" applyBorder="1" applyProtection="1">
      <protection hidden="1"/>
    </xf>
    <xf numFmtId="0" fontId="12" fillId="9" borderId="84" xfId="0" applyNumberFormat="1" applyFont="1" applyFill="1" applyBorder="1" applyProtection="1">
      <protection hidden="1"/>
    </xf>
    <xf numFmtId="0" fontId="12" fillId="4" borderId="60" xfId="0" applyFont="1" applyFill="1" applyBorder="1" applyAlignment="1" applyProtection="1">
      <protection hidden="1"/>
    </xf>
    <xf numFmtId="0" fontId="12" fillId="10" borderId="60" xfId="0" applyFont="1" applyFill="1" applyBorder="1" applyProtection="1">
      <protection hidden="1"/>
    </xf>
    <xf numFmtId="0" fontId="12" fillId="4" borderId="60" xfId="0" applyFont="1" applyFill="1" applyBorder="1" applyProtection="1">
      <protection hidden="1"/>
    </xf>
    <xf numFmtId="0" fontId="28" fillId="5" borderId="100" xfId="12" applyFont="1" applyFill="1" applyBorder="1" applyAlignment="1" applyProtection="1">
      <alignment vertical="center"/>
      <protection hidden="1"/>
    </xf>
    <xf numFmtId="0" fontId="12" fillId="5" borderId="100" xfId="12" applyFont="1" applyFill="1" applyBorder="1" applyAlignment="1" applyProtection="1">
      <protection hidden="1"/>
    </xf>
    <xf numFmtId="0" fontId="12" fillId="5" borderId="95" xfId="12" applyFont="1" applyFill="1" applyBorder="1" applyAlignment="1" applyProtection="1">
      <protection hidden="1"/>
    </xf>
    <xf numFmtId="0" fontId="12" fillId="9" borderId="127" xfId="12" applyFont="1" applyFill="1" applyBorder="1" applyAlignment="1" applyProtection="1">
      <alignment vertical="center"/>
      <protection hidden="1"/>
    </xf>
    <xf numFmtId="0" fontId="13" fillId="5" borderId="100" xfId="12" applyFont="1" applyFill="1" applyBorder="1" applyAlignment="1" applyProtection="1">
      <alignment horizontal="center" vertical="center" wrapText="1"/>
      <protection hidden="1"/>
    </xf>
    <xf numFmtId="171" fontId="13" fillId="5" borderId="162" xfId="12" applyNumberFormat="1" applyFont="1" applyFill="1" applyBorder="1" applyAlignment="1" applyProtection="1">
      <alignment horizontal="center" vertical="center"/>
      <protection hidden="1"/>
    </xf>
    <xf numFmtId="177" fontId="12" fillId="9" borderId="159" xfId="12" applyNumberFormat="1" applyFont="1" applyFill="1" applyBorder="1" applyAlignment="1" applyProtection="1">
      <alignment vertical="center"/>
      <protection locked="0"/>
    </xf>
    <xf numFmtId="177" fontId="11" fillId="9" borderId="159" xfId="12" applyNumberFormat="1" applyFont="1" applyFill="1" applyBorder="1" applyAlignment="1" applyProtection="1">
      <alignment vertical="center"/>
      <protection locked="0"/>
    </xf>
    <xf numFmtId="187" fontId="13" fillId="9" borderId="150" xfId="5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14" applyProtection="1">
      <protection hidden="1"/>
    </xf>
    <xf numFmtId="178" fontId="13" fillId="9" borderId="21" xfId="0" applyNumberFormat="1" applyFont="1" applyFill="1" applyBorder="1" applyAlignment="1" applyProtection="1">
      <alignment vertical="center"/>
      <protection hidden="1"/>
    </xf>
    <xf numFmtId="0" fontId="13" fillId="5" borderId="4" xfId="4" applyFont="1" applyFill="1" applyBorder="1" applyAlignment="1" applyProtection="1">
      <alignment horizontal="center" vertical="top" wrapText="1"/>
      <protection hidden="1"/>
    </xf>
    <xf numFmtId="0" fontId="13" fillId="5" borderId="87" xfId="4" applyFont="1" applyFill="1" applyBorder="1" applyAlignment="1" applyProtection="1">
      <alignment horizontal="center" vertical="top" wrapText="1"/>
      <protection hidden="1"/>
    </xf>
    <xf numFmtId="0" fontId="13" fillId="2" borderId="102" xfId="0" applyFont="1" applyFill="1" applyBorder="1" applyAlignment="1" applyProtection="1">
      <alignment horizontal="center" vertical="top" wrapText="1"/>
      <protection hidden="1"/>
    </xf>
    <xf numFmtId="0" fontId="13" fillId="2" borderId="60" xfId="0" applyFont="1" applyFill="1" applyBorder="1" applyAlignment="1" applyProtection="1">
      <alignment horizontal="left" vertical="top" wrapText="1"/>
      <protection hidden="1"/>
    </xf>
    <xf numFmtId="0" fontId="13" fillId="9" borderId="23" xfId="0" applyFont="1" applyFill="1" applyBorder="1" applyAlignment="1" applyProtection="1">
      <alignment horizontal="center" vertical="top" wrapText="1"/>
      <protection hidden="1"/>
    </xf>
    <xf numFmtId="0" fontId="12" fillId="9" borderId="0" xfId="4" applyFont="1" applyFill="1" applyBorder="1" applyAlignment="1" applyProtection="1">
      <protection hidden="1"/>
    </xf>
    <xf numFmtId="0" fontId="13" fillId="0" borderId="0" xfId="157" applyFont="1" applyProtection="1">
      <protection hidden="1"/>
    </xf>
    <xf numFmtId="0" fontId="12" fillId="0" borderId="0" xfId="157" applyFont="1" applyProtection="1">
      <protection hidden="1"/>
    </xf>
    <xf numFmtId="0" fontId="12" fillId="0" borderId="0" xfId="157" applyFont="1" applyAlignment="1" applyProtection="1">
      <alignment horizontal="center"/>
      <protection hidden="1"/>
    </xf>
    <xf numFmtId="0" fontId="12" fillId="0" borderId="0" xfId="157" applyFont="1" applyAlignment="1" applyProtection="1">
      <protection hidden="1"/>
    </xf>
    <xf numFmtId="0" fontId="12" fillId="0" borderId="0" xfId="157" applyFont="1" applyBorder="1" applyAlignment="1" applyProtection="1">
      <protection hidden="1"/>
    </xf>
    <xf numFmtId="0" fontId="12" fillId="0" borderId="0" xfId="157" applyNumberFormat="1" applyFont="1" applyAlignment="1" applyProtection="1">
      <protection hidden="1"/>
    </xf>
    <xf numFmtId="0" fontId="13" fillId="0" borderId="0" xfId="158" applyFont="1" applyFill="1" applyProtection="1">
      <protection hidden="1"/>
    </xf>
    <xf numFmtId="0" fontId="12" fillId="0" borderId="0" xfId="158" applyFont="1" applyFill="1" applyProtection="1">
      <protection hidden="1"/>
    </xf>
    <xf numFmtId="0" fontId="12" fillId="0" borderId="0" xfId="158" applyFont="1" applyFill="1" applyAlignment="1" applyProtection="1">
      <protection hidden="1"/>
    </xf>
    <xf numFmtId="0" fontId="13" fillId="0" borderId="0" xfId="158" applyNumberFormat="1" applyFont="1" applyFill="1" applyBorder="1" applyAlignment="1" applyProtection="1">
      <alignment horizontal="center" vertical="top" wrapText="1"/>
      <protection hidden="1"/>
    </xf>
    <xf numFmtId="0" fontId="12" fillId="0" borderId="0" xfId="158" applyFont="1" applyFill="1" applyBorder="1" applyProtection="1">
      <protection hidden="1"/>
    </xf>
    <xf numFmtId="0" fontId="12" fillId="0" borderId="0" xfId="158" applyNumberFormat="1" applyFont="1" applyFill="1" applyAlignment="1" applyProtection="1">
      <protection hidden="1"/>
    </xf>
    <xf numFmtId="0" fontId="12" fillId="0" borderId="0" xfId="158" applyFont="1" applyProtection="1">
      <protection hidden="1"/>
    </xf>
    <xf numFmtId="0" fontId="12" fillId="0" borderId="0" xfId="158" applyFont="1" applyBorder="1" applyProtection="1">
      <protection hidden="1"/>
    </xf>
    <xf numFmtId="0" fontId="12" fillId="0" borderId="0" xfId="158" applyFont="1" applyAlignment="1" applyProtection="1">
      <protection hidden="1"/>
    </xf>
    <xf numFmtId="0" fontId="12" fillId="0" borderId="0" xfId="158" applyNumberFormat="1" applyFont="1" applyAlignment="1" applyProtection="1">
      <protection hidden="1"/>
    </xf>
    <xf numFmtId="0" fontId="12" fillId="0" borderId="19" xfId="158" applyFont="1" applyBorder="1" applyProtection="1">
      <protection hidden="1"/>
    </xf>
    <xf numFmtId="0" fontId="12" fillId="0" borderId="21" xfId="158" applyFont="1" applyBorder="1" applyProtection="1">
      <protection hidden="1"/>
    </xf>
    <xf numFmtId="0" fontId="12" fillId="0" borderId="0" xfId="158" applyNumberFormat="1" applyFont="1" applyBorder="1" applyAlignment="1" applyProtection="1">
      <protection hidden="1"/>
    </xf>
    <xf numFmtId="0" fontId="12" fillId="0" borderId="0" xfId="158" applyFont="1" applyBorder="1" applyAlignment="1" applyProtection="1">
      <protection hidden="1"/>
    </xf>
    <xf numFmtId="0" fontId="12" fillId="0" borderId="8" xfId="158" applyFont="1" applyBorder="1" applyProtection="1">
      <protection hidden="1"/>
    </xf>
    <xf numFmtId="0" fontId="12" fillId="0" borderId="9" xfId="158" applyFont="1" applyBorder="1" applyProtection="1">
      <protection hidden="1"/>
    </xf>
    <xf numFmtId="0" fontId="13" fillId="0" borderId="161" xfId="158" applyNumberFormat="1" applyFont="1" applyBorder="1" applyAlignment="1" applyProtection="1">
      <alignment horizontal="center" vertical="top"/>
      <protection hidden="1"/>
    </xf>
    <xf numFmtId="0" fontId="13" fillId="0" borderId="161" xfId="158" applyFont="1" applyBorder="1" applyAlignment="1" applyProtection="1">
      <alignment horizontal="center" vertical="top"/>
      <protection hidden="1"/>
    </xf>
    <xf numFmtId="0" fontId="12" fillId="0" borderId="0" xfId="158" applyNumberFormat="1" applyFont="1" applyFill="1" applyBorder="1" applyAlignment="1" applyProtection="1">
      <protection hidden="1"/>
    </xf>
    <xf numFmtId="174" fontId="13" fillId="0" borderId="157" xfId="5" applyNumberFormat="1" applyFont="1" applyFill="1" applyBorder="1" applyAlignment="1" applyProtection="1">
      <alignment horizontal="center" vertical="top" wrapText="1"/>
      <protection hidden="1"/>
    </xf>
    <xf numFmtId="0" fontId="13" fillId="0" borderId="8" xfId="158" applyFont="1" applyBorder="1" applyAlignment="1" applyProtection="1">
      <alignment horizontal="center" vertical="top" wrapText="1"/>
      <protection hidden="1"/>
    </xf>
    <xf numFmtId="0" fontId="13" fillId="0" borderId="154" xfId="158" applyFont="1" applyBorder="1" applyAlignment="1" applyProtection="1">
      <alignment horizontal="center" vertical="top" wrapText="1"/>
      <protection hidden="1"/>
    </xf>
    <xf numFmtId="0" fontId="13" fillId="0" borderId="9" xfId="158" applyFont="1" applyBorder="1" applyAlignment="1" applyProtection="1">
      <alignment horizontal="center" vertical="top" wrapText="1"/>
      <protection hidden="1"/>
    </xf>
    <xf numFmtId="0" fontId="13" fillId="0" borderId="9" xfId="158" applyFont="1" applyBorder="1" applyAlignment="1" applyProtection="1">
      <alignment horizontal="center" vertical="top"/>
      <protection hidden="1"/>
    </xf>
    <xf numFmtId="174" fontId="13" fillId="0" borderId="157" xfId="5" applyNumberFormat="1" applyFont="1" applyFill="1" applyBorder="1" applyAlignment="1" applyProtection="1">
      <alignment horizontal="center" vertical="top"/>
      <protection hidden="1"/>
    </xf>
    <xf numFmtId="0" fontId="13" fillId="0" borderId="83" xfId="158" applyNumberFormat="1" applyFont="1" applyFill="1" applyBorder="1" applyAlignment="1" applyProtection="1">
      <alignment horizontal="center" vertical="top" wrapText="1"/>
      <protection hidden="1"/>
    </xf>
    <xf numFmtId="0" fontId="12" fillId="0" borderId="4" xfId="158" applyFont="1" applyBorder="1" applyProtection="1">
      <protection hidden="1"/>
    </xf>
    <xf numFmtId="0" fontId="12" fillId="0" borderId="161" xfId="158" applyNumberFormat="1" applyFont="1" applyBorder="1" applyAlignment="1" applyProtection="1">
      <protection hidden="1"/>
    </xf>
    <xf numFmtId="0" fontId="12" fillId="0" borderId="161" xfId="158" applyFont="1" applyBorder="1" applyAlignment="1" applyProtection="1">
      <protection hidden="1"/>
    </xf>
    <xf numFmtId="0" fontId="13" fillId="0" borderId="154" xfId="158" applyFont="1" applyBorder="1" applyAlignment="1" applyProtection="1">
      <alignment horizontal="center" vertical="top"/>
      <protection hidden="1"/>
    </xf>
    <xf numFmtId="0" fontId="13" fillId="0" borderId="102" xfId="158" applyFont="1" applyBorder="1" applyAlignment="1" applyProtection="1">
      <alignment horizontal="center" vertical="top" wrapText="1"/>
      <protection hidden="1"/>
    </xf>
    <xf numFmtId="0" fontId="13" fillId="0" borderId="161" xfId="158" applyFont="1" applyBorder="1" applyAlignment="1" applyProtection="1">
      <alignment horizontal="center" vertical="top" wrapText="1"/>
      <protection hidden="1"/>
    </xf>
    <xf numFmtId="0" fontId="13" fillId="0" borderId="34" xfId="158" applyFont="1" applyBorder="1" applyAlignment="1" applyProtection="1">
      <alignment horizontal="center" vertical="center"/>
      <protection hidden="1"/>
    </xf>
    <xf numFmtId="0" fontId="13" fillId="0" borderId="35" xfId="158" applyFont="1" applyBorder="1" applyAlignment="1" applyProtection="1">
      <alignment horizontal="center" vertical="center"/>
      <protection hidden="1"/>
    </xf>
    <xf numFmtId="174" fontId="13" fillId="0" borderId="162" xfId="5" applyNumberFormat="1" applyFont="1" applyFill="1" applyBorder="1" applyAlignment="1" applyProtection="1">
      <alignment horizontal="center" vertical="top" wrapText="1"/>
      <protection hidden="1"/>
    </xf>
    <xf numFmtId="174" fontId="13" fillId="0" borderId="162" xfId="5" applyNumberFormat="1" applyFont="1" applyFill="1" applyBorder="1" applyAlignment="1" applyProtection="1">
      <alignment horizontal="center" vertical="top"/>
      <protection hidden="1"/>
    </xf>
    <xf numFmtId="0" fontId="13" fillId="0" borderId="102" xfId="158" applyNumberFormat="1" applyFont="1" applyFill="1" applyBorder="1" applyAlignment="1" applyProtection="1">
      <alignment vertical="top" wrapText="1"/>
      <protection hidden="1"/>
    </xf>
    <xf numFmtId="0" fontId="13" fillId="0" borderId="102" xfId="158" applyNumberFormat="1" applyFont="1" applyFill="1" applyBorder="1" applyAlignment="1" applyProtection="1">
      <alignment horizontal="center" vertical="top" wrapText="1"/>
      <protection hidden="1"/>
    </xf>
    <xf numFmtId="0" fontId="13" fillId="0" borderId="155" xfId="158" applyFont="1" applyBorder="1" applyAlignment="1" applyProtection="1">
      <alignment horizontal="center" vertical="center"/>
      <protection hidden="1"/>
    </xf>
    <xf numFmtId="0" fontId="13" fillId="0" borderId="157" xfId="158" applyFont="1" applyBorder="1" applyAlignment="1" applyProtection="1">
      <alignment horizontal="left" vertical="center" indent="1"/>
      <protection hidden="1"/>
    </xf>
    <xf numFmtId="0" fontId="13" fillId="0" borderId="162" xfId="11" applyFont="1" applyBorder="1" applyAlignment="1" applyProtection="1">
      <alignment horizontal="center" vertical="center"/>
      <protection hidden="1"/>
    </xf>
    <xf numFmtId="0" fontId="13" fillId="0" borderId="161" xfId="11" applyFont="1" applyBorder="1" applyAlignment="1" applyProtection="1">
      <alignment horizontal="center" vertical="center"/>
      <protection hidden="1"/>
    </xf>
    <xf numFmtId="0" fontId="13" fillId="0" borderId="161" xfId="12" applyFont="1" applyBorder="1" applyAlignment="1" applyProtection="1">
      <alignment horizontal="center" vertical="center"/>
      <protection hidden="1"/>
    </xf>
    <xf numFmtId="0" fontId="13" fillId="0" borderId="126" xfId="12" applyFont="1" applyBorder="1" applyAlignment="1" applyProtection="1">
      <alignment horizontal="center" vertical="center"/>
      <protection hidden="1"/>
    </xf>
    <xf numFmtId="0" fontId="13" fillId="0" borderId="162" xfId="12" applyFont="1" applyBorder="1" applyAlignment="1" applyProtection="1">
      <alignment horizontal="center" vertical="center"/>
      <protection hidden="1"/>
    </xf>
    <xf numFmtId="0" fontId="13" fillId="0" borderId="4" xfId="158" applyFont="1" applyBorder="1" applyAlignment="1" applyProtection="1">
      <alignment horizontal="center" vertical="center"/>
      <protection hidden="1"/>
    </xf>
    <xf numFmtId="0" fontId="13" fillId="0" borderId="161" xfId="158" applyFont="1" applyBorder="1" applyAlignment="1" applyProtection="1">
      <alignment horizontal="center" vertical="center"/>
      <protection hidden="1"/>
    </xf>
    <xf numFmtId="0" fontId="13" fillId="0" borderId="102" xfId="158" applyFont="1" applyBorder="1" applyAlignment="1" applyProtection="1">
      <alignment horizontal="center" vertical="center"/>
      <protection hidden="1"/>
    </xf>
    <xf numFmtId="185" fontId="13" fillId="0" borderId="25" xfId="158" applyNumberFormat="1" applyFont="1" applyBorder="1" applyAlignment="1" applyProtection="1">
      <alignment horizontal="center" vertical="center"/>
      <protection hidden="1"/>
    </xf>
    <xf numFmtId="185" fontId="13" fillId="0" borderId="27" xfId="158" applyNumberFormat="1" applyFont="1" applyBorder="1" applyAlignment="1" applyProtection="1">
      <alignment horizontal="center" vertical="center"/>
      <protection hidden="1"/>
    </xf>
    <xf numFmtId="185" fontId="13" fillId="0" borderId="40" xfId="158" applyNumberFormat="1" applyFont="1" applyBorder="1" applyAlignment="1" applyProtection="1">
      <alignment horizontal="center" vertical="center"/>
      <protection hidden="1"/>
    </xf>
    <xf numFmtId="185" fontId="13" fillId="0" borderId="40" xfId="158" quotePrefix="1" applyNumberFormat="1" applyFont="1" applyBorder="1" applyAlignment="1" applyProtection="1">
      <alignment horizontal="center" vertical="center"/>
      <protection hidden="1"/>
    </xf>
    <xf numFmtId="185" fontId="13" fillId="0" borderId="25" xfId="158" quotePrefix="1" applyNumberFormat="1" applyFont="1" applyBorder="1" applyAlignment="1" applyProtection="1">
      <alignment horizontal="center" vertical="center"/>
      <protection hidden="1"/>
    </xf>
    <xf numFmtId="185" fontId="13" fillId="0" borderId="26" xfId="158" quotePrefix="1" applyNumberFormat="1" applyFont="1" applyBorder="1" applyAlignment="1" applyProtection="1">
      <alignment horizontal="center" vertical="center"/>
      <protection hidden="1"/>
    </xf>
    <xf numFmtId="185" fontId="13" fillId="0" borderId="40" xfId="8" quotePrefix="1" applyNumberFormat="1" applyFont="1" applyBorder="1" applyAlignment="1" applyProtection="1">
      <alignment horizontal="center" vertical="center"/>
      <protection hidden="1"/>
    </xf>
    <xf numFmtId="173" fontId="12" fillId="0" borderId="151" xfId="158" applyNumberFormat="1" applyFont="1" applyBorder="1" applyProtection="1">
      <protection hidden="1"/>
    </xf>
    <xf numFmtId="0" fontId="12" fillId="0" borderId="160" xfId="158" applyFont="1" applyFill="1" applyBorder="1" applyAlignment="1" applyProtection="1">
      <alignment horizontal="left" indent="1"/>
      <protection hidden="1"/>
    </xf>
    <xf numFmtId="182" fontId="12" fillId="0" borderId="102" xfId="158" applyNumberFormat="1" applyFont="1" applyBorder="1" applyProtection="1">
      <protection hidden="1"/>
    </xf>
    <xf numFmtId="174" fontId="12" fillId="0" borderId="8" xfId="158" applyNumberFormat="1" applyFont="1" applyBorder="1" applyAlignment="1" applyProtection="1">
      <protection hidden="1"/>
    </xf>
    <xf numFmtId="174" fontId="12" fillId="0" borderId="154" xfId="158" applyNumberFormat="1" applyFont="1" applyBorder="1" applyAlignment="1" applyProtection="1">
      <protection hidden="1"/>
    </xf>
    <xf numFmtId="174" fontId="12" fillId="0" borderId="157" xfId="158" applyNumberFormat="1" applyFont="1" applyBorder="1" applyAlignment="1" applyProtection="1">
      <protection hidden="1"/>
    </xf>
    <xf numFmtId="174" fontId="13" fillId="0" borderId="157" xfId="158" applyNumberFormat="1" applyFont="1" applyBorder="1" applyAlignment="1" applyProtection="1">
      <protection hidden="1"/>
    </xf>
    <xf numFmtId="173" fontId="12" fillId="0" borderId="154" xfId="158" applyNumberFormat="1" applyFont="1" applyBorder="1" applyAlignment="1" applyProtection="1">
      <protection hidden="1"/>
    </xf>
    <xf numFmtId="173" fontId="12" fillId="0" borderId="161" xfId="12" applyNumberFormat="1" applyFont="1" applyFill="1" applyBorder="1" applyAlignment="1" applyProtection="1">
      <protection hidden="1"/>
    </xf>
    <xf numFmtId="173" fontId="12" fillId="0" borderId="154" xfId="12" applyNumberFormat="1" applyFont="1" applyFill="1" applyBorder="1" applyAlignment="1" applyProtection="1">
      <protection hidden="1"/>
    </xf>
    <xf numFmtId="173" fontId="12" fillId="0" borderId="157" xfId="158" applyNumberFormat="1" applyFont="1" applyBorder="1" applyProtection="1">
      <protection hidden="1"/>
    </xf>
    <xf numFmtId="173" fontId="12" fillId="0" borderId="154" xfId="158" applyNumberFormat="1" applyFont="1" applyBorder="1" applyProtection="1">
      <protection hidden="1"/>
    </xf>
    <xf numFmtId="173" fontId="12" fillId="0" borderId="8" xfId="158" applyNumberFormat="1" applyFont="1" applyBorder="1" applyProtection="1">
      <protection hidden="1"/>
    </xf>
    <xf numFmtId="0" fontId="12" fillId="0" borderId="9" xfId="158" applyFont="1" applyFill="1" applyBorder="1" applyAlignment="1" applyProtection="1">
      <alignment horizontal="left" indent="1"/>
      <protection hidden="1"/>
    </xf>
    <xf numFmtId="174" fontId="12" fillId="0" borderId="161" xfId="158" applyNumberFormat="1" applyFont="1" applyBorder="1" applyAlignment="1" applyProtection="1">
      <protection hidden="1"/>
    </xf>
    <xf numFmtId="174" fontId="12" fillId="0" borderId="162" xfId="158" applyNumberFormat="1" applyFont="1" applyBorder="1" applyAlignment="1" applyProtection="1">
      <protection hidden="1"/>
    </xf>
    <xf numFmtId="174" fontId="13" fillId="0" borderId="162" xfId="158" applyNumberFormat="1" applyFont="1" applyBorder="1" applyAlignment="1" applyProtection="1">
      <protection hidden="1"/>
    </xf>
    <xf numFmtId="174" fontId="12" fillId="0" borderId="161" xfId="12" applyNumberFormat="1" applyFont="1" applyFill="1" applyBorder="1" applyAlignment="1" applyProtection="1">
      <protection hidden="1"/>
    </xf>
    <xf numFmtId="174" fontId="12" fillId="0" borderId="161" xfId="11" applyNumberFormat="1" applyFont="1" applyFill="1" applyBorder="1" applyAlignment="1" applyProtection="1">
      <protection hidden="1"/>
    </xf>
    <xf numFmtId="173" fontId="12" fillId="0" borderId="4" xfId="11" applyNumberFormat="1" applyFont="1" applyFill="1" applyBorder="1" applyAlignment="1" applyProtection="1">
      <protection hidden="1"/>
    </xf>
    <xf numFmtId="173" fontId="12" fillId="0" borderId="161" xfId="11" applyNumberFormat="1" applyFont="1" applyFill="1" applyBorder="1" applyAlignment="1" applyProtection="1">
      <protection hidden="1"/>
    </xf>
    <xf numFmtId="173" fontId="12" fillId="0" borderId="9" xfId="11" applyNumberFormat="1" applyFont="1" applyFill="1" applyBorder="1" applyAlignment="1" applyProtection="1">
      <protection hidden="1"/>
    </xf>
    <xf numFmtId="173" fontId="12" fillId="0" borderId="102" xfId="11" applyNumberFormat="1" applyFont="1" applyFill="1" applyBorder="1" applyAlignment="1" applyProtection="1">
      <protection hidden="1"/>
    </xf>
    <xf numFmtId="173" fontId="12" fillId="0" borderId="161" xfId="158" applyNumberFormat="1" applyFont="1" applyBorder="1" applyAlignment="1" applyProtection="1">
      <protection hidden="1"/>
    </xf>
    <xf numFmtId="173" fontId="12" fillId="0" borderId="161" xfId="158" applyNumberFormat="1" applyFont="1" applyBorder="1" applyProtection="1">
      <protection hidden="1"/>
    </xf>
    <xf numFmtId="173" fontId="12" fillId="0" borderId="4" xfId="12" applyNumberFormat="1" applyFont="1" applyFill="1" applyBorder="1" applyAlignment="1" applyProtection="1">
      <protection hidden="1"/>
    </xf>
    <xf numFmtId="173" fontId="12" fillId="0" borderId="102" xfId="12" applyNumberFormat="1" applyFont="1" applyFill="1" applyBorder="1" applyAlignment="1" applyProtection="1">
      <protection hidden="1"/>
    </xf>
    <xf numFmtId="173" fontId="12" fillId="0" borderId="9" xfId="158" applyNumberFormat="1" applyFont="1" applyBorder="1" applyAlignment="1" applyProtection="1">
      <protection hidden="1"/>
    </xf>
    <xf numFmtId="174" fontId="12" fillId="0" borderId="102" xfId="158" applyNumberFormat="1" applyFont="1" applyBorder="1" applyAlignment="1" applyProtection="1">
      <protection hidden="1"/>
    </xf>
    <xf numFmtId="173" fontId="12" fillId="0" borderId="4" xfId="158" applyNumberFormat="1" applyFont="1" applyBorder="1" applyAlignment="1" applyProtection="1">
      <protection hidden="1"/>
    </xf>
    <xf numFmtId="173" fontId="12" fillId="0" borderId="162" xfId="158" applyNumberFormat="1" applyFont="1" applyBorder="1" applyAlignment="1" applyProtection="1">
      <protection hidden="1"/>
    </xf>
    <xf numFmtId="173" fontId="12" fillId="0" borderId="102" xfId="158" applyNumberFormat="1" applyFont="1" applyBorder="1" applyAlignment="1" applyProtection="1">
      <protection hidden="1"/>
    </xf>
    <xf numFmtId="0" fontId="12" fillId="0" borderId="32" xfId="158" applyFont="1" applyBorder="1" applyAlignment="1" applyProtection="1">
      <protection hidden="1"/>
    </xf>
    <xf numFmtId="0" fontId="13" fillId="0" borderId="15" xfId="158" applyFont="1" applyFill="1" applyBorder="1" applyAlignment="1" applyProtection="1">
      <alignment horizontal="left" vertical="center" indent="1"/>
      <protection hidden="1"/>
    </xf>
    <xf numFmtId="182" fontId="13" fillId="0" borderId="62" xfId="158" applyNumberFormat="1" applyFont="1" applyBorder="1" applyAlignment="1" applyProtection="1">
      <alignment vertical="center"/>
      <protection hidden="1"/>
    </xf>
    <xf numFmtId="182" fontId="13" fillId="0" borderId="32" xfId="158" applyNumberFormat="1" applyFont="1" applyBorder="1" applyAlignment="1" applyProtection="1">
      <alignment vertical="center"/>
      <protection hidden="1"/>
    </xf>
    <xf numFmtId="182" fontId="13" fillId="0" borderId="11" xfId="158" applyNumberFormat="1" applyFont="1" applyBorder="1" applyAlignment="1" applyProtection="1">
      <alignment vertical="center"/>
      <protection hidden="1"/>
    </xf>
    <xf numFmtId="182" fontId="13" fillId="0" borderId="14" xfId="158" applyNumberFormat="1" applyFont="1" applyBorder="1" applyAlignment="1" applyProtection="1">
      <alignment vertical="center"/>
      <protection hidden="1"/>
    </xf>
    <xf numFmtId="174" fontId="13" fillId="0" borderId="13" xfId="158" applyNumberFormat="1" applyFont="1" applyBorder="1" applyAlignment="1" applyProtection="1">
      <alignment vertical="center"/>
      <protection hidden="1"/>
    </xf>
    <xf numFmtId="174" fontId="13" fillId="0" borderId="11" xfId="158" applyNumberFormat="1" applyFont="1" applyBorder="1" applyAlignment="1" applyProtection="1">
      <alignment vertical="center"/>
      <protection hidden="1"/>
    </xf>
    <xf numFmtId="174" fontId="13" fillId="0" borderId="14" xfId="158" applyNumberFormat="1" applyFont="1" applyBorder="1" applyAlignment="1" applyProtection="1">
      <alignment vertical="center"/>
      <protection hidden="1"/>
    </xf>
    <xf numFmtId="174" fontId="13" fillId="0" borderId="60" xfId="158" applyNumberFormat="1" applyFont="1" applyBorder="1" applyAlignment="1" applyProtection="1">
      <alignment vertical="center"/>
      <protection hidden="1"/>
    </xf>
    <xf numFmtId="173" fontId="13" fillId="0" borderId="13" xfId="158" applyNumberFormat="1" applyFont="1" applyBorder="1" applyAlignment="1" applyProtection="1">
      <alignment vertical="center"/>
      <protection hidden="1"/>
    </xf>
    <xf numFmtId="173" fontId="13" fillId="0" borderId="11" xfId="158" applyNumberFormat="1" applyFont="1" applyBorder="1" applyAlignment="1" applyProtection="1">
      <alignment vertical="center"/>
      <protection hidden="1"/>
    </xf>
    <xf numFmtId="173" fontId="13" fillId="0" borderId="60" xfId="158" applyNumberFormat="1" applyFont="1" applyBorder="1" applyAlignment="1" applyProtection="1">
      <alignment vertical="center"/>
      <protection hidden="1"/>
    </xf>
    <xf numFmtId="173" fontId="13" fillId="0" borderId="12" xfId="158" applyNumberFormat="1" applyFont="1" applyBorder="1" applyAlignment="1" applyProtection="1">
      <alignment vertical="center"/>
      <protection hidden="1"/>
    </xf>
    <xf numFmtId="173" fontId="13" fillId="0" borderId="14" xfId="158" applyNumberFormat="1" applyFont="1" applyBorder="1" applyAlignment="1" applyProtection="1">
      <alignment vertical="center"/>
      <protection hidden="1"/>
    </xf>
    <xf numFmtId="173" fontId="13" fillId="0" borderId="62" xfId="158" applyNumberFormat="1" applyFont="1" applyBorder="1" applyAlignment="1" applyProtection="1">
      <alignment vertical="center"/>
      <protection hidden="1"/>
    </xf>
    <xf numFmtId="0" fontId="12" fillId="0" borderId="0" xfId="157" applyNumberFormat="1" applyFont="1" applyFill="1" applyAlignment="1" applyProtection="1">
      <protection hidden="1"/>
    </xf>
    <xf numFmtId="0" fontId="13" fillId="0" borderId="0" xfId="157" applyFont="1" applyFill="1" applyProtection="1">
      <protection hidden="1"/>
    </xf>
    <xf numFmtId="0" fontId="12" fillId="0" borderId="0" xfId="157" applyFont="1" applyFill="1" applyProtection="1">
      <protection hidden="1"/>
    </xf>
    <xf numFmtId="0" fontId="12" fillId="0" borderId="19" xfId="157" applyFont="1" applyBorder="1" applyProtection="1">
      <protection hidden="1"/>
    </xf>
    <xf numFmtId="0" fontId="12" fillId="0" borderId="21" xfId="157" applyFont="1" applyBorder="1" applyProtection="1">
      <protection hidden="1"/>
    </xf>
    <xf numFmtId="0" fontId="12" fillId="0" borderId="8" xfId="157" applyFont="1" applyBorder="1" applyProtection="1">
      <protection hidden="1"/>
    </xf>
    <xf numFmtId="0" fontId="12" fillId="0" borderId="9" xfId="157" applyFont="1" applyBorder="1" applyProtection="1">
      <protection hidden="1"/>
    </xf>
    <xf numFmtId="0" fontId="13" fillId="0" borderId="8" xfId="157" applyFont="1" applyFill="1" applyBorder="1" applyAlignment="1" applyProtection="1">
      <alignment horizontal="center" vertical="top" wrapText="1"/>
      <protection hidden="1"/>
    </xf>
    <xf numFmtId="0" fontId="13" fillId="0" borderId="161" xfId="157" applyFont="1" applyFill="1" applyBorder="1" applyAlignment="1" applyProtection="1">
      <alignment horizontal="center" vertical="top" wrapText="1"/>
      <protection hidden="1"/>
    </xf>
    <xf numFmtId="0" fontId="13" fillId="0" borderId="161" xfId="8" applyNumberFormat="1" applyFont="1" applyBorder="1" applyAlignment="1" applyProtection="1">
      <alignment horizontal="center" vertical="top" wrapText="1"/>
      <protection hidden="1"/>
    </xf>
    <xf numFmtId="0" fontId="13" fillId="0" borderId="126" xfId="157" applyFont="1" applyFill="1" applyBorder="1" applyAlignment="1" applyProtection="1">
      <alignment horizontal="center" vertical="top" wrapText="1"/>
      <protection hidden="1"/>
    </xf>
    <xf numFmtId="0" fontId="13" fillId="0" borderId="150" xfId="157" applyFont="1" applyFill="1" applyBorder="1" applyAlignment="1" applyProtection="1">
      <alignment horizontal="center" vertical="top"/>
      <protection hidden="1"/>
    </xf>
    <xf numFmtId="0" fontId="13" fillId="0" borderId="10" xfId="157" applyFont="1" applyFill="1" applyBorder="1" applyAlignment="1" applyProtection="1">
      <alignment horizontal="center" vertical="top" wrapText="1"/>
      <protection hidden="1"/>
    </xf>
    <xf numFmtId="0" fontId="13" fillId="0" borderId="9" xfId="157" applyFont="1" applyBorder="1" applyAlignment="1" applyProtection="1">
      <alignment horizontal="left" vertical="center" indent="1"/>
      <protection hidden="1"/>
    </xf>
    <xf numFmtId="0" fontId="13" fillId="0" borderId="8" xfId="157" applyFont="1" applyBorder="1" applyAlignment="1" applyProtection="1">
      <alignment horizontal="center" vertical="center"/>
      <protection hidden="1"/>
    </xf>
    <xf numFmtId="0" fontId="13" fillId="0" borderId="157" xfId="157" applyFont="1" applyBorder="1" applyAlignment="1" applyProtection="1">
      <alignment horizontal="center" vertical="center"/>
      <protection hidden="1"/>
    </xf>
    <xf numFmtId="0" fontId="13" fillId="0" borderId="83" xfId="157" applyFont="1" applyBorder="1" applyAlignment="1" applyProtection="1">
      <alignment horizontal="center" vertical="center"/>
      <protection hidden="1"/>
    </xf>
    <xf numFmtId="0" fontId="13" fillId="0" borderId="152" xfId="157" applyFont="1" applyBorder="1" applyAlignment="1" applyProtection="1">
      <alignment horizontal="center" vertical="center"/>
      <protection hidden="1"/>
    </xf>
    <xf numFmtId="0" fontId="13" fillId="0" borderId="155" xfId="157" applyFont="1" applyBorder="1" applyAlignment="1" applyProtection="1">
      <alignment horizontal="center" vertical="center"/>
      <protection hidden="1"/>
    </xf>
    <xf numFmtId="0" fontId="12" fillId="0" borderId="4" xfId="157" applyFont="1" applyBorder="1" applyProtection="1">
      <protection hidden="1"/>
    </xf>
    <xf numFmtId="0" fontId="12" fillId="0" borderId="161" xfId="157" applyFont="1" applyBorder="1" applyProtection="1">
      <protection hidden="1"/>
    </xf>
    <xf numFmtId="0" fontId="12" fillId="0" borderId="126" xfId="157" applyFont="1" applyBorder="1" applyProtection="1">
      <protection hidden="1"/>
    </xf>
    <xf numFmtId="0" fontId="12" fillId="0" borderId="10" xfId="157" applyFont="1" applyBorder="1" applyProtection="1">
      <protection hidden="1"/>
    </xf>
    <xf numFmtId="0" fontId="12" fillId="0" borderId="8" xfId="157" applyFont="1" applyBorder="1" applyAlignment="1" applyProtection="1">
      <protection hidden="1"/>
    </xf>
    <xf numFmtId="0" fontId="13" fillId="0" borderId="9" xfId="157" applyFont="1" applyBorder="1" applyAlignment="1" applyProtection="1">
      <alignment horizontal="left" vertical="top" indent="1"/>
      <protection hidden="1"/>
    </xf>
    <xf numFmtId="0" fontId="13" fillId="0" borderId="162" xfId="157" applyFont="1" applyBorder="1" applyAlignment="1" applyProtection="1">
      <alignment horizontal="center" vertical="center"/>
      <protection hidden="1"/>
    </xf>
    <xf numFmtId="0" fontId="13" fillId="0" borderId="102" xfId="157" applyFont="1" applyBorder="1" applyAlignment="1" applyProtection="1">
      <alignment horizontal="center" vertical="center"/>
      <protection hidden="1"/>
    </xf>
    <xf numFmtId="0" fontId="13" fillId="0" borderId="126" xfId="157" applyFont="1" applyBorder="1" applyAlignment="1" applyProtection="1">
      <alignment horizontal="center" vertical="center"/>
      <protection hidden="1"/>
    </xf>
    <xf numFmtId="0" fontId="13" fillId="0" borderId="4" xfId="157" applyFont="1" applyBorder="1" applyAlignment="1" applyProtection="1">
      <alignment horizontal="center" vertical="center"/>
      <protection hidden="1"/>
    </xf>
    <xf numFmtId="0" fontId="13" fillId="0" borderId="9" xfId="157" applyFont="1" applyBorder="1" applyAlignment="1" applyProtection="1">
      <alignment horizontal="center" vertical="center"/>
      <protection hidden="1"/>
    </xf>
    <xf numFmtId="0" fontId="13" fillId="0" borderId="0" xfId="157" applyFont="1" applyBorder="1" applyAlignment="1" applyProtection="1">
      <alignment horizontal="center" vertical="center"/>
      <protection hidden="1"/>
    </xf>
    <xf numFmtId="0" fontId="13" fillId="0" borderId="161" xfId="157" applyFont="1" applyBorder="1" applyAlignment="1" applyProtection="1">
      <alignment horizontal="center" vertical="center"/>
      <protection hidden="1"/>
    </xf>
    <xf numFmtId="0" fontId="13" fillId="0" borderId="10" xfId="157" applyFont="1" applyBorder="1" applyAlignment="1" applyProtection="1">
      <alignment horizontal="center" vertical="center"/>
      <protection hidden="1"/>
    </xf>
    <xf numFmtId="185" fontId="13" fillId="0" borderId="34" xfId="157" applyNumberFormat="1" applyFont="1" applyBorder="1" applyAlignment="1" applyProtection="1">
      <alignment horizontal="center" vertical="center"/>
      <protection hidden="1"/>
    </xf>
    <xf numFmtId="185" fontId="13" fillId="0" borderId="35" xfId="157" applyNumberFormat="1" applyFont="1" applyBorder="1" applyAlignment="1" applyProtection="1">
      <alignment horizontal="center" vertical="center"/>
      <protection hidden="1"/>
    </xf>
    <xf numFmtId="185" fontId="13" fillId="0" borderId="8" xfId="157" quotePrefix="1" applyNumberFormat="1" applyFont="1" applyBorder="1" applyAlignment="1" applyProtection="1">
      <alignment horizontal="center" vertical="center"/>
      <protection hidden="1"/>
    </xf>
    <xf numFmtId="185" fontId="13" fillId="0" borderId="162" xfId="8" quotePrefix="1" applyNumberFormat="1" applyFont="1" applyBorder="1" applyAlignment="1" applyProtection="1">
      <alignment horizontal="center" vertical="center"/>
      <protection hidden="1"/>
    </xf>
    <xf numFmtId="185" fontId="13" fillId="0" borderId="34" xfId="157" quotePrefix="1" applyNumberFormat="1" applyFont="1" applyBorder="1" applyAlignment="1" applyProtection="1">
      <alignment horizontal="center" vertical="center"/>
      <protection hidden="1"/>
    </xf>
    <xf numFmtId="185" fontId="13" fillId="0" borderId="0" xfId="157" quotePrefix="1" applyNumberFormat="1" applyFont="1" applyBorder="1" applyAlignment="1" applyProtection="1">
      <alignment horizontal="center" vertical="center"/>
      <protection hidden="1"/>
    </xf>
    <xf numFmtId="185" fontId="13" fillId="0" borderId="126" xfId="8" quotePrefix="1" applyNumberFormat="1" applyFont="1" applyBorder="1" applyAlignment="1" applyProtection="1">
      <alignment horizontal="center" vertical="center"/>
      <protection hidden="1"/>
    </xf>
    <xf numFmtId="185" fontId="13" fillId="0" borderId="26" xfId="157" quotePrefix="1" applyNumberFormat="1" applyFont="1" applyBorder="1" applyAlignment="1" applyProtection="1">
      <alignment horizontal="center" vertical="center"/>
      <protection hidden="1"/>
    </xf>
    <xf numFmtId="185" fontId="13" fillId="0" borderId="58" xfId="157" quotePrefix="1" applyNumberFormat="1" applyFont="1" applyBorder="1" applyAlignment="1" applyProtection="1">
      <alignment horizontal="center" vertical="center"/>
      <protection hidden="1"/>
    </xf>
    <xf numFmtId="0" fontId="12" fillId="0" borderId="150" xfId="158" applyNumberFormat="1" applyFont="1" applyBorder="1" applyAlignment="1" applyProtection="1">
      <protection hidden="1"/>
    </xf>
    <xf numFmtId="174" fontId="12" fillId="0" borderId="150" xfId="12" applyNumberFormat="1" applyFont="1" applyFill="1" applyBorder="1" applyAlignment="1" applyProtection="1">
      <protection hidden="1"/>
    </xf>
    <xf numFmtId="0" fontId="12" fillId="0" borderId="8" xfId="157" applyNumberFormat="1" applyFont="1" applyBorder="1" applyAlignment="1" applyProtection="1">
      <protection hidden="1"/>
    </xf>
    <xf numFmtId="0" fontId="12" fillId="0" borderId="8" xfId="12" applyFont="1" applyFill="1" applyBorder="1" applyAlignment="1" applyProtection="1">
      <protection hidden="1"/>
    </xf>
    <xf numFmtId="0" fontId="12" fillId="0" borderId="162" xfId="12" applyFont="1" applyFill="1" applyBorder="1" applyAlignment="1" applyProtection="1">
      <protection hidden="1"/>
    </xf>
    <xf numFmtId="174" fontId="12" fillId="0" borderId="126" xfId="12" applyNumberFormat="1" applyFont="1" applyFill="1" applyBorder="1" applyAlignment="1" applyProtection="1">
      <protection hidden="1"/>
    </xf>
    <xf numFmtId="174" fontId="12" fillId="0" borderId="126" xfId="158" applyNumberFormat="1" applyFont="1" applyBorder="1" applyAlignment="1" applyProtection="1">
      <protection hidden="1"/>
    </xf>
    <xf numFmtId="0" fontId="12" fillId="0" borderId="10" xfId="158" applyNumberFormat="1" applyFont="1" applyBorder="1" applyAlignment="1" applyProtection="1">
      <protection hidden="1"/>
    </xf>
    <xf numFmtId="0" fontId="12" fillId="0" borderId="8" xfId="158" applyFont="1" applyBorder="1" applyAlignment="1" applyProtection="1">
      <protection hidden="1"/>
    </xf>
    <xf numFmtId="0" fontId="12" fillId="0" borderId="162" xfId="158" applyFont="1" applyBorder="1" applyAlignment="1" applyProtection="1">
      <protection hidden="1"/>
    </xf>
    <xf numFmtId="169" fontId="12" fillId="0" borderId="8" xfId="157" applyNumberFormat="1" applyFont="1" applyBorder="1" applyAlignment="1" applyProtection="1">
      <alignment vertical="center"/>
      <protection hidden="1"/>
    </xf>
    <xf numFmtId="174" fontId="12" fillId="0" borderId="8" xfId="12" applyNumberFormat="1" applyFont="1" applyFill="1" applyBorder="1" applyAlignment="1" applyProtection="1">
      <alignment vertical="center"/>
      <protection hidden="1"/>
    </xf>
    <xf numFmtId="174" fontId="12" fillId="0" borderId="162" xfId="12" applyNumberFormat="1" applyFont="1" applyFill="1" applyBorder="1" applyAlignment="1" applyProtection="1">
      <alignment vertical="center"/>
      <protection hidden="1"/>
    </xf>
    <xf numFmtId="174" fontId="13" fillId="0" borderId="126" xfId="12" applyNumberFormat="1" applyFont="1" applyFill="1" applyBorder="1" applyAlignment="1" applyProtection="1">
      <alignment vertical="center"/>
      <protection hidden="1"/>
    </xf>
    <xf numFmtId="174" fontId="13" fillId="0" borderId="126" xfId="158" applyNumberFormat="1" applyFont="1" applyBorder="1" applyAlignment="1" applyProtection="1">
      <alignment vertical="center"/>
      <protection hidden="1"/>
    </xf>
    <xf numFmtId="174" fontId="13" fillId="0" borderId="10" xfId="158" applyNumberFormat="1" applyFont="1" applyBorder="1" applyAlignment="1" applyProtection="1">
      <alignment vertical="center"/>
      <protection hidden="1"/>
    </xf>
    <xf numFmtId="174" fontId="12" fillId="0" borderId="10" xfId="12" applyNumberFormat="1" applyFont="1" applyFill="1" applyBorder="1" applyAlignment="1" applyProtection="1">
      <alignment vertical="center"/>
      <protection hidden="1"/>
    </xf>
    <xf numFmtId="0" fontId="12" fillId="0" borderId="10" xfId="12" applyNumberFormat="1" applyFont="1" applyFill="1" applyBorder="1" applyAlignment="1" applyProtection="1">
      <protection hidden="1"/>
    </xf>
    <xf numFmtId="0" fontId="12" fillId="0" borderId="0" xfId="12" applyFont="1" applyFill="1" applyBorder="1" applyAlignment="1" applyProtection="1">
      <alignment horizontal="left" vertical="center" indent="5"/>
      <protection hidden="1"/>
    </xf>
    <xf numFmtId="0" fontId="12" fillId="0" borderId="0" xfId="12" applyFont="1" applyFill="1" applyBorder="1" applyAlignment="1" applyProtection="1">
      <alignment horizontal="left" vertical="center" indent="4"/>
      <protection hidden="1"/>
    </xf>
    <xf numFmtId="0" fontId="12" fillId="0" borderId="8" xfId="157" applyFont="1" applyBorder="1" applyAlignment="1" applyProtection="1">
      <alignment horizontal="right"/>
      <protection hidden="1"/>
    </xf>
    <xf numFmtId="0" fontId="12" fillId="0" borderId="162" xfId="157" applyFont="1" applyBorder="1" applyAlignment="1" applyProtection="1">
      <alignment horizontal="right"/>
      <protection hidden="1"/>
    </xf>
    <xf numFmtId="0" fontId="12" fillId="0" borderId="161" xfId="157" applyFont="1" applyBorder="1" applyAlignment="1" applyProtection="1">
      <alignment horizontal="right"/>
      <protection hidden="1"/>
    </xf>
    <xf numFmtId="0" fontId="12" fillId="0" borderId="126" xfId="157" applyFont="1" applyBorder="1" applyAlignment="1" applyProtection="1">
      <alignment horizontal="right"/>
      <protection hidden="1"/>
    </xf>
    <xf numFmtId="174" fontId="12" fillId="0" borderId="10" xfId="158" applyNumberFormat="1" applyFont="1" applyBorder="1" applyAlignment="1" applyProtection="1">
      <protection hidden="1"/>
    </xf>
    <xf numFmtId="0" fontId="12" fillId="0" borderId="162" xfId="157" applyFont="1" applyBorder="1" applyAlignment="1" applyProtection="1">
      <protection hidden="1"/>
    </xf>
    <xf numFmtId="0" fontId="12" fillId="0" borderId="161" xfId="157" applyFont="1" applyBorder="1" applyAlignment="1" applyProtection="1">
      <protection hidden="1"/>
    </xf>
    <xf numFmtId="0" fontId="12" fillId="0" borderId="126" xfId="157" applyFont="1" applyBorder="1" applyAlignment="1" applyProtection="1">
      <protection hidden="1"/>
    </xf>
    <xf numFmtId="174" fontId="13" fillId="0" borderId="161" xfId="12" applyNumberFormat="1" applyFont="1" applyFill="1" applyBorder="1" applyAlignment="1" applyProtection="1">
      <alignment vertical="center"/>
      <protection hidden="1"/>
    </xf>
    <xf numFmtId="174" fontId="13" fillId="0" borderId="8" xfId="12" applyNumberFormat="1" applyFont="1" applyFill="1" applyBorder="1" applyAlignment="1" applyProtection="1">
      <alignment vertical="center"/>
      <protection hidden="1"/>
    </xf>
    <xf numFmtId="174" fontId="13" fillId="0" borderId="162" xfId="12" applyNumberFormat="1" applyFont="1" applyFill="1" applyBorder="1" applyAlignment="1" applyProtection="1">
      <alignment vertical="center"/>
      <protection hidden="1"/>
    </xf>
    <xf numFmtId="0" fontId="12" fillId="0" borderId="0" xfId="157" applyNumberFormat="1" applyFont="1" applyBorder="1" applyAlignment="1" applyProtection="1">
      <protection hidden="1"/>
    </xf>
    <xf numFmtId="0" fontId="12" fillId="0" borderId="0" xfId="157" applyNumberFormat="1" applyFont="1" applyFill="1" applyBorder="1" applyAlignment="1" applyProtection="1">
      <protection hidden="1"/>
    </xf>
    <xf numFmtId="0" fontId="13" fillId="0" borderId="71" xfId="157" applyFont="1" applyBorder="1" applyAlignment="1" applyProtection="1">
      <alignment horizontal="centerContinuous" vertical="center"/>
      <protection hidden="1"/>
    </xf>
    <xf numFmtId="0" fontId="13" fillId="0" borderId="72" xfId="157" applyFont="1" applyBorder="1" applyAlignment="1" applyProtection="1">
      <alignment horizontal="centerContinuous" vertical="center"/>
      <protection hidden="1"/>
    </xf>
    <xf numFmtId="0" fontId="13" fillId="0" borderId="66" xfId="157" applyFont="1" applyBorder="1" applyAlignment="1" applyProtection="1">
      <alignment horizontal="centerContinuous" vertical="center"/>
      <protection hidden="1"/>
    </xf>
    <xf numFmtId="0" fontId="13" fillId="0" borderId="150" xfId="157" applyFont="1" applyFill="1" applyBorder="1" applyAlignment="1" applyProtection="1">
      <alignment horizontal="center" vertical="top" wrapText="1"/>
      <protection hidden="1"/>
    </xf>
    <xf numFmtId="0" fontId="13" fillId="0" borderId="10" xfId="157" applyFont="1" applyFill="1" applyBorder="1" applyAlignment="1" applyProtection="1">
      <alignment vertical="top" wrapText="1"/>
      <protection hidden="1"/>
    </xf>
    <xf numFmtId="0" fontId="12" fillId="0" borderId="0" xfId="8" quotePrefix="1" applyNumberFormat="1" applyFont="1" applyBorder="1" applyAlignment="1" applyProtection="1">
      <protection hidden="1"/>
    </xf>
    <xf numFmtId="0" fontId="13" fillId="0" borderId="0" xfId="157" applyNumberFormat="1" applyFont="1" applyBorder="1" applyAlignment="1" applyProtection="1">
      <protection hidden="1"/>
    </xf>
    <xf numFmtId="0" fontId="13" fillId="0" borderId="22" xfId="157" applyNumberFormat="1" applyFont="1" applyBorder="1" applyAlignment="1" applyProtection="1">
      <alignment horizontal="center" vertical="center"/>
      <protection hidden="1"/>
    </xf>
    <xf numFmtId="0" fontId="13" fillId="0" borderId="55" xfId="157" applyFont="1" applyFill="1" applyBorder="1" applyAlignment="1" applyProtection="1">
      <alignment horizontal="center" vertical="top"/>
      <protection hidden="1"/>
    </xf>
    <xf numFmtId="0" fontId="13" fillId="0" borderId="23" xfId="157" applyFont="1" applyFill="1" applyBorder="1" applyAlignment="1" applyProtection="1">
      <alignment horizontal="center" vertical="top" wrapText="1"/>
      <protection hidden="1"/>
    </xf>
    <xf numFmtId="0" fontId="12" fillId="0" borderId="4" xfId="157" applyNumberFormat="1" applyFont="1" applyBorder="1" applyAlignment="1" applyProtection="1">
      <protection hidden="1"/>
    </xf>
    <xf numFmtId="185" fontId="13" fillId="0" borderId="25" xfId="157" applyNumberFormat="1" applyFont="1" applyBorder="1" applyAlignment="1" applyProtection="1">
      <alignment horizontal="center" vertical="center"/>
      <protection hidden="1"/>
    </xf>
    <xf numFmtId="174" fontId="12" fillId="0" borderId="154" xfId="157" applyNumberFormat="1" applyFont="1" applyBorder="1" applyAlignment="1" applyProtection="1">
      <alignment horizontal="left" indent="1"/>
      <protection hidden="1"/>
    </xf>
    <xf numFmtId="174" fontId="12" fillId="0" borderId="157" xfId="157" applyNumberFormat="1" applyFont="1" applyBorder="1" applyAlignment="1" applyProtection="1">
      <protection hidden="1"/>
    </xf>
    <xf numFmtId="174" fontId="12" fillId="0" borderId="161" xfId="157" applyNumberFormat="1" applyFont="1" applyBorder="1" applyAlignment="1" applyProtection="1">
      <alignment horizontal="left" indent="1"/>
      <protection hidden="1"/>
    </xf>
    <xf numFmtId="174" fontId="12" fillId="0" borderId="162" xfId="157" applyNumberFormat="1" applyFont="1" applyBorder="1" applyAlignment="1" applyProtection="1">
      <protection hidden="1"/>
    </xf>
    <xf numFmtId="174" fontId="13" fillId="0" borderId="11" xfId="157" applyNumberFormat="1" applyFont="1" applyBorder="1" applyAlignment="1" applyProtection="1">
      <alignment vertical="center"/>
      <protection hidden="1"/>
    </xf>
    <xf numFmtId="174" fontId="13" fillId="0" borderId="14" xfId="157" applyNumberFormat="1" applyFont="1" applyBorder="1" applyAlignment="1" applyProtection="1">
      <alignment vertical="center"/>
      <protection hidden="1"/>
    </xf>
    <xf numFmtId="0" fontId="12" fillId="9" borderId="162" xfId="4" applyFont="1" applyFill="1" applyBorder="1" applyProtection="1">
      <protection hidden="1"/>
    </xf>
    <xf numFmtId="177" fontId="12" fillId="0" borderId="151" xfId="7" applyNumberFormat="1" applyFont="1" applyFill="1" applyBorder="1" applyAlignment="1" applyProtection="1">
      <alignment vertical="center"/>
      <protection locked="0"/>
    </xf>
    <xf numFmtId="177" fontId="12" fillId="0" borderId="154" xfId="7" applyNumberFormat="1" applyFont="1" applyFill="1" applyBorder="1" applyAlignment="1" applyProtection="1">
      <alignment vertical="center"/>
      <protection locked="0"/>
    </xf>
    <xf numFmtId="178" fontId="21" fillId="9" borderId="157" xfId="4" applyNumberFormat="1" applyFont="1" applyFill="1" applyBorder="1" applyAlignment="1" applyProtection="1">
      <alignment vertical="center"/>
      <protection hidden="1"/>
    </xf>
    <xf numFmtId="178" fontId="13" fillId="5" borderId="154" xfId="4" applyNumberFormat="1" applyFont="1" applyFill="1" applyBorder="1" applyAlignment="1" applyProtection="1">
      <alignment vertical="center"/>
      <protection hidden="1"/>
    </xf>
    <xf numFmtId="178" fontId="13" fillId="5" borderId="157" xfId="4" applyNumberFormat="1" applyFont="1" applyFill="1" applyBorder="1" applyAlignment="1" applyProtection="1">
      <alignment vertical="center"/>
      <protection hidden="1"/>
    </xf>
    <xf numFmtId="0" fontId="12" fillId="5" borderId="161" xfId="4" applyNumberFormat="1" applyFont="1" applyFill="1" applyBorder="1" applyProtection="1">
      <protection hidden="1"/>
    </xf>
    <xf numFmtId="178" fontId="13" fillId="7" borderId="154" xfId="4" applyNumberFormat="1" applyFont="1" applyFill="1" applyBorder="1" applyAlignment="1" applyProtection="1">
      <alignment vertical="center"/>
      <protection hidden="1"/>
    </xf>
    <xf numFmtId="178" fontId="13" fillId="12" borderId="152" xfId="4" applyNumberFormat="1" applyFont="1" applyFill="1" applyBorder="1" applyAlignment="1" applyProtection="1">
      <alignment vertical="center"/>
      <protection hidden="1"/>
    </xf>
    <xf numFmtId="0" fontId="12" fillId="5" borderId="5" xfId="4" applyNumberFormat="1" applyFont="1" applyFill="1" applyBorder="1" applyAlignment="1" applyProtection="1">
      <protection hidden="1"/>
    </xf>
    <xf numFmtId="0" fontId="12" fillId="5" borderId="6" xfId="4" applyNumberFormat="1" applyFont="1" applyFill="1" applyBorder="1" applyAlignment="1" applyProtection="1">
      <protection hidden="1"/>
    </xf>
    <xf numFmtId="0" fontId="11" fillId="5" borderId="126" xfId="4" applyNumberFormat="1" applyFont="1" applyFill="1" applyBorder="1" applyAlignment="1" applyProtection="1">
      <protection hidden="1"/>
    </xf>
    <xf numFmtId="0" fontId="12" fillId="5" borderId="107" xfId="7" applyNumberFormat="1" applyFont="1" applyFill="1" applyBorder="1" applyAlignment="1" applyProtection="1">
      <protection hidden="1"/>
    </xf>
    <xf numFmtId="0" fontId="12" fillId="5" borderId="108" xfId="7" applyNumberFormat="1" applyFont="1" applyFill="1" applyBorder="1" applyAlignment="1" applyProtection="1">
      <protection hidden="1"/>
    </xf>
    <xf numFmtId="0" fontId="12" fillId="5" borderId="107" xfId="4" applyNumberFormat="1" applyFont="1" applyFill="1" applyBorder="1" applyAlignment="1" applyProtection="1">
      <protection hidden="1"/>
    </xf>
    <xf numFmtId="0" fontId="12" fillId="5" borderId="108" xfId="4" applyNumberFormat="1" applyFont="1" applyFill="1" applyBorder="1" applyAlignment="1" applyProtection="1">
      <protection hidden="1"/>
    </xf>
    <xf numFmtId="0" fontId="11" fillId="5" borderId="58" xfId="4" applyNumberFormat="1" applyFont="1" applyFill="1" applyBorder="1" applyAlignment="1" applyProtection="1">
      <protection hidden="1"/>
    </xf>
    <xf numFmtId="0" fontId="12" fillId="5" borderId="27" xfId="7" applyNumberFormat="1" applyFont="1" applyFill="1" applyBorder="1" applyAlignment="1" applyProtection="1">
      <protection hidden="1"/>
    </xf>
    <xf numFmtId="0" fontId="12" fillId="5" borderId="58" xfId="4" applyNumberFormat="1" applyFont="1" applyFill="1" applyBorder="1" applyAlignment="1" applyProtection="1">
      <protection hidden="1"/>
    </xf>
    <xf numFmtId="0" fontId="12" fillId="5" borderId="25" xfId="4" applyNumberFormat="1" applyFont="1" applyFill="1" applyBorder="1" applyAlignment="1" applyProtection="1">
      <protection hidden="1"/>
    </xf>
    <xf numFmtId="178" fontId="13" fillId="5" borderId="155" xfId="4" applyNumberFormat="1" applyFont="1" applyFill="1" applyBorder="1" applyAlignment="1" applyProtection="1">
      <alignment vertical="center"/>
      <protection hidden="1"/>
    </xf>
    <xf numFmtId="178" fontId="13" fillId="5" borderId="44" xfId="4" applyNumberFormat="1" applyFont="1" applyFill="1" applyBorder="1" applyAlignment="1" applyProtection="1">
      <alignment vertical="center"/>
      <protection hidden="1"/>
    </xf>
    <xf numFmtId="177" fontId="12" fillId="0" borderId="155" xfId="7" applyNumberFormat="1" applyFont="1" applyFill="1" applyBorder="1" applyAlignment="1" applyProtection="1">
      <alignment vertical="center"/>
      <protection locked="0"/>
    </xf>
    <xf numFmtId="178" fontId="21" fillId="5" borderId="83" xfId="4" applyNumberFormat="1" applyFont="1" applyFill="1" applyBorder="1" applyAlignment="1" applyProtection="1">
      <alignment vertical="center"/>
      <protection hidden="1"/>
    </xf>
    <xf numFmtId="175" fontId="12" fillId="7" borderId="153" xfId="4" applyNumberFormat="1" applyFont="1" applyFill="1" applyBorder="1" applyAlignment="1" applyProtection="1">
      <alignment vertical="center"/>
      <protection hidden="1"/>
    </xf>
    <xf numFmtId="178" fontId="21" fillId="5" borderId="154" xfId="4" applyNumberFormat="1" applyFont="1" applyFill="1" applyBorder="1" applyAlignment="1" applyProtection="1">
      <alignment vertical="center"/>
      <protection hidden="1"/>
    </xf>
    <xf numFmtId="178" fontId="13" fillId="5" borderId="17" xfId="12" applyNumberFormat="1" applyFont="1" applyFill="1" applyBorder="1" applyAlignment="1" applyProtection="1">
      <alignment vertical="center"/>
      <protection hidden="1"/>
    </xf>
    <xf numFmtId="178" fontId="13" fillId="5" borderId="53" xfId="12" applyNumberFormat="1" applyFont="1" applyFill="1" applyBorder="1" applyAlignment="1" applyProtection="1">
      <alignment vertical="center"/>
      <protection hidden="1"/>
    </xf>
    <xf numFmtId="178" fontId="13" fillId="5" borderId="46" xfId="12" applyNumberFormat="1" applyFont="1" applyFill="1" applyBorder="1" applyAlignment="1" applyProtection="1">
      <alignment vertical="center"/>
      <protection hidden="1"/>
    </xf>
    <xf numFmtId="178" fontId="13" fillId="5" borderId="44" xfId="12" applyNumberFormat="1" applyFont="1" applyFill="1" applyBorder="1" applyAlignment="1" applyProtection="1">
      <alignment vertical="center"/>
      <protection hidden="1"/>
    </xf>
    <xf numFmtId="178" fontId="13" fillId="5" borderId="18" xfId="12" applyNumberFormat="1" applyFont="1" applyFill="1" applyBorder="1" applyAlignment="1" applyProtection="1">
      <alignment vertical="center"/>
      <protection hidden="1"/>
    </xf>
    <xf numFmtId="178" fontId="13" fillId="5" borderId="54" xfId="12" applyNumberFormat="1" applyFont="1" applyFill="1" applyBorder="1" applyAlignment="1" applyProtection="1">
      <alignment vertical="center"/>
      <protection hidden="1"/>
    </xf>
    <xf numFmtId="0" fontId="12" fillId="9" borderId="162" xfId="12" applyFont="1" applyFill="1" applyBorder="1" applyProtection="1">
      <protection hidden="1"/>
    </xf>
    <xf numFmtId="0" fontId="12" fillId="7" borderId="126" xfId="12" applyFont="1" applyFill="1" applyBorder="1" applyProtection="1">
      <protection hidden="1"/>
    </xf>
    <xf numFmtId="0" fontId="13" fillId="0" borderId="160" xfId="12" applyFont="1" applyFill="1" applyBorder="1" applyAlignment="1" applyProtection="1">
      <alignment horizontal="left" vertical="center" indent="1"/>
      <protection hidden="1"/>
    </xf>
    <xf numFmtId="169" fontId="12" fillId="0" borderId="37" xfId="157" applyNumberFormat="1" applyFont="1" applyBorder="1" applyAlignment="1" applyProtection="1">
      <alignment vertical="center"/>
      <protection hidden="1"/>
    </xf>
    <xf numFmtId="0" fontId="13" fillId="0" borderId="159" xfId="12" applyFont="1" applyFill="1" applyBorder="1" applyAlignment="1" applyProtection="1">
      <alignment horizontal="left" vertical="center" indent="1"/>
      <protection hidden="1"/>
    </xf>
    <xf numFmtId="174" fontId="12" fillId="0" borderId="37" xfId="12" applyNumberFormat="1" applyFont="1" applyFill="1" applyBorder="1" applyAlignment="1" applyProtection="1">
      <alignment vertical="center"/>
      <protection hidden="1"/>
    </xf>
    <xf numFmtId="174" fontId="12" fillId="0" borderId="31" xfId="12" applyNumberFormat="1" applyFont="1" applyFill="1" applyBorder="1" applyAlignment="1" applyProtection="1">
      <alignment vertical="center"/>
      <protection hidden="1"/>
    </xf>
    <xf numFmtId="174" fontId="13" fillId="0" borderId="156" xfId="12" applyNumberFormat="1" applyFont="1" applyFill="1" applyBorder="1" applyAlignment="1" applyProtection="1">
      <alignment vertical="center"/>
      <protection hidden="1"/>
    </xf>
    <xf numFmtId="174" fontId="13" fillId="0" borderId="156" xfId="158" applyNumberFormat="1" applyFont="1" applyBorder="1" applyAlignment="1" applyProtection="1">
      <alignment vertical="center"/>
      <protection hidden="1"/>
    </xf>
    <xf numFmtId="0" fontId="12" fillId="0" borderId="151" xfId="157" applyNumberFormat="1" applyFont="1" applyBorder="1" applyAlignment="1" applyProtection="1">
      <protection hidden="1"/>
    </xf>
    <xf numFmtId="0" fontId="12" fillId="0" borderId="83" xfId="12" applyNumberFormat="1" applyFont="1" applyFill="1" applyBorder="1" applyAlignment="1" applyProtection="1">
      <protection hidden="1"/>
    </xf>
    <xf numFmtId="0" fontId="12" fillId="0" borderId="150" xfId="12" applyNumberFormat="1" applyFont="1" applyFill="1" applyBorder="1" applyAlignment="1" applyProtection="1">
      <protection hidden="1"/>
    </xf>
    <xf numFmtId="0" fontId="12" fillId="0" borderId="34" xfId="157" applyNumberFormat="1" applyFont="1" applyBorder="1" applyAlignment="1" applyProtection="1">
      <protection hidden="1"/>
    </xf>
    <xf numFmtId="0" fontId="13" fillId="0" borderId="35" xfId="12" applyFont="1" applyFill="1" applyBorder="1" applyAlignment="1" applyProtection="1">
      <alignment horizontal="left" vertical="center" indent="3"/>
      <protection hidden="1"/>
    </xf>
    <xf numFmtId="174" fontId="13" fillId="0" borderId="58" xfId="12" applyNumberFormat="1" applyFont="1" applyFill="1" applyBorder="1" applyAlignment="1" applyProtection="1">
      <alignment vertical="center"/>
      <protection hidden="1"/>
    </xf>
    <xf numFmtId="174" fontId="13" fillId="0" borderId="58" xfId="158" applyNumberFormat="1" applyFont="1" applyBorder="1" applyAlignment="1" applyProtection="1">
      <alignment vertical="center"/>
      <protection hidden="1"/>
    </xf>
    <xf numFmtId="174" fontId="12" fillId="0" borderId="40" xfId="12" applyNumberFormat="1" applyFont="1" applyFill="1" applyBorder="1" applyAlignment="1" applyProtection="1">
      <protection hidden="1"/>
    </xf>
    <xf numFmtId="0" fontId="12" fillId="0" borderId="36" xfId="158" applyNumberFormat="1" applyFont="1" applyBorder="1" applyAlignment="1" applyProtection="1">
      <protection hidden="1"/>
    </xf>
    <xf numFmtId="174" fontId="12" fillId="0" borderId="36" xfId="12" applyNumberFormat="1" applyFont="1" applyFill="1" applyBorder="1" applyAlignment="1" applyProtection="1">
      <protection hidden="1"/>
    </xf>
    <xf numFmtId="180" fontId="12" fillId="0" borderId="59" xfId="157" applyNumberFormat="1" applyFont="1" applyBorder="1" applyAlignment="1" applyProtection="1">
      <alignment vertical="center"/>
      <protection hidden="1"/>
    </xf>
    <xf numFmtId="0" fontId="13" fillId="0" borderId="50" xfId="157" applyFont="1" applyBorder="1" applyAlignment="1" applyProtection="1">
      <alignment horizontal="left" vertical="center" indent="1"/>
      <protection hidden="1"/>
    </xf>
    <xf numFmtId="174" fontId="13" fillId="0" borderId="59" xfId="12" applyNumberFormat="1" applyFont="1" applyFill="1" applyBorder="1" applyAlignment="1" applyProtection="1">
      <alignment vertical="center"/>
      <protection hidden="1"/>
    </xf>
    <xf numFmtId="174" fontId="13" fillId="0" borderId="48" xfId="12" applyNumberFormat="1" applyFont="1" applyFill="1" applyBorder="1" applyAlignment="1" applyProtection="1">
      <alignment vertical="center"/>
      <protection hidden="1"/>
    </xf>
    <xf numFmtId="174" fontId="13" fillId="0" borderId="47" xfId="12" applyNumberFormat="1" applyFont="1" applyFill="1" applyBorder="1" applyAlignment="1" applyProtection="1">
      <alignment vertical="center"/>
      <protection hidden="1"/>
    </xf>
    <xf numFmtId="174" fontId="13" fillId="0" borderId="51" xfId="12" applyNumberFormat="1" applyFont="1" applyFill="1" applyBorder="1" applyAlignment="1" applyProtection="1">
      <alignment vertical="center"/>
      <protection hidden="1"/>
    </xf>
    <xf numFmtId="174" fontId="13" fillId="0" borderId="105" xfId="12" applyNumberFormat="1" applyFont="1" applyFill="1" applyBorder="1" applyAlignment="1" applyProtection="1">
      <alignment vertical="center"/>
      <protection hidden="1"/>
    </xf>
    <xf numFmtId="182" fontId="13" fillId="0" borderId="75" xfId="158" applyNumberFormat="1" applyFont="1" applyBorder="1" applyAlignment="1" applyProtection="1">
      <alignment vertical="center"/>
      <protection hidden="1"/>
    </xf>
    <xf numFmtId="174" fontId="13" fillId="0" borderId="75" xfId="12" applyNumberFormat="1" applyFont="1" applyFill="1" applyBorder="1" applyAlignment="1" applyProtection="1">
      <alignment vertical="center"/>
      <protection hidden="1"/>
    </xf>
    <xf numFmtId="178" fontId="12" fillId="7" borderId="151" xfId="4" applyNumberFormat="1" applyFont="1" applyFill="1" applyBorder="1" applyAlignment="1" applyProtection="1">
      <alignment vertical="center"/>
      <protection hidden="1"/>
    </xf>
    <xf numFmtId="178" fontId="12" fillId="7" borderId="154" xfId="4" applyNumberFormat="1" applyFont="1" applyFill="1" applyBorder="1" applyAlignment="1" applyProtection="1">
      <alignment vertical="center"/>
      <protection hidden="1"/>
    </xf>
    <xf numFmtId="175" fontId="12" fillId="7" borderId="151" xfId="4" applyNumberFormat="1" applyFont="1" applyFill="1" applyBorder="1" applyAlignment="1" applyProtection="1">
      <alignment vertical="center"/>
      <protection hidden="1"/>
    </xf>
    <xf numFmtId="175" fontId="12" fillId="7" borderId="154" xfId="4" applyNumberFormat="1" applyFont="1" applyFill="1" applyBorder="1" applyAlignment="1" applyProtection="1">
      <alignment vertical="center"/>
      <protection hidden="1"/>
    </xf>
    <xf numFmtId="175" fontId="12" fillId="7" borderId="82" xfId="4" applyNumberFormat="1" applyFont="1" applyFill="1" applyBorder="1" applyAlignment="1" applyProtection="1">
      <alignment vertical="center"/>
      <protection hidden="1"/>
    </xf>
    <xf numFmtId="175" fontId="13" fillId="7" borderId="44" xfId="4" applyNumberFormat="1" applyFont="1" applyFill="1" applyBorder="1" applyAlignment="1" applyProtection="1">
      <alignment vertical="center"/>
      <protection hidden="1"/>
    </xf>
    <xf numFmtId="175" fontId="13" fillId="7" borderId="18" xfId="4" applyNumberFormat="1" applyFont="1" applyFill="1" applyBorder="1" applyAlignment="1" applyProtection="1">
      <alignment vertical="center"/>
      <protection hidden="1"/>
    </xf>
    <xf numFmtId="175" fontId="13" fillId="7" borderId="53" xfId="4" applyNumberFormat="1" applyFont="1" applyFill="1" applyBorder="1" applyAlignment="1" applyProtection="1">
      <alignment vertical="center"/>
      <protection hidden="1"/>
    </xf>
    <xf numFmtId="0" fontId="12" fillId="7" borderId="46" xfId="4" applyNumberFormat="1" applyFont="1" applyFill="1" applyBorder="1" applyAlignment="1" applyProtection="1">
      <protection hidden="1"/>
    </xf>
    <xf numFmtId="175" fontId="12" fillId="7" borderId="157" xfId="4" applyNumberFormat="1" applyFont="1" applyFill="1" applyBorder="1" applyAlignment="1" applyProtection="1">
      <alignment vertical="center"/>
      <protection hidden="1"/>
    </xf>
    <xf numFmtId="178" fontId="13" fillId="7" borderId="155" xfId="4" applyNumberFormat="1" applyFont="1" applyFill="1" applyBorder="1" applyAlignment="1" applyProtection="1">
      <alignment vertical="center"/>
      <protection hidden="1"/>
    </xf>
    <xf numFmtId="175" fontId="13" fillId="7" borderId="151" xfId="4" applyNumberFormat="1" applyFont="1" applyFill="1" applyBorder="1" applyAlignment="1" applyProtection="1">
      <alignment vertical="center"/>
      <protection hidden="1"/>
    </xf>
    <xf numFmtId="175" fontId="13" fillId="7" borderId="154" xfId="4" applyNumberFormat="1" applyFont="1" applyFill="1" applyBorder="1" applyAlignment="1" applyProtection="1">
      <alignment vertical="center"/>
      <protection hidden="1"/>
    </xf>
    <xf numFmtId="175" fontId="13" fillId="7" borderId="83" xfId="4" applyNumberFormat="1" applyFont="1" applyFill="1" applyBorder="1" applyAlignment="1" applyProtection="1">
      <alignment vertical="center"/>
      <protection hidden="1"/>
    </xf>
    <xf numFmtId="175" fontId="13" fillId="7" borderId="157" xfId="4" applyNumberFormat="1" applyFont="1" applyFill="1" applyBorder="1" applyAlignment="1" applyProtection="1">
      <alignment vertical="center"/>
      <protection hidden="1"/>
    </xf>
    <xf numFmtId="178" fontId="13" fillId="7" borderId="28" xfId="4" applyNumberFormat="1" applyFont="1" applyFill="1" applyBorder="1" applyAlignment="1" applyProtection="1">
      <alignment vertical="center"/>
      <protection hidden="1"/>
    </xf>
    <xf numFmtId="0" fontId="12" fillId="7" borderId="31" xfId="4" applyNumberFormat="1" applyFont="1" applyFill="1" applyBorder="1" applyAlignment="1" applyProtection="1">
      <protection hidden="1"/>
    </xf>
    <xf numFmtId="175" fontId="13" fillId="7" borderId="37" xfId="4" applyNumberFormat="1" applyFont="1" applyFill="1" applyBorder="1" applyAlignment="1" applyProtection="1">
      <alignment vertical="center"/>
      <protection hidden="1"/>
    </xf>
    <xf numFmtId="175" fontId="13" fillId="7" borderId="29" xfId="4" applyNumberFormat="1" applyFont="1" applyFill="1" applyBorder="1" applyAlignment="1" applyProtection="1">
      <alignment vertical="center"/>
      <protection hidden="1"/>
    </xf>
    <xf numFmtId="175" fontId="13" fillId="7" borderId="158" xfId="4" applyNumberFormat="1" applyFont="1" applyFill="1" applyBorder="1" applyAlignment="1" applyProtection="1">
      <alignment vertical="center"/>
      <protection hidden="1"/>
    </xf>
    <xf numFmtId="175" fontId="13" fillId="7" borderId="69" xfId="4" applyNumberFormat="1" applyFont="1" applyFill="1" applyBorder="1" applyAlignment="1" applyProtection="1">
      <alignment vertical="center"/>
      <protection hidden="1"/>
    </xf>
    <xf numFmtId="0" fontId="12" fillId="7" borderId="37" xfId="4" applyNumberFormat="1" applyFont="1" applyFill="1" applyBorder="1" applyAlignment="1" applyProtection="1">
      <protection hidden="1"/>
    </xf>
    <xf numFmtId="0" fontId="12" fillId="7" borderId="29" xfId="4" applyNumberFormat="1" applyFont="1" applyFill="1" applyBorder="1" applyAlignment="1" applyProtection="1">
      <protection hidden="1"/>
    </xf>
    <xf numFmtId="0" fontId="12" fillId="7" borderId="86" xfId="4" applyNumberFormat="1" applyFont="1" applyFill="1" applyBorder="1" applyAlignment="1" applyProtection="1">
      <protection hidden="1"/>
    </xf>
    <xf numFmtId="178" fontId="13" fillId="7" borderId="31" xfId="4" applyNumberFormat="1" applyFont="1" applyFill="1" applyBorder="1" applyAlignment="1" applyProtection="1">
      <alignment vertical="center"/>
      <protection hidden="1"/>
    </xf>
    <xf numFmtId="0" fontId="13" fillId="2" borderId="60" xfId="0" applyFont="1" applyFill="1" applyBorder="1" applyAlignment="1" applyProtection="1">
      <alignment horizontal="left" vertical="top"/>
      <protection hidden="1"/>
    </xf>
    <xf numFmtId="0" fontId="13" fillId="2" borderId="155" xfId="0" applyFont="1" applyFill="1" applyBorder="1" applyAlignment="1" applyProtection="1">
      <alignment horizontal="center" vertical="top" wrapText="1"/>
      <protection hidden="1"/>
    </xf>
    <xf numFmtId="0" fontId="13" fillId="2" borderId="157" xfId="0" applyFont="1" applyFill="1" applyBorder="1" applyAlignment="1" applyProtection="1">
      <alignment horizontal="center" vertical="top" wrapText="1"/>
      <protection hidden="1"/>
    </xf>
    <xf numFmtId="0" fontId="13" fillId="2" borderId="13" xfId="0" applyFont="1" applyFill="1" applyBorder="1" applyAlignment="1" applyProtection="1">
      <alignment horizontal="center" vertical="top" wrapText="1"/>
      <protection hidden="1"/>
    </xf>
    <xf numFmtId="178" fontId="12" fillId="2" borderId="64" xfId="0" applyNumberFormat="1" applyFont="1" applyFill="1" applyBorder="1" applyAlignment="1" applyProtection="1">
      <alignment vertical="center"/>
      <protection hidden="1"/>
    </xf>
    <xf numFmtId="178" fontId="12" fillId="2" borderId="52" xfId="0" applyNumberFormat="1" applyFont="1" applyFill="1" applyBorder="1" applyAlignment="1" applyProtection="1">
      <alignment vertical="center"/>
      <protection hidden="1"/>
    </xf>
    <xf numFmtId="0" fontId="12" fillId="10" borderId="82" xfId="0" applyNumberFormat="1" applyFont="1" applyFill="1" applyBorder="1" applyAlignment="1" applyProtection="1">
      <protection hidden="1"/>
    </xf>
    <xf numFmtId="0" fontId="13" fillId="4" borderId="82" xfId="0" applyFont="1" applyFill="1" applyBorder="1" applyAlignment="1" applyProtection="1">
      <alignment horizontal="center"/>
      <protection hidden="1"/>
    </xf>
    <xf numFmtId="0" fontId="13" fillId="4" borderId="83" xfId="0" applyFont="1" applyFill="1" applyBorder="1" applyAlignment="1" applyProtection="1">
      <alignment vertical="center"/>
      <protection hidden="1"/>
    </xf>
    <xf numFmtId="0" fontId="13" fillId="4" borderId="155" xfId="0" applyFont="1" applyFill="1" applyBorder="1" applyAlignment="1" applyProtection="1">
      <alignment horizontal="center" vertical="center"/>
      <protection hidden="1"/>
    </xf>
    <xf numFmtId="0" fontId="13" fillId="4" borderId="154" xfId="0" applyFont="1" applyFill="1" applyBorder="1" applyAlignment="1" applyProtection="1">
      <alignment horizontal="center" vertical="center"/>
      <protection hidden="1"/>
    </xf>
    <xf numFmtId="0" fontId="13" fillId="4" borderId="152" xfId="0" applyFont="1" applyFill="1" applyBorder="1" applyAlignment="1" applyProtection="1">
      <alignment horizontal="center" vertical="center"/>
      <protection hidden="1"/>
    </xf>
    <xf numFmtId="0" fontId="13" fillId="4" borderId="157" xfId="0" applyFont="1" applyFill="1" applyBorder="1" applyAlignment="1" applyProtection="1">
      <alignment horizontal="center" vertical="center" wrapText="1"/>
      <protection hidden="1"/>
    </xf>
    <xf numFmtId="0" fontId="13" fillId="3" borderId="162" xfId="0" applyFont="1" applyFill="1" applyBorder="1" applyAlignment="1" applyProtection="1">
      <alignment horizontal="center" vertical="center"/>
      <protection hidden="1"/>
    </xf>
    <xf numFmtId="0" fontId="13" fillId="3" borderId="161" xfId="0" applyFont="1" applyFill="1" applyBorder="1" applyAlignment="1" applyProtection="1">
      <alignment horizontal="center" vertical="center"/>
      <protection hidden="1"/>
    </xf>
    <xf numFmtId="177" fontId="12" fillId="46" borderId="156" xfId="0" applyNumberFormat="1" applyFont="1" applyFill="1" applyBorder="1" applyAlignment="1" applyProtection="1">
      <alignment vertical="center"/>
      <protection hidden="1"/>
    </xf>
    <xf numFmtId="168" fontId="12" fillId="46" borderId="153" xfId="0" applyNumberFormat="1" applyFont="1" applyFill="1" applyBorder="1" applyAlignment="1" applyProtection="1">
      <alignment vertical="center"/>
      <protection hidden="1"/>
    </xf>
    <xf numFmtId="168" fontId="12" fillId="46" borderId="156" xfId="0" applyNumberFormat="1" applyFont="1" applyFill="1" applyBorder="1" applyAlignment="1" applyProtection="1">
      <alignment vertical="center"/>
      <protection hidden="1"/>
    </xf>
    <xf numFmtId="0" fontId="12" fillId="10" borderId="153" xfId="0" applyFont="1" applyFill="1" applyBorder="1" applyProtection="1">
      <protection hidden="1"/>
    </xf>
    <xf numFmtId="178" fontId="13" fillId="9" borderId="158" xfId="0" applyNumberFormat="1" applyFont="1" applyFill="1" applyBorder="1" applyAlignment="1" applyProtection="1">
      <alignment vertical="center"/>
      <protection hidden="1"/>
    </xf>
    <xf numFmtId="178" fontId="13" fillId="4" borderId="159" xfId="0" applyNumberFormat="1" applyFont="1" applyFill="1" applyBorder="1" applyAlignment="1" applyProtection="1">
      <alignment vertical="center"/>
      <protection hidden="1"/>
    </xf>
    <xf numFmtId="178" fontId="12" fillId="2" borderId="17" xfId="0" applyNumberFormat="1" applyFont="1" applyFill="1" applyBorder="1" applyAlignment="1" applyProtection="1">
      <alignment vertical="center"/>
      <protection hidden="1"/>
    </xf>
    <xf numFmtId="178" fontId="12" fillId="2" borderId="28" xfId="0" applyNumberFormat="1" applyFont="1" applyFill="1" applyBorder="1" applyAlignment="1" applyProtection="1">
      <alignment vertical="center"/>
      <protection hidden="1"/>
    </xf>
    <xf numFmtId="0" fontId="13" fillId="3" borderId="0" xfId="9" applyFont="1" applyFill="1" applyBorder="1" applyAlignment="1" applyProtection="1">
      <alignment horizontal="centerContinuous" vertical="center"/>
      <protection hidden="1"/>
    </xf>
    <xf numFmtId="0" fontId="13" fillId="4" borderId="56" xfId="0" applyFont="1" applyFill="1" applyBorder="1" applyAlignment="1" applyProtection="1">
      <alignment horizontal="left" vertical="center" indent="1"/>
      <protection hidden="1"/>
    </xf>
    <xf numFmtId="177" fontId="12" fillId="9" borderId="17" xfId="0" applyNumberFormat="1" applyFont="1" applyFill="1" applyBorder="1" applyAlignment="1" applyProtection="1">
      <alignment vertical="center"/>
      <protection locked="0"/>
    </xf>
    <xf numFmtId="177" fontId="12" fillId="9" borderId="53" xfId="0" applyNumberFormat="1" applyFont="1" applyFill="1" applyBorder="1" applyAlignment="1" applyProtection="1">
      <alignment vertical="center"/>
      <protection locked="0"/>
    </xf>
    <xf numFmtId="178" fontId="13" fillId="4" borderId="70" xfId="0" applyNumberFormat="1" applyFont="1" applyFill="1" applyBorder="1" applyAlignment="1" applyProtection="1">
      <alignment vertical="center"/>
      <protection hidden="1"/>
    </xf>
    <xf numFmtId="177" fontId="12" fillId="9" borderId="44" xfId="0" applyNumberFormat="1" applyFont="1" applyFill="1" applyBorder="1" applyAlignment="1" applyProtection="1">
      <alignment vertical="center"/>
      <protection locked="0"/>
    </xf>
    <xf numFmtId="177" fontId="12" fillId="9" borderId="18" xfId="0" applyNumberFormat="1" applyFont="1" applyFill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hidden="1"/>
    </xf>
    <xf numFmtId="0" fontId="13" fillId="4" borderId="1" xfId="0" applyFont="1" applyFill="1" applyBorder="1" applyAlignment="1" applyProtection="1">
      <alignment horizontal="center" vertical="center"/>
      <protection hidden="1"/>
    </xf>
    <xf numFmtId="0" fontId="13" fillId="4" borderId="103" xfId="0" applyFont="1" applyFill="1" applyBorder="1" applyAlignment="1" applyProtection="1">
      <alignment horizontal="center" vertical="center"/>
      <protection hidden="1"/>
    </xf>
    <xf numFmtId="0" fontId="13" fillId="4" borderId="95" xfId="0" applyFont="1" applyFill="1" applyBorder="1" applyAlignment="1" applyProtection="1">
      <alignment horizontal="center" vertical="center" wrapText="1"/>
      <protection hidden="1"/>
    </xf>
    <xf numFmtId="0" fontId="13" fillId="4" borderId="43" xfId="0" applyFont="1" applyFill="1" applyBorder="1" applyAlignment="1" applyProtection="1">
      <alignment horizontal="center" vertical="center"/>
      <protection hidden="1"/>
    </xf>
    <xf numFmtId="0" fontId="12" fillId="10" borderId="10" xfId="0" applyFont="1" applyFill="1" applyBorder="1" applyAlignment="1" applyProtection="1">
      <protection hidden="1"/>
    </xf>
    <xf numFmtId="0" fontId="12" fillId="9" borderId="10" xfId="0" applyFont="1" applyFill="1" applyBorder="1" applyAlignment="1" applyProtection="1">
      <protection hidden="1"/>
    </xf>
    <xf numFmtId="0" fontId="16" fillId="4" borderId="0" xfId="0" applyFont="1" applyFill="1" applyBorder="1" applyAlignment="1" applyProtection="1">
      <protection hidden="1"/>
    </xf>
    <xf numFmtId="0" fontId="12" fillId="3" borderId="0" xfId="0" applyFont="1" applyFill="1" applyBorder="1" applyAlignment="1" applyProtection="1">
      <protection hidden="1"/>
    </xf>
    <xf numFmtId="0" fontId="16" fillId="5" borderId="0" xfId="0" applyFont="1" applyFill="1" applyAlignment="1" applyProtection="1">
      <protection hidden="1"/>
    </xf>
    <xf numFmtId="178" fontId="12" fillId="3" borderId="20" xfId="0" applyNumberFormat="1" applyFont="1" applyFill="1" applyBorder="1" applyAlignment="1" applyProtection="1">
      <alignment vertical="center"/>
      <protection hidden="1"/>
    </xf>
    <xf numFmtId="184" fontId="12" fillId="3" borderId="20" xfId="0" applyNumberFormat="1" applyFont="1" applyFill="1" applyBorder="1" applyAlignment="1" applyProtection="1">
      <alignment vertical="center"/>
      <protection hidden="1"/>
    </xf>
    <xf numFmtId="181" fontId="12" fillId="3" borderId="23" xfId="0" applyNumberFormat="1" applyFont="1" applyFill="1" applyBorder="1" applyAlignment="1" applyProtection="1">
      <alignment horizontal="center" vertical="center"/>
      <protection hidden="1"/>
    </xf>
    <xf numFmtId="0" fontId="13" fillId="10" borderId="22" xfId="0" applyFont="1" applyFill="1" applyBorder="1" applyAlignment="1" applyProtection="1">
      <alignment horizontal="left" vertical="center" indent="1"/>
      <protection hidden="1"/>
    </xf>
    <xf numFmtId="168" fontId="12" fillId="3" borderId="23" xfId="0" applyNumberFormat="1" applyFont="1" applyFill="1" applyBorder="1" applyAlignment="1" applyProtection="1">
      <alignment horizontal="center" vertical="center"/>
      <protection hidden="1"/>
    </xf>
    <xf numFmtId="168" fontId="12" fillId="3" borderId="60" xfId="0" applyNumberFormat="1" applyFont="1" applyFill="1" applyBorder="1" applyProtection="1">
      <protection hidden="1"/>
    </xf>
    <xf numFmtId="0" fontId="13" fillId="3" borderId="56" xfId="0" applyFont="1" applyFill="1" applyBorder="1" applyAlignment="1" applyProtection="1">
      <alignment horizontal="left" vertical="center" indent="1"/>
      <protection hidden="1"/>
    </xf>
    <xf numFmtId="178" fontId="13" fillId="2" borderId="56" xfId="0" applyNumberFormat="1" applyFont="1" applyFill="1" applyBorder="1" applyAlignment="1" applyProtection="1">
      <alignment vertical="center"/>
      <protection hidden="1"/>
    </xf>
    <xf numFmtId="178" fontId="13" fillId="2" borderId="69" xfId="0" applyNumberFormat="1" applyFont="1" applyFill="1" applyBorder="1" applyAlignment="1" applyProtection="1">
      <alignment vertical="center"/>
      <protection hidden="1"/>
    </xf>
    <xf numFmtId="178" fontId="13" fillId="2" borderId="18" xfId="0" applyNumberFormat="1" applyFont="1" applyFill="1" applyBorder="1" applyAlignment="1" applyProtection="1">
      <alignment vertical="center"/>
      <protection hidden="1"/>
    </xf>
    <xf numFmtId="178" fontId="21" fillId="2" borderId="70" xfId="0" applyNumberFormat="1" applyFont="1" applyFill="1" applyBorder="1" applyAlignment="1" applyProtection="1">
      <alignment vertical="center"/>
      <protection hidden="1"/>
    </xf>
    <xf numFmtId="0" fontId="12" fillId="9" borderId="10" xfId="0" applyFont="1" applyFill="1" applyBorder="1" applyProtection="1">
      <protection hidden="1"/>
    </xf>
    <xf numFmtId="0" fontId="12" fillId="9" borderId="16" xfId="0" applyFont="1" applyFill="1" applyBorder="1" applyProtection="1">
      <protection hidden="1"/>
    </xf>
    <xf numFmtId="0" fontId="13" fillId="9" borderId="24" xfId="0" applyFont="1" applyFill="1" applyBorder="1" applyAlignment="1" applyProtection="1">
      <alignment horizontal="left" vertical="center" indent="1"/>
      <protection hidden="1"/>
    </xf>
    <xf numFmtId="0" fontId="13" fillId="9" borderId="75" xfId="0" applyFont="1" applyFill="1" applyBorder="1" applyAlignment="1" applyProtection="1">
      <alignment horizontal="left" vertical="center" indent="1"/>
      <protection hidden="1"/>
    </xf>
    <xf numFmtId="0" fontId="12" fillId="9" borderId="24" xfId="0" applyFont="1" applyFill="1" applyBorder="1" applyAlignment="1" applyProtection="1">
      <alignment horizontal="center" vertical="center"/>
      <protection hidden="1"/>
    </xf>
    <xf numFmtId="0" fontId="12" fillId="9" borderId="75" xfId="0" applyFont="1" applyFill="1" applyBorder="1" applyAlignment="1" applyProtection="1">
      <alignment horizontal="center" vertical="center" wrapText="1"/>
      <protection hidden="1"/>
    </xf>
    <xf numFmtId="168" fontId="13" fillId="9" borderId="22" xfId="0" applyNumberFormat="1" applyFont="1" applyFill="1" applyBorder="1" applyAlignment="1" applyProtection="1">
      <alignment horizontal="center" vertical="top"/>
      <protection hidden="1"/>
    </xf>
    <xf numFmtId="168" fontId="13" fillId="9" borderId="4" xfId="0" applyNumberFormat="1" applyFont="1" applyFill="1" applyBorder="1" applyAlignment="1" applyProtection="1">
      <alignment horizontal="center" vertical="center"/>
      <protection hidden="1"/>
    </xf>
    <xf numFmtId="0" fontId="13" fillId="9" borderId="162" xfId="0" applyFont="1" applyFill="1" applyBorder="1" applyAlignment="1" applyProtection="1">
      <alignment horizontal="center" vertical="center" wrapText="1"/>
      <protection hidden="1"/>
    </xf>
    <xf numFmtId="178" fontId="12" fillId="9" borderId="22" xfId="0" applyNumberFormat="1" applyFont="1" applyFill="1" applyBorder="1" applyAlignment="1" applyProtection="1">
      <alignment vertical="center"/>
      <protection hidden="1"/>
    </xf>
    <xf numFmtId="0" fontId="13" fillId="3" borderId="9" xfId="9" applyFont="1" applyFill="1" applyBorder="1" applyAlignment="1" applyProtection="1">
      <alignment horizontal="center" vertical="top" wrapText="1"/>
      <protection hidden="1"/>
    </xf>
    <xf numFmtId="0" fontId="12" fillId="9" borderId="58" xfId="0" applyNumberFormat="1" applyFont="1" applyFill="1" applyBorder="1" applyAlignment="1" applyProtection="1">
      <protection hidden="1"/>
    </xf>
    <xf numFmtId="0" fontId="16" fillId="10" borderId="40" xfId="0" applyNumberFormat="1" applyFont="1" applyFill="1" applyBorder="1" applyAlignment="1" applyProtection="1">
      <protection hidden="1"/>
    </xf>
    <xf numFmtId="0" fontId="13" fillId="4" borderId="82" xfId="0" applyFont="1" applyFill="1" applyBorder="1" applyAlignment="1" applyProtection="1">
      <alignment horizontal="right"/>
      <protection hidden="1"/>
    </xf>
    <xf numFmtId="0" fontId="13" fillId="4" borderId="8" xfId="0" applyFont="1" applyFill="1" applyBorder="1" applyAlignment="1" applyProtection="1">
      <alignment horizontal="center" vertical="center"/>
      <protection hidden="1"/>
    </xf>
    <xf numFmtId="0" fontId="13" fillId="10" borderId="19" xfId="12" applyFont="1" applyFill="1" applyBorder="1" applyAlignment="1" applyProtection="1">
      <alignment horizontal="center" vertical="top" wrapText="1"/>
      <protection hidden="1"/>
    </xf>
    <xf numFmtId="0" fontId="13" fillId="10" borderId="24" xfId="12" applyFont="1" applyFill="1" applyBorder="1" applyAlignment="1" applyProtection="1">
      <alignment horizontal="center" vertical="top" wrapText="1"/>
      <protection hidden="1"/>
    </xf>
    <xf numFmtId="0" fontId="13" fillId="10" borderId="21" xfId="12" applyFont="1" applyFill="1" applyBorder="1" applyAlignment="1" applyProtection="1">
      <alignment horizontal="center" vertical="top"/>
      <protection hidden="1"/>
    </xf>
    <xf numFmtId="0" fontId="13" fillId="10" borderId="8" xfId="12" applyFont="1" applyFill="1" applyBorder="1" applyAlignment="1" applyProtection="1">
      <alignment horizontal="center" vertical="center"/>
      <protection hidden="1"/>
    </xf>
    <xf numFmtId="0" fontId="13" fillId="10" borderId="10" xfId="12" applyFont="1" applyFill="1" applyBorder="1" applyAlignment="1" applyProtection="1">
      <alignment horizontal="center" vertical="center"/>
      <protection hidden="1"/>
    </xf>
    <xf numFmtId="0" fontId="13" fillId="10" borderId="9" xfId="12" applyFont="1" applyFill="1" applyBorder="1" applyAlignment="1" applyProtection="1">
      <alignment horizontal="center" vertical="center"/>
      <protection hidden="1"/>
    </xf>
    <xf numFmtId="0" fontId="12" fillId="4" borderId="151" xfId="0" applyFont="1" applyFill="1" applyBorder="1" applyAlignment="1" applyProtection="1">
      <alignment horizontal="left" vertical="center" indent="1"/>
      <protection hidden="1"/>
    </xf>
    <xf numFmtId="178" fontId="12" fillId="9" borderId="150" xfId="0" applyNumberFormat="1" applyFont="1" applyFill="1" applyBorder="1" applyAlignment="1" applyProtection="1">
      <alignment vertical="center"/>
      <protection locked="0"/>
    </xf>
    <xf numFmtId="178" fontId="13" fillId="8" borderId="24" xfId="0" applyNumberFormat="1" applyFont="1" applyFill="1" applyBorder="1" applyAlignment="1" applyProtection="1">
      <alignment vertical="center"/>
      <protection hidden="1"/>
    </xf>
    <xf numFmtId="178" fontId="13" fillId="8" borderId="10" xfId="0" applyNumberFormat="1" applyFont="1" applyFill="1" applyBorder="1" applyAlignment="1" applyProtection="1">
      <alignment vertical="center"/>
      <protection hidden="1"/>
    </xf>
    <xf numFmtId="178" fontId="13" fillId="8" borderId="41" xfId="0" applyNumberFormat="1" applyFont="1" applyFill="1" applyBorder="1" applyAlignment="1" applyProtection="1">
      <alignment vertical="center"/>
      <protection hidden="1"/>
    </xf>
    <xf numFmtId="0" fontId="12" fillId="4" borderId="19" xfId="0" applyFont="1" applyFill="1" applyBorder="1" applyAlignment="1" applyProtection="1">
      <protection hidden="1"/>
    </xf>
    <xf numFmtId="0" fontId="13" fillId="4" borderId="10" xfId="0" applyFont="1" applyFill="1" applyBorder="1" applyAlignment="1" applyProtection="1">
      <alignment horizontal="center" vertical="top"/>
      <protection hidden="1"/>
    </xf>
    <xf numFmtId="178" fontId="12" fillId="9" borderId="78" xfId="0" applyNumberFormat="1" applyFont="1" applyFill="1" applyBorder="1" applyAlignment="1" applyProtection="1">
      <alignment vertical="center"/>
      <protection locked="0"/>
    </xf>
    <xf numFmtId="0" fontId="12" fillId="9" borderId="75" xfId="0" applyFont="1" applyFill="1" applyBorder="1" applyAlignment="1" applyProtection="1">
      <alignment horizontal="left" vertical="center" indent="1"/>
      <protection locked="0"/>
    </xf>
    <xf numFmtId="0" fontId="13" fillId="9" borderId="55" xfId="0" applyFont="1" applyFill="1" applyBorder="1" applyAlignment="1" applyProtection="1">
      <alignment horizontal="left" vertical="center" indent="1"/>
      <protection hidden="1"/>
    </xf>
    <xf numFmtId="0" fontId="12" fillId="9" borderId="55" xfId="0" applyFont="1" applyFill="1" applyBorder="1" applyAlignment="1" applyProtection="1">
      <alignment horizontal="left" vertical="center" indent="1"/>
      <protection hidden="1"/>
    </xf>
    <xf numFmtId="178" fontId="12" fillId="9" borderId="55" xfId="0" applyNumberFormat="1" applyFont="1" applyFill="1" applyBorder="1" applyAlignment="1" applyProtection="1">
      <alignment vertical="center"/>
      <protection hidden="1"/>
    </xf>
    <xf numFmtId="0" fontId="12" fillId="9" borderId="70" xfId="0" applyFont="1" applyFill="1" applyBorder="1" applyAlignment="1" applyProtection="1">
      <alignment horizontal="left" vertical="center" indent="1"/>
      <protection hidden="1"/>
    </xf>
    <xf numFmtId="178" fontId="13" fillId="9" borderId="0" xfId="0" applyNumberFormat="1" applyFont="1" applyFill="1" applyBorder="1" applyAlignment="1" applyProtection="1">
      <alignment vertical="center"/>
      <protection hidden="1"/>
    </xf>
    <xf numFmtId="0" fontId="13" fillId="4" borderId="0" xfId="12" applyFont="1" applyFill="1" applyBorder="1" applyProtection="1">
      <protection hidden="1"/>
    </xf>
    <xf numFmtId="0" fontId="12" fillId="4" borderId="10" xfId="0" applyFont="1" applyFill="1" applyBorder="1" applyAlignment="1" applyProtection="1">
      <protection hidden="1"/>
    </xf>
    <xf numFmtId="0" fontId="12" fillId="5" borderId="10" xfId="0" quotePrefix="1" applyNumberFormat="1" applyFont="1" applyFill="1" applyBorder="1" applyAlignment="1" applyProtection="1">
      <alignment vertical="center"/>
      <protection hidden="1"/>
    </xf>
    <xf numFmtId="0" fontId="12" fillId="5" borderId="16" xfId="0" quotePrefix="1" applyNumberFormat="1" applyFont="1" applyFill="1" applyBorder="1" applyAlignment="1" applyProtection="1">
      <protection hidden="1"/>
    </xf>
    <xf numFmtId="0" fontId="13" fillId="4" borderId="21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protection hidden="1"/>
    </xf>
    <xf numFmtId="171" fontId="13" fillId="5" borderId="9" xfId="77" applyNumberFormat="1" applyFont="1" applyFill="1" applyBorder="1" applyAlignment="1" applyProtection="1">
      <alignment horizontal="center" vertical="center"/>
      <protection hidden="1"/>
    </xf>
    <xf numFmtId="0" fontId="12" fillId="8" borderId="0" xfId="0" applyNumberFormat="1" applyFont="1" applyFill="1" applyBorder="1" applyAlignment="1" applyProtection="1">
      <protection hidden="1"/>
    </xf>
    <xf numFmtId="0" fontId="12" fillId="4" borderId="55" xfId="0" applyFont="1" applyFill="1" applyBorder="1" applyAlignment="1" applyProtection="1">
      <protection hidden="1"/>
    </xf>
    <xf numFmtId="0" fontId="12" fillId="9" borderId="55" xfId="0" applyFont="1" applyFill="1" applyBorder="1" applyAlignment="1" applyProtection="1">
      <alignment vertical="center"/>
      <protection hidden="1"/>
    </xf>
    <xf numFmtId="0" fontId="12" fillId="4" borderId="55" xfId="0" applyFont="1" applyFill="1" applyBorder="1" applyAlignment="1" applyProtection="1">
      <alignment horizontal="center" vertical="center"/>
      <protection hidden="1"/>
    </xf>
    <xf numFmtId="0" fontId="12" fillId="4" borderId="78" xfId="0" applyFont="1" applyFill="1" applyBorder="1" applyAlignment="1" applyProtection="1">
      <alignment horizontal="center" vertical="center"/>
      <protection hidden="1"/>
    </xf>
    <xf numFmtId="0" fontId="12" fillId="4" borderId="60" xfId="0" applyFont="1" applyFill="1" applyBorder="1" applyAlignment="1" applyProtection="1">
      <alignment horizontal="center" vertical="center"/>
      <protection hidden="1"/>
    </xf>
    <xf numFmtId="0" fontId="12" fillId="4" borderId="32" xfId="0" applyFont="1" applyFill="1" applyBorder="1" applyAlignment="1" applyProtection="1">
      <protection hidden="1"/>
    </xf>
    <xf numFmtId="0" fontId="12" fillId="9" borderId="55" xfId="0" applyFont="1" applyFill="1" applyBorder="1" applyAlignment="1" applyProtection="1">
      <protection hidden="1"/>
    </xf>
    <xf numFmtId="178" fontId="12" fillId="9" borderId="64" xfId="0" applyNumberFormat="1" applyFont="1" applyFill="1" applyBorder="1" applyAlignment="1" applyProtection="1">
      <alignment vertical="center"/>
      <protection hidden="1"/>
    </xf>
    <xf numFmtId="184" fontId="12" fillId="9" borderId="67" xfId="0" applyNumberFormat="1" applyFont="1" applyFill="1" applyBorder="1" applyAlignment="1" applyProtection="1">
      <alignment vertical="center"/>
      <protection hidden="1"/>
    </xf>
    <xf numFmtId="2" fontId="12" fillId="9" borderId="68" xfId="0" applyNumberFormat="1" applyFont="1" applyFill="1" applyBorder="1" applyAlignment="1" applyProtection="1">
      <alignment horizontal="center" vertical="center"/>
      <protection hidden="1"/>
    </xf>
    <xf numFmtId="0" fontId="13" fillId="4" borderId="78" xfId="0" applyFont="1" applyFill="1" applyBorder="1" applyAlignment="1" applyProtection="1">
      <alignment horizontal="left" vertical="center" indent="1"/>
      <protection hidden="1"/>
    </xf>
    <xf numFmtId="0" fontId="13" fillId="4" borderId="75" xfId="0" applyFont="1" applyFill="1" applyBorder="1" applyAlignment="1" applyProtection="1">
      <alignment horizontal="left" vertical="center" indent="1"/>
      <protection hidden="1"/>
    </xf>
    <xf numFmtId="0" fontId="13" fillId="4" borderId="24" xfId="0" applyFont="1" applyFill="1" applyBorder="1" applyAlignment="1" applyProtection="1">
      <alignment horizontal="left" vertical="center" indent="1"/>
      <protection hidden="1"/>
    </xf>
    <xf numFmtId="0" fontId="13" fillId="4" borderId="60" xfId="0" applyFont="1" applyFill="1" applyBorder="1" applyAlignment="1" applyProtection="1">
      <alignment horizontal="left" vertical="center"/>
      <protection hidden="1"/>
    </xf>
    <xf numFmtId="0" fontId="13" fillId="4" borderId="60" xfId="0" applyFont="1" applyFill="1" applyBorder="1" applyAlignment="1" applyProtection="1">
      <alignment vertical="center"/>
      <protection hidden="1"/>
    </xf>
    <xf numFmtId="0" fontId="13" fillId="4" borderId="155" xfId="12" applyFont="1" applyFill="1" applyBorder="1" applyAlignment="1" applyProtection="1">
      <alignment horizontal="center" vertical="center"/>
      <protection hidden="1"/>
    </xf>
    <xf numFmtId="0" fontId="13" fillId="4" borderId="154" xfId="12" applyFont="1" applyFill="1" applyBorder="1" applyAlignment="1" applyProtection="1">
      <alignment horizontal="center" vertical="center"/>
      <protection hidden="1"/>
    </xf>
    <xf numFmtId="0" fontId="13" fillId="4" borderId="152" xfId="12" applyFont="1" applyFill="1" applyBorder="1" applyAlignment="1" applyProtection="1">
      <alignment horizontal="center" vertical="center"/>
      <protection hidden="1"/>
    </xf>
    <xf numFmtId="0" fontId="13" fillId="4" borderId="157" xfId="12" applyFont="1" applyFill="1" applyBorder="1" applyAlignment="1" applyProtection="1">
      <alignment horizontal="center" vertical="center" wrapText="1"/>
      <protection hidden="1"/>
    </xf>
    <xf numFmtId="177" fontId="12" fillId="14" borderId="66" xfId="12" applyNumberFormat="1" applyFont="1" applyFill="1" applyBorder="1" applyAlignment="1" applyProtection="1">
      <alignment horizontal="right" vertical="center"/>
      <protection hidden="1"/>
    </xf>
    <xf numFmtId="177" fontId="12" fillId="14" borderId="159" xfId="12" applyNumberFormat="1" applyFont="1" applyFill="1" applyBorder="1" applyAlignment="1" applyProtection="1">
      <alignment horizontal="right" vertical="center"/>
      <protection hidden="1"/>
    </xf>
    <xf numFmtId="177" fontId="12" fillId="14" borderId="160" xfId="12" applyNumberFormat="1" applyFont="1" applyFill="1" applyBorder="1" applyAlignment="1" applyProtection="1">
      <alignment horizontal="right" vertical="center"/>
      <protection hidden="1"/>
    </xf>
    <xf numFmtId="0" fontId="12" fillId="4" borderId="70" xfId="12" applyNumberFormat="1" applyFont="1" applyFill="1" applyBorder="1" applyAlignment="1" applyProtection="1">
      <alignment vertical="center"/>
      <protection hidden="1"/>
    </xf>
    <xf numFmtId="177" fontId="12" fillId="9" borderId="68" xfId="12" applyNumberFormat="1" applyFont="1" applyFill="1" applyBorder="1" applyAlignment="1" applyProtection="1">
      <alignment horizontal="right" vertical="center"/>
      <protection locked="0"/>
    </xf>
    <xf numFmtId="177" fontId="12" fillId="9" borderId="31" xfId="12" applyNumberFormat="1" applyFont="1" applyFill="1" applyBorder="1" applyAlignment="1" applyProtection="1">
      <alignment horizontal="right" vertical="center"/>
      <protection locked="0"/>
    </xf>
    <xf numFmtId="177" fontId="12" fillId="9" borderId="157" xfId="12" applyNumberFormat="1" applyFont="1" applyFill="1" applyBorder="1" applyAlignment="1" applyProtection="1">
      <alignment horizontal="right" vertical="center"/>
      <protection locked="0"/>
    </xf>
    <xf numFmtId="177" fontId="12" fillId="14" borderId="68" xfId="12" applyNumberFormat="1" applyFont="1" applyFill="1" applyBorder="1" applyAlignment="1" applyProtection="1">
      <alignment horizontal="right" vertical="center"/>
      <protection hidden="1"/>
    </xf>
    <xf numFmtId="177" fontId="12" fillId="14" borderId="31" xfId="12" applyNumberFormat="1" applyFont="1" applyFill="1" applyBorder="1" applyAlignment="1" applyProtection="1">
      <alignment horizontal="right" vertical="center"/>
      <protection hidden="1"/>
    </xf>
    <xf numFmtId="177" fontId="12" fillId="14" borderId="157" xfId="12" applyNumberFormat="1" applyFont="1" applyFill="1" applyBorder="1" applyAlignment="1" applyProtection="1">
      <alignment horizontal="right" vertical="center"/>
      <protection hidden="1"/>
    </xf>
    <xf numFmtId="0" fontId="12" fillId="4" borderId="46" xfId="12" applyNumberFormat="1" applyFont="1" applyFill="1" applyBorder="1" applyAlignment="1" applyProtection="1">
      <protection hidden="1"/>
    </xf>
    <xf numFmtId="0" fontId="13" fillId="9" borderId="24" xfId="0" applyNumberFormat="1" applyFont="1" applyFill="1" applyBorder="1" applyAlignment="1" applyProtection="1">
      <alignment horizontal="center" vertical="top"/>
      <protection hidden="1"/>
    </xf>
    <xf numFmtId="0" fontId="13" fillId="9" borderId="10" xfId="0" applyNumberFormat="1" applyFont="1" applyFill="1" applyBorder="1" applyAlignment="1" applyProtection="1">
      <alignment horizontal="center" vertical="center"/>
      <protection hidden="1"/>
    </xf>
    <xf numFmtId="0" fontId="13" fillId="4" borderId="10" xfId="0" applyFont="1" applyFill="1" applyBorder="1" applyAlignment="1" applyProtection="1">
      <alignment horizontal="center" vertical="center" wrapText="1"/>
      <protection hidden="1"/>
    </xf>
    <xf numFmtId="0" fontId="13" fillId="2" borderId="151" xfId="0" applyFont="1" applyFill="1" applyBorder="1" applyAlignment="1" applyProtection="1">
      <alignment horizontal="center" vertical="top" wrapText="1"/>
      <protection hidden="1"/>
    </xf>
    <xf numFmtId="0" fontId="28" fillId="9" borderId="0" xfId="77" applyFont="1" applyFill="1" applyAlignment="1" applyProtection="1">
      <alignment vertical="center"/>
      <protection hidden="1"/>
    </xf>
    <xf numFmtId="0" fontId="12" fillId="9" borderId="0" xfId="12" applyNumberFormat="1" applyFont="1" applyFill="1" applyAlignment="1" applyProtection="1">
      <protection hidden="1"/>
    </xf>
    <xf numFmtId="0" fontId="12" fillId="4" borderId="82" xfId="12" applyFont="1" applyFill="1" applyBorder="1" applyProtection="1">
      <protection hidden="1"/>
    </xf>
    <xf numFmtId="0" fontId="12" fillId="4" borderId="83" xfId="12" applyNumberFormat="1" applyFont="1" applyFill="1" applyBorder="1" applyAlignment="1" applyProtection="1">
      <protection hidden="1"/>
    </xf>
    <xf numFmtId="0" fontId="19" fillId="9" borderId="8" xfId="0" applyFont="1" applyFill="1" applyBorder="1" applyAlignment="1" applyProtection="1">
      <alignment horizontal="center" vertical="center"/>
      <protection hidden="1"/>
    </xf>
    <xf numFmtId="0" fontId="12" fillId="10" borderId="0" xfId="12" applyFont="1" applyFill="1" applyBorder="1" applyProtection="1">
      <protection hidden="1"/>
    </xf>
    <xf numFmtId="0" fontId="12" fillId="10" borderId="102" xfId="12" applyNumberFormat="1" applyFont="1" applyFill="1" applyBorder="1" applyAlignment="1" applyProtection="1">
      <protection hidden="1"/>
    </xf>
    <xf numFmtId="0" fontId="12" fillId="10" borderId="126" xfId="12" applyNumberFormat="1" applyFont="1" applyFill="1" applyBorder="1" applyAlignment="1" applyProtection="1">
      <protection hidden="1"/>
    </xf>
    <xf numFmtId="0" fontId="13" fillId="9" borderId="9" xfId="0" applyNumberFormat="1" applyFont="1" applyFill="1" applyBorder="1" applyAlignment="1" applyProtection="1">
      <alignment horizontal="center" vertical="top"/>
      <protection hidden="1"/>
    </xf>
    <xf numFmtId="0" fontId="13" fillId="9" borderId="9" xfId="0" applyNumberFormat="1" applyFont="1" applyFill="1" applyBorder="1" applyAlignment="1" applyProtection="1">
      <alignment horizontal="center" vertical="center"/>
      <protection hidden="1"/>
    </xf>
    <xf numFmtId="185" fontId="13" fillId="9" borderId="15" xfId="0" applyNumberFormat="1" applyFont="1" applyFill="1" applyBorder="1" applyAlignment="1" applyProtection="1">
      <alignment horizontal="center" vertical="center"/>
      <protection hidden="1"/>
    </xf>
    <xf numFmtId="0" fontId="12" fillId="9" borderId="0" xfId="12" quotePrefix="1" applyNumberFormat="1" applyFont="1" applyFill="1" applyBorder="1" applyAlignment="1" applyProtection="1">
      <protection hidden="1"/>
    </xf>
    <xf numFmtId="0" fontId="12" fillId="9" borderId="102" xfId="12" quotePrefix="1" applyNumberFormat="1" applyFont="1" applyFill="1" applyBorder="1" applyAlignment="1" applyProtection="1">
      <protection hidden="1"/>
    </xf>
    <xf numFmtId="0" fontId="64" fillId="10" borderId="126" xfId="12" applyNumberFormat="1" applyFont="1" applyFill="1" applyBorder="1" applyAlignment="1" applyProtection="1">
      <alignment horizontal="center" vertical="center"/>
      <protection hidden="1"/>
    </xf>
    <xf numFmtId="0" fontId="12" fillId="48" borderId="0" xfId="12" applyNumberFormat="1" applyFont="1" applyFill="1" applyBorder="1" applyAlignment="1" applyProtection="1">
      <protection hidden="1"/>
    </xf>
    <xf numFmtId="0" fontId="12" fillId="48" borderId="102" xfId="12" applyNumberFormat="1" applyFont="1" applyFill="1" applyBorder="1" applyAlignment="1" applyProtection="1">
      <protection hidden="1"/>
    </xf>
    <xf numFmtId="0" fontId="12" fillId="10" borderId="58" xfId="12" applyNumberFormat="1" applyFont="1" applyFill="1" applyBorder="1" applyAlignment="1" applyProtection="1">
      <protection hidden="1"/>
    </xf>
    <xf numFmtId="0" fontId="12" fillId="48" borderId="84" xfId="12" applyNumberFormat="1" applyFont="1" applyFill="1" applyBorder="1" applyAlignment="1" applyProtection="1">
      <protection hidden="1"/>
    </xf>
    <xf numFmtId="0" fontId="12" fillId="48" borderId="85" xfId="12" applyNumberFormat="1" applyFont="1" applyFill="1" applyBorder="1" applyAlignment="1" applyProtection="1">
      <protection hidden="1"/>
    </xf>
    <xf numFmtId="177" fontId="12" fillId="9" borderId="65" xfId="0" applyNumberFormat="1" applyFont="1" applyFill="1" applyBorder="1" applyAlignment="1" applyProtection="1">
      <alignment vertical="center"/>
      <protection locked="0"/>
    </xf>
    <xf numFmtId="0" fontId="13" fillId="9" borderId="24" xfId="0" applyNumberFormat="1" applyFont="1" applyFill="1" applyBorder="1" applyAlignment="1" applyProtection="1">
      <alignment horizontal="center" vertical="center"/>
      <protection hidden="1"/>
    </xf>
    <xf numFmtId="0" fontId="12" fillId="9" borderId="10" xfId="0" applyNumberFormat="1" applyFont="1" applyFill="1" applyBorder="1" applyAlignment="1" applyProtection="1">
      <protection hidden="1"/>
    </xf>
    <xf numFmtId="185" fontId="13" fillId="9" borderId="16" xfId="0" applyNumberFormat="1" applyFont="1" applyFill="1" applyBorder="1" applyAlignment="1" applyProtection="1">
      <alignment horizontal="center" vertical="center"/>
      <protection hidden="1"/>
    </xf>
    <xf numFmtId="0" fontId="13" fillId="9" borderId="56" xfId="0" applyNumberFormat="1" applyFont="1" applyFill="1" applyBorder="1" applyAlignment="1" applyProtection="1">
      <alignment horizontal="left" vertical="center" indent="1"/>
      <protection hidden="1"/>
    </xf>
    <xf numFmtId="0" fontId="12" fillId="9" borderId="36" xfId="0" applyFont="1" applyFill="1" applyBorder="1" applyAlignment="1" applyProtection="1">
      <alignment horizontal="left" vertical="center" indent="1"/>
      <protection locked="0"/>
    </xf>
    <xf numFmtId="177" fontId="12" fillId="9" borderId="78" xfId="0" applyNumberFormat="1" applyFont="1" applyFill="1" applyBorder="1" applyAlignment="1" applyProtection="1">
      <alignment vertical="center"/>
      <protection locked="0"/>
    </xf>
    <xf numFmtId="0" fontId="12" fillId="9" borderId="126" xfId="9" applyFont="1" applyFill="1" applyBorder="1" applyProtection="1">
      <protection hidden="1"/>
    </xf>
    <xf numFmtId="0" fontId="13" fillId="10" borderId="161" xfId="9" applyFont="1" applyFill="1" applyBorder="1" applyAlignment="1" applyProtection="1">
      <alignment horizontal="center" vertical="center"/>
      <protection hidden="1"/>
    </xf>
    <xf numFmtId="171" fontId="13" fillId="9" borderId="161" xfId="0" applyNumberFormat="1" applyFont="1" applyFill="1" applyBorder="1" applyAlignment="1" applyProtection="1">
      <alignment horizontal="center" vertical="center"/>
      <protection hidden="1"/>
    </xf>
    <xf numFmtId="0" fontId="13" fillId="10" borderId="102" xfId="9" applyFont="1" applyFill="1" applyBorder="1" applyAlignment="1" applyProtection="1">
      <alignment horizontal="center" vertical="center"/>
      <protection hidden="1"/>
    </xf>
    <xf numFmtId="0" fontId="12" fillId="9" borderId="22" xfId="9" applyFont="1" applyFill="1" applyBorder="1" applyAlignment="1" applyProtection="1">
      <protection hidden="1"/>
    </xf>
    <xf numFmtId="0" fontId="13" fillId="9" borderId="4" xfId="9" applyFont="1" applyFill="1" applyBorder="1" applyAlignment="1" applyProtection="1">
      <alignment horizontal="left" vertical="center" indent="1"/>
      <protection hidden="1"/>
    </xf>
    <xf numFmtId="0" fontId="12" fillId="9" borderId="4" xfId="9" applyFont="1" applyFill="1" applyBorder="1" applyAlignment="1" applyProtection="1">
      <alignment horizontal="left" vertical="center" indent="2"/>
      <protection hidden="1"/>
    </xf>
    <xf numFmtId="0" fontId="13" fillId="9" borderId="4" xfId="9" applyFont="1" applyFill="1" applyBorder="1" applyAlignment="1" applyProtection="1">
      <alignment horizontal="left" vertical="center" indent="2"/>
      <protection hidden="1"/>
    </xf>
    <xf numFmtId="185" fontId="13" fillId="9" borderId="62" xfId="0" quotePrefix="1" applyNumberFormat="1" applyFont="1" applyFill="1" applyBorder="1" applyAlignment="1" applyProtection="1">
      <alignment horizontal="center" vertical="center"/>
      <protection hidden="1"/>
    </xf>
    <xf numFmtId="185" fontId="13" fillId="9" borderId="11" xfId="0" quotePrefix="1" applyNumberFormat="1" applyFont="1" applyFill="1" applyBorder="1" applyAlignment="1" applyProtection="1">
      <alignment horizontal="center" vertical="center"/>
      <protection hidden="1"/>
    </xf>
    <xf numFmtId="185" fontId="13" fillId="9" borderId="14" xfId="0" quotePrefix="1" applyNumberFormat="1" applyFont="1" applyFill="1" applyBorder="1" applyAlignment="1" applyProtection="1">
      <alignment horizontal="center" vertical="center"/>
      <protection hidden="1"/>
    </xf>
    <xf numFmtId="0" fontId="13" fillId="9" borderId="161" xfId="9" applyFont="1" applyFill="1" applyBorder="1" applyAlignment="1" applyProtection="1">
      <alignment horizontal="center" vertical="top" wrapText="1"/>
      <protection hidden="1"/>
    </xf>
    <xf numFmtId="0" fontId="13" fillId="9" borderId="161" xfId="9" applyFont="1" applyFill="1" applyBorder="1" applyAlignment="1" applyProtection="1">
      <alignment horizontal="center" vertical="top"/>
      <protection hidden="1"/>
    </xf>
    <xf numFmtId="0" fontId="13" fillId="3" borderId="126" xfId="9" applyFont="1" applyFill="1" applyBorder="1" applyAlignment="1" applyProtection="1">
      <alignment horizontal="center" vertical="center"/>
      <protection hidden="1"/>
    </xf>
    <xf numFmtId="185" fontId="13" fillId="9" borderId="16" xfId="0" quotePrefix="1" applyNumberFormat="1" applyFont="1" applyFill="1" applyBorder="1" applyAlignment="1" applyProtection="1">
      <alignment horizontal="center" vertical="center"/>
      <protection hidden="1"/>
    </xf>
    <xf numFmtId="185" fontId="13" fillId="9" borderId="60" xfId="0" quotePrefix="1" applyNumberFormat="1" applyFont="1" applyFill="1" applyBorder="1" applyAlignment="1" applyProtection="1">
      <alignment horizontal="center" vertical="center"/>
      <protection hidden="1"/>
    </xf>
    <xf numFmtId="0" fontId="13" fillId="9" borderId="20" xfId="9" applyFont="1" applyFill="1" applyBorder="1" applyAlignment="1" applyProtection="1">
      <alignment horizontal="center" vertical="top"/>
      <protection hidden="1"/>
    </xf>
    <xf numFmtId="0" fontId="13" fillId="10" borderId="126" xfId="9" applyFont="1" applyFill="1" applyBorder="1" applyAlignment="1" applyProtection="1">
      <alignment horizontal="center" vertical="center"/>
      <protection hidden="1"/>
    </xf>
    <xf numFmtId="0" fontId="13" fillId="10" borderId="10" xfId="9" applyFont="1" applyFill="1" applyBorder="1" applyAlignment="1" applyProtection="1">
      <alignment horizontal="center" vertical="center"/>
      <protection hidden="1"/>
    </xf>
    <xf numFmtId="0" fontId="13" fillId="9" borderId="17" xfId="9" applyFont="1" applyFill="1" applyBorder="1" applyAlignment="1" applyProtection="1">
      <alignment horizontal="left" vertical="center" indent="1"/>
      <protection hidden="1"/>
    </xf>
    <xf numFmtId="0" fontId="12" fillId="9" borderId="20" xfId="0" applyFont="1" applyFill="1" applyBorder="1" applyProtection="1">
      <protection hidden="1"/>
    </xf>
    <xf numFmtId="0" fontId="12" fillId="9" borderId="9" xfId="0" applyFont="1" applyFill="1" applyBorder="1" applyProtection="1">
      <protection hidden="1"/>
    </xf>
    <xf numFmtId="0" fontId="12" fillId="9" borderId="4" xfId="0" applyFont="1" applyFill="1" applyBorder="1" applyProtection="1">
      <protection hidden="1"/>
    </xf>
    <xf numFmtId="0" fontId="12" fillId="9" borderId="161" xfId="0" applyFont="1" applyFill="1" applyBorder="1" applyProtection="1">
      <protection hidden="1"/>
    </xf>
    <xf numFmtId="0" fontId="12" fillId="9" borderId="162" xfId="0" applyFont="1" applyFill="1" applyBorder="1" applyProtection="1">
      <protection hidden="1"/>
    </xf>
    <xf numFmtId="178" fontId="13" fillId="9" borderId="31" xfId="0" applyNumberFormat="1" applyFont="1" applyFill="1" applyBorder="1" applyAlignment="1" applyProtection="1">
      <alignment vertical="center"/>
      <protection hidden="1"/>
    </xf>
    <xf numFmtId="178" fontId="12" fillId="9" borderId="126" xfId="0" applyNumberFormat="1" applyFont="1" applyFill="1" applyBorder="1" applyAlignment="1" applyProtection="1">
      <alignment vertical="center"/>
      <protection hidden="1"/>
    </xf>
    <xf numFmtId="178" fontId="12" fillId="9" borderId="161" xfId="0" applyNumberFormat="1" applyFont="1" applyFill="1" applyBorder="1" applyAlignment="1" applyProtection="1">
      <alignment vertical="center"/>
      <protection hidden="1"/>
    </xf>
    <xf numFmtId="0" fontId="12" fillId="9" borderId="157" xfId="0" applyNumberFormat="1" applyFont="1" applyFill="1" applyBorder="1" applyAlignment="1" applyProtection="1">
      <protection hidden="1"/>
    </xf>
    <xf numFmtId="0" fontId="12" fillId="9" borderId="12" xfId="0" applyFont="1" applyFill="1" applyBorder="1" applyProtection="1">
      <protection hidden="1"/>
    </xf>
    <xf numFmtId="178" fontId="13" fillId="9" borderId="11" xfId="0" applyNumberFormat="1" applyFont="1" applyFill="1" applyBorder="1" applyAlignment="1" applyProtection="1">
      <alignment vertical="center"/>
      <protection hidden="1"/>
    </xf>
    <xf numFmtId="178" fontId="13" fillId="9" borderId="10" xfId="0" applyNumberFormat="1" applyFont="1" applyFill="1" applyBorder="1" applyAlignment="1" applyProtection="1">
      <alignment vertical="center"/>
      <protection hidden="1"/>
    </xf>
    <xf numFmtId="0" fontId="12" fillId="9" borderId="54" xfId="0" applyFont="1" applyFill="1" applyBorder="1" applyProtection="1">
      <protection hidden="1"/>
    </xf>
    <xf numFmtId="0" fontId="12" fillId="9" borderId="69" xfId="0" applyFont="1" applyFill="1" applyBorder="1" applyProtection="1">
      <protection hidden="1"/>
    </xf>
    <xf numFmtId="0" fontId="12" fillId="9" borderId="53" xfId="0" applyFont="1" applyFill="1" applyBorder="1" applyProtection="1">
      <protection hidden="1"/>
    </xf>
    <xf numFmtId="178" fontId="12" fillId="9" borderId="29" xfId="0" applyNumberFormat="1" applyFont="1" applyFill="1" applyBorder="1" applyAlignment="1" applyProtection="1">
      <alignment vertical="center"/>
      <protection locked="0"/>
    </xf>
    <xf numFmtId="178" fontId="12" fillId="9" borderId="18" xfId="0" applyNumberFormat="1" applyFont="1" applyFill="1" applyBorder="1" applyAlignment="1" applyProtection="1">
      <alignment vertical="center"/>
      <protection locked="0"/>
    </xf>
    <xf numFmtId="177" fontId="12" fillId="9" borderId="156" xfId="0" applyNumberFormat="1" applyFont="1" applyFill="1" applyBorder="1" applyAlignment="1" applyProtection="1">
      <alignment vertical="center"/>
      <protection locked="0"/>
    </xf>
    <xf numFmtId="178" fontId="12" fillId="9" borderId="54" xfId="0" applyNumberFormat="1" applyFont="1" applyFill="1" applyBorder="1" applyAlignment="1" applyProtection="1">
      <alignment vertical="center"/>
      <protection locked="0"/>
    </xf>
    <xf numFmtId="178" fontId="12" fillId="9" borderId="17" xfId="0" applyNumberFormat="1" applyFont="1" applyFill="1" applyBorder="1" applyAlignment="1" applyProtection="1">
      <alignment vertical="center"/>
      <protection locked="0"/>
    </xf>
    <xf numFmtId="0" fontId="13" fillId="10" borderId="0" xfId="9" applyFont="1" applyFill="1" applyBorder="1" applyAlignment="1" applyProtection="1">
      <alignment horizontal="center" vertical="center"/>
      <protection hidden="1"/>
    </xf>
    <xf numFmtId="185" fontId="13" fillId="9" borderId="0" xfId="0" quotePrefix="1" applyNumberFormat="1" applyFont="1" applyFill="1" applyBorder="1" applyAlignment="1" applyProtection="1">
      <alignment horizontal="center" vertical="center"/>
      <protection hidden="1"/>
    </xf>
    <xf numFmtId="0" fontId="13" fillId="9" borderId="0" xfId="9" applyFont="1" applyFill="1" applyBorder="1" applyAlignment="1" applyProtection="1">
      <alignment horizontal="center" vertical="center"/>
      <protection hidden="1"/>
    </xf>
    <xf numFmtId="0" fontId="12" fillId="9" borderId="8" xfId="0" applyNumberFormat="1" applyFont="1" applyFill="1" applyBorder="1" applyAlignment="1" applyProtection="1">
      <protection hidden="1"/>
    </xf>
    <xf numFmtId="0" fontId="12" fillId="10" borderId="8" xfId="9" applyNumberFormat="1" applyFont="1" applyFill="1" applyBorder="1" applyAlignment="1" applyProtection="1">
      <protection hidden="1"/>
    </xf>
    <xf numFmtId="0" fontId="12" fillId="9" borderId="8" xfId="0" quotePrefix="1" applyNumberFormat="1" applyFont="1" applyFill="1" applyBorder="1" applyAlignment="1" applyProtection="1">
      <protection hidden="1"/>
    </xf>
    <xf numFmtId="0" fontId="34" fillId="9" borderId="8" xfId="0" applyNumberFormat="1" applyFont="1" applyFill="1" applyBorder="1" applyAlignment="1" applyProtection="1">
      <protection hidden="1"/>
    </xf>
    <xf numFmtId="0" fontId="13" fillId="9" borderId="0" xfId="0" applyFont="1" applyFill="1" applyBorder="1" applyAlignment="1" applyProtection="1">
      <alignment horizontal="center" vertical="center"/>
      <protection hidden="1"/>
    </xf>
    <xf numFmtId="0" fontId="13" fillId="3" borderId="161" xfId="9" applyFont="1" applyFill="1" applyBorder="1" applyAlignment="1" applyProtection="1">
      <alignment horizontal="center" vertical="center"/>
      <protection hidden="1"/>
    </xf>
    <xf numFmtId="0" fontId="13" fillId="10" borderId="20" xfId="9" applyFont="1" applyFill="1" applyBorder="1" applyAlignment="1" applyProtection="1">
      <alignment horizontal="center" vertical="center"/>
      <protection hidden="1"/>
    </xf>
    <xf numFmtId="0" fontId="13" fillId="3" borderId="9" xfId="9" applyFont="1" applyFill="1" applyBorder="1" applyAlignment="1" applyProtection="1">
      <alignment vertical="top" wrapText="1"/>
      <protection hidden="1"/>
    </xf>
    <xf numFmtId="0" fontId="13" fillId="9" borderId="23" xfId="9" applyFont="1" applyFill="1" applyBorder="1" applyAlignment="1" applyProtection="1">
      <alignment horizontal="center" vertical="center"/>
      <protection hidden="1"/>
    </xf>
    <xf numFmtId="0" fontId="13" fillId="3" borderId="162" xfId="9" applyFont="1" applyFill="1" applyBorder="1" applyAlignment="1" applyProtection="1">
      <alignment horizontal="center" vertical="center"/>
      <protection hidden="1"/>
    </xf>
    <xf numFmtId="0" fontId="12" fillId="2" borderId="84" xfId="0" applyFont="1" applyFill="1" applyBorder="1" applyAlignment="1" applyProtection="1">
      <protection hidden="1"/>
    </xf>
    <xf numFmtId="0" fontId="12" fillId="5" borderId="0" xfId="9" applyFont="1" applyFill="1" applyBorder="1" applyAlignment="1" applyProtection="1">
      <protection hidden="1"/>
    </xf>
    <xf numFmtId="0" fontId="12" fillId="2" borderId="0" xfId="9" applyFont="1" applyFill="1" applyBorder="1" applyAlignment="1" applyProtection="1">
      <protection hidden="1"/>
    </xf>
    <xf numFmtId="0" fontId="12" fillId="14" borderId="0" xfId="9" applyFont="1" applyFill="1" applyBorder="1" applyAlignment="1" applyProtection="1">
      <protection hidden="1"/>
    </xf>
    <xf numFmtId="0" fontId="13" fillId="2" borderId="160" xfId="0" applyFont="1" applyFill="1" applyBorder="1" applyAlignment="1" applyProtection="1">
      <alignment horizontal="center" vertical="top" wrapText="1"/>
      <protection hidden="1"/>
    </xf>
    <xf numFmtId="0" fontId="13" fillId="2" borderId="151" xfId="0" applyFont="1" applyFill="1" applyBorder="1" applyAlignment="1" applyProtection="1">
      <alignment horizontal="center" vertical="top"/>
      <protection hidden="1"/>
    </xf>
    <xf numFmtId="0" fontId="13" fillId="2" borderId="160" xfId="0" applyFont="1" applyFill="1" applyBorder="1" applyAlignment="1" applyProtection="1">
      <alignment horizontal="center" vertical="top"/>
      <protection hidden="1"/>
    </xf>
    <xf numFmtId="178" fontId="12" fillId="2" borderId="71" xfId="0" applyNumberFormat="1" applyFont="1" applyFill="1" applyBorder="1" applyAlignment="1" applyProtection="1">
      <alignment vertical="center"/>
      <protection hidden="1"/>
    </xf>
    <xf numFmtId="178" fontId="12" fillId="2" borderId="59" xfId="0" applyNumberFormat="1" applyFont="1" applyFill="1" applyBorder="1" applyAlignment="1" applyProtection="1">
      <alignment vertical="center"/>
      <protection hidden="1"/>
    </xf>
    <xf numFmtId="0" fontId="12" fillId="4" borderId="0" xfId="9" applyNumberFormat="1" applyFont="1" applyFill="1" applyBorder="1" applyAlignment="1" applyProtection="1">
      <protection hidden="1"/>
    </xf>
    <xf numFmtId="0" fontId="13" fillId="2" borderId="60" xfId="0" applyFont="1" applyFill="1" applyBorder="1" applyAlignment="1" applyProtection="1">
      <alignment vertical="center"/>
      <protection hidden="1"/>
    </xf>
    <xf numFmtId="0" fontId="12" fillId="9" borderId="78" xfId="0" applyFont="1" applyFill="1" applyBorder="1" applyAlignment="1" applyProtection="1">
      <alignment horizontal="center" vertical="center"/>
      <protection hidden="1"/>
    </xf>
    <xf numFmtId="0" fontId="12" fillId="9" borderId="41" xfId="0" applyFont="1" applyFill="1" applyBorder="1" applyAlignment="1" applyProtection="1">
      <alignment horizontal="center" vertical="center"/>
      <protection hidden="1"/>
    </xf>
    <xf numFmtId="0" fontId="12" fillId="9" borderId="75" xfId="0" applyFont="1" applyFill="1" applyBorder="1" applyAlignment="1" applyProtection="1">
      <alignment horizontal="center" vertical="center"/>
      <protection hidden="1"/>
    </xf>
    <xf numFmtId="0" fontId="13" fillId="9" borderId="60" xfId="0" applyFont="1" applyFill="1" applyBorder="1" applyAlignment="1" applyProtection="1">
      <alignment vertical="top"/>
      <protection hidden="1"/>
    </xf>
    <xf numFmtId="0" fontId="13" fillId="9" borderId="60" xfId="0" applyFont="1" applyFill="1" applyBorder="1" applyAlignment="1" applyProtection="1">
      <alignment horizontal="left" vertical="top"/>
      <protection hidden="1"/>
    </xf>
    <xf numFmtId="0" fontId="13" fillId="3" borderId="55" xfId="0" applyFont="1" applyFill="1" applyBorder="1" applyAlignment="1" applyProtection="1">
      <alignment horizontal="center" vertical="top"/>
      <protection hidden="1"/>
    </xf>
    <xf numFmtId="0" fontId="13" fillId="3" borderId="0" xfId="0" applyFont="1" applyFill="1" applyBorder="1" applyAlignment="1" applyProtection="1">
      <alignment horizontal="center" vertical="top" wrapText="1"/>
      <protection hidden="1"/>
    </xf>
    <xf numFmtId="0" fontId="13" fillId="3" borderId="10" xfId="0" applyFont="1" applyFill="1" applyBorder="1" applyAlignment="1" applyProtection="1">
      <alignment horizontal="left" vertical="center" indent="2"/>
      <protection hidden="1"/>
    </xf>
    <xf numFmtId="0" fontId="12" fillId="3" borderId="78" xfId="0" applyFont="1" applyFill="1" applyBorder="1" applyProtection="1">
      <protection hidden="1"/>
    </xf>
    <xf numFmtId="0" fontId="12" fillId="3" borderId="72" xfId="0" applyFont="1" applyFill="1" applyBorder="1" applyProtection="1">
      <protection hidden="1"/>
    </xf>
    <xf numFmtId="0" fontId="12" fillId="3" borderId="67" xfId="0" applyFont="1" applyFill="1" applyBorder="1" applyProtection="1">
      <protection hidden="1"/>
    </xf>
    <xf numFmtId="0" fontId="12" fillId="3" borderId="66" xfId="0" applyFont="1" applyFill="1" applyBorder="1" applyProtection="1">
      <protection hidden="1"/>
    </xf>
    <xf numFmtId="0" fontId="12" fillId="3" borderId="102" xfId="0" applyFont="1" applyFill="1" applyBorder="1" applyAlignment="1" applyProtection="1">
      <alignment horizontal="centerContinuous" vertical="center"/>
      <protection hidden="1"/>
    </xf>
    <xf numFmtId="0" fontId="12" fillId="3" borderId="55" xfId="0" applyNumberFormat="1" applyFont="1" applyFill="1" applyBorder="1" applyAlignment="1" applyProtection="1">
      <protection hidden="1"/>
    </xf>
    <xf numFmtId="0" fontId="11" fillId="2" borderId="55" xfId="0" applyNumberFormat="1" applyFont="1" applyFill="1" applyBorder="1" applyAlignment="1" applyProtection="1">
      <protection hidden="1"/>
    </xf>
    <xf numFmtId="0" fontId="13" fillId="3" borderId="0" xfId="0" applyFont="1" applyFill="1" applyBorder="1" applyAlignment="1" applyProtection="1">
      <alignment vertical="center"/>
      <protection hidden="1"/>
    </xf>
    <xf numFmtId="177" fontId="12" fillId="9" borderId="67" xfId="0" applyNumberFormat="1" applyFont="1" applyFill="1" applyBorder="1" applyAlignment="1" applyProtection="1">
      <alignment vertical="center"/>
      <protection locked="0"/>
    </xf>
    <xf numFmtId="178" fontId="21" fillId="2" borderId="68" xfId="0" applyNumberFormat="1" applyFont="1" applyFill="1" applyBorder="1" applyAlignment="1" applyProtection="1">
      <alignment vertical="center"/>
      <protection hidden="1"/>
    </xf>
    <xf numFmtId="178" fontId="13" fillId="9" borderId="78" xfId="0" applyNumberFormat="1" applyFont="1" applyFill="1" applyBorder="1" applyAlignment="1" applyProtection="1">
      <alignment vertical="center"/>
      <protection hidden="1"/>
    </xf>
    <xf numFmtId="178" fontId="13" fillId="9" borderId="72" xfId="0" applyNumberFormat="1" applyFont="1" applyFill="1" applyBorder="1" applyAlignment="1" applyProtection="1">
      <alignment vertical="center"/>
      <protection hidden="1"/>
    </xf>
    <xf numFmtId="178" fontId="13" fillId="9" borderId="67" xfId="0" applyNumberFormat="1" applyFont="1" applyFill="1" applyBorder="1" applyAlignment="1" applyProtection="1">
      <alignment vertical="center"/>
      <protection hidden="1"/>
    </xf>
    <xf numFmtId="178" fontId="13" fillId="9" borderId="153" xfId="0" applyNumberFormat="1" applyFont="1" applyFill="1" applyBorder="1" applyAlignment="1" applyProtection="1">
      <alignment vertical="center"/>
      <protection hidden="1"/>
    </xf>
    <xf numFmtId="0" fontId="13" fillId="10" borderId="52" xfId="0" applyFont="1" applyFill="1" applyBorder="1" applyAlignment="1" applyProtection="1">
      <alignment horizontal="left" vertical="center" indent="1"/>
      <protection hidden="1"/>
    </xf>
    <xf numFmtId="178" fontId="12" fillId="3" borderId="47" xfId="0" applyNumberFormat="1" applyFont="1" applyFill="1" applyBorder="1" applyAlignment="1" applyProtection="1">
      <alignment vertical="center"/>
      <protection hidden="1"/>
    </xf>
    <xf numFmtId="184" fontId="12" fillId="3" borderId="47" xfId="0" applyNumberFormat="1" applyFont="1" applyFill="1" applyBorder="1" applyAlignment="1" applyProtection="1">
      <alignment vertical="center"/>
      <protection hidden="1"/>
    </xf>
    <xf numFmtId="0" fontId="12" fillId="3" borderId="48" xfId="0" applyFont="1" applyFill="1" applyBorder="1" applyAlignment="1" applyProtection="1">
      <alignment horizontal="center" vertical="center"/>
      <protection hidden="1"/>
    </xf>
    <xf numFmtId="168" fontId="12" fillId="3" borderId="48" xfId="0" applyNumberFormat="1" applyFont="1" applyFill="1" applyBorder="1" applyAlignment="1" applyProtection="1">
      <alignment horizontal="center" vertical="center"/>
      <protection hidden="1"/>
    </xf>
    <xf numFmtId="0" fontId="12" fillId="3" borderId="82" xfId="0" applyFont="1" applyFill="1" applyBorder="1" applyAlignment="1" applyProtection="1">
      <alignment vertical="center"/>
      <protection hidden="1"/>
    </xf>
    <xf numFmtId="0" fontId="13" fillId="3" borderId="82" xfId="0" applyFont="1" applyFill="1" applyBorder="1" applyAlignment="1" applyProtection="1">
      <alignment vertical="center"/>
      <protection hidden="1"/>
    </xf>
    <xf numFmtId="0" fontId="13" fillId="3" borderId="82" xfId="0" applyFont="1" applyFill="1" applyBorder="1" applyAlignment="1" applyProtection="1">
      <alignment horizontal="right" vertical="center" indent="1"/>
      <protection hidden="1"/>
    </xf>
    <xf numFmtId="0" fontId="13" fillId="3" borderId="83" xfId="0" applyFont="1" applyFill="1" applyBorder="1" applyAlignment="1" applyProtection="1">
      <alignment horizontal="right" vertical="center" indent="1"/>
      <protection hidden="1"/>
    </xf>
    <xf numFmtId="0" fontId="12" fillId="3" borderId="102" xfId="0" applyFont="1" applyFill="1" applyBorder="1" applyAlignment="1" applyProtection="1">
      <alignment horizontal="left" vertical="center"/>
      <protection hidden="1"/>
    </xf>
    <xf numFmtId="0" fontId="12" fillId="3" borderId="102" xfId="0" applyFont="1" applyFill="1" applyBorder="1" applyAlignment="1" applyProtection="1">
      <alignment vertical="top"/>
      <protection hidden="1"/>
    </xf>
    <xf numFmtId="0" fontId="12" fillId="3" borderId="102" xfId="0" applyFont="1" applyFill="1" applyBorder="1" applyProtection="1">
      <protection hidden="1"/>
    </xf>
    <xf numFmtId="0" fontId="13" fillId="3" borderId="83" xfId="0" applyFont="1" applyFill="1" applyBorder="1" applyAlignment="1" applyProtection="1">
      <alignment horizontal="center" vertical="center"/>
      <protection hidden="1"/>
    </xf>
    <xf numFmtId="0" fontId="13" fillId="3" borderId="154" xfId="0" applyFont="1" applyFill="1" applyBorder="1" applyAlignment="1" applyProtection="1">
      <alignment horizontal="center" vertical="center"/>
      <protection hidden="1"/>
    </xf>
    <xf numFmtId="0" fontId="13" fillId="3" borderId="157" xfId="0" applyFont="1" applyFill="1" applyBorder="1" applyAlignment="1" applyProtection="1">
      <alignment horizontal="center" vertical="center"/>
      <protection hidden="1"/>
    </xf>
    <xf numFmtId="177" fontId="12" fillId="9" borderId="153" xfId="0" applyNumberFormat="1" applyFont="1" applyFill="1" applyBorder="1" applyAlignment="1" applyProtection="1">
      <alignment vertical="center"/>
      <protection locked="0"/>
    </xf>
    <xf numFmtId="178" fontId="21" fillId="2" borderId="159" xfId="0" applyNumberFormat="1" applyFont="1" applyFill="1" applyBorder="1" applyAlignment="1" applyProtection="1">
      <alignment vertical="center"/>
      <protection hidden="1"/>
    </xf>
    <xf numFmtId="168" fontId="12" fillId="3" borderId="102" xfId="0" applyNumberFormat="1" applyFont="1" applyFill="1" applyBorder="1" applyProtection="1">
      <protection hidden="1"/>
    </xf>
    <xf numFmtId="177" fontId="12" fillId="9" borderId="150" xfId="0" applyNumberFormat="1" applyFont="1" applyFill="1" applyBorder="1" applyAlignment="1" applyProtection="1">
      <alignment vertical="center"/>
      <protection locked="0"/>
    </xf>
    <xf numFmtId="177" fontId="12" fillId="9" borderId="82" xfId="0" applyNumberFormat="1" applyFont="1" applyFill="1" applyBorder="1" applyAlignment="1" applyProtection="1">
      <alignment vertical="center"/>
      <protection locked="0"/>
    </xf>
    <xf numFmtId="177" fontId="12" fillId="9" borderId="154" xfId="0" applyNumberFormat="1" applyFont="1" applyFill="1" applyBorder="1" applyAlignment="1" applyProtection="1">
      <alignment vertical="center"/>
      <protection locked="0"/>
    </xf>
    <xf numFmtId="178" fontId="21" fillId="2" borderId="160" xfId="0" applyNumberFormat="1" applyFont="1" applyFill="1" applyBorder="1" applyAlignment="1" applyProtection="1">
      <alignment vertical="center"/>
      <protection hidden="1"/>
    </xf>
    <xf numFmtId="178" fontId="13" fillId="9" borderId="82" xfId="0" applyNumberFormat="1" applyFont="1" applyFill="1" applyBorder="1" applyAlignment="1" applyProtection="1">
      <alignment vertical="center"/>
      <protection hidden="1"/>
    </xf>
    <xf numFmtId="178" fontId="13" fillId="9" borderId="154" xfId="0" applyNumberFormat="1" applyFont="1" applyFill="1" applyBorder="1" applyAlignment="1" applyProtection="1">
      <alignment vertical="center"/>
      <protection hidden="1"/>
    </xf>
    <xf numFmtId="178" fontId="13" fillId="2" borderId="150" xfId="0" applyNumberFormat="1" applyFont="1" applyFill="1" applyBorder="1" applyAlignment="1" applyProtection="1">
      <alignment vertical="center"/>
      <protection hidden="1"/>
    </xf>
    <xf numFmtId="178" fontId="13" fillId="2" borderId="82" xfId="0" applyNumberFormat="1" applyFont="1" applyFill="1" applyBorder="1" applyAlignment="1" applyProtection="1">
      <alignment vertical="center"/>
      <protection hidden="1"/>
    </xf>
    <xf numFmtId="178" fontId="13" fillId="2" borderId="154" xfId="0" applyNumberFormat="1" applyFont="1" applyFill="1" applyBorder="1" applyAlignment="1" applyProtection="1">
      <alignment vertical="center"/>
      <protection hidden="1"/>
    </xf>
    <xf numFmtId="168" fontId="12" fillId="3" borderId="161" xfId="0" applyNumberFormat="1" applyFont="1" applyFill="1" applyBorder="1" applyAlignment="1" applyProtection="1">
      <alignment horizontal="center" vertical="center"/>
      <protection hidden="1"/>
    </xf>
    <xf numFmtId="169" fontId="12" fillId="2" borderId="161" xfId="0" applyNumberFormat="1" applyFont="1" applyFill="1" applyBorder="1" applyAlignment="1" applyProtection="1">
      <alignment vertical="center"/>
      <protection hidden="1"/>
    </xf>
    <xf numFmtId="0" fontId="12" fillId="3" borderId="102" xfId="0" applyNumberFormat="1" applyFont="1" applyFill="1" applyBorder="1" applyAlignment="1" applyProtection="1">
      <protection hidden="1"/>
    </xf>
    <xf numFmtId="0" fontId="12" fillId="3" borderId="102" xfId="0" applyFont="1" applyFill="1" applyBorder="1" applyAlignment="1" applyProtection="1">
      <protection hidden="1"/>
    </xf>
    <xf numFmtId="0" fontId="12" fillId="9" borderId="84" xfId="0" applyFont="1" applyFill="1" applyBorder="1" applyAlignment="1" applyProtection="1">
      <protection hidden="1"/>
    </xf>
    <xf numFmtId="0" fontId="12" fillId="10" borderId="24" xfId="0" applyFont="1" applyFill="1" applyBorder="1" applyAlignment="1" applyProtection="1">
      <alignment horizontal="left" vertical="center" indent="1"/>
      <protection hidden="1"/>
    </xf>
    <xf numFmtId="0" fontId="12" fillId="10" borderId="10" xfId="0" applyFont="1" applyFill="1" applyBorder="1" applyAlignment="1" applyProtection="1">
      <alignment horizontal="left" vertical="center" indent="1"/>
      <protection hidden="1"/>
    </xf>
    <xf numFmtId="0" fontId="13" fillId="3" borderId="10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left" vertical="center" indent="1"/>
      <protection hidden="1"/>
    </xf>
    <xf numFmtId="0" fontId="12" fillId="3" borderId="10" xfId="0" applyFont="1" applyFill="1" applyBorder="1" applyAlignment="1" applyProtection="1">
      <alignment horizontal="left" vertical="center" indent="2"/>
      <protection hidden="1"/>
    </xf>
    <xf numFmtId="0" fontId="13" fillId="9" borderId="56" xfId="0" applyFont="1" applyFill="1" applyBorder="1" applyAlignment="1" applyProtection="1">
      <alignment horizontal="left" vertical="center" indent="1"/>
      <protection hidden="1"/>
    </xf>
    <xf numFmtId="177" fontId="12" fillId="9" borderId="83" xfId="0" applyNumberFormat="1" applyFont="1" applyFill="1" applyBorder="1" applyAlignment="1" applyProtection="1">
      <alignment vertical="center"/>
      <protection locked="0"/>
    </xf>
    <xf numFmtId="178" fontId="21" fillId="2" borderId="157" xfId="0" applyNumberFormat="1" applyFont="1" applyFill="1" applyBorder="1" applyAlignment="1" applyProtection="1">
      <alignment vertical="center"/>
      <protection hidden="1"/>
    </xf>
    <xf numFmtId="178" fontId="13" fillId="2" borderId="53" xfId="0" applyNumberFormat="1" applyFont="1" applyFill="1" applyBorder="1" applyAlignment="1" applyProtection="1">
      <alignment vertical="center"/>
      <protection hidden="1"/>
    </xf>
    <xf numFmtId="178" fontId="13" fillId="2" borderId="46" xfId="0" applyNumberFormat="1" applyFont="1" applyFill="1" applyBorder="1" applyAlignment="1" applyProtection="1">
      <alignment vertical="center"/>
      <protection hidden="1"/>
    </xf>
    <xf numFmtId="178" fontId="13" fillId="9" borderId="150" xfId="0" applyNumberFormat="1" applyFont="1" applyFill="1" applyBorder="1" applyAlignment="1" applyProtection="1">
      <alignment vertical="center"/>
      <protection hidden="1"/>
    </xf>
    <xf numFmtId="178" fontId="13" fillId="9" borderId="160" xfId="0" applyNumberFormat="1" applyFont="1" applyFill="1" applyBorder="1" applyAlignment="1" applyProtection="1">
      <alignment vertical="center"/>
      <protection hidden="1"/>
    </xf>
    <xf numFmtId="0" fontId="12" fillId="5" borderId="19" xfId="0" applyFont="1" applyFill="1" applyBorder="1" applyProtection="1">
      <protection hidden="1"/>
    </xf>
    <xf numFmtId="0" fontId="13" fillId="4" borderId="8" xfId="0" applyFont="1" applyFill="1" applyBorder="1" applyAlignment="1" applyProtection="1">
      <alignment horizontal="left" vertical="center" indent="1"/>
      <protection hidden="1"/>
    </xf>
    <xf numFmtId="0" fontId="13" fillId="4" borderId="19" xfId="0" applyFont="1" applyFill="1" applyBorder="1" applyAlignment="1" applyProtection="1">
      <alignment horizontal="left" vertical="center" indent="1"/>
      <protection hidden="1"/>
    </xf>
    <xf numFmtId="0" fontId="12" fillId="4" borderId="8" xfId="0" applyFont="1" applyFill="1" applyBorder="1" applyAlignment="1" applyProtection="1">
      <alignment horizontal="left" vertical="center" indent="2"/>
      <protection hidden="1"/>
    </xf>
    <xf numFmtId="0" fontId="13" fillId="5" borderId="44" xfId="0" applyFont="1" applyFill="1" applyBorder="1" applyAlignment="1" applyProtection="1">
      <alignment horizontal="left" vertical="center" wrapText="1" indent="2"/>
      <protection hidden="1"/>
    </xf>
    <xf numFmtId="0" fontId="13" fillId="4" borderId="24" xfId="0" applyFont="1" applyFill="1" applyBorder="1" applyAlignment="1" applyProtection="1">
      <alignment horizontal="center" vertical="top" wrapText="1"/>
      <protection hidden="1"/>
    </xf>
    <xf numFmtId="185" fontId="13" fillId="4" borderId="16" xfId="0" quotePrefix="1" applyNumberFormat="1" applyFont="1" applyFill="1" applyBorder="1" applyAlignment="1" applyProtection="1">
      <alignment horizontal="center" vertical="center" wrapText="1"/>
      <protection hidden="1"/>
    </xf>
    <xf numFmtId="183" fontId="12" fillId="9" borderId="10" xfId="0" applyNumberFormat="1" applyFont="1" applyFill="1" applyBorder="1" applyAlignment="1" applyProtection="1">
      <alignment vertical="center"/>
      <protection locked="0"/>
    </xf>
    <xf numFmtId="180" fontId="12" fillId="9" borderId="24" xfId="0" applyNumberFormat="1" applyFont="1" applyFill="1" applyBorder="1" applyAlignment="1" applyProtection="1">
      <alignment vertical="center"/>
      <protection hidden="1"/>
    </xf>
    <xf numFmtId="183" fontId="12" fillId="9" borderId="41" xfId="0" applyNumberFormat="1" applyFont="1" applyFill="1" applyBorder="1" applyAlignment="1" applyProtection="1">
      <alignment vertical="center"/>
      <protection locked="0"/>
    </xf>
    <xf numFmtId="183" fontId="12" fillId="9" borderId="150" xfId="0" applyNumberFormat="1" applyFont="1" applyFill="1" applyBorder="1" applyAlignment="1" applyProtection="1">
      <alignment vertical="center"/>
      <protection locked="0"/>
    </xf>
    <xf numFmtId="178" fontId="13" fillId="4" borderId="56" xfId="0" applyNumberFormat="1" applyFont="1" applyFill="1" applyBorder="1" applyAlignment="1" applyProtection="1">
      <alignment vertical="center"/>
      <protection hidden="1"/>
    </xf>
    <xf numFmtId="171" fontId="13" fillId="5" borderId="24" xfId="0" applyNumberFormat="1" applyFont="1" applyFill="1" applyBorder="1" applyAlignment="1" applyProtection="1">
      <alignment horizontal="center" vertical="top" wrapText="1"/>
      <protection hidden="1"/>
    </xf>
    <xf numFmtId="0" fontId="13" fillId="9" borderId="150" xfId="5" applyFont="1" applyFill="1" applyBorder="1" applyAlignment="1" applyProtection="1">
      <alignment horizontal="center" vertical="top" wrapText="1"/>
      <protection hidden="1"/>
    </xf>
    <xf numFmtId="0" fontId="12" fillId="5" borderId="19" xfId="0" applyFont="1" applyFill="1" applyBorder="1" applyAlignment="1" applyProtection="1">
      <alignment vertical="center"/>
      <protection hidden="1"/>
    </xf>
    <xf numFmtId="0" fontId="12" fillId="5" borderId="8" xfId="0" applyFont="1" applyFill="1" applyBorder="1" applyAlignment="1" applyProtection="1">
      <alignment vertical="center"/>
      <protection hidden="1"/>
    </xf>
    <xf numFmtId="0" fontId="13" fillId="5" borderId="8" xfId="0" applyFont="1" applyFill="1" applyBorder="1" applyAlignment="1" applyProtection="1">
      <alignment horizontal="left" vertical="center" indent="1"/>
      <protection hidden="1"/>
    </xf>
    <xf numFmtId="171" fontId="13" fillId="5" borderId="19" xfId="0" applyNumberFormat="1" applyFont="1" applyFill="1" applyBorder="1" applyAlignment="1" applyProtection="1">
      <alignment horizontal="left" vertical="center" indent="1"/>
      <protection hidden="1"/>
    </xf>
    <xf numFmtId="0" fontId="13" fillId="9" borderId="10" xfId="5" applyFont="1" applyFill="1" applyBorder="1" applyAlignment="1" applyProtection="1">
      <alignment horizontal="center" vertical="center"/>
      <protection hidden="1"/>
    </xf>
    <xf numFmtId="0" fontId="13" fillId="5" borderId="8" xfId="0" applyFont="1" applyFill="1" applyBorder="1" applyAlignment="1" applyProtection="1">
      <alignment horizontal="left" vertical="center" indent="2"/>
      <protection hidden="1"/>
    </xf>
    <xf numFmtId="177" fontId="12" fillId="5" borderId="41" xfId="0" applyNumberFormat="1" applyFont="1" applyFill="1" applyBorder="1" applyAlignment="1" applyProtection="1">
      <alignment vertical="center"/>
      <protection locked="0"/>
    </xf>
    <xf numFmtId="177" fontId="12" fillId="5" borderId="150" xfId="0" applyNumberFormat="1" applyFont="1" applyFill="1" applyBorder="1" applyAlignment="1" applyProtection="1">
      <alignment vertical="center"/>
      <protection locked="0"/>
    </xf>
    <xf numFmtId="0" fontId="12" fillId="9" borderId="152" xfId="0" applyFont="1" applyFill="1" applyBorder="1" applyAlignment="1" applyProtection="1">
      <alignment vertical="center"/>
      <protection hidden="1"/>
    </xf>
    <xf numFmtId="0" fontId="13" fillId="5" borderId="83" xfId="0" applyNumberFormat="1" applyFont="1" applyFill="1" applyBorder="1" applyAlignment="1" applyProtection="1">
      <protection hidden="1"/>
    </xf>
    <xf numFmtId="0" fontId="12" fillId="9" borderId="126" xfId="0" applyFont="1" applyFill="1" applyBorder="1" applyAlignment="1" applyProtection="1">
      <alignment vertical="center"/>
      <protection hidden="1"/>
    </xf>
    <xf numFmtId="0" fontId="13" fillId="5" borderId="102" xfId="0" applyNumberFormat="1" applyFont="1" applyFill="1" applyBorder="1" applyAlignment="1" applyProtection="1">
      <protection hidden="1"/>
    </xf>
    <xf numFmtId="177" fontId="12" fillId="5" borderId="102" xfId="0" applyNumberFormat="1" applyFont="1" applyFill="1" applyBorder="1" applyAlignment="1" applyProtection="1">
      <alignment vertical="center"/>
      <protection hidden="1"/>
    </xf>
    <xf numFmtId="0" fontId="13" fillId="9" borderId="19" xfId="0" applyFont="1" applyFill="1" applyBorder="1" applyAlignment="1" applyProtection="1">
      <alignment horizontal="left" vertical="center" indent="1"/>
      <protection hidden="1"/>
    </xf>
    <xf numFmtId="0" fontId="12" fillId="9" borderId="23" xfId="0" applyFont="1" applyFill="1" applyBorder="1" applyAlignment="1" applyProtection="1">
      <alignment horizontal="center" vertical="center"/>
      <protection hidden="1"/>
    </xf>
    <xf numFmtId="177" fontId="12" fillId="5" borderId="24" xfId="0" applyNumberFormat="1" applyFont="1" applyFill="1" applyBorder="1" applyAlignment="1" applyProtection="1">
      <alignment vertical="center"/>
      <protection hidden="1"/>
    </xf>
    <xf numFmtId="0" fontId="13" fillId="5" borderId="44" xfId="0" applyFont="1" applyFill="1" applyBorder="1" applyAlignment="1" applyProtection="1">
      <alignment horizontal="left" vertical="center" indent="1"/>
      <protection hidden="1"/>
    </xf>
    <xf numFmtId="177" fontId="12" fillId="5" borderId="56" xfId="0" applyNumberFormat="1" applyFont="1" applyFill="1" applyBorder="1" applyAlignment="1" applyProtection="1">
      <alignment vertical="center"/>
      <protection locked="0"/>
    </xf>
    <xf numFmtId="0" fontId="13" fillId="5" borderId="44" xfId="0" applyFont="1" applyFill="1" applyBorder="1" applyAlignment="1" applyProtection="1">
      <alignment horizontal="left" vertical="center" indent="2"/>
      <protection hidden="1"/>
    </xf>
    <xf numFmtId="171" fontId="13" fillId="5" borderId="9" xfId="12" applyNumberFormat="1" applyFont="1" applyFill="1" applyBorder="1" applyAlignment="1" applyProtection="1">
      <alignment horizontal="center" vertical="top" wrapText="1"/>
      <protection hidden="1"/>
    </xf>
    <xf numFmtId="0" fontId="13" fillId="9" borderId="24" xfId="5" applyFont="1" applyFill="1" applyBorder="1" applyAlignment="1" applyProtection="1">
      <alignment horizontal="left" vertical="center" indent="1"/>
      <protection hidden="1"/>
    </xf>
    <xf numFmtId="178" fontId="21" fillId="5" borderId="21" xfId="12" applyNumberFormat="1" applyFont="1" applyFill="1" applyBorder="1" applyAlignment="1" applyProtection="1">
      <alignment vertical="center"/>
      <protection hidden="1"/>
    </xf>
    <xf numFmtId="178" fontId="21" fillId="5" borderId="78" xfId="12" applyNumberFormat="1" applyFont="1" applyFill="1" applyBorder="1" applyAlignment="1" applyProtection="1">
      <alignment vertical="center"/>
      <protection hidden="1"/>
    </xf>
    <xf numFmtId="0" fontId="11" fillId="5" borderId="19" xfId="12" applyNumberFormat="1" applyFont="1" applyFill="1" applyBorder="1" applyAlignment="1" applyProtection="1">
      <protection hidden="1"/>
    </xf>
    <xf numFmtId="0" fontId="12" fillId="9" borderId="8" xfId="12" applyNumberFormat="1" applyFont="1" applyFill="1" applyBorder="1" applyAlignment="1" applyProtection="1">
      <protection hidden="1"/>
    </xf>
    <xf numFmtId="0" fontId="12" fillId="5" borderId="82" xfId="0" applyFont="1" applyFill="1" applyBorder="1" applyAlignment="1" applyProtection="1">
      <protection hidden="1"/>
    </xf>
    <xf numFmtId="0" fontId="12" fillId="9" borderId="8" xfId="0" applyFont="1" applyFill="1" applyBorder="1" applyAlignment="1" applyProtection="1">
      <protection hidden="1"/>
    </xf>
    <xf numFmtId="171" fontId="13" fillId="5" borderId="19" xfId="0" applyNumberFormat="1" applyFont="1" applyFill="1" applyBorder="1" applyAlignment="1" applyProtection="1">
      <alignment horizontal="center" vertical="top" wrapText="1"/>
      <protection hidden="1"/>
    </xf>
    <xf numFmtId="174" fontId="13" fillId="0" borderId="154" xfId="5" applyNumberFormat="1" applyFont="1" applyFill="1" applyBorder="1" applyAlignment="1" applyProtection="1">
      <alignment horizontal="center" vertical="top"/>
      <protection hidden="1"/>
    </xf>
    <xf numFmtId="177" fontId="12" fillId="0" borderId="25" xfId="7" applyNumberFormat="1" applyFont="1" applyFill="1" applyBorder="1" applyAlignment="1" applyProtection="1">
      <alignment vertical="center"/>
      <protection locked="0"/>
    </xf>
    <xf numFmtId="177" fontId="12" fillId="0" borderId="58" xfId="7" applyNumberFormat="1" applyFont="1" applyFill="1" applyBorder="1" applyAlignment="1" applyProtection="1">
      <alignment vertical="center"/>
      <protection locked="0"/>
    </xf>
    <xf numFmtId="177" fontId="12" fillId="0" borderId="26" xfId="7" applyNumberFormat="1" applyFont="1" applyFill="1" applyBorder="1" applyAlignment="1" applyProtection="1">
      <alignment vertical="center"/>
      <protection locked="0"/>
    </xf>
    <xf numFmtId="178" fontId="13" fillId="5" borderId="159" xfId="4" applyNumberFormat="1" applyFont="1" applyFill="1" applyBorder="1" applyAlignment="1" applyProtection="1">
      <alignment vertical="center"/>
      <protection hidden="1"/>
    </xf>
    <xf numFmtId="0" fontId="63" fillId="5" borderId="10" xfId="4" applyFont="1" applyFill="1" applyBorder="1" applyAlignment="1" applyProtection="1">
      <alignment horizontal="left" vertical="center" indent="5"/>
      <protection hidden="1"/>
    </xf>
    <xf numFmtId="0" fontId="27" fillId="5" borderId="10" xfId="4" applyFont="1" applyFill="1" applyBorder="1" applyAlignment="1" applyProtection="1">
      <alignment horizontal="left" vertical="center" indent="6"/>
      <protection hidden="1"/>
    </xf>
    <xf numFmtId="0" fontId="27" fillId="5" borderId="10" xfId="12" applyFont="1" applyFill="1" applyBorder="1" applyAlignment="1" applyProtection="1">
      <alignment horizontal="left" vertical="center" indent="6"/>
      <protection hidden="1"/>
    </xf>
    <xf numFmtId="171" fontId="13" fillId="5" borderId="9" xfId="0" applyNumberFormat="1" applyFont="1" applyFill="1" applyBorder="1" applyAlignment="1" applyProtection="1">
      <alignment horizontal="center" vertical="center"/>
      <protection hidden="1"/>
    </xf>
    <xf numFmtId="0" fontId="15" fillId="0" borderId="166" xfId="14" applyFont="1" applyBorder="1" applyAlignment="1" applyProtection="1">
      <alignment horizontal="left" vertical="top" indent="1"/>
      <protection hidden="1"/>
    </xf>
    <xf numFmtId="0" fontId="15" fillId="0" borderId="154" xfId="14" applyNumberFormat="1" applyFont="1" applyFill="1" applyBorder="1" applyAlignment="1" applyProtection="1">
      <alignment horizontal="center" vertical="center" wrapText="1"/>
      <protection hidden="1"/>
    </xf>
    <xf numFmtId="0" fontId="15" fillId="0" borderId="152" xfId="14" applyNumberFormat="1" applyFont="1" applyFill="1" applyBorder="1" applyAlignment="1" applyProtection="1">
      <alignment horizontal="center" vertical="center" wrapText="1"/>
      <protection hidden="1"/>
    </xf>
    <xf numFmtId="0" fontId="15" fillId="0" borderId="157" xfId="14" applyFont="1" applyFill="1" applyBorder="1" applyAlignment="1" applyProtection="1">
      <alignment horizontal="center" vertical="center"/>
      <protection hidden="1"/>
    </xf>
    <xf numFmtId="0" fontId="15" fillId="0" borderId="161" xfId="14" applyNumberFormat="1" applyFont="1" applyFill="1" applyBorder="1" applyAlignment="1" applyProtection="1">
      <alignment horizontal="center" vertical="center" wrapText="1"/>
      <protection hidden="1"/>
    </xf>
    <xf numFmtId="0" fontId="15" fillId="0" borderId="126" xfId="14" applyNumberFormat="1" applyFont="1" applyFill="1" applyBorder="1" applyAlignment="1" applyProtection="1">
      <alignment horizontal="center" vertical="center" wrapText="1"/>
      <protection hidden="1"/>
    </xf>
    <xf numFmtId="0" fontId="15" fillId="0" borderId="162" xfId="14" applyFont="1" applyFill="1" applyBorder="1" applyAlignment="1" applyProtection="1">
      <alignment horizontal="center" vertical="center"/>
      <protection hidden="1"/>
    </xf>
    <xf numFmtId="180" fontId="14" fillId="0" borderId="161" xfId="14" applyNumberFormat="1" applyFont="1" applyFill="1" applyBorder="1" applyAlignment="1" applyProtection="1">
      <protection hidden="1"/>
    </xf>
    <xf numFmtId="180" fontId="14" fillId="0" borderId="126" xfId="14" applyNumberFormat="1" applyFont="1" applyFill="1" applyBorder="1" applyAlignment="1" applyProtection="1">
      <protection hidden="1"/>
    </xf>
    <xf numFmtId="173" fontId="14" fillId="0" borderId="162" xfId="14" applyNumberFormat="1" applyFont="1" applyBorder="1" applyAlignment="1" applyProtection="1">
      <protection hidden="1"/>
    </xf>
    <xf numFmtId="180" fontId="14" fillId="0" borderId="11" xfId="14" applyNumberFormat="1" applyFont="1" applyFill="1" applyBorder="1" applyAlignment="1" applyProtection="1">
      <alignment vertical="center"/>
      <protection hidden="1"/>
    </xf>
    <xf numFmtId="0" fontId="14" fillId="0" borderId="0" xfId="14" applyNumberFormat="1" applyFont="1" applyFill="1" applyBorder="1" applyAlignment="1" applyProtection="1">
      <protection hidden="1"/>
    </xf>
    <xf numFmtId="0" fontId="12" fillId="0" borderId="0" xfId="0" applyNumberFormat="1" applyFont="1" applyFill="1" applyBorder="1" applyAlignment="1" applyProtection="1">
      <protection hidden="1"/>
    </xf>
    <xf numFmtId="3" fontId="15" fillId="0" borderId="154" xfId="14" applyNumberFormat="1" applyFont="1" applyFill="1" applyBorder="1" applyAlignment="1" applyProtection="1">
      <alignment horizontal="center" vertical="center" wrapText="1"/>
      <protection hidden="1"/>
    </xf>
    <xf numFmtId="3" fontId="15" fillId="0" borderId="161" xfId="14" applyNumberFormat="1" applyFont="1" applyFill="1" applyBorder="1" applyAlignment="1" applyProtection="1">
      <alignment horizontal="center" vertical="top"/>
      <protection hidden="1"/>
    </xf>
    <xf numFmtId="176" fontId="14" fillId="0" borderId="161" xfId="14" applyNumberFormat="1" applyFont="1" applyBorder="1" applyAlignment="1" applyProtection="1">
      <alignment horizontal="center"/>
      <protection hidden="1"/>
    </xf>
    <xf numFmtId="176" fontId="14" fillId="0" borderId="162" xfId="14" applyNumberFormat="1" applyFont="1" applyBorder="1" applyAlignment="1" applyProtection="1">
      <alignment horizontal="center"/>
      <protection hidden="1"/>
    </xf>
    <xf numFmtId="0" fontId="14" fillId="0" borderId="11" xfId="14" applyNumberFormat="1" applyFont="1" applyBorder="1" applyAlignment="1" applyProtection="1">
      <protection hidden="1"/>
    </xf>
    <xf numFmtId="0" fontId="14" fillId="0" borderId="14" xfId="14" applyNumberFormat="1" applyFont="1" applyBorder="1" applyAlignment="1" applyProtection="1">
      <protection hidden="1"/>
    </xf>
    <xf numFmtId="178" fontId="13" fillId="10" borderId="150" xfId="0" applyNumberFormat="1" applyFont="1" applyFill="1" applyBorder="1" applyAlignment="1" applyProtection="1">
      <alignment vertical="center"/>
      <protection hidden="1"/>
    </xf>
    <xf numFmtId="178" fontId="13" fillId="10" borderId="41" xfId="0" applyNumberFormat="1" applyFont="1" applyFill="1" applyBorder="1" applyAlignment="1" applyProtection="1">
      <alignment vertical="center"/>
      <protection hidden="1"/>
    </xf>
    <xf numFmtId="178" fontId="13" fillId="10" borderId="75" xfId="0" applyNumberFormat="1" applyFont="1" applyFill="1" applyBorder="1" applyAlignment="1" applyProtection="1">
      <alignment vertical="center"/>
      <protection hidden="1"/>
    </xf>
    <xf numFmtId="177" fontId="12" fillId="9" borderId="56" xfId="0" applyNumberFormat="1" applyFont="1" applyFill="1" applyBorder="1" applyAlignment="1" applyProtection="1">
      <alignment vertical="center"/>
      <protection locked="0"/>
    </xf>
    <xf numFmtId="171" fontId="24" fillId="6" borderId="87" xfId="0" applyNumberFormat="1" applyFont="1" applyFill="1" applyBorder="1" applyAlignment="1" applyProtection="1">
      <alignment horizontal="center" vertical="top" wrapText="1"/>
      <protection hidden="1"/>
    </xf>
    <xf numFmtId="171" fontId="24" fillId="6" borderId="92" xfId="0" applyNumberFormat="1" applyFont="1" applyFill="1" applyBorder="1" applyAlignment="1" applyProtection="1">
      <alignment horizontal="center" vertical="top" wrapText="1"/>
      <protection hidden="1"/>
    </xf>
    <xf numFmtId="0" fontId="13" fillId="4" borderId="9" xfId="12" applyFont="1" applyFill="1" applyBorder="1" applyAlignment="1" applyProtection="1">
      <alignment horizontal="center" vertical="center"/>
      <protection hidden="1"/>
    </xf>
    <xf numFmtId="0" fontId="13" fillId="3" borderId="9" xfId="12" applyFont="1" applyFill="1" applyBorder="1" applyAlignment="1" applyProtection="1">
      <alignment horizontal="center" vertical="center"/>
      <protection hidden="1"/>
    </xf>
    <xf numFmtId="185" fontId="13" fillId="3" borderId="15" xfId="12" quotePrefix="1" applyNumberFormat="1" applyFont="1" applyFill="1" applyBorder="1" applyAlignment="1" applyProtection="1">
      <alignment horizontal="center" vertical="center"/>
      <protection hidden="1"/>
    </xf>
    <xf numFmtId="0" fontId="13" fillId="4" borderId="10" xfId="12" applyFont="1" applyFill="1" applyBorder="1" applyAlignment="1" applyProtection="1">
      <alignment horizontal="center" vertical="center"/>
      <protection hidden="1"/>
    </xf>
    <xf numFmtId="0" fontId="13" fillId="3" borderId="10" xfId="12" applyFont="1" applyFill="1" applyBorder="1" applyAlignment="1" applyProtection="1">
      <alignment horizontal="center" vertical="center"/>
      <protection hidden="1"/>
    </xf>
    <xf numFmtId="185" fontId="13" fillId="3" borderId="16" xfId="12" quotePrefix="1" applyNumberFormat="1" applyFont="1" applyFill="1" applyBorder="1" applyAlignment="1" applyProtection="1">
      <alignment horizontal="center" vertical="center"/>
      <protection hidden="1"/>
    </xf>
    <xf numFmtId="177" fontId="12" fillId="9" borderId="78" xfId="12" applyNumberFormat="1" applyFont="1" applyFill="1" applyBorder="1" applyAlignment="1" applyProtection="1">
      <alignment vertical="center"/>
      <protection locked="0"/>
    </xf>
    <xf numFmtId="177" fontId="12" fillId="9" borderId="41" xfId="12" applyNumberFormat="1" applyFont="1" applyFill="1" applyBorder="1" applyAlignment="1" applyProtection="1">
      <alignment vertical="center"/>
      <protection locked="0"/>
    </xf>
    <xf numFmtId="177" fontId="12" fillId="9" borderId="150" xfId="12" applyNumberFormat="1" applyFont="1" applyFill="1" applyBorder="1" applyAlignment="1" applyProtection="1">
      <alignment vertical="center"/>
      <protection locked="0"/>
    </xf>
    <xf numFmtId="178" fontId="13" fillId="4" borderId="56" xfId="12" applyNumberFormat="1" applyFont="1" applyFill="1" applyBorder="1" applyAlignment="1" applyProtection="1">
      <alignment vertical="center"/>
      <protection hidden="1"/>
    </xf>
    <xf numFmtId="178" fontId="12" fillId="4" borderId="56" xfId="12" applyNumberFormat="1" applyFont="1" applyFill="1" applyBorder="1" applyAlignment="1" applyProtection="1">
      <alignment vertical="center"/>
      <protection hidden="1"/>
    </xf>
    <xf numFmtId="178" fontId="12" fillId="4" borderId="69" xfId="12" applyNumberFormat="1" applyFont="1" applyFill="1" applyBorder="1" applyAlignment="1" applyProtection="1">
      <alignment vertical="center"/>
      <protection hidden="1"/>
    </xf>
    <xf numFmtId="177" fontId="13" fillId="9" borderId="66" xfId="0" applyNumberFormat="1" applyFont="1" applyFill="1" applyBorder="1" applyAlignment="1" applyProtection="1">
      <alignment vertical="center"/>
      <protection hidden="1"/>
    </xf>
    <xf numFmtId="177" fontId="13" fillId="9" borderId="159" xfId="0" applyNumberFormat="1" applyFont="1" applyFill="1" applyBorder="1" applyAlignment="1" applyProtection="1">
      <alignment vertical="center"/>
      <protection hidden="1"/>
    </xf>
    <xf numFmtId="177" fontId="13" fillId="9" borderId="50" xfId="0" applyNumberFormat="1" applyFont="1" applyFill="1" applyBorder="1" applyAlignment="1" applyProtection="1">
      <alignment vertical="center"/>
      <protection hidden="1"/>
    </xf>
    <xf numFmtId="0" fontId="13" fillId="9" borderId="24" xfId="0" applyNumberFormat="1" applyFont="1" applyFill="1" applyBorder="1" applyAlignment="1" applyProtection="1">
      <alignment horizontal="center" vertical="top" wrapText="1"/>
      <protection hidden="1"/>
    </xf>
    <xf numFmtId="176" fontId="14" fillId="0" borderId="161" xfId="14" applyNumberFormat="1" applyFont="1" applyFill="1" applyBorder="1" applyAlignment="1" applyProtection="1">
      <alignment horizontal="center"/>
      <protection hidden="1"/>
    </xf>
    <xf numFmtId="171" fontId="13" fillId="5" borderId="4" xfId="0" applyNumberFormat="1" applyFont="1" applyFill="1" applyBorder="1" applyAlignment="1" applyProtection="1">
      <alignment horizontal="center" vertical="top" wrapText="1"/>
      <protection hidden="1"/>
    </xf>
    <xf numFmtId="174" fontId="13" fillId="5" borderId="9" xfId="0" applyNumberFormat="1" applyFont="1" applyFill="1" applyBorder="1" applyAlignment="1" applyProtection="1">
      <alignment vertical="center"/>
      <protection hidden="1"/>
    </xf>
    <xf numFmtId="174" fontId="13" fillId="5" borderId="50" xfId="0" applyNumberFormat="1" applyFont="1" applyFill="1" applyBorder="1" applyAlignment="1" applyProtection="1">
      <alignment vertical="center"/>
      <protection hidden="1"/>
    </xf>
    <xf numFmtId="0" fontId="12" fillId="5" borderId="4" xfId="0" applyNumberFormat="1" applyFont="1" applyFill="1" applyBorder="1" applyAlignment="1" applyProtection="1">
      <protection hidden="1"/>
    </xf>
    <xf numFmtId="0" fontId="12" fillId="5" borderId="9" xfId="0" applyNumberFormat="1" applyFont="1" applyFill="1" applyBorder="1" applyAlignment="1" applyProtection="1">
      <protection hidden="1"/>
    </xf>
    <xf numFmtId="174" fontId="13" fillId="5" borderId="167" xfId="0" applyNumberFormat="1" applyFont="1" applyFill="1" applyBorder="1" applyAlignment="1" applyProtection="1">
      <alignment vertical="center"/>
      <protection hidden="1"/>
    </xf>
    <xf numFmtId="174" fontId="13" fillId="5" borderId="168" xfId="0" applyNumberFormat="1" applyFont="1" applyFill="1" applyBorder="1" applyAlignment="1" applyProtection="1">
      <alignment vertical="center"/>
      <protection hidden="1"/>
    </xf>
    <xf numFmtId="174" fontId="13" fillId="5" borderId="169" xfId="0" applyNumberFormat="1" applyFont="1" applyFill="1" applyBorder="1" applyAlignment="1" applyProtection="1">
      <alignment vertical="center"/>
      <protection hidden="1"/>
    </xf>
    <xf numFmtId="175" fontId="13" fillId="5" borderId="170" xfId="0" applyNumberFormat="1" applyFont="1" applyFill="1" applyBorder="1" applyAlignment="1" applyProtection="1">
      <alignment vertical="center"/>
      <protection hidden="1"/>
    </xf>
    <xf numFmtId="174" fontId="13" fillId="5" borderId="171" xfId="0" applyNumberFormat="1" applyFont="1" applyFill="1" applyBorder="1" applyAlignment="1" applyProtection="1">
      <alignment vertical="center"/>
      <protection hidden="1"/>
    </xf>
    <xf numFmtId="174" fontId="13" fillId="5" borderId="172" xfId="0" applyNumberFormat="1" applyFont="1" applyFill="1" applyBorder="1" applyAlignment="1" applyProtection="1">
      <alignment vertical="center"/>
      <protection hidden="1"/>
    </xf>
    <xf numFmtId="174" fontId="13" fillId="5" borderId="173" xfId="0" applyNumberFormat="1" applyFont="1" applyFill="1" applyBorder="1" applyAlignment="1" applyProtection="1">
      <alignment vertical="center"/>
      <protection hidden="1"/>
    </xf>
    <xf numFmtId="175" fontId="13" fillId="5" borderId="174" xfId="0" applyNumberFormat="1" applyFont="1" applyFill="1" applyBorder="1" applyAlignment="1" applyProtection="1">
      <alignment vertical="center"/>
      <protection hidden="1"/>
    </xf>
    <xf numFmtId="174" fontId="13" fillId="0" borderId="162" xfId="11" applyNumberFormat="1" applyFont="1" applyFill="1" applyBorder="1" applyAlignment="1" applyProtection="1">
      <protection hidden="1"/>
    </xf>
    <xf numFmtId="174" fontId="13" fillId="0" borderId="162" xfId="12" applyNumberFormat="1" applyFont="1" applyFill="1" applyBorder="1" applyAlignment="1" applyProtection="1">
      <protection hidden="1"/>
    </xf>
    <xf numFmtId="173" fontId="12" fillId="0" borderId="152" xfId="14" applyNumberFormat="1" applyFont="1" applyBorder="1" applyProtection="1">
      <protection hidden="1"/>
    </xf>
    <xf numFmtId="173" fontId="12" fillId="0" borderId="157" xfId="14" applyNumberFormat="1" applyFont="1" applyBorder="1" applyProtection="1">
      <protection hidden="1"/>
    </xf>
    <xf numFmtId="0" fontId="12" fillId="0" borderId="126" xfId="14" applyNumberFormat="1" applyFont="1" applyBorder="1" applyAlignment="1" applyProtection="1">
      <protection hidden="1"/>
    </xf>
    <xf numFmtId="0" fontId="12" fillId="0" borderId="162" xfId="14" applyNumberFormat="1" applyFont="1" applyBorder="1" applyAlignment="1" applyProtection="1">
      <protection hidden="1"/>
    </xf>
    <xf numFmtId="173" fontId="12" fillId="0" borderId="126" xfId="14" applyNumberFormat="1" applyFont="1" applyBorder="1" applyProtection="1">
      <protection hidden="1"/>
    </xf>
    <xf numFmtId="173" fontId="12" fillId="0" borderId="162" xfId="14" applyNumberFormat="1" applyFont="1" applyBorder="1" applyProtection="1">
      <protection hidden="1"/>
    </xf>
    <xf numFmtId="173" fontId="13" fillId="0" borderId="12" xfId="14" applyNumberFormat="1" applyFont="1" applyBorder="1" applyAlignment="1" applyProtection="1">
      <alignment vertical="center"/>
      <protection hidden="1"/>
    </xf>
    <xf numFmtId="173" fontId="13" fillId="0" borderId="14" xfId="14" applyNumberFormat="1" applyFont="1" applyBorder="1" applyAlignment="1" applyProtection="1">
      <alignment vertical="center"/>
      <protection hidden="1"/>
    </xf>
    <xf numFmtId="0" fontId="13" fillId="0" borderId="126" xfId="14" applyFont="1" applyBorder="1" applyAlignment="1" applyProtection="1">
      <alignment horizontal="center" vertical="top" wrapText="1"/>
      <protection hidden="1"/>
    </xf>
    <xf numFmtId="0" fontId="13" fillId="0" borderId="152" xfId="14" applyFont="1" applyBorder="1" applyAlignment="1" applyProtection="1">
      <alignment horizontal="center" vertical="top" wrapText="1"/>
      <protection hidden="1"/>
    </xf>
    <xf numFmtId="0" fontId="13" fillId="0" borderId="0" xfId="14" applyNumberFormat="1" applyFont="1" applyFill="1" applyBorder="1" applyAlignment="1" applyProtection="1">
      <alignment horizontal="center" vertical="top" wrapText="1"/>
      <protection hidden="1"/>
    </xf>
    <xf numFmtId="0" fontId="12" fillId="0" borderId="126" xfId="14" applyFont="1" applyBorder="1" applyProtection="1">
      <protection hidden="1"/>
    </xf>
    <xf numFmtId="0" fontId="13" fillId="0" borderId="0" xfId="14" applyFont="1" applyBorder="1" applyAlignment="1" applyProtection="1">
      <alignment horizontal="center" vertical="center"/>
      <protection hidden="1"/>
    </xf>
    <xf numFmtId="0" fontId="13" fillId="0" borderId="126" xfId="14" applyFont="1" applyBorder="1" applyAlignment="1" applyProtection="1">
      <alignment horizontal="center" vertical="center"/>
      <protection hidden="1"/>
    </xf>
    <xf numFmtId="0" fontId="13" fillId="0" borderId="162" xfId="14" applyFont="1" applyBorder="1" applyAlignment="1" applyProtection="1">
      <alignment horizontal="center" vertical="center"/>
      <protection hidden="1"/>
    </xf>
    <xf numFmtId="185" fontId="13" fillId="0" borderId="58" xfId="14" quotePrefix="1" applyNumberFormat="1" applyFont="1" applyBorder="1" applyAlignment="1" applyProtection="1">
      <alignment horizontal="center" vertical="center"/>
      <protection hidden="1"/>
    </xf>
    <xf numFmtId="185" fontId="13" fillId="0" borderId="58" xfId="14" applyNumberFormat="1" applyFont="1" applyBorder="1" applyAlignment="1" applyProtection="1">
      <alignment horizontal="center" vertical="center"/>
      <protection hidden="1"/>
    </xf>
    <xf numFmtId="185" fontId="13" fillId="0" borderId="27" xfId="14" applyNumberFormat="1" applyFont="1" applyBorder="1" applyAlignment="1" applyProtection="1">
      <alignment horizontal="center" vertical="center"/>
      <protection hidden="1"/>
    </xf>
    <xf numFmtId="0" fontId="12" fillId="4" borderId="10" xfId="12" applyNumberFormat="1" applyFont="1" applyFill="1" applyBorder="1" applyAlignment="1" applyProtection="1">
      <protection hidden="1"/>
    </xf>
    <xf numFmtId="0" fontId="16" fillId="14" borderId="0" xfId="12" applyNumberFormat="1" applyFont="1" applyFill="1" applyBorder="1" applyAlignment="1" applyProtection="1">
      <protection hidden="1"/>
    </xf>
    <xf numFmtId="0" fontId="12" fillId="9" borderId="4" xfId="12" applyNumberFormat="1" applyFont="1" applyFill="1" applyBorder="1" applyAlignment="1" applyProtection="1">
      <protection hidden="1"/>
    </xf>
    <xf numFmtId="178" fontId="12" fillId="4" borderId="44" xfId="12" applyNumberFormat="1" applyFont="1" applyFill="1" applyBorder="1" applyAlignment="1" applyProtection="1">
      <alignment vertical="center"/>
      <protection hidden="1"/>
    </xf>
    <xf numFmtId="0" fontId="12" fillId="0" borderId="9" xfId="12" applyNumberFormat="1" applyFont="1" applyFill="1" applyBorder="1" applyAlignment="1" applyProtection="1">
      <protection hidden="1"/>
    </xf>
    <xf numFmtId="0" fontId="12" fillId="0" borderId="9" xfId="157" applyNumberFormat="1" applyFont="1" applyBorder="1" applyAlignment="1" applyProtection="1">
      <protection hidden="1"/>
    </xf>
    <xf numFmtId="178" fontId="12" fillId="12" borderId="155" xfId="4" applyNumberFormat="1" applyFont="1" applyFill="1" applyBorder="1" applyAlignment="1" applyProtection="1">
      <alignment vertical="center"/>
      <protection hidden="1"/>
    </xf>
    <xf numFmtId="178" fontId="12" fillId="12" borderId="154" xfId="4" applyNumberFormat="1" applyFont="1" applyFill="1" applyBorder="1" applyAlignment="1" applyProtection="1">
      <alignment vertical="center"/>
      <protection hidden="1"/>
    </xf>
    <xf numFmtId="0" fontId="12" fillId="12" borderId="162" xfId="4" applyNumberFormat="1" applyFont="1" applyFill="1" applyBorder="1" applyAlignment="1" applyProtection="1">
      <protection hidden="1"/>
    </xf>
    <xf numFmtId="175" fontId="12" fillId="12" borderId="175" xfId="4" applyNumberFormat="1" applyFont="1" applyFill="1" applyBorder="1" applyAlignment="1" applyProtection="1">
      <alignment vertical="center"/>
      <protection hidden="1"/>
    </xf>
    <xf numFmtId="175" fontId="12" fillId="12" borderId="154" xfId="4" applyNumberFormat="1" applyFont="1" applyFill="1" applyBorder="1" applyAlignment="1" applyProtection="1">
      <alignment vertical="center"/>
      <protection hidden="1"/>
    </xf>
    <xf numFmtId="175" fontId="12" fillId="12" borderId="152" xfId="4" applyNumberFormat="1" applyFont="1" applyFill="1" applyBorder="1" applyAlignment="1" applyProtection="1">
      <alignment vertical="center"/>
      <protection hidden="1"/>
    </xf>
    <xf numFmtId="0" fontId="12" fillId="12" borderId="46" xfId="4" applyNumberFormat="1" applyFont="1" applyFill="1" applyBorder="1" applyAlignment="1" applyProtection="1">
      <protection hidden="1"/>
    </xf>
    <xf numFmtId="0" fontId="12" fillId="12" borderId="37" xfId="4" applyNumberFormat="1" applyFont="1" applyFill="1" applyBorder="1" applyAlignment="1" applyProtection="1">
      <protection hidden="1"/>
    </xf>
    <xf numFmtId="0" fontId="12" fillId="12" borderId="29" xfId="4" applyNumberFormat="1" applyFont="1" applyFill="1" applyBorder="1" applyAlignment="1" applyProtection="1">
      <protection hidden="1"/>
    </xf>
    <xf numFmtId="0" fontId="12" fillId="12" borderId="156" xfId="4" applyNumberFormat="1" applyFont="1" applyFill="1" applyBorder="1" applyAlignment="1" applyProtection="1">
      <protection hidden="1"/>
    </xf>
    <xf numFmtId="0" fontId="12" fillId="12" borderId="31" xfId="4" applyNumberFormat="1" applyFont="1" applyFill="1" applyBorder="1" applyAlignment="1" applyProtection="1">
      <protection hidden="1"/>
    </xf>
    <xf numFmtId="0" fontId="12" fillId="12" borderId="153" xfId="4" applyNumberFormat="1" applyFont="1" applyFill="1" applyBorder="1" applyAlignment="1" applyProtection="1">
      <protection hidden="1"/>
    </xf>
    <xf numFmtId="0" fontId="12" fillId="7" borderId="157" xfId="4" applyNumberFormat="1" applyFont="1" applyFill="1" applyBorder="1" applyAlignment="1" applyProtection="1">
      <protection hidden="1"/>
    </xf>
    <xf numFmtId="0" fontId="12" fillId="7" borderId="162" xfId="4" applyNumberFormat="1" applyFont="1" applyFill="1" applyBorder="1" applyAlignment="1" applyProtection="1">
      <protection hidden="1"/>
    </xf>
    <xf numFmtId="0" fontId="12" fillId="7" borderId="14" xfId="4" applyNumberFormat="1" applyFont="1" applyFill="1" applyBorder="1" applyAlignment="1" applyProtection="1">
      <protection hidden="1"/>
    </xf>
    <xf numFmtId="178" fontId="12" fillId="12" borderId="46" xfId="4" applyNumberFormat="1" applyFont="1" applyFill="1" applyBorder="1" applyAlignment="1" applyProtection="1">
      <alignment vertical="center"/>
      <protection hidden="1"/>
    </xf>
    <xf numFmtId="0" fontId="12" fillId="12" borderId="157" xfId="4" applyNumberFormat="1" applyFont="1" applyFill="1" applyBorder="1" applyAlignment="1" applyProtection="1">
      <protection hidden="1"/>
    </xf>
    <xf numFmtId="0" fontId="12" fillId="12" borderId="14" xfId="4" applyNumberFormat="1" applyFont="1" applyFill="1" applyBorder="1" applyAlignment="1" applyProtection="1">
      <protection hidden="1"/>
    </xf>
    <xf numFmtId="0" fontId="12" fillId="7" borderId="70" xfId="4" applyNumberFormat="1" applyFont="1" applyFill="1" applyBorder="1" applyAlignment="1" applyProtection="1">
      <protection hidden="1"/>
    </xf>
    <xf numFmtId="0" fontId="12" fillId="7" borderId="102" xfId="4" applyNumberFormat="1" applyFont="1" applyFill="1" applyBorder="1" applyAlignment="1" applyProtection="1">
      <protection hidden="1"/>
    </xf>
    <xf numFmtId="0" fontId="12" fillId="7" borderId="153" xfId="4" applyNumberFormat="1" applyFont="1" applyFill="1" applyBorder="1" applyAlignment="1" applyProtection="1">
      <protection hidden="1"/>
    </xf>
    <xf numFmtId="0" fontId="12" fillId="7" borderId="8" xfId="4" applyNumberFormat="1" applyFont="1" applyFill="1" applyBorder="1" applyAlignment="1" applyProtection="1">
      <protection hidden="1"/>
    </xf>
    <xf numFmtId="0" fontId="12" fillId="7" borderId="161" xfId="4" applyNumberFormat="1" applyFont="1" applyFill="1" applyBorder="1" applyAlignment="1" applyProtection="1">
      <protection hidden="1"/>
    </xf>
    <xf numFmtId="0" fontId="12" fillId="7" borderId="154" xfId="4" applyNumberFormat="1" applyFont="1" applyFill="1" applyBorder="1" applyAlignment="1" applyProtection="1">
      <protection hidden="1"/>
    </xf>
    <xf numFmtId="0" fontId="12" fillId="12" borderId="8" xfId="4" applyNumberFormat="1" applyFont="1" applyFill="1" applyBorder="1" applyAlignment="1" applyProtection="1">
      <protection hidden="1"/>
    </xf>
    <xf numFmtId="0" fontId="12" fillId="12" borderId="161" xfId="4" applyNumberFormat="1" applyFont="1" applyFill="1" applyBorder="1" applyAlignment="1" applyProtection="1">
      <protection hidden="1"/>
    </xf>
    <xf numFmtId="0" fontId="12" fillId="12" borderId="152" xfId="4" applyNumberFormat="1" applyFont="1" applyFill="1" applyBorder="1" applyAlignment="1" applyProtection="1">
      <protection hidden="1"/>
    </xf>
    <xf numFmtId="0" fontId="12" fillId="12" borderId="32" xfId="4" applyNumberFormat="1" applyFont="1" applyFill="1" applyBorder="1" applyAlignment="1" applyProtection="1">
      <protection hidden="1"/>
    </xf>
    <xf numFmtId="0" fontId="12" fillId="12" borderId="11" xfId="4" applyNumberFormat="1" applyFont="1" applyFill="1" applyBorder="1" applyAlignment="1" applyProtection="1">
      <protection hidden="1"/>
    </xf>
    <xf numFmtId="0" fontId="12" fillId="12" borderId="12" xfId="4" applyNumberFormat="1" applyFont="1" applyFill="1" applyBorder="1" applyAlignment="1" applyProtection="1">
      <protection hidden="1"/>
    </xf>
    <xf numFmtId="0" fontId="12" fillId="12" borderId="60" xfId="4" applyNumberFormat="1" applyFont="1" applyFill="1" applyBorder="1" applyAlignment="1" applyProtection="1">
      <protection hidden="1"/>
    </xf>
    <xf numFmtId="176" fontId="14" fillId="0" borderId="0" xfId="14" applyNumberFormat="1" applyFont="1" applyBorder="1" applyAlignment="1" applyProtection="1">
      <alignment horizontal="center"/>
      <protection hidden="1"/>
    </xf>
    <xf numFmtId="0" fontId="14" fillId="0" borderId="60" xfId="14" applyNumberFormat="1" applyFont="1" applyBorder="1" applyAlignment="1" applyProtection="1">
      <protection hidden="1"/>
    </xf>
    <xf numFmtId="0" fontId="13" fillId="9" borderId="20" xfId="0" applyFont="1" applyFill="1" applyBorder="1" applyAlignment="1" applyProtection="1">
      <alignment horizontal="center" vertical="top" wrapText="1"/>
      <protection hidden="1"/>
    </xf>
    <xf numFmtId="0" fontId="13" fillId="3" borderId="24" xfId="9" applyFont="1" applyFill="1" applyBorder="1" applyAlignment="1" applyProtection="1">
      <alignment horizontal="center" vertical="top" wrapText="1"/>
      <protection hidden="1"/>
    </xf>
    <xf numFmtId="0" fontId="13" fillId="3" borderId="10" xfId="9" applyFont="1" applyFill="1" applyBorder="1" applyAlignment="1" applyProtection="1">
      <alignment horizontal="center" vertical="top" wrapText="1"/>
      <protection hidden="1"/>
    </xf>
    <xf numFmtId="168" fontId="12" fillId="46" borderId="46" xfId="0" applyNumberFormat="1" applyFont="1" applyFill="1" applyBorder="1" applyAlignment="1" applyProtection="1">
      <alignment vertical="center"/>
      <protection hidden="1"/>
    </xf>
    <xf numFmtId="0" fontId="12" fillId="46" borderId="68" xfId="0" applyNumberFormat="1" applyFont="1" applyFill="1" applyBorder="1" applyAlignment="1" applyProtection="1">
      <alignment vertical="center"/>
      <protection hidden="1"/>
    </xf>
    <xf numFmtId="0" fontId="12" fillId="46" borderId="48" xfId="0" applyNumberFormat="1" applyFont="1" applyFill="1" applyBorder="1" applyAlignment="1" applyProtection="1">
      <alignment vertical="center"/>
      <protection hidden="1"/>
    </xf>
    <xf numFmtId="0" fontId="12" fillId="10" borderId="48" xfId="0" applyNumberFormat="1" applyFont="1" applyFill="1" applyBorder="1" applyAlignment="1" applyProtection="1">
      <protection hidden="1"/>
    </xf>
    <xf numFmtId="0" fontId="12" fillId="4" borderId="71" xfId="0" applyFont="1" applyFill="1" applyBorder="1" applyAlignment="1" applyProtection="1">
      <protection hidden="1"/>
    </xf>
    <xf numFmtId="0" fontId="12" fillId="4" borderId="72" xfId="0" applyFont="1" applyFill="1" applyBorder="1" applyAlignment="1" applyProtection="1">
      <protection hidden="1"/>
    </xf>
    <xf numFmtId="0" fontId="12" fillId="10" borderId="72" xfId="0" applyFont="1" applyFill="1" applyBorder="1" applyProtection="1">
      <protection hidden="1"/>
    </xf>
    <xf numFmtId="0" fontId="12" fillId="10" borderId="66" xfId="0" applyFont="1" applyFill="1" applyBorder="1" applyProtection="1">
      <protection hidden="1"/>
    </xf>
    <xf numFmtId="177" fontId="12" fillId="9" borderId="31" xfId="0" applyNumberFormat="1" applyFont="1" applyFill="1" applyBorder="1" applyAlignment="1" applyProtection="1">
      <alignment vertical="center"/>
      <protection locked="0"/>
    </xf>
    <xf numFmtId="178" fontId="13" fillId="9" borderId="159" xfId="0" applyNumberFormat="1" applyFont="1" applyFill="1" applyBorder="1" applyAlignment="1" applyProtection="1">
      <alignment vertical="center"/>
      <protection hidden="1"/>
    </xf>
    <xf numFmtId="168" fontId="12" fillId="46" borderId="68" xfId="0" applyNumberFormat="1" applyFont="1" applyFill="1" applyBorder="1" applyAlignment="1" applyProtection="1">
      <alignment vertical="center"/>
      <protection hidden="1"/>
    </xf>
    <xf numFmtId="168" fontId="12" fillId="46" borderId="31" xfId="0" applyNumberFormat="1" applyFont="1" applyFill="1" applyBorder="1" applyAlignment="1" applyProtection="1">
      <alignment vertical="center"/>
      <protection hidden="1"/>
    </xf>
    <xf numFmtId="168" fontId="12" fillId="46" borderId="48" xfId="0" applyNumberFormat="1" applyFont="1" applyFill="1" applyBorder="1" applyAlignment="1" applyProtection="1">
      <alignment vertical="center"/>
      <protection hidden="1"/>
    </xf>
    <xf numFmtId="168" fontId="12" fillId="46" borderId="159" xfId="0" applyNumberFormat="1" applyFont="1" applyFill="1" applyBorder="1" applyAlignment="1" applyProtection="1">
      <alignment horizontal="right" vertical="center"/>
      <protection hidden="1"/>
    </xf>
    <xf numFmtId="168" fontId="12" fillId="46" borderId="50" xfId="0" applyNumberFormat="1" applyFont="1" applyFill="1" applyBorder="1" applyAlignment="1" applyProtection="1">
      <alignment horizontal="right" vertical="center"/>
      <protection hidden="1"/>
    </xf>
    <xf numFmtId="177" fontId="12" fillId="9" borderId="155" xfId="0" applyNumberFormat="1" applyFont="1" applyFill="1" applyBorder="1" applyAlignment="1" applyProtection="1">
      <alignment vertical="center"/>
      <protection locked="0"/>
    </xf>
    <xf numFmtId="178" fontId="13" fillId="10" borderId="23" xfId="0" applyNumberFormat="1" applyFont="1" applyFill="1" applyBorder="1" applyAlignment="1" applyProtection="1">
      <alignment vertical="center"/>
      <protection hidden="1"/>
    </xf>
    <xf numFmtId="177" fontId="12" fillId="9" borderId="24" xfId="0" applyNumberFormat="1" applyFont="1" applyFill="1" applyBorder="1" applyAlignment="1" applyProtection="1">
      <alignment vertical="center"/>
      <protection locked="0"/>
    </xf>
    <xf numFmtId="178" fontId="13" fillId="4" borderId="160" xfId="0" applyNumberFormat="1" applyFont="1" applyFill="1" applyBorder="1" applyAlignment="1" applyProtection="1">
      <alignment vertical="center"/>
      <protection hidden="1"/>
    </xf>
    <xf numFmtId="178" fontId="12" fillId="2" borderId="22" xfId="0" applyNumberFormat="1" applyFont="1" applyFill="1" applyBorder="1" applyAlignment="1" applyProtection="1">
      <alignment vertical="center"/>
      <protection hidden="1"/>
    </xf>
    <xf numFmtId="184" fontId="12" fillId="2" borderId="20" xfId="0" applyNumberFormat="1" applyFont="1" applyFill="1" applyBorder="1" applyAlignment="1" applyProtection="1">
      <alignment vertical="center"/>
      <protection hidden="1"/>
    </xf>
    <xf numFmtId="2" fontId="12" fillId="2" borderId="23" xfId="0" applyNumberFormat="1" applyFont="1" applyFill="1" applyBorder="1" applyAlignment="1" applyProtection="1">
      <alignment horizontal="center" vertical="center"/>
      <protection hidden="1"/>
    </xf>
    <xf numFmtId="177" fontId="12" fillId="9" borderId="22" xfId="0" applyNumberFormat="1" applyFont="1" applyFill="1" applyBorder="1" applyAlignment="1" applyProtection="1">
      <alignment vertical="center"/>
      <protection locked="0"/>
    </xf>
    <xf numFmtId="177" fontId="12" fillId="9" borderId="20" xfId="0" applyNumberFormat="1" applyFont="1" applyFill="1" applyBorder="1" applyAlignment="1" applyProtection="1">
      <alignment vertical="center"/>
      <protection locked="0"/>
    </xf>
    <xf numFmtId="177" fontId="12" fillId="9" borderId="23" xfId="0" applyNumberFormat="1" applyFont="1" applyFill="1" applyBorder="1" applyAlignment="1" applyProtection="1">
      <alignment vertical="center"/>
      <protection locked="0"/>
    </xf>
    <xf numFmtId="188" fontId="12" fillId="9" borderId="24" xfId="0" applyNumberFormat="1" applyFont="1" applyFill="1" applyBorder="1" applyAlignment="1" applyProtection="1">
      <alignment vertical="center"/>
      <protection locked="0"/>
    </xf>
    <xf numFmtId="176" fontId="14" fillId="0" borderId="126" xfId="14" applyNumberFormat="1" applyFont="1" applyBorder="1" applyAlignment="1" applyProtection="1">
      <alignment horizontal="center"/>
      <protection hidden="1"/>
    </xf>
    <xf numFmtId="0" fontId="14" fillId="0" borderId="12" xfId="14" applyNumberFormat="1" applyFont="1" applyBorder="1" applyAlignment="1" applyProtection="1">
      <protection hidden="1"/>
    </xf>
    <xf numFmtId="188" fontId="12" fillId="9" borderId="150" xfId="0" applyNumberFormat="1" applyFont="1" applyFill="1" applyBorder="1" applyAlignment="1" applyProtection="1">
      <alignment vertical="center"/>
      <protection locked="0"/>
    </xf>
    <xf numFmtId="178" fontId="13" fillId="10" borderId="44" xfId="0" applyNumberFormat="1" applyFont="1" applyFill="1" applyBorder="1" applyAlignment="1" applyProtection="1">
      <alignment vertical="center"/>
      <protection hidden="1"/>
    </xf>
    <xf numFmtId="178" fontId="13" fillId="10" borderId="56" xfId="0" applyNumberFormat="1" applyFont="1" applyFill="1" applyBorder="1" applyAlignment="1" applyProtection="1">
      <alignment vertical="center"/>
      <protection hidden="1"/>
    </xf>
    <xf numFmtId="178" fontId="13" fillId="10" borderId="70" xfId="0" applyNumberFormat="1" applyFont="1" applyFill="1" applyBorder="1" applyAlignment="1" applyProtection="1">
      <alignment vertical="center"/>
      <protection hidden="1"/>
    </xf>
    <xf numFmtId="189" fontId="13" fillId="10" borderId="56" xfId="0" applyNumberFormat="1" applyFont="1" applyFill="1" applyBorder="1" applyAlignment="1" applyProtection="1">
      <alignment vertical="center"/>
      <protection hidden="1"/>
    </xf>
    <xf numFmtId="177" fontId="12" fillId="9" borderId="157" xfId="0" applyNumberFormat="1" applyFont="1" applyFill="1" applyBorder="1" applyAlignment="1" applyProtection="1">
      <alignment vertical="center"/>
      <protection locked="0"/>
    </xf>
    <xf numFmtId="0" fontId="12" fillId="46" borderId="40" xfId="0" applyNumberFormat="1" applyFont="1" applyFill="1" applyBorder="1" applyAlignment="1" applyProtection="1">
      <alignment vertical="center"/>
      <protection locked="0"/>
    </xf>
    <xf numFmtId="0" fontId="12" fillId="9" borderId="78" xfId="9" applyNumberFormat="1" applyFont="1" applyFill="1" applyBorder="1" applyAlignment="1" applyProtection="1">
      <protection hidden="1"/>
    </xf>
    <xf numFmtId="178" fontId="12" fillId="9" borderId="89" xfId="9" applyNumberFormat="1" applyFont="1" applyFill="1" applyBorder="1" applyAlignment="1" applyProtection="1">
      <alignment vertical="center"/>
      <protection hidden="1"/>
    </xf>
    <xf numFmtId="178" fontId="12" fillId="9" borderId="75" xfId="9" applyNumberFormat="1" applyFont="1" applyFill="1" applyBorder="1" applyAlignment="1" applyProtection="1">
      <protection hidden="1"/>
    </xf>
    <xf numFmtId="0" fontId="13" fillId="3" borderId="4" xfId="9" applyFont="1" applyFill="1" applyBorder="1" applyAlignment="1" applyProtection="1">
      <alignment horizontal="center" vertical="top" wrapText="1"/>
      <protection hidden="1"/>
    </xf>
    <xf numFmtId="0" fontId="13" fillId="3" borderId="161" xfId="9" applyFont="1" applyFill="1" applyBorder="1" applyAlignment="1" applyProtection="1">
      <alignment horizontal="center" vertical="top" wrapText="1"/>
      <protection hidden="1"/>
    </xf>
    <xf numFmtId="0" fontId="13" fillId="3" borderId="162" xfId="9" applyFont="1" applyFill="1" applyBorder="1" applyAlignment="1" applyProtection="1">
      <alignment horizontal="center" vertical="top" wrapText="1"/>
      <protection hidden="1"/>
    </xf>
    <xf numFmtId="178" fontId="13" fillId="3" borderId="163" xfId="9" applyNumberFormat="1" applyFont="1" applyFill="1" applyBorder="1" applyAlignment="1" applyProtection="1">
      <alignment vertical="center"/>
      <protection hidden="1"/>
    </xf>
    <xf numFmtId="178" fontId="13" fillId="3" borderId="29" xfId="9" applyNumberFormat="1" applyFont="1" applyFill="1" applyBorder="1" applyAlignment="1" applyProtection="1">
      <alignment vertical="center"/>
      <protection hidden="1"/>
    </xf>
    <xf numFmtId="178" fontId="13" fillId="3" borderId="157" xfId="9" applyNumberFormat="1" applyFont="1" applyFill="1" applyBorder="1" applyAlignment="1" applyProtection="1">
      <alignment vertical="center"/>
      <protection hidden="1"/>
    </xf>
    <xf numFmtId="178" fontId="13" fillId="3" borderId="164" xfId="9" applyNumberFormat="1" applyFont="1" applyFill="1" applyBorder="1" applyAlignment="1" applyProtection="1">
      <alignment vertical="center"/>
      <protection hidden="1"/>
    </xf>
    <xf numFmtId="178" fontId="13" fillId="9" borderId="93" xfId="9" applyNumberFormat="1" applyFont="1" applyFill="1" applyBorder="1" applyAlignment="1" applyProtection="1">
      <alignment vertical="center"/>
      <protection hidden="1"/>
    </xf>
    <xf numFmtId="0" fontId="12" fillId="9" borderId="24" xfId="9" applyFont="1" applyFill="1" applyBorder="1" applyProtection="1">
      <protection hidden="1"/>
    </xf>
    <xf numFmtId="0" fontId="12" fillId="3" borderId="165" xfId="9" applyNumberFormat="1" applyFont="1" applyFill="1" applyBorder="1" applyAlignment="1" applyProtection="1">
      <protection hidden="1"/>
    </xf>
    <xf numFmtId="0" fontId="12" fillId="3" borderId="20" xfId="9" applyNumberFormat="1" applyFont="1" applyFill="1" applyBorder="1" applyAlignment="1" applyProtection="1">
      <protection hidden="1"/>
    </xf>
    <xf numFmtId="0" fontId="12" fillId="3" borderId="23" xfId="9" applyNumberFormat="1" applyFont="1" applyFill="1" applyBorder="1" applyAlignment="1" applyProtection="1">
      <protection hidden="1"/>
    </xf>
    <xf numFmtId="178" fontId="13" fillId="3" borderId="52" xfId="9" applyNumberFormat="1" applyFont="1" applyFill="1" applyBorder="1" applyAlignment="1" applyProtection="1">
      <alignment vertical="center"/>
      <protection hidden="1"/>
    </xf>
    <xf numFmtId="178" fontId="13" fillId="3" borderId="47" xfId="9" applyNumberFormat="1" applyFont="1" applyFill="1" applyBorder="1" applyAlignment="1" applyProtection="1">
      <alignment vertical="center"/>
      <protection hidden="1"/>
    </xf>
    <xf numFmtId="178" fontId="13" fillId="3" borderId="48" xfId="9" applyNumberFormat="1" applyFont="1" applyFill="1" applyBorder="1" applyAlignment="1" applyProtection="1">
      <alignment vertical="center"/>
      <protection hidden="1"/>
    </xf>
    <xf numFmtId="178" fontId="13" fillId="9" borderId="14" xfId="9" applyNumberFormat="1" applyFont="1" applyFill="1" applyBorder="1" applyAlignment="1" applyProtection="1">
      <alignment vertical="center"/>
      <protection hidden="1"/>
    </xf>
    <xf numFmtId="178" fontId="13" fillId="9" borderId="17" xfId="9" applyNumberFormat="1" applyFont="1" applyFill="1" applyBorder="1" applyAlignment="1" applyProtection="1">
      <alignment vertical="center"/>
      <protection hidden="1"/>
    </xf>
    <xf numFmtId="178" fontId="13" fillId="9" borderId="18" xfId="9" applyNumberFormat="1" applyFont="1" applyFill="1" applyBorder="1" applyAlignment="1" applyProtection="1">
      <alignment vertical="center"/>
      <protection hidden="1"/>
    </xf>
    <xf numFmtId="178" fontId="13" fillId="9" borderId="46" xfId="9" applyNumberFormat="1" applyFont="1" applyFill="1" applyBorder="1" applyAlignment="1" applyProtection="1">
      <alignment vertical="center"/>
      <protection hidden="1"/>
    </xf>
    <xf numFmtId="0" fontId="12" fillId="9" borderId="4" xfId="0" applyFont="1" applyFill="1" applyBorder="1" applyAlignment="1" applyProtection="1">
      <protection hidden="1"/>
    </xf>
    <xf numFmtId="0" fontId="65" fillId="9" borderId="9" xfId="0" applyFont="1" applyFill="1" applyBorder="1" applyAlignment="1" applyProtection="1">
      <alignment horizontal="center" vertical="top"/>
      <protection hidden="1"/>
    </xf>
    <xf numFmtId="0" fontId="65" fillId="9" borderId="23" xfId="0" applyFont="1" applyFill="1" applyBorder="1" applyAlignment="1" applyProtection="1">
      <alignment horizontal="center" vertical="top"/>
      <protection hidden="1"/>
    </xf>
    <xf numFmtId="0" fontId="13" fillId="9" borderId="10" xfId="0" applyFont="1" applyFill="1" applyBorder="1" applyAlignment="1" applyProtection="1">
      <alignment horizontal="center" vertical="center"/>
      <protection hidden="1"/>
    </xf>
    <xf numFmtId="0" fontId="13" fillId="9" borderId="102" xfId="0" applyFont="1" applyFill="1" applyBorder="1" applyAlignment="1" applyProtection="1">
      <alignment horizontal="center" vertical="center"/>
      <protection hidden="1"/>
    </xf>
    <xf numFmtId="0" fontId="13" fillId="9" borderId="161" xfId="0" applyFont="1" applyFill="1" applyBorder="1" applyAlignment="1" applyProtection="1">
      <alignment horizontal="center" vertical="center"/>
      <protection hidden="1"/>
    </xf>
    <xf numFmtId="0" fontId="13" fillId="9" borderId="162" xfId="0" applyFont="1" applyFill="1" applyBorder="1" applyAlignment="1" applyProtection="1">
      <alignment horizontal="center" vertical="center"/>
      <protection hidden="1"/>
    </xf>
    <xf numFmtId="0" fontId="13" fillId="3" borderId="10" xfId="9" applyFont="1" applyFill="1" applyBorder="1" applyAlignment="1" applyProtection="1">
      <alignment horizontal="left" vertical="center" indent="1"/>
      <protection hidden="1"/>
    </xf>
    <xf numFmtId="171" fontId="13" fillId="2" borderId="40" xfId="0" applyNumberFormat="1" applyFont="1" applyFill="1" applyBorder="1" applyAlignment="1" applyProtection="1">
      <alignment horizontal="center" vertical="top"/>
      <protection hidden="1"/>
    </xf>
    <xf numFmtId="171" fontId="13" fillId="2" borderId="26" xfId="0" applyNumberFormat="1" applyFont="1" applyFill="1" applyBorder="1" applyAlignment="1" applyProtection="1">
      <alignment horizontal="center" vertical="top"/>
      <protection hidden="1"/>
    </xf>
    <xf numFmtId="171" fontId="13" fillId="2" borderId="102" xfId="0" applyNumberFormat="1" applyFont="1" applyFill="1" applyBorder="1" applyAlignment="1" applyProtection="1">
      <alignment horizontal="center" vertical="top"/>
      <protection hidden="1"/>
    </xf>
    <xf numFmtId="0" fontId="12" fillId="2" borderId="10" xfId="0" applyFont="1" applyFill="1" applyBorder="1" applyAlignment="1" applyProtection="1">
      <alignment horizontal="left" vertical="center" indent="2"/>
      <protection hidden="1"/>
    </xf>
    <xf numFmtId="0" fontId="13" fillId="2" borderId="16" xfId="0" applyFont="1" applyFill="1" applyBorder="1" applyAlignment="1" applyProtection="1">
      <alignment horizontal="left" vertical="center" indent="2"/>
      <protection hidden="1"/>
    </xf>
    <xf numFmtId="178" fontId="13" fillId="9" borderId="95" xfId="9" applyNumberFormat="1" applyFont="1" applyFill="1" applyBorder="1" applyAlignment="1" applyProtection="1">
      <alignment vertical="center"/>
      <protection hidden="1"/>
    </xf>
    <xf numFmtId="178" fontId="13" fillId="9" borderId="92" xfId="9" applyNumberFormat="1" applyFont="1" applyFill="1" applyBorder="1" applyAlignment="1" applyProtection="1">
      <alignment vertical="center"/>
      <protection hidden="1"/>
    </xf>
    <xf numFmtId="178" fontId="13" fillId="9" borderId="160" xfId="9" applyNumberFormat="1" applyFont="1" applyFill="1" applyBorder="1" applyAlignment="1" applyProtection="1">
      <alignment vertical="center"/>
      <protection hidden="1"/>
    </xf>
    <xf numFmtId="0" fontId="13" fillId="2" borderId="24" xfId="0" applyFont="1" applyFill="1" applyBorder="1" applyAlignment="1" applyProtection="1">
      <alignment horizontal="left" vertical="center" indent="1"/>
      <protection hidden="1"/>
    </xf>
    <xf numFmtId="0" fontId="12" fillId="9" borderId="65" xfId="9" applyNumberFormat="1" applyFont="1" applyFill="1" applyBorder="1" applyAlignment="1" applyProtection="1">
      <protection hidden="1"/>
    </xf>
    <xf numFmtId="0" fontId="12" fillId="9" borderId="67" xfId="9" applyNumberFormat="1" applyFont="1" applyFill="1" applyBorder="1" applyAlignment="1" applyProtection="1">
      <protection hidden="1"/>
    </xf>
    <xf numFmtId="0" fontId="12" fillId="9" borderId="68" xfId="9" applyNumberFormat="1" applyFont="1" applyFill="1" applyBorder="1" applyAlignment="1" applyProtection="1">
      <protection hidden="1"/>
    </xf>
    <xf numFmtId="0" fontId="12" fillId="9" borderId="20" xfId="9" applyNumberFormat="1" applyFont="1" applyFill="1" applyBorder="1" applyAlignment="1" applyProtection="1">
      <protection hidden="1"/>
    </xf>
    <xf numFmtId="171" fontId="13" fillId="9" borderId="21" xfId="0" applyNumberFormat="1" applyFont="1" applyFill="1" applyBorder="1" applyAlignment="1" applyProtection="1">
      <alignment vertical="center"/>
      <protection hidden="1"/>
    </xf>
    <xf numFmtId="178" fontId="13" fillId="9" borderId="105" xfId="9" applyNumberFormat="1" applyFont="1" applyFill="1" applyBorder="1" applyAlignment="1" applyProtection="1">
      <alignment vertical="center"/>
      <protection hidden="1"/>
    </xf>
    <xf numFmtId="178" fontId="13" fillId="3" borderId="50" xfId="9" applyNumberFormat="1" applyFont="1" applyFill="1" applyBorder="1" applyAlignment="1" applyProtection="1">
      <alignment vertical="center"/>
      <protection hidden="1"/>
    </xf>
    <xf numFmtId="0" fontId="13" fillId="3" borderId="16" xfId="9" applyFont="1" applyFill="1" applyBorder="1" applyAlignment="1" applyProtection="1">
      <alignment horizontal="left" vertical="center" indent="1"/>
      <protection hidden="1"/>
    </xf>
    <xf numFmtId="178" fontId="13" fillId="9" borderId="62" xfId="9" applyNumberFormat="1" applyFont="1" applyFill="1" applyBorder="1" applyAlignment="1" applyProtection="1">
      <alignment vertical="center"/>
      <protection hidden="1"/>
    </xf>
    <xf numFmtId="178" fontId="13" fillId="9" borderId="11" xfId="9" applyNumberFormat="1" applyFont="1" applyFill="1" applyBorder="1" applyAlignment="1" applyProtection="1">
      <alignment vertical="center"/>
      <protection hidden="1"/>
    </xf>
    <xf numFmtId="178" fontId="13" fillId="9" borderId="16" xfId="9" applyNumberFormat="1" applyFont="1" applyFill="1" applyBorder="1" applyAlignment="1" applyProtection="1">
      <alignment vertical="center"/>
      <protection hidden="1"/>
    </xf>
    <xf numFmtId="178" fontId="13" fillId="9" borderId="15" xfId="9" applyNumberFormat="1" applyFont="1" applyFill="1" applyBorder="1" applyAlignment="1" applyProtection="1">
      <alignment vertical="center"/>
      <protection hidden="1"/>
    </xf>
    <xf numFmtId="178" fontId="12" fillId="9" borderId="88" xfId="9" applyNumberFormat="1" applyFont="1" applyFill="1" applyBorder="1" applyAlignment="1" applyProtection="1">
      <alignment vertical="center"/>
      <protection locked="0"/>
    </xf>
    <xf numFmtId="178" fontId="12" fillId="9" borderId="95" xfId="9" applyNumberFormat="1" applyFont="1" applyFill="1" applyBorder="1" applyAlignment="1" applyProtection="1">
      <alignment vertical="center"/>
      <protection locked="0"/>
    </xf>
    <xf numFmtId="178" fontId="12" fillId="9" borderId="160" xfId="0" applyNumberFormat="1" applyFont="1" applyFill="1" applyBorder="1" applyAlignment="1" applyProtection="1">
      <alignment vertical="center"/>
      <protection locked="0"/>
    </xf>
    <xf numFmtId="0" fontId="13" fillId="3" borderId="16" xfId="0" applyFont="1" applyFill="1" applyBorder="1" applyAlignment="1" applyProtection="1">
      <alignment horizontal="left" vertical="center" indent="2"/>
      <protection hidden="1"/>
    </xf>
    <xf numFmtId="168" fontId="12" fillId="3" borderId="24" xfId="0" applyNumberFormat="1" applyFont="1" applyFill="1" applyBorder="1" applyAlignment="1" applyProtection="1">
      <alignment horizontal="center" vertical="center"/>
      <protection hidden="1"/>
    </xf>
    <xf numFmtId="168" fontId="12" fillId="3" borderId="55" xfId="0" applyNumberFormat="1" applyFont="1" applyFill="1" applyBorder="1" applyAlignment="1" applyProtection="1">
      <alignment horizontal="center" vertical="center"/>
      <protection hidden="1"/>
    </xf>
    <xf numFmtId="168" fontId="12" fillId="3" borderId="20" xfId="0" applyNumberFormat="1" applyFont="1" applyFill="1" applyBorder="1" applyAlignment="1" applyProtection="1">
      <alignment horizontal="center" vertical="center"/>
      <protection hidden="1"/>
    </xf>
    <xf numFmtId="168" fontId="12" fillId="3" borderId="21" xfId="0" applyNumberFormat="1" applyFont="1" applyFill="1" applyBorder="1" applyAlignment="1" applyProtection="1">
      <alignment horizontal="center" vertical="center"/>
      <protection hidden="1"/>
    </xf>
    <xf numFmtId="178" fontId="13" fillId="2" borderId="75" xfId="0" applyNumberFormat="1" applyFont="1" applyFill="1" applyBorder="1" applyAlignment="1" applyProtection="1">
      <alignment vertical="center"/>
      <protection hidden="1"/>
    </xf>
    <xf numFmtId="178" fontId="13" fillId="2" borderId="74" xfId="0" applyNumberFormat="1" applyFont="1" applyFill="1" applyBorder="1" applyAlignment="1" applyProtection="1">
      <alignment vertical="center"/>
      <protection hidden="1"/>
    </xf>
    <xf numFmtId="178" fontId="13" fillId="2" borderId="47" xfId="0" applyNumberFormat="1" applyFont="1" applyFill="1" applyBorder="1" applyAlignment="1" applyProtection="1">
      <alignment vertical="center"/>
      <protection hidden="1"/>
    </xf>
    <xf numFmtId="178" fontId="21" fillId="2" borderId="50" xfId="0" applyNumberFormat="1" applyFont="1" applyFill="1" applyBorder="1" applyAlignment="1" applyProtection="1">
      <alignment vertical="center"/>
      <protection hidden="1"/>
    </xf>
    <xf numFmtId="169" fontId="12" fillId="2" borderId="24" xfId="0" applyNumberFormat="1" applyFont="1" applyFill="1" applyBorder="1" applyAlignment="1" applyProtection="1">
      <alignment vertical="center"/>
      <protection hidden="1"/>
    </xf>
    <xf numFmtId="169" fontId="12" fillId="2" borderId="20" xfId="0" applyNumberFormat="1" applyFont="1" applyFill="1" applyBorder="1" applyAlignment="1" applyProtection="1">
      <alignment vertical="center"/>
      <protection hidden="1"/>
    </xf>
    <xf numFmtId="169" fontId="12" fillId="2" borderId="21" xfId="0" applyNumberFormat="1" applyFont="1" applyFill="1" applyBorder="1" applyAlignment="1" applyProtection="1">
      <alignment vertical="center"/>
      <protection hidden="1"/>
    </xf>
    <xf numFmtId="177" fontId="12" fillId="9" borderId="177" xfId="0" applyNumberFormat="1" applyFont="1" applyFill="1" applyBorder="1" applyAlignment="1" applyProtection="1">
      <alignment vertical="center"/>
      <protection locked="0"/>
    </xf>
    <xf numFmtId="178" fontId="13" fillId="9" borderId="177" xfId="0" applyNumberFormat="1" applyFont="1" applyFill="1" applyBorder="1" applyAlignment="1" applyProtection="1">
      <alignment vertical="center"/>
      <protection hidden="1"/>
    </xf>
    <xf numFmtId="179" fontId="66" fillId="0" borderId="28" xfId="165" applyNumberFormat="1" applyFont="1" applyFill="1" applyBorder="1" applyAlignment="1" applyProtection="1">
      <alignment vertical="center"/>
      <protection locked="0"/>
    </xf>
    <xf numFmtId="179" fontId="66" fillId="0" borderId="159" xfId="165" applyNumberFormat="1" applyFont="1" applyFill="1" applyBorder="1" applyAlignment="1" applyProtection="1">
      <alignment vertical="center"/>
      <protection locked="0"/>
    </xf>
    <xf numFmtId="179" fontId="66" fillId="0" borderId="160" xfId="165" applyNumberFormat="1" applyFont="1" applyFill="1" applyBorder="1" applyAlignment="1" applyProtection="1">
      <alignment vertical="center"/>
      <protection locked="0"/>
    </xf>
    <xf numFmtId="179" fontId="66" fillId="0" borderId="155" xfId="165" applyNumberFormat="1" applyFont="1" applyFill="1" applyBorder="1" applyAlignment="1" applyProtection="1">
      <alignment vertical="center"/>
      <protection locked="0"/>
    </xf>
    <xf numFmtId="0" fontId="2" fillId="9" borderId="0" xfId="165" applyFill="1" applyProtection="1">
      <protection hidden="1"/>
    </xf>
    <xf numFmtId="0" fontId="2" fillId="9" borderId="126" xfId="165" applyFill="1" applyBorder="1" applyProtection="1">
      <protection hidden="1"/>
    </xf>
    <xf numFmtId="0" fontId="2" fillId="9" borderId="0" xfId="165" applyFill="1" applyBorder="1" applyProtection="1">
      <protection hidden="1"/>
    </xf>
    <xf numFmtId="0" fontId="2" fillId="9" borderId="102" xfId="165" applyFill="1" applyBorder="1" applyProtection="1">
      <protection hidden="1"/>
    </xf>
    <xf numFmtId="0" fontId="2" fillId="9" borderId="126" xfId="165" applyFont="1" applyFill="1" applyBorder="1" applyProtection="1">
      <protection hidden="1"/>
    </xf>
    <xf numFmtId="0" fontId="2" fillId="9" borderId="0" xfId="73" applyFont="1" applyFill="1" applyBorder="1" applyAlignment="1" applyProtection="1">
      <protection hidden="1"/>
    </xf>
    <xf numFmtId="0" fontId="2" fillId="9" borderId="0" xfId="165" applyFont="1" applyFill="1" applyBorder="1" applyProtection="1">
      <protection hidden="1"/>
    </xf>
    <xf numFmtId="0" fontId="2" fillId="9" borderId="102" xfId="165" applyFont="1" applyFill="1" applyBorder="1" applyProtection="1">
      <protection hidden="1"/>
    </xf>
    <xf numFmtId="0" fontId="2" fillId="9" borderId="0" xfId="165" applyFont="1" applyFill="1" applyProtection="1">
      <protection hidden="1"/>
    </xf>
    <xf numFmtId="0" fontId="66" fillId="9" borderId="24" xfId="165" applyFont="1" applyFill="1" applyBorder="1" applyAlignment="1" applyProtection="1">
      <alignment vertical="center"/>
      <protection hidden="1"/>
    </xf>
    <xf numFmtId="0" fontId="67" fillId="9" borderId="21" xfId="165" applyFont="1" applyFill="1" applyBorder="1" applyAlignment="1" applyProtection="1">
      <alignment horizontal="center" vertical="center"/>
      <protection hidden="1"/>
    </xf>
    <xf numFmtId="0" fontId="67" fillId="9" borderId="10" xfId="165" applyFont="1" applyFill="1" applyBorder="1" applyAlignment="1" applyProtection="1">
      <alignment horizontal="center" vertical="center"/>
      <protection hidden="1"/>
    </xf>
    <xf numFmtId="0" fontId="67" fillId="9" borderId="9" xfId="165" applyFont="1" applyFill="1" applyBorder="1" applyAlignment="1" applyProtection="1">
      <alignment horizontal="center" vertical="top"/>
      <protection hidden="1"/>
    </xf>
    <xf numFmtId="0" fontId="67" fillId="9" borderId="22" xfId="165" applyFont="1" applyFill="1" applyBorder="1" applyAlignment="1" applyProtection="1">
      <alignment horizontal="center" vertical="top" wrapText="1"/>
      <protection hidden="1"/>
    </xf>
    <xf numFmtId="0" fontId="67" fillId="9" borderId="21" xfId="165" applyFont="1" applyFill="1" applyBorder="1" applyAlignment="1" applyProtection="1">
      <alignment horizontal="center" vertical="top" wrapText="1"/>
      <protection hidden="1"/>
    </xf>
    <xf numFmtId="0" fontId="66" fillId="9" borderId="16" xfId="165" applyFont="1" applyFill="1" applyBorder="1" applyAlignment="1" applyProtection="1">
      <alignment vertical="center"/>
      <protection hidden="1"/>
    </xf>
    <xf numFmtId="185" fontId="32" fillId="9" borderId="15" xfId="73" quotePrefix="1" applyNumberFormat="1" applyFont="1" applyFill="1" applyBorder="1" applyAlignment="1" applyProtection="1">
      <alignment horizontal="center" vertical="center"/>
      <protection hidden="1"/>
    </xf>
    <xf numFmtId="185" fontId="32" fillId="9" borderId="13" xfId="73" quotePrefix="1" applyNumberFormat="1" applyFont="1" applyFill="1" applyBorder="1" applyAlignment="1" applyProtection="1">
      <alignment horizontal="center" vertical="center"/>
      <protection hidden="1"/>
    </xf>
    <xf numFmtId="0" fontId="67" fillId="9" borderId="10" xfId="165" applyFont="1" applyFill="1" applyBorder="1" applyAlignment="1" applyProtection="1">
      <alignment horizontal="left" vertical="center" indent="1"/>
      <protection hidden="1"/>
    </xf>
    <xf numFmtId="0" fontId="66" fillId="9" borderId="21" xfId="165" applyFont="1" applyFill="1" applyBorder="1" applyAlignment="1" applyProtection="1">
      <alignment vertical="center"/>
      <protection hidden="1"/>
    </xf>
    <xf numFmtId="0" fontId="66" fillId="9" borderId="22" xfId="165" applyFont="1" applyFill="1" applyBorder="1" applyAlignment="1" applyProtection="1">
      <alignment vertical="center"/>
      <protection hidden="1"/>
    </xf>
    <xf numFmtId="0" fontId="66" fillId="9" borderId="10" xfId="165" applyFont="1" applyFill="1" applyBorder="1" applyAlignment="1" applyProtection="1">
      <alignment horizontal="left" vertical="center" indent="2"/>
      <protection hidden="1"/>
    </xf>
    <xf numFmtId="0" fontId="66" fillId="9" borderId="9" xfId="165" applyFont="1" applyFill="1" applyBorder="1" applyAlignment="1" applyProtection="1">
      <alignment vertical="center"/>
      <protection hidden="1"/>
    </xf>
    <xf numFmtId="0" fontId="66" fillId="9" borderId="4" xfId="165" applyFont="1" applyFill="1" applyBorder="1" applyAlignment="1" applyProtection="1">
      <alignment vertical="center"/>
      <protection hidden="1"/>
    </xf>
    <xf numFmtId="0" fontId="2" fillId="9" borderId="84" xfId="165" applyFill="1" applyBorder="1" applyProtection="1">
      <protection hidden="1"/>
    </xf>
    <xf numFmtId="0" fontId="14" fillId="0" borderId="10" xfId="14" applyFont="1" applyBorder="1" applyProtection="1">
      <protection hidden="1"/>
    </xf>
    <xf numFmtId="185" fontId="15" fillId="0" borderId="36" xfId="14" applyNumberFormat="1" applyFont="1" applyFill="1" applyBorder="1" applyAlignment="1" applyProtection="1">
      <alignment horizontal="center" vertical="center"/>
      <protection hidden="1"/>
    </xf>
    <xf numFmtId="0" fontId="14" fillId="0" borderId="16" xfId="14" applyFont="1" applyBorder="1" applyProtection="1">
      <protection hidden="1"/>
    </xf>
    <xf numFmtId="0" fontId="14" fillId="0" borderId="10" xfId="14" applyFont="1" applyBorder="1" applyAlignment="1" applyProtection="1">
      <alignment horizontal="center"/>
      <protection hidden="1"/>
    </xf>
    <xf numFmtId="0" fontId="68" fillId="9" borderId="102" xfId="165" applyFont="1" applyFill="1" applyBorder="1" applyAlignment="1" applyProtection="1">
      <alignment horizontal="center" vertical="center"/>
      <protection hidden="1"/>
    </xf>
    <xf numFmtId="0" fontId="30" fillId="0" borderId="22" xfId="0" applyFont="1" applyFill="1" applyBorder="1" applyAlignment="1" applyProtection="1">
      <alignment horizontal="left" vertical="center" indent="1"/>
      <protection hidden="1"/>
    </xf>
    <xf numFmtId="0" fontId="29" fillId="9" borderId="158" xfId="0" applyFont="1" applyFill="1" applyBorder="1" applyAlignment="1" applyProtection="1">
      <alignment horizontal="left" vertical="center" indent="1"/>
      <protection hidden="1"/>
    </xf>
    <xf numFmtId="0" fontId="30" fillId="0" borderId="158" xfId="0" applyFont="1" applyFill="1" applyBorder="1" applyAlignment="1" applyProtection="1">
      <alignment horizontal="left" vertical="center" indent="1"/>
      <protection hidden="1"/>
    </xf>
    <xf numFmtId="0" fontId="29" fillId="9" borderId="155" xfId="0" applyFont="1" applyFill="1" applyBorder="1" applyAlignment="1" applyProtection="1">
      <alignment horizontal="left" vertical="center" indent="1"/>
      <protection hidden="1"/>
    </xf>
    <xf numFmtId="0" fontId="29" fillId="9" borderId="179" xfId="0" applyFont="1" applyFill="1" applyBorder="1" applyAlignment="1" applyProtection="1">
      <alignment horizontal="left" vertical="center" indent="1"/>
      <protection hidden="1"/>
    </xf>
    <xf numFmtId="0" fontId="30" fillId="0" borderId="155" xfId="0" applyFont="1" applyFill="1" applyBorder="1" applyAlignment="1" applyProtection="1">
      <alignment horizontal="left" vertical="center" indent="1"/>
      <protection hidden="1"/>
    </xf>
    <xf numFmtId="0" fontId="30" fillId="0" borderId="154" xfId="0" applyFont="1" applyFill="1" applyBorder="1" applyAlignment="1" applyProtection="1">
      <alignment horizontal="left" vertical="center" indent="1"/>
      <protection hidden="1"/>
    </xf>
    <xf numFmtId="0" fontId="12" fillId="9" borderId="58" xfId="0" applyNumberFormat="1" applyFont="1" applyFill="1" applyBorder="1" applyProtection="1">
      <protection hidden="1"/>
    </xf>
    <xf numFmtId="0" fontId="2" fillId="14" borderId="0" xfId="165" applyFill="1" applyProtection="1">
      <protection hidden="1"/>
    </xf>
    <xf numFmtId="0" fontId="2" fillId="14" borderId="0" xfId="165" applyFont="1" applyFill="1" applyProtection="1">
      <protection hidden="1"/>
    </xf>
    <xf numFmtId="0" fontId="29" fillId="9" borderId="52" xfId="0" applyFont="1" applyFill="1" applyBorder="1" applyAlignment="1" applyProtection="1">
      <alignment horizontal="left" vertical="center" indent="1"/>
      <protection hidden="1"/>
    </xf>
    <xf numFmtId="0" fontId="30" fillId="9" borderId="178" xfId="0" applyFont="1" applyFill="1" applyBorder="1" applyProtection="1">
      <protection hidden="1"/>
    </xf>
    <xf numFmtId="0" fontId="30" fillId="0" borderId="39" xfId="0" applyFont="1" applyFill="1" applyBorder="1" applyAlignment="1" applyProtection="1">
      <alignment horizontal="left" vertical="center" indent="1"/>
      <protection hidden="1"/>
    </xf>
    <xf numFmtId="0" fontId="29" fillId="9" borderId="105" xfId="0" applyFont="1" applyFill="1" applyBorder="1" applyAlignment="1" applyProtection="1">
      <alignment horizontal="left" vertical="center" indent="1"/>
      <protection hidden="1"/>
    </xf>
    <xf numFmtId="0" fontId="12" fillId="9" borderId="40" xfId="0" applyFont="1" applyFill="1" applyBorder="1" applyAlignment="1" applyProtection="1">
      <protection hidden="1"/>
    </xf>
    <xf numFmtId="174" fontId="13" fillId="5" borderId="0" xfId="0" applyNumberFormat="1" applyFont="1" applyFill="1" applyBorder="1" applyAlignment="1" applyProtection="1">
      <alignment vertical="center"/>
      <protection hidden="1"/>
    </xf>
    <xf numFmtId="175" fontId="13" fillId="5" borderId="0" xfId="0" applyNumberFormat="1" applyFont="1" applyFill="1" applyBorder="1" applyAlignment="1" applyProtection="1">
      <alignment vertical="center"/>
      <protection hidden="1"/>
    </xf>
    <xf numFmtId="0" fontId="1" fillId="9" borderId="0" xfId="73" applyFont="1" applyFill="1" applyBorder="1" applyProtection="1">
      <protection hidden="1"/>
    </xf>
    <xf numFmtId="0" fontId="13" fillId="0" borderId="4" xfId="158" applyFont="1" applyBorder="1" applyAlignment="1" applyProtection="1">
      <alignment horizontal="center" vertical="top" wrapText="1"/>
      <protection hidden="1"/>
    </xf>
    <xf numFmtId="174" fontId="13" fillId="0" borderId="154" xfId="5" applyNumberFormat="1" applyFont="1" applyFill="1" applyBorder="1" applyAlignment="1" applyProtection="1">
      <alignment horizontal="center" vertical="top" wrapText="1"/>
      <protection hidden="1"/>
    </xf>
    <xf numFmtId="174" fontId="13" fillId="0" borderId="161" xfId="5" applyNumberFormat="1" applyFont="1" applyFill="1" applyBorder="1" applyAlignment="1" applyProtection="1">
      <alignment horizontal="center" vertical="top" wrapText="1"/>
      <protection hidden="1"/>
    </xf>
    <xf numFmtId="0" fontId="13" fillId="0" borderId="154" xfId="158" applyNumberFormat="1" applyFont="1" applyFill="1" applyBorder="1" applyAlignment="1" applyProtection="1">
      <alignment horizontal="center" vertical="top" wrapText="1"/>
      <protection hidden="1"/>
    </xf>
    <xf numFmtId="0" fontId="13" fillId="0" borderId="161" xfId="158" applyNumberFormat="1" applyFont="1" applyFill="1" applyBorder="1" applyAlignment="1" applyProtection="1">
      <alignment horizontal="center" vertical="top" wrapText="1"/>
      <protection hidden="1"/>
    </xf>
    <xf numFmtId="3" fontId="15" fillId="0" borderId="154" xfId="14" applyNumberFormat="1" applyFont="1" applyFill="1" applyBorder="1" applyAlignment="1" applyProtection="1">
      <alignment horizontal="center" vertical="top" wrapText="1"/>
      <protection hidden="1"/>
    </xf>
    <xf numFmtId="0" fontId="12" fillId="0" borderId="0" xfId="157" applyFont="1" applyFill="1" applyBorder="1" applyAlignment="1" applyProtection="1">
      <protection hidden="1"/>
    </xf>
    <xf numFmtId="0" fontId="3" fillId="0" borderId="0" xfId="157" applyFont="1" applyFill="1" applyBorder="1" applyAlignment="1" applyProtection="1">
      <protection hidden="1"/>
    </xf>
    <xf numFmtId="0" fontId="13" fillId="0" borderId="161" xfId="157" applyFont="1" applyBorder="1" applyAlignment="1" applyProtection="1">
      <alignment horizontal="left" vertical="top" wrapText="1" indent="1"/>
      <protection hidden="1"/>
    </xf>
    <xf numFmtId="0" fontId="12" fillId="0" borderId="0" xfId="8" quotePrefix="1" applyNumberFormat="1" applyFont="1" applyFill="1" applyBorder="1" applyAlignment="1" applyProtection="1">
      <protection hidden="1"/>
    </xf>
    <xf numFmtId="174" fontId="12" fillId="0" borderId="83" xfId="11" applyNumberFormat="1" applyFont="1" applyFill="1" applyBorder="1" applyAlignment="1" applyProtection="1">
      <protection hidden="1"/>
    </xf>
    <xf numFmtId="174" fontId="12" fillId="0" borderId="155" xfId="11" applyNumberFormat="1" applyFont="1" applyFill="1" applyBorder="1" applyAlignment="1" applyProtection="1">
      <protection hidden="1"/>
    </xf>
    <xf numFmtId="174" fontId="12" fillId="0" borderId="154" xfId="12" applyNumberFormat="1" applyFont="1" applyBorder="1" applyAlignment="1" applyProtection="1">
      <protection hidden="1"/>
    </xf>
    <xf numFmtId="174" fontId="12" fillId="0" borderId="155" xfId="12" applyNumberFormat="1" applyFont="1" applyBorder="1" applyAlignment="1" applyProtection="1">
      <protection hidden="1"/>
    </xf>
    <xf numFmtId="174" fontId="13" fillId="0" borderId="157" xfId="12" applyNumberFormat="1" applyFont="1" applyBorder="1" applyAlignment="1" applyProtection="1">
      <protection hidden="1"/>
    </xf>
    <xf numFmtId="173" fontId="12" fillId="0" borderId="155" xfId="12" applyNumberFormat="1" applyFont="1" applyBorder="1" applyAlignment="1" applyProtection="1">
      <protection hidden="1"/>
    </xf>
    <xf numFmtId="173" fontId="12" fillId="0" borderId="154" xfId="12" applyNumberFormat="1" applyFont="1" applyBorder="1" applyAlignment="1" applyProtection="1">
      <protection hidden="1"/>
    </xf>
    <xf numFmtId="173" fontId="12" fillId="0" borderId="102" xfId="12" applyNumberFormat="1" applyFont="1" applyBorder="1" applyAlignment="1" applyProtection="1">
      <protection hidden="1"/>
    </xf>
    <xf numFmtId="173" fontId="12" fillId="0" borderId="161" xfId="12" applyNumberFormat="1" applyFont="1" applyBorder="1" applyAlignment="1" applyProtection="1">
      <protection hidden="1"/>
    </xf>
    <xf numFmtId="0" fontId="0" fillId="0" borderId="0" xfId="157" applyNumberFormat="1" applyFont="1" applyFill="1" applyBorder="1" applyAlignment="1" applyProtection="1">
      <protection hidden="1"/>
    </xf>
    <xf numFmtId="0" fontId="12" fillId="0" borderId="0" xfId="11" applyNumberFormat="1" applyFont="1" applyFill="1" applyBorder="1" applyAlignment="1" applyProtection="1">
      <protection hidden="1"/>
    </xf>
    <xf numFmtId="174" fontId="12" fillId="0" borderId="4" xfId="11" applyNumberFormat="1" applyFont="1" applyFill="1" applyBorder="1" applyAlignment="1" applyProtection="1">
      <protection hidden="1"/>
    </xf>
    <xf numFmtId="174" fontId="12" fillId="0" borderId="4" xfId="12" applyNumberFormat="1" applyFont="1" applyBorder="1" applyAlignment="1" applyProtection="1">
      <protection hidden="1"/>
    </xf>
    <xf numFmtId="174" fontId="12" fillId="0" borderId="161" xfId="12" applyNumberFormat="1" applyFont="1" applyBorder="1" applyAlignment="1" applyProtection="1">
      <protection hidden="1"/>
    </xf>
    <xf numFmtId="173" fontId="34" fillId="0" borderId="161" xfId="158" applyNumberFormat="1" applyFont="1" applyBorder="1" applyAlignment="1" applyProtection="1">
      <protection hidden="1"/>
    </xf>
    <xf numFmtId="0" fontId="12" fillId="0" borderId="151" xfId="12" applyFont="1" applyFill="1" applyBorder="1" applyAlignment="1" applyProtection="1">
      <protection hidden="1"/>
    </xf>
    <xf numFmtId="0" fontId="12" fillId="0" borderId="157" xfId="12" applyFont="1" applyFill="1" applyBorder="1" applyAlignment="1" applyProtection="1">
      <protection hidden="1"/>
    </xf>
    <xf numFmtId="0" fontId="12" fillId="0" borderId="154" xfId="12" applyFont="1" applyFill="1" applyBorder="1" applyAlignment="1" applyProtection="1">
      <protection hidden="1"/>
    </xf>
    <xf numFmtId="0" fontId="12" fillId="0" borderId="152" xfId="12" applyFont="1" applyFill="1" applyBorder="1" applyAlignment="1" applyProtection="1">
      <protection hidden="1"/>
    </xf>
    <xf numFmtId="0" fontId="12" fillId="0" borderId="161" xfId="12" applyFont="1" applyFill="1" applyBorder="1" applyAlignment="1" applyProtection="1">
      <protection hidden="1"/>
    </xf>
    <xf numFmtId="0" fontId="12" fillId="0" borderId="126" xfId="12" applyFont="1" applyFill="1" applyBorder="1" applyAlignment="1" applyProtection="1">
      <protection hidden="1"/>
    </xf>
    <xf numFmtId="0" fontId="12" fillId="0" borderId="8" xfId="12" applyNumberFormat="1" applyFont="1" applyFill="1" applyBorder="1" applyAlignment="1" applyProtection="1">
      <protection hidden="1"/>
    </xf>
    <xf numFmtId="0" fontId="12" fillId="0" borderId="162" xfId="12" applyNumberFormat="1" applyFont="1" applyFill="1" applyBorder="1" applyAlignment="1" applyProtection="1">
      <protection hidden="1"/>
    </xf>
    <xf numFmtId="174" fontId="13" fillId="0" borderId="34" xfId="12" applyNumberFormat="1" applyFont="1" applyFill="1" applyBorder="1" applyAlignment="1" applyProtection="1">
      <alignment vertical="center"/>
      <protection hidden="1"/>
    </xf>
    <xf numFmtId="174" fontId="13" fillId="0" borderId="27" xfId="12" applyNumberFormat="1" applyFont="1" applyFill="1" applyBorder="1" applyAlignment="1" applyProtection="1">
      <alignment vertical="center"/>
      <protection hidden="1"/>
    </xf>
    <xf numFmtId="0" fontId="12" fillId="0" borderId="126" xfId="158" applyFont="1" applyBorder="1" applyAlignment="1" applyProtection="1">
      <protection hidden="1"/>
    </xf>
    <xf numFmtId="186" fontId="12" fillId="0" borderId="8" xfId="12" applyNumberFormat="1" applyFont="1" applyFill="1" applyBorder="1" applyAlignment="1" applyProtection="1">
      <protection hidden="1"/>
    </xf>
    <xf numFmtId="186" fontId="12" fillId="0" borderId="162" xfId="12" applyNumberFormat="1" applyFont="1" applyFill="1" applyBorder="1" applyAlignment="1" applyProtection="1">
      <protection hidden="1"/>
    </xf>
    <xf numFmtId="186" fontId="12" fillId="0" borderId="161" xfId="12" applyNumberFormat="1" applyFont="1" applyFill="1" applyBorder="1" applyAlignment="1" applyProtection="1">
      <protection hidden="1"/>
    </xf>
    <xf numFmtId="186" fontId="12" fillId="0" borderId="126" xfId="12" applyNumberFormat="1" applyFont="1" applyFill="1" applyBorder="1" applyAlignment="1" applyProtection="1">
      <protection hidden="1"/>
    </xf>
    <xf numFmtId="0" fontId="34" fillId="0" borderId="0" xfId="158" applyNumberFormat="1" applyFont="1" applyBorder="1" applyAlignment="1" applyProtection="1">
      <protection hidden="1"/>
    </xf>
    <xf numFmtId="0" fontId="3" fillId="0" borderId="4" xfId="157" applyBorder="1" applyAlignment="1" applyProtection="1">
      <alignment horizontal="left" indent="1"/>
      <protection hidden="1"/>
    </xf>
    <xf numFmtId="0" fontId="32" fillId="0" borderId="13" xfId="157" applyFont="1" applyBorder="1" applyAlignment="1" applyProtection="1">
      <alignment horizontal="left" vertical="center" indent="1"/>
      <protection hidden="1"/>
    </xf>
    <xf numFmtId="0" fontId="15" fillId="0" borderId="29" xfId="14" applyFont="1" applyBorder="1" applyAlignment="1" applyProtection="1">
      <alignment horizontal="center" vertical="center"/>
      <protection locked="0"/>
    </xf>
    <xf numFmtId="0" fontId="19" fillId="9" borderId="126" xfId="0" applyFont="1" applyFill="1" applyBorder="1" applyAlignment="1" applyProtection="1">
      <alignment horizontal="center" vertical="center"/>
      <protection hidden="1"/>
    </xf>
    <xf numFmtId="0" fontId="19" fillId="4" borderId="0" xfId="0" applyFont="1" applyFill="1" applyBorder="1" applyAlignment="1" applyProtection="1">
      <alignment horizontal="center"/>
      <protection hidden="1"/>
    </xf>
    <xf numFmtId="0" fontId="19" fillId="10" borderId="0" xfId="9" applyFont="1" applyFill="1" applyBorder="1" applyAlignment="1" applyProtection="1">
      <alignment horizontal="center" vertical="center"/>
      <protection hidden="1"/>
    </xf>
    <xf numFmtId="0" fontId="29" fillId="9" borderId="0" xfId="0" applyFont="1" applyFill="1" applyBorder="1" applyProtection="1">
      <protection hidden="1"/>
    </xf>
    <xf numFmtId="0" fontId="29" fillId="9" borderId="152" xfId="0" applyNumberFormat="1" applyFont="1" applyFill="1" applyBorder="1" applyProtection="1">
      <protection hidden="1"/>
    </xf>
    <xf numFmtId="0" fontId="29" fillId="9" borderId="178" xfId="0" applyFont="1" applyFill="1" applyBorder="1" applyProtection="1">
      <protection hidden="1"/>
    </xf>
    <xf numFmtId="0" fontId="29" fillId="9" borderId="179" xfId="0" applyFont="1" applyFill="1" applyBorder="1" applyProtection="1">
      <protection hidden="1"/>
    </xf>
    <xf numFmtId="0" fontId="29" fillId="14" borderId="0" xfId="0" applyFont="1" applyFill="1" applyProtection="1">
      <protection hidden="1"/>
    </xf>
    <xf numFmtId="0" fontId="29" fillId="9" borderId="126" xfId="0" applyNumberFormat="1" applyFont="1" applyFill="1" applyBorder="1" applyProtection="1">
      <protection hidden="1"/>
    </xf>
    <xf numFmtId="0" fontId="29" fillId="9" borderId="102" xfId="0" applyFont="1" applyFill="1" applyBorder="1" applyProtection="1">
      <protection hidden="1"/>
    </xf>
    <xf numFmtId="171" fontId="30" fillId="0" borderId="56" xfId="4" applyNumberFormat="1" applyFont="1" applyFill="1" applyBorder="1" applyAlignment="1" applyProtection="1">
      <alignment horizontal="left" vertical="center" indent="1"/>
      <protection hidden="1"/>
    </xf>
    <xf numFmtId="171" fontId="29" fillId="9" borderId="0" xfId="4" applyNumberFormat="1" applyFont="1" applyFill="1" applyBorder="1" applyAlignment="1" applyProtection="1">
      <alignment vertical="center"/>
      <protection hidden="1"/>
    </xf>
    <xf numFmtId="171" fontId="29" fillId="9" borderId="102" xfId="4" applyNumberFormat="1" applyFont="1" applyFill="1" applyBorder="1" applyAlignment="1" applyProtection="1">
      <alignment vertical="center"/>
      <protection hidden="1"/>
    </xf>
    <xf numFmtId="0" fontId="30" fillId="9" borderId="0" xfId="0" applyFont="1" applyFill="1" applyBorder="1" applyAlignment="1" applyProtection="1">
      <alignment vertical="center"/>
      <protection hidden="1"/>
    </xf>
    <xf numFmtId="0" fontId="30" fillId="9" borderId="52" xfId="0" applyFont="1" applyFill="1" applyBorder="1" applyAlignment="1" applyProtection="1">
      <alignment horizontal="center" vertical="top" wrapText="1"/>
      <protection hidden="1"/>
    </xf>
    <xf numFmtId="0" fontId="30" fillId="9" borderId="51" xfId="0" applyFont="1" applyFill="1" applyBorder="1" applyAlignment="1" applyProtection="1">
      <alignment horizontal="left" vertical="top" indent="1"/>
      <protection hidden="1"/>
    </xf>
    <xf numFmtId="0" fontId="29" fillId="9" borderId="102" xfId="0" applyFont="1" applyFill="1" applyBorder="1" applyAlignment="1" applyProtection="1">
      <alignment horizontal="center" vertical="center"/>
      <protection hidden="1"/>
    </xf>
    <xf numFmtId="0" fontId="69" fillId="9" borderId="102" xfId="0" applyFont="1" applyFill="1" applyBorder="1" applyAlignment="1" applyProtection="1">
      <alignment horizontal="center" vertical="center"/>
      <protection hidden="1"/>
    </xf>
    <xf numFmtId="0" fontId="69" fillId="9" borderId="102" xfId="0" applyFont="1" applyFill="1" applyBorder="1" applyAlignment="1" applyProtection="1">
      <protection hidden="1"/>
    </xf>
    <xf numFmtId="0" fontId="29" fillId="14" borderId="0" xfId="0" applyFont="1" applyFill="1" applyBorder="1" applyProtection="1">
      <protection hidden="1"/>
    </xf>
    <xf numFmtId="0" fontId="29" fillId="9" borderId="162" xfId="0" applyNumberFormat="1" applyFont="1" applyFill="1" applyBorder="1" applyProtection="1">
      <protection hidden="1"/>
    </xf>
    <xf numFmtId="0" fontId="29" fillId="9" borderId="0" xfId="0" applyFont="1" applyFill="1" applyBorder="1" applyAlignment="1" applyProtection="1">
      <protection hidden="1"/>
    </xf>
    <xf numFmtId="0" fontId="29" fillId="9" borderId="126" xfId="0" applyNumberFormat="1" applyFont="1" applyFill="1" applyBorder="1" applyAlignment="1" applyProtection="1">
      <protection hidden="1"/>
    </xf>
    <xf numFmtId="0" fontId="29" fillId="9" borderId="58" xfId="0" applyNumberFormat="1" applyFont="1" applyFill="1" applyBorder="1" applyProtection="1">
      <protection hidden="1"/>
    </xf>
    <xf numFmtId="0" fontId="29" fillId="9" borderId="57" xfId="0" applyFont="1" applyFill="1" applyBorder="1" applyProtection="1">
      <protection hidden="1"/>
    </xf>
    <xf numFmtId="0" fontId="29" fillId="9" borderId="40" xfId="0" applyFont="1" applyFill="1" applyBorder="1" applyProtection="1">
      <protection hidden="1"/>
    </xf>
    <xf numFmtId="0" fontId="70" fillId="0" borderId="9" xfId="0" applyFont="1" applyFill="1" applyBorder="1" applyAlignment="1" applyProtection="1">
      <alignment horizontal="center" vertical="center"/>
      <protection hidden="1"/>
    </xf>
    <xf numFmtId="0" fontId="71" fillId="9" borderId="159" xfId="0" applyFont="1" applyFill="1" applyBorder="1" applyAlignment="1" applyProtection="1">
      <alignment horizontal="center" vertical="center"/>
      <protection hidden="1"/>
    </xf>
    <xf numFmtId="0" fontId="70" fillId="0" borderId="31" xfId="0" applyFont="1" applyFill="1" applyBorder="1" applyAlignment="1" applyProtection="1">
      <alignment horizontal="center" vertical="center"/>
      <protection hidden="1"/>
    </xf>
    <xf numFmtId="0" fontId="71" fillId="9" borderId="35" xfId="0" applyFont="1" applyFill="1" applyBorder="1" applyAlignment="1" applyProtection="1">
      <alignment horizontal="center" vertical="center"/>
      <protection hidden="1"/>
    </xf>
    <xf numFmtId="0" fontId="71" fillId="9" borderId="31" xfId="0" applyFont="1" applyFill="1" applyBorder="1" applyAlignment="1" applyProtection="1">
      <alignment horizontal="center" vertical="center"/>
      <protection hidden="1"/>
    </xf>
    <xf numFmtId="0" fontId="70" fillId="0" borderId="157" xfId="0" applyFont="1" applyFill="1" applyBorder="1" applyAlignment="1" applyProtection="1">
      <alignment horizontal="center" vertical="center"/>
      <protection hidden="1"/>
    </xf>
    <xf numFmtId="0" fontId="70" fillId="0" borderId="23" xfId="0" applyFont="1" applyFill="1" applyBorder="1" applyAlignment="1" applyProtection="1">
      <alignment horizontal="center" vertical="center"/>
      <protection hidden="1"/>
    </xf>
    <xf numFmtId="0" fontId="71" fillId="9" borderId="48" xfId="0" applyFont="1" applyFill="1" applyBorder="1" applyAlignment="1" applyProtection="1">
      <alignment horizontal="center" vertical="center"/>
      <protection hidden="1"/>
    </xf>
    <xf numFmtId="0" fontId="2" fillId="9" borderId="152" xfId="165" applyFill="1" applyBorder="1" applyProtection="1">
      <protection hidden="1"/>
    </xf>
    <xf numFmtId="0" fontId="32" fillId="9" borderId="181" xfId="73" applyFont="1" applyFill="1" applyBorder="1" applyAlignment="1" applyProtection="1">
      <protection hidden="1"/>
    </xf>
    <xf numFmtId="0" fontId="2" fillId="9" borderId="181" xfId="165" applyFill="1" applyBorder="1" applyProtection="1">
      <protection hidden="1"/>
    </xf>
    <xf numFmtId="0" fontId="2" fillId="9" borderId="180" xfId="165" applyFill="1" applyBorder="1" applyProtection="1">
      <protection hidden="1"/>
    </xf>
    <xf numFmtId="0" fontId="2" fillId="9" borderId="58" xfId="165" applyFill="1" applyBorder="1" applyProtection="1">
      <protection hidden="1"/>
    </xf>
    <xf numFmtId="0" fontId="2" fillId="9" borderId="40" xfId="165" applyFill="1" applyBorder="1" applyProtection="1">
      <protection hidden="1"/>
    </xf>
    <xf numFmtId="0" fontId="28" fillId="5" borderId="0" xfId="0" applyFont="1" applyFill="1" applyBorder="1" applyAlignment="1" applyProtection="1">
      <alignment vertical="center"/>
      <protection hidden="1"/>
    </xf>
    <xf numFmtId="0" fontId="2" fillId="14" borderId="0" xfId="165" applyFill="1" applyBorder="1" applyProtection="1">
      <protection hidden="1"/>
    </xf>
    <xf numFmtId="0" fontId="13" fillId="3" borderId="107" xfId="9" applyFont="1" applyFill="1" applyBorder="1" applyAlignment="1" applyProtection="1">
      <alignment horizontal="center" vertical="top"/>
      <protection hidden="1"/>
    </xf>
    <xf numFmtId="0" fontId="13" fillId="3" borderId="9" xfId="9" applyFont="1" applyFill="1" applyBorder="1" applyAlignment="1" applyProtection="1">
      <alignment horizontal="center" vertical="top"/>
      <protection hidden="1"/>
    </xf>
    <xf numFmtId="0" fontId="13" fillId="3" borderId="22" xfId="9" applyFont="1" applyFill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67" fillId="9" borderId="56" xfId="165" applyFont="1" applyFill="1" applyBorder="1" applyAlignment="1" applyProtection="1">
      <alignment horizontal="left" vertical="center" indent="2"/>
      <protection hidden="1"/>
    </xf>
    <xf numFmtId="179" fontId="67" fillId="0" borderId="70" xfId="165" applyNumberFormat="1" applyFont="1" applyFill="1" applyBorder="1" applyAlignment="1" applyProtection="1">
      <alignment vertical="center"/>
      <protection hidden="1"/>
    </xf>
    <xf numFmtId="179" fontId="67" fillId="0" borderId="17" xfId="165" applyNumberFormat="1" applyFont="1" applyFill="1" applyBorder="1" applyAlignment="1" applyProtection="1">
      <alignment vertical="center"/>
      <protection hidden="1"/>
    </xf>
    <xf numFmtId="179" fontId="67" fillId="0" borderId="46" xfId="165" applyNumberFormat="1" applyFont="1" applyFill="1" applyBorder="1" applyAlignment="1" applyProtection="1">
      <alignment vertical="center"/>
      <protection hidden="1"/>
    </xf>
    <xf numFmtId="0" fontId="32" fillId="9" borderId="44" xfId="73" applyFont="1" applyFill="1" applyBorder="1" applyAlignment="1" applyProtection="1">
      <alignment horizontal="left" vertical="center" indent="2"/>
      <protection hidden="1"/>
    </xf>
    <xf numFmtId="179" fontId="5" fillId="0" borderId="18" xfId="73" applyNumberFormat="1" applyFill="1" applyBorder="1" applyAlignment="1" applyProtection="1">
      <alignment vertical="center"/>
      <protection locked="0"/>
    </xf>
    <xf numFmtId="179" fontId="32" fillId="9" borderId="54" xfId="73" applyNumberFormat="1" applyFont="1" applyFill="1" applyBorder="1" applyAlignment="1" applyProtection="1">
      <alignment vertical="center"/>
      <protection hidden="1"/>
    </xf>
    <xf numFmtId="179" fontId="5" fillId="0" borderId="17" xfId="73" applyNumberFormat="1" applyFill="1" applyBorder="1" applyAlignment="1" applyProtection="1">
      <alignment vertical="center"/>
      <protection locked="0"/>
    </xf>
    <xf numFmtId="179" fontId="32" fillId="9" borderId="46" xfId="73" applyNumberFormat="1" applyFont="1" applyFill="1" applyBorder="1" applyAlignment="1" applyProtection="1">
      <alignment vertical="center"/>
      <protection hidden="1"/>
    </xf>
    <xf numFmtId="179" fontId="32" fillId="9" borderId="53" xfId="73" applyNumberFormat="1" applyFont="1" applyFill="1" applyBorder="1" applyAlignment="1" applyProtection="1">
      <alignment vertical="center"/>
      <protection hidden="1"/>
    </xf>
    <xf numFmtId="179" fontId="32" fillId="9" borderId="18" xfId="73" applyNumberFormat="1" applyFont="1" applyFill="1" applyBorder="1" applyAlignment="1" applyProtection="1">
      <alignment vertical="center"/>
      <protection hidden="1"/>
    </xf>
    <xf numFmtId="0" fontId="30" fillId="9" borderId="19" xfId="0" applyFont="1" applyFill="1" applyBorder="1" applyAlignment="1" applyProtection="1">
      <alignment horizontal="center" vertical="center"/>
      <protection hidden="1"/>
    </xf>
    <xf numFmtId="0" fontId="30" fillId="9" borderId="55" xfId="0" applyFont="1" applyFill="1" applyBorder="1" applyAlignment="1" applyProtection="1">
      <alignment horizontal="center" vertical="center"/>
      <protection hidden="1"/>
    </xf>
    <xf numFmtId="0" fontId="30" fillId="9" borderId="23" xfId="0" applyFont="1" applyFill="1" applyBorder="1" applyAlignment="1" applyProtection="1">
      <alignment horizontal="center" vertical="center" wrapText="1"/>
      <protection hidden="1"/>
    </xf>
    <xf numFmtId="0" fontId="30" fillId="9" borderId="14" xfId="0" applyFont="1" applyFill="1" applyBorder="1" applyAlignment="1" applyProtection="1">
      <alignment horizontal="center" vertical="center" wrapText="1"/>
      <protection hidden="1"/>
    </xf>
    <xf numFmtId="0" fontId="13" fillId="14" borderId="0" xfId="4" applyFont="1" applyFill="1" applyAlignment="1" applyProtection="1">
      <alignment horizontal="center" vertical="center" wrapText="1"/>
      <protection hidden="1"/>
    </xf>
    <xf numFmtId="171" fontId="24" fillId="6" borderId="87" xfId="0" applyNumberFormat="1" applyFont="1" applyFill="1" applyBorder="1" applyAlignment="1" applyProtection="1">
      <alignment horizontal="center" vertical="top" wrapText="1"/>
      <protection hidden="1"/>
    </xf>
    <xf numFmtId="171" fontId="24" fillId="6" borderId="4" xfId="0" applyNumberFormat="1" applyFont="1" applyFill="1" applyBorder="1" applyAlignment="1" applyProtection="1">
      <alignment horizontal="center" vertical="top" wrapText="1"/>
      <protection hidden="1"/>
    </xf>
    <xf numFmtId="171" fontId="24" fillId="6" borderId="92" xfId="0" applyNumberFormat="1" applyFont="1" applyFill="1" applyBorder="1" applyAlignment="1" applyProtection="1">
      <alignment horizontal="center" vertical="top" wrapText="1"/>
      <protection hidden="1"/>
    </xf>
    <xf numFmtId="171" fontId="24" fillId="6" borderId="5" xfId="0" applyNumberFormat="1" applyFont="1" applyFill="1" applyBorder="1" applyAlignment="1" applyProtection="1">
      <alignment horizontal="center" vertical="top" wrapText="1"/>
      <protection hidden="1"/>
    </xf>
    <xf numFmtId="171" fontId="24" fillId="6" borderId="19" xfId="0" applyNumberFormat="1" applyFont="1" applyFill="1" applyBorder="1" applyAlignment="1" applyProtection="1">
      <alignment horizontal="center" vertical="center"/>
      <protection hidden="1"/>
    </xf>
    <xf numFmtId="171" fontId="24" fillId="6" borderId="55" xfId="0" applyNumberFormat="1" applyFont="1" applyFill="1" applyBorder="1" applyAlignment="1" applyProtection="1">
      <alignment horizontal="center" vertical="center"/>
      <protection hidden="1"/>
    </xf>
    <xf numFmtId="0" fontId="13" fillId="5" borderId="24" xfId="4" applyFont="1" applyFill="1" applyBorder="1" applyAlignment="1" applyProtection="1">
      <alignment horizontal="center" vertical="top" wrapText="1"/>
      <protection hidden="1"/>
    </xf>
    <xf numFmtId="0" fontId="13" fillId="5" borderId="10" xfId="4" applyFont="1" applyFill="1" applyBorder="1" applyAlignment="1" applyProtection="1">
      <alignment horizontal="center" vertical="top" wrapText="1"/>
      <protection hidden="1"/>
    </xf>
    <xf numFmtId="171" fontId="25" fillId="11" borderId="19" xfId="0" applyNumberFormat="1" applyFont="1" applyFill="1" applyBorder="1" applyAlignment="1" applyProtection="1">
      <alignment horizontal="center" vertical="center"/>
      <protection hidden="1"/>
    </xf>
    <xf numFmtId="171" fontId="25" fillId="11" borderId="55" xfId="0" applyNumberFormat="1" applyFont="1" applyFill="1" applyBorder="1" applyAlignment="1" applyProtection="1">
      <alignment horizontal="center" vertical="center"/>
      <protection hidden="1"/>
    </xf>
    <xf numFmtId="171" fontId="25" fillId="11" borderId="87" xfId="0" applyNumberFormat="1" applyFont="1" applyFill="1" applyBorder="1" applyAlignment="1" applyProtection="1">
      <alignment horizontal="center" vertical="top" wrapText="1"/>
      <protection hidden="1"/>
    </xf>
    <xf numFmtId="171" fontId="25" fillId="11" borderId="4" xfId="0" applyNumberFormat="1" applyFont="1" applyFill="1" applyBorder="1" applyAlignment="1" applyProtection="1">
      <alignment horizontal="center" vertical="top" wrapText="1"/>
      <protection hidden="1"/>
    </xf>
    <xf numFmtId="171" fontId="25" fillId="11" borderId="92" xfId="0" applyNumberFormat="1" applyFont="1" applyFill="1" applyBorder="1" applyAlignment="1" applyProtection="1">
      <alignment horizontal="center" vertical="top" wrapText="1"/>
      <protection hidden="1"/>
    </xf>
    <xf numFmtId="171" fontId="25" fillId="11" borderId="5" xfId="0" applyNumberFormat="1" applyFont="1" applyFill="1" applyBorder="1" applyAlignment="1" applyProtection="1">
      <alignment horizontal="center" vertical="top" wrapText="1"/>
      <protection hidden="1"/>
    </xf>
    <xf numFmtId="171" fontId="25" fillId="11" borderId="23" xfId="0" applyNumberFormat="1" applyFont="1" applyFill="1" applyBorder="1" applyAlignment="1" applyProtection="1">
      <alignment horizontal="center" vertical="top" wrapText="1"/>
      <protection hidden="1"/>
    </xf>
    <xf numFmtId="171" fontId="25" fillId="11" borderId="6" xfId="0" applyNumberFormat="1" applyFont="1" applyFill="1" applyBorder="1" applyAlignment="1" applyProtection="1">
      <alignment horizontal="center" vertical="top" wrapText="1"/>
      <protection hidden="1"/>
    </xf>
    <xf numFmtId="171" fontId="24" fillId="6" borderId="23" xfId="0" applyNumberFormat="1" applyFont="1" applyFill="1" applyBorder="1" applyAlignment="1" applyProtection="1">
      <alignment horizontal="center" vertical="top" wrapText="1"/>
      <protection hidden="1"/>
    </xf>
    <xf numFmtId="171" fontId="24" fillId="6" borderId="6" xfId="0" applyNumberFormat="1" applyFont="1" applyFill="1" applyBorder="1" applyAlignment="1" applyProtection="1">
      <alignment horizontal="center" vertical="top" wrapText="1"/>
      <protection hidden="1"/>
    </xf>
    <xf numFmtId="171" fontId="24" fillId="6" borderId="71" xfId="0" applyNumberFormat="1" applyFont="1" applyFill="1" applyBorder="1" applyAlignment="1" applyProtection="1">
      <alignment horizontal="center" vertical="center"/>
      <protection hidden="1"/>
    </xf>
    <xf numFmtId="171" fontId="24" fillId="6" borderId="72" xfId="0" applyNumberFormat="1" applyFont="1" applyFill="1" applyBorder="1" applyAlignment="1" applyProtection="1">
      <alignment horizontal="center" vertical="center"/>
      <protection hidden="1"/>
    </xf>
    <xf numFmtId="171" fontId="24" fillId="6" borderId="66" xfId="0" applyNumberFormat="1" applyFont="1" applyFill="1" applyBorder="1" applyAlignment="1" applyProtection="1">
      <alignment horizontal="center" vertical="center"/>
      <protection hidden="1"/>
    </xf>
    <xf numFmtId="171" fontId="24" fillId="6" borderId="37" xfId="0" applyNumberFormat="1" applyFont="1" applyFill="1" applyBorder="1" applyAlignment="1" applyProtection="1">
      <alignment horizontal="center" vertical="center"/>
      <protection hidden="1"/>
    </xf>
    <xf numFmtId="171" fontId="24" fillId="6" borderId="86" xfId="0" applyNumberFormat="1" applyFont="1" applyFill="1" applyBorder="1" applyAlignment="1" applyProtection="1">
      <alignment horizontal="center" vertical="center"/>
      <protection hidden="1"/>
    </xf>
    <xf numFmtId="171" fontId="24" fillId="6" borderId="88" xfId="0" applyNumberFormat="1" applyFont="1" applyFill="1" applyBorder="1" applyAlignment="1" applyProtection="1">
      <alignment horizontal="center" vertical="center"/>
      <protection hidden="1"/>
    </xf>
    <xf numFmtId="171" fontId="24" fillId="6" borderId="93" xfId="0" applyNumberFormat="1" applyFont="1" applyFill="1" applyBorder="1" applyAlignment="1" applyProtection="1">
      <alignment horizontal="center" vertical="top" wrapText="1"/>
      <protection hidden="1"/>
    </xf>
    <xf numFmtId="171" fontId="25" fillId="11" borderId="93" xfId="0" applyNumberFormat="1" applyFont="1" applyFill="1" applyBorder="1" applyAlignment="1" applyProtection="1">
      <alignment horizontal="center" vertical="top" wrapText="1"/>
      <protection hidden="1"/>
    </xf>
    <xf numFmtId="171" fontId="25" fillId="11" borderId="71" xfId="0" applyNumberFormat="1" applyFont="1" applyFill="1" applyBorder="1" applyAlignment="1" applyProtection="1">
      <alignment horizontal="center" vertical="center"/>
      <protection hidden="1"/>
    </xf>
    <xf numFmtId="171" fontId="25" fillId="11" borderId="72" xfId="0" applyNumberFormat="1" applyFont="1" applyFill="1" applyBorder="1" applyAlignment="1" applyProtection="1">
      <alignment horizontal="center" vertical="center"/>
      <protection hidden="1"/>
    </xf>
    <xf numFmtId="171" fontId="25" fillId="11" borderId="66" xfId="0" applyNumberFormat="1" applyFont="1" applyFill="1" applyBorder="1" applyAlignment="1" applyProtection="1">
      <alignment horizontal="center" vertical="center"/>
      <protection hidden="1"/>
    </xf>
    <xf numFmtId="171" fontId="13" fillId="0" borderId="44" xfId="4" applyNumberFormat="1" applyFont="1" applyFill="1" applyBorder="1" applyAlignment="1" applyProtection="1">
      <alignment horizontal="left" vertical="center" indent="1"/>
      <protection hidden="1"/>
    </xf>
    <xf numFmtId="171" fontId="13" fillId="0" borderId="69" xfId="4" applyNumberFormat="1" applyFont="1" applyFill="1" applyBorder="1" applyAlignment="1" applyProtection="1">
      <alignment horizontal="left" vertical="center" indent="1"/>
      <protection hidden="1"/>
    </xf>
    <xf numFmtId="171" fontId="13" fillId="0" borderId="70" xfId="4" applyNumberFormat="1" applyFont="1" applyFill="1" applyBorder="1" applyAlignment="1" applyProtection="1">
      <alignment horizontal="left" vertical="center" indent="1"/>
      <protection hidden="1"/>
    </xf>
    <xf numFmtId="0" fontId="13" fillId="5" borderId="44" xfId="4" applyFont="1" applyFill="1" applyBorder="1" applyAlignment="1" applyProtection="1">
      <alignment horizontal="center" vertical="center"/>
      <protection hidden="1"/>
    </xf>
    <xf numFmtId="0" fontId="13" fillId="5" borderId="69" xfId="4" applyFont="1" applyFill="1" applyBorder="1" applyAlignment="1" applyProtection="1">
      <alignment horizontal="center" vertical="center"/>
      <protection hidden="1"/>
    </xf>
    <xf numFmtId="0" fontId="13" fillId="5" borderId="70" xfId="4" applyFont="1" applyFill="1" applyBorder="1" applyAlignment="1" applyProtection="1">
      <alignment horizontal="center" vertical="center"/>
      <protection hidden="1"/>
    </xf>
    <xf numFmtId="0" fontId="13" fillId="5" borderId="44" xfId="0" applyFont="1" applyFill="1" applyBorder="1" applyAlignment="1" applyProtection="1">
      <alignment horizontal="center" vertical="center" wrapText="1"/>
      <protection hidden="1"/>
    </xf>
    <xf numFmtId="0" fontId="13" fillId="5" borderId="69" xfId="0" applyFont="1" applyFill="1" applyBorder="1" applyAlignment="1" applyProtection="1">
      <alignment horizontal="center" vertical="center" wrapText="1"/>
      <protection hidden="1"/>
    </xf>
    <xf numFmtId="0" fontId="13" fillId="5" borderId="70" xfId="0" applyFont="1" applyFill="1" applyBorder="1" applyAlignment="1" applyProtection="1">
      <alignment horizontal="center" vertical="center" wrapText="1"/>
      <protection hidden="1"/>
    </xf>
    <xf numFmtId="0" fontId="13" fillId="5" borderId="44" xfId="4" applyFont="1" applyFill="1" applyBorder="1" applyAlignment="1" applyProtection="1">
      <alignment horizontal="center" vertical="center" wrapText="1"/>
      <protection hidden="1"/>
    </xf>
    <xf numFmtId="0" fontId="13" fillId="5" borderId="19" xfId="4" applyFont="1" applyFill="1" applyBorder="1" applyAlignment="1" applyProtection="1">
      <alignment horizontal="center" vertical="center" wrapText="1"/>
      <protection hidden="1"/>
    </xf>
    <xf numFmtId="0" fontId="13" fillId="5" borderId="55" xfId="4" applyFont="1" applyFill="1" applyBorder="1" applyAlignment="1" applyProtection="1">
      <alignment horizontal="center" vertical="center" wrapText="1"/>
      <protection hidden="1"/>
    </xf>
    <xf numFmtId="0" fontId="13" fillId="5" borderId="21" xfId="4" applyFont="1" applyFill="1" applyBorder="1" applyAlignment="1" applyProtection="1">
      <alignment horizontal="center" vertical="center" wrapText="1"/>
      <protection hidden="1"/>
    </xf>
    <xf numFmtId="0" fontId="13" fillId="5" borderId="8" xfId="4" applyFont="1" applyFill="1" applyBorder="1" applyAlignment="1" applyProtection="1">
      <alignment horizontal="center" vertical="center" wrapText="1"/>
      <protection hidden="1"/>
    </xf>
    <xf numFmtId="0" fontId="13" fillId="5" borderId="0" xfId="4" applyFont="1" applyFill="1" applyBorder="1" applyAlignment="1" applyProtection="1">
      <alignment horizontal="center" vertical="center" wrapText="1"/>
      <protection hidden="1"/>
    </xf>
    <xf numFmtId="0" fontId="13" fillId="5" borderId="9" xfId="4" applyFont="1" applyFill="1" applyBorder="1" applyAlignment="1" applyProtection="1">
      <alignment horizontal="center" vertical="center" wrapText="1"/>
      <protection hidden="1"/>
    </xf>
    <xf numFmtId="0" fontId="13" fillId="0" borderId="44" xfId="0" applyFont="1" applyFill="1" applyBorder="1" applyAlignment="1" applyProtection="1">
      <alignment horizontal="left" vertical="center" indent="1"/>
      <protection hidden="1"/>
    </xf>
    <xf numFmtId="0" fontId="13" fillId="0" borderId="69" xfId="0" applyFont="1" applyFill="1" applyBorder="1" applyAlignment="1" applyProtection="1">
      <alignment horizontal="left" vertical="center" indent="1"/>
      <protection hidden="1"/>
    </xf>
    <xf numFmtId="0" fontId="13" fillId="0" borderId="70" xfId="0" applyFont="1" applyFill="1" applyBorder="1" applyAlignment="1" applyProtection="1">
      <alignment horizontal="left" vertical="center" indent="1"/>
      <protection hidden="1"/>
    </xf>
    <xf numFmtId="0" fontId="13" fillId="4" borderId="37" xfId="0" applyFont="1" applyFill="1" applyBorder="1" applyAlignment="1" applyProtection="1">
      <alignment horizontal="center" vertical="center" wrapText="1"/>
      <protection hidden="1"/>
    </xf>
    <xf numFmtId="0" fontId="13" fillId="4" borderId="153" xfId="0" applyFont="1" applyFill="1" applyBorder="1" applyAlignment="1" applyProtection="1">
      <alignment horizontal="center" vertical="center" wrapText="1"/>
      <protection hidden="1"/>
    </xf>
    <xf numFmtId="0" fontId="13" fillId="4" borderId="159" xfId="0" applyFont="1" applyFill="1" applyBorder="1" applyAlignment="1" applyProtection="1">
      <alignment horizontal="center" vertical="center" wrapText="1"/>
      <protection hidden="1"/>
    </xf>
    <xf numFmtId="0" fontId="13" fillId="10" borderId="71" xfId="0" applyFont="1" applyFill="1" applyBorder="1" applyAlignment="1" applyProtection="1">
      <alignment horizontal="center" vertical="center"/>
      <protection hidden="1"/>
    </xf>
    <xf numFmtId="0" fontId="13" fillId="10" borderId="72" xfId="0" applyFont="1" applyFill="1" applyBorder="1" applyAlignment="1" applyProtection="1">
      <alignment horizontal="center" vertical="center"/>
      <protection hidden="1"/>
    </xf>
    <xf numFmtId="0" fontId="13" fillId="10" borderId="66" xfId="0" applyFont="1" applyFill="1" applyBorder="1" applyAlignment="1" applyProtection="1">
      <alignment horizontal="center" vertical="center"/>
      <protection hidden="1"/>
    </xf>
    <xf numFmtId="0" fontId="13" fillId="4" borderId="71" xfId="0" applyFont="1" applyFill="1" applyBorder="1" applyAlignment="1" applyProtection="1">
      <alignment horizontal="center" vertical="center"/>
      <protection hidden="1"/>
    </xf>
    <xf numFmtId="0" fontId="13" fillId="4" borderId="72" xfId="0" applyFont="1" applyFill="1" applyBorder="1" applyAlignment="1" applyProtection="1">
      <alignment horizontal="center" vertical="center"/>
      <protection hidden="1"/>
    </xf>
    <xf numFmtId="0" fontId="13" fillId="4" borderId="66" xfId="0" applyFont="1" applyFill="1" applyBorder="1" applyAlignment="1" applyProtection="1">
      <alignment horizontal="center" vertical="center"/>
      <protection hidden="1"/>
    </xf>
    <xf numFmtId="0" fontId="13" fillId="4" borderId="150" xfId="0" applyFont="1" applyFill="1" applyBorder="1" applyAlignment="1" applyProtection="1">
      <alignment horizontal="center" vertical="top" wrapText="1"/>
      <protection hidden="1"/>
    </xf>
    <xf numFmtId="0" fontId="13" fillId="4" borderId="10" xfId="0" applyFont="1" applyFill="1" applyBorder="1" applyAlignment="1" applyProtection="1">
      <alignment horizontal="center" vertical="top" wrapText="1"/>
      <protection hidden="1"/>
    </xf>
    <xf numFmtId="0" fontId="13" fillId="2" borderId="37" xfId="0" applyFont="1" applyFill="1" applyBorder="1" applyAlignment="1" applyProtection="1">
      <alignment horizontal="center" vertical="center"/>
      <protection hidden="1"/>
    </xf>
    <xf numFmtId="0" fontId="13" fillId="2" borderId="153" xfId="0" applyFont="1" applyFill="1" applyBorder="1" applyAlignment="1" applyProtection="1">
      <alignment horizontal="center" vertical="center"/>
      <protection hidden="1"/>
    </xf>
    <xf numFmtId="0" fontId="13" fillId="2" borderId="159" xfId="0" applyFont="1" applyFill="1" applyBorder="1" applyAlignment="1" applyProtection="1">
      <alignment horizontal="center" vertical="center"/>
      <protection hidden="1"/>
    </xf>
    <xf numFmtId="0" fontId="13" fillId="2" borderId="154" xfId="0" applyFont="1" applyFill="1" applyBorder="1" applyAlignment="1" applyProtection="1">
      <alignment horizontal="center" vertical="top" wrapText="1"/>
      <protection hidden="1"/>
    </xf>
    <xf numFmtId="0" fontId="13" fillId="2" borderId="11" xfId="0" applyFont="1" applyFill="1" applyBorder="1" applyAlignment="1" applyProtection="1">
      <alignment horizontal="center" vertical="top" wrapText="1"/>
      <protection hidden="1"/>
    </xf>
    <xf numFmtId="0" fontId="13" fillId="2" borderId="24" xfId="0" applyFont="1" applyFill="1" applyBorder="1" applyAlignment="1" applyProtection="1">
      <alignment horizontal="center" vertical="center" wrapText="1"/>
      <protection hidden="1"/>
    </xf>
    <xf numFmtId="0" fontId="13" fillId="2" borderId="16" xfId="0" applyFont="1" applyFill="1" applyBorder="1" applyAlignment="1" applyProtection="1">
      <alignment horizontal="center" vertical="center" wrapText="1"/>
      <protection hidden="1"/>
    </xf>
    <xf numFmtId="0" fontId="13" fillId="2" borderId="71" xfId="0" applyFont="1" applyFill="1" applyBorder="1" applyAlignment="1" applyProtection="1">
      <alignment horizontal="center" vertical="center" wrapText="1"/>
      <protection hidden="1"/>
    </xf>
    <xf numFmtId="0" fontId="13" fillId="2" borderId="72" xfId="0" applyFont="1" applyFill="1" applyBorder="1" applyAlignment="1" applyProtection="1">
      <alignment horizontal="center" vertical="center" wrapText="1"/>
      <protection hidden="1"/>
    </xf>
    <xf numFmtId="0" fontId="13" fillId="2" borderId="66" xfId="0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top" wrapText="1"/>
      <protection hidden="1"/>
    </xf>
    <xf numFmtId="0" fontId="13" fillId="2" borderId="150" xfId="0" applyFont="1" applyFill="1" applyBorder="1" applyAlignment="1" applyProtection="1">
      <alignment horizontal="center" vertical="top"/>
      <protection hidden="1"/>
    </xf>
    <xf numFmtId="0" fontId="13" fillId="2" borderId="10" xfId="0" applyFont="1" applyFill="1" applyBorder="1" applyAlignment="1" applyProtection="1">
      <alignment horizontal="center" vertical="top"/>
      <protection hidden="1"/>
    </xf>
    <xf numFmtId="0" fontId="13" fillId="4" borderId="9" xfId="0" applyFont="1" applyFill="1" applyBorder="1" applyAlignment="1" applyProtection="1">
      <alignment horizontal="center" vertical="top" wrapText="1"/>
      <protection hidden="1"/>
    </xf>
    <xf numFmtId="0" fontId="13" fillId="0" borderId="44" xfId="12" applyFont="1" applyFill="1" applyBorder="1" applyAlignment="1" applyProtection="1">
      <alignment horizontal="left" vertical="center" indent="1"/>
      <protection hidden="1"/>
    </xf>
    <xf numFmtId="0" fontId="13" fillId="0" borderId="69" xfId="12" applyFont="1" applyFill="1" applyBorder="1" applyAlignment="1" applyProtection="1">
      <alignment horizontal="left" vertical="center" indent="1"/>
      <protection hidden="1"/>
    </xf>
    <xf numFmtId="0" fontId="13" fillId="0" borderId="70" xfId="12" applyFont="1" applyFill="1" applyBorder="1" applyAlignment="1" applyProtection="1">
      <alignment horizontal="left" vertical="center" indent="1"/>
      <protection hidden="1"/>
    </xf>
    <xf numFmtId="0" fontId="13" fillId="4" borderId="71" xfId="12" applyFont="1" applyFill="1" applyBorder="1" applyAlignment="1" applyProtection="1">
      <alignment horizontal="center" vertical="center"/>
      <protection hidden="1"/>
    </xf>
    <xf numFmtId="0" fontId="13" fillId="4" borderId="72" xfId="12" applyFont="1" applyFill="1" applyBorder="1" applyAlignment="1" applyProtection="1">
      <alignment horizontal="center" vertical="center"/>
      <protection hidden="1"/>
    </xf>
    <xf numFmtId="0" fontId="13" fillId="4" borderId="66" xfId="12" applyFont="1" applyFill="1" applyBorder="1" applyAlignment="1" applyProtection="1">
      <alignment horizontal="center" vertical="center"/>
      <protection hidden="1"/>
    </xf>
    <xf numFmtId="0" fontId="13" fillId="10" borderId="71" xfId="12" applyFont="1" applyFill="1" applyBorder="1" applyAlignment="1" applyProtection="1">
      <alignment horizontal="center" vertical="center"/>
      <protection hidden="1"/>
    </xf>
    <xf numFmtId="0" fontId="13" fillId="10" borderId="72" xfId="12" applyFont="1" applyFill="1" applyBorder="1" applyAlignment="1" applyProtection="1">
      <alignment horizontal="center" vertical="center"/>
      <protection hidden="1"/>
    </xf>
    <xf numFmtId="0" fontId="13" fillId="10" borderId="66" xfId="12" applyFont="1" applyFill="1" applyBorder="1" applyAlignment="1" applyProtection="1">
      <alignment horizontal="center" vertical="center"/>
      <protection hidden="1"/>
    </xf>
    <xf numFmtId="0" fontId="13" fillId="4" borderId="10" xfId="12" applyFont="1" applyFill="1" applyBorder="1" applyAlignment="1" applyProtection="1">
      <alignment horizontal="center" vertical="top" wrapText="1"/>
      <protection hidden="1"/>
    </xf>
    <xf numFmtId="0" fontId="12" fillId="4" borderId="10" xfId="12" applyFont="1" applyFill="1" applyBorder="1" applyAlignment="1" applyProtection="1">
      <alignment horizontal="center" vertical="top"/>
      <protection hidden="1"/>
    </xf>
    <xf numFmtId="0" fontId="13" fillId="2" borderId="150" xfId="12" applyFont="1" applyFill="1" applyBorder="1" applyAlignment="1" applyProtection="1">
      <alignment horizontal="center" vertical="top" wrapText="1"/>
      <protection hidden="1"/>
    </xf>
    <xf numFmtId="0" fontId="13" fillId="2" borderId="10" xfId="12" applyFont="1" applyFill="1" applyBorder="1" applyAlignment="1" applyProtection="1">
      <alignment horizontal="center" vertical="top" wrapText="1"/>
      <protection hidden="1"/>
    </xf>
    <xf numFmtId="0" fontId="13" fillId="4" borderId="160" xfId="12" applyFont="1" applyFill="1" applyBorder="1" applyAlignment="1" applyProtection="1">
      <alignment horizontal="center" vertical="top" wrapText="1"/>
      <protection hidden="1"/>
    </xf>
    <xf numFmtId="0" fontId="13" fillId="4" borderId="9" xfId="12" applyFont="1" applyFill="1" applyBorder="1" applyAlignment="1" applyProtection="1">
      <alignment horizontal="center" vertical="top" wrapText="1"/>
      <protection hidden="1"/>
    </xf>
    <xf numFmtId="0" fontId="13" fillId="4" borderId="37" xfId="12" applyFont="1" applyFill="1" applyBorder="1" applyAlignment="1" applyProtection="1">
      <alignment horizontal="center" vertical="center" wrapText="1"/>
      <protection hidden="1"/>
    </xf>
    <xf numFmtId="0" fontId="13" fillId="4" borderId="153" xfId="12" applyFont="1" applyFill="1" applyBorder="1" applyAlignment="1" applyProtection="1">
      <alignment horizontal="center" vertical="center" wrapText="1"/>
      <protection hidden="1"/>
    </xf>
    <xf numFmtId="0" fontId="13" fillId="4" borderId="159" xfId="12" applyFont="1" applyFill="1" applyBorder="1" applyAlignment="1" applyProtection="1">
      <alignment horizontal="center" vertical="center" wrapText="1"/>
      <protection hidden="1"/>
    </xf>
    <xf numFmtId="0" fontId="13" fillId="4" borderId="24" xfId="0" applyFont="1" applyFill="1" applyBorder="1" applyAlignment="1" applyProtection="1">
      <alignment horizontal="center" vertical="center" wrapText="1"/>
      <protection hidden="1"/>
    </xf>
    <xf numFmtId="0" fontId="13" fillId="4" borderId="10" xfId="0" applyFont="1" applyFill="1" applyBorder="1" applyAlignment="1" applyProtection="1">
      <alignment horizontal="center" vertical="center" wrapText="1"/>
      <protection hidden="1"/>
    </xf>
    <xf numFmtId="0" fontId="13" fillId="9" borderId="24" xfId="0" applyFont="1" applyFill="1" applyBorder="1" applyAlignment="1" applyProtection="1">
      <alignment horizontal="left" vertical="center" indent="1"/>
      <protection hidden="1"/>
    </xf>
    <xf numFmtId="0" fontId="13" fillId="9" borderId="16" xfId="0" applyFont="1" applyFill="1" applyBorder="1" applyAlignment="1" applyProtection="1">
      <alignment horizontal="left" vertical="center" indent="1"/>
      <protection hidden="1"/>
    </xf>
    <xf numFmtId="178" fontId="13" fillId="9" borderId="21" xfId="0" applyNumberFormat="1" applyFont="1" applyFill="1" applyBorder="1" applyAlignment="1" applyProtection="1">
      <alignment horizontal="right" vertical="center"/>
      <protection hidden="1"/>
    </xf>
    <xf numFmtId="178" fontId="13" fillId="9" borderId="15" xfId="0" applyNumberFormat="1" applyFont="1" applyFill="1" applyBorder="1" applyAlignment="1" applyProtection="1">
      <alignment horizontal="right" vertical="center"/>
      <protection hidden="1"/>
    </xf>
    <xf numFmtId="0" fontId="13" fillId="9" borderId="20" xfId="0" applyFont="1" applyFill="1" applyBorder="1" applyAlignment="1" applyProtection="1">
      <alignment horizontal="center" vertical="top" wrapText="1"/>
      <protection hidden="1"/>
    </xf>
    <xf numFmtId="0" fontId="13" fillId="9" borderId="11" xfId="0" applyFont="1" applyFill="1" applyBorder="1" applyAlignment="1" applyProtection="1">
      <alignment horizontal="center" vertical="top" wrapText="1"/>
      <protection hidden="1"/>
    </xf>
    <xf numFmtId="0" fontId="13" fillId="0" borderId="44" xfId="12" applyFont="1" applyFill="1" applyBorder="1" applyAlignment="1" applyProtection="1">
      <alignment horizontal="center" vertical="center"/>
      <protection hidden="1"/>
    </xf>
    <xf numFmtId="0" fontId="13" fillId="0" borderId="69" xfId="12" applyFont="1" applyFill="1" applyBorder="1" applyAlignment="1" applyProtection="1">
      <alignment horizontal="center" vertical="center"/>
      <protection hidden="1"/>
    </xf>
    <xf numFmtId="0" fontId="13" fillId="0" borderId="70" xfId="12" applyFont="1" applyFill="1" applyBorder="1" applyAlignment="1" applyProtection="1">
      <alignment horizontal="center" vertical="center"/>
      <protection hidden="1"/>
    </xf>
    <xf numFmtId="0" fontId="13" fillId="9" borderId="44" xfId="0" applyNumberFormat="1" applyFont="1" applyFill="1" applyBorder="1" applyAlignment="1" applyProtection="1">
      <alignment horizontal="center" vertical="center"/>
      <protection hidden="1"/>
    </xf>
    <xf numFmtId="0" fontId="13" fillId="9" borderId="69" xfId="0" applyNumberFormat="1" applyFont="1" applyFill="1" applyBorder="1" applyAlignment="1" applyProtection="1">
      <alignment horizontal="center" vertical="center"/>
      <protection hidden="1"/>
    </xf>
    <xf numFmtId="0" fontId="13" fillId="9" borderId="70" xfId="0" applyNumberFormat="1" applyFont="1" applyFill="1" applyBorder="1" applyAlignment="1" applyProtection="1">
      <alignment horizontal="center" vertical="center"/>
      <protection hidden="1"/>
    </xf>
    <xf numFmtId="0" fontId="13" fillId="4" borderId="86" xfId="0" applyFont="1" applyFill="1" applyBorder="1" applyAlignment="1" applyProtection="1">
      <alignment horizontal="center" vertical="center"/>
      <protection hidden="1"/>
    </xf>
    <xf numFmtId="0" fontId="13" fillId="4" borderId="33" xfId="0" applyFont="1" applyFill="1" applyBorder="1" applyAlignment="1" applyProtection="1">
      <alignment horizontal="center" vertical="center"/>
      <protection hidden="1"/>
    </xf>
    <xf numFmtId="0" fontId="13" fillId="4" borderId="73" xfId="0" applyFont="1" applyFill="1" applyBorder="1" applyAlignment="1" applyProtection="1">
      <alignment horizontal="center" vertical="center"/>
      <protection hidden="1"/>
    </xf>
    <xf numFmtId="0" fontId="13" fillId="4" borderId="72" xfId="0" applyFont="1" applyFill="1" applyBorder="1" applyAlignment="1" applyProtection="1">
      <alignment horizontal="center" vertical="center" wrapText="1"/>
      <protection hidden="1"/>
    </xf>
    <xf numFmtId="0" fontId="13" fillId="4" borderId="66" xfId="0" applyFont="1" applyFill="1" applyBorder="1" applyAlignment="1" applyProtection="1">
      <alignment horizontal="center" vertical="center" wrapText="1"/>
      <protection hidden="1"/>
    </xf>
    <xf numFmtId="0" fontId="13" fillId="2" borderId="71" xfId="0" applyFont="1" applyFill="1" applyBorder="1" applyAlignment="1" applyProtection="1">
      <alignment horizontal="center" vertical="center"/>
      <protection hidden="1"/>
    </xf>
    <xf numFmtId="0" fontId="13" fillId="2" borderId="72" xfId="0" applyFont="1" applyFill="1" applyBorder="1" applyAlignment="1" applyProtection="1">
      <alignment horizontal="center" vertical="center"/>
      <protection hidden="1"/>
    </xf>
    <xf numFmtId="0" fontId="13" fillId="2" borderId="66" xfId="0" applyFont="1" applyFill="1" applyBorder="1" applyAlignment="1" applyProtection="1">
      <alignment horizontal="center" vertical="center"/>
      <protection hidden="1"/>
    </xf>
    <xf numFmtId="0" fontId="13" fillId="2" borderId="150" xfId="0" applyFont="1" applyFill="1" applyBorder="1" applyAlignment="1" applyProtection="1">
      <alignment horizontal="center" vertical="top" wrapText="1"/>
      <protection hidden="1"/>
    </xf>
    <xf numFmtId="0" fontId="13" fillId="2" borderId="10" xfId="0" applyFont="1" applyFill="1" applyBorder="1" applyAlignment="1" applyProtection="1">
      <alignment horizontal="center" vertical="top" wrapText="1"/>
      <protection hidden="1"/>
    </xf>
    <xf numFmtId="0" fontId="13" fillId="2" borderId="24" xfId="0" applyFont="1" applyFill="1" applyBorder="1" applyAlignment="1" applyProtection="1">
      <alignment horizontal="center" vertical="top" wrapText="1"/>
      <protection hidden="1"/>
    </xf>
    <xf numFmtId="0" fontId="13" fillId="0" borderId="44" xfId="0" applyFont="1" applyFill="1" applyBorder="1" applyAlignment="1" applyProtection="1">
      <alignment horizontal="center" vertical="center"/>
      <protection hidden="1"/>
    </xf>
    <xf numFmtId="0" fontId="13" fillId="0" borderId="69" xfId="0" applyFont="1" applyFill="1" applyBorder="1" applyAlignment="1" applyProtection="1">
      <alignment horizontal="center" vertical="center"/>
      <protection hidden="1"/>
    </xf>
    <xf numFmtId="0" fontId="13" fillId="0" borderId="70" xfId="0" applyFont="1" applyFill="1" applyBorder="1" applyAlignment="1" applyProtection="1">
      <alignment horizontal="center" vertical="center"/>
      <protection hidden="1"/>
    </xf>
    <xf numFmtId="0" fontId="13" fillId="2" borderId="19" xfId="0" applyFont="1" applyFill="1" applyBorder="1" applyAlignment="1" applyProtection="1">
      <alignment horizontal="center" vertical="center" wrapText="1"/>
      <protection hidden="1"/>
    </xf>
    <xf numFmtId="0" fontId="13" fillId="2" borderId="55" xfId="0" applyFont="1" applyFill="1" applyBorder="1" applyAlignment="1" applyProtection="1">
      <alignment horizontal="center" vertical="center" wrapText="1"/>
      <protection hidden="1"/>
    </xf>
    <xf numFmtId="0" fontId="13" fillId="2" borderId="21" xfId="0" applyFont="1" applyFill="1" applyBorder="1" applyAlignment="1" applyProtection="1">
      <alignment horizontal="center" vertical="center" wrapText="1"/>
      <protection hidden="1"/>
    </xf>
    <xf numFmtId="0" fontId="13" fillId="3" borderId="32" xfId="9" applyFont="1" applyFill="1" applyBorder="1" applyAlignment="1" applyProtection="1">
      <alignment horizontal="center" vertical="center"/>
      <protection hidden="1"/>
    </xf>
    <xf numFmtId="0" fontId="13" fillId="3" borderId="60" xfId="9" applyFont="1" applyFill="1" applyBorder="1" applyAlignment="1" applyProtection="1">
      <alignment horizontal="center" vertical="center"/>
      <protection hidden="1"/>
    </xf>
    <xf numFmtId="0" fontId="13" fillId="3" borderId="15" xfId="9" applyFont="1" applyFill="1" applyBorder="1" applyAlignment="1" applyProtection="1">
      <alignment horizontal="center" vertical="center"/>
      <protection hidden="1"/>
    </xf>
    <xf numFmtId="0" fontId="13" fillId="3" borderId="44" xfId="9" applyFont="1" applyFill="1" applyBorder="1" applyAlignment="1" applyProtection="1">
      <alignment horizontal="center" vertical="center"/>
      <protection hidden="1"/>
    </xf>
    <xf numFmtId="0" fontId="13" fillId="3" borderId="69" xfId="9" applyFont="1" applyFill="1" applyBorder="1" applyAlignment="1" applyProtection="1">
      <alignment horizontal="center" vertical="center"/>
      <protection hidden="1"/>
    </xf>
    <xf numFmtId="0" fontId="13" fillId="3" borderId="70" xfId="9" applyFont="1" applyFill="1" applyBorder="1" applyAlignment="1" applyProtection="1">
      <alignment horizontal="center" vertical="center"/>
      <protection hidden="1"/>
    </xf>
    <xf numFmtId="0" fontId="13" fillId="3" borderId="10" xfId="9" applyFont="1" applyFill="1" applyBorder="1" applyAlignment="1" applyProtection="1">
      <alignment horizontal="center" vertical="top" wrapText="1"/>
      <protection hidden="1"/>
    </xf>
    <xf numFmtId="0" fontId="13" fillId="3" borderId="44" xfId="9" applyFont="1" applyFill="1" applyBorder="1" applyAlignment="1" applyProtection="1">
      <alignment horizontal="center" vertical="center" wrapText="1"/>
      <protection hidden="1"/>
    </xf>
    <xf numFmtId="0" fontId="13" fillId="3" borderId="69" xfId="9" applyFont="1" applyFill="1" applyBorder="1" applyAlignment="1" applyProtection="1">
      <alignment horizontal="center" vertical="center" wrapText="1"/>
      <protection hidden="1"/>
    </xf>
    <xf numFmtId="0" fontId="13" fillId="3" borderId="70" xfId="9" applyFont="1" applyFill="1" applyBorder="1" applyAlignment="1" applyProtection="1">
      <alignment horizontal="center" vertical="center" wrapText="1"/>
      <protection hidden="1"/>
    </xf>
    <xf numFmtId="0" fontId="13" fillId="3" borderId="24" xfId="9" applyFont="1" applyFill="1" applyBorder="1" applyAlignment="1" applyProtection="1">
      <alignment horizontal="center" vertical="top" wrapText="1"/>
      <protection hidden="1"/>
    </xf>
    <xf numFmtId="0" fontId="13" fillId="3" borderId="71" xfId="9" applyFont="1" applyFill="1" applyBorder="1" applyAlignment="1" applyProtection="1">
      <alignment horizontal="center" vertical="center"/>
      <protection hidden="1"/>
    </xf>
    <xf numFmtId="0" fontId="13" fillId="3" borderId="72" xfId="9" applyFont="1" applyFill="1" applyBorder="1" applyAlignment="1" applyProtection="1">
      <alignment horizontal="center" vertical="center"/>
      <protection hidden="1"/>
    </xf>
    <xf numFmtId="0" fontId="13" fillId="3" borderId="66" xfId="9" applyFont="1" applyFill="1" applyBorder="1" applyAlignment="1" applyProtection="1">
      <alignment horizontal="center" vertical="center"/>
      <protection hidden="1"/>
    </xf>
    <xf numFmtId="0" fontId="13" fillId="3" borderId="34" xfId="9" applyFont="1" applyFill="1" applyBorder="1" applyAlignment="1" applyProtection="1">
      <alignment horizontal="center" vertical="center"/>
      <protection hidden="1"/>
    </xf>
    <xf numFmtId="0" fontId="13" fillId="3" borderId="84" xfId="9" applyFont="1" applyFill="1" applyBorder="1" applyAlignment="1" applyProtection="1">
      <alignment horizontal="center" vertical="center"/>
      <protection hidden="1"/>
    </xf>
    <xf numFmtId="0" fontId="13" fillId="3" borderId="35" xfId="9" applyFont="1" applyFill="1" applyBorder="1" applyAlignment="1" applyProtection="1">
      <alignment horizontal="center" vertical="center"/>
      <protection hidden="1"/>
    </xf>
    <xf numFmtId="0" fontId="13" fillId="9" borderId="54" xfId="0" applyFont="1" applyFill="1" applyBorder="1" applyAlignment="1" applyProtection="1">
      <alignment horizontal="center" vertical="center"/>
      <protection hidden="1"/>
    </xf>
    <xf numFmtId="0" fontId="13" fillId="9" borderId="69" xfId="0" applyFont="1" applyFill="1" applyBorder="1" applyAlignment="1" applyProtection="1">
      <alignment horizontal="center" vertical="center"/>
      <protection hidden="1"/>
    </xf>
    <xf numFmtId="0" fontId="13" fillId="9" borderId="70" xfId="0" applyFont="1" applyFill="1" applyBorder="1" applyAlignment="1" applyProtection="1">
      <alignment horizontal="center" vertical="center"/>
      <protection hidden="1"/>
    </xf>
    <xf numFmtId="0" fontId="13" fillId="9" borderId="55" xfId="0" applyFont="1" applyFill="1" applyBorder="1" applyAlignment="1" applyProtection="1">
      <alignment horizontal="center" vertical="top" wrapText="1"/>
      <protection hidden="1"/>
    </xf>
    <xf numFmtId="0" fontId="13" fillId="9" borderId="0" xfId="0" applyFont="1" applyFill="1" applyBorder="1" applyAlignment="1" applyProtection="1">
      <alignment horizontal="center" vertical="top" wrapText="1"/>
      <protection hidden="1"/>
    </xf>
    <xf numFmtId="0" fontId="13" fillId="9" borderId="67" xfId="9" applyFont="1" applyFill="1" applyBorder="1" applyAlignment="1" applyProtection="1">
      <alignment horizontal="center" vertical="center"/>
      <protection hidden="1"/>
    </xf>
    <xf numFmtId="0" fontId="13" fillId="9" borderId="44" xfId="0" applyFont="1" applyFill="1" applyBorder="1" applyAlignment="1" applyProtection="1">
      <alignment horizontal="center" vertical="center"/>
      <protection hidden="1"/>
    </xf>
    <xf numFmtId="0" fontId="13" fillId="9" borderId="22" xfId="0" applyFont="1" applyFill="1" applyBorder="1" applyAlignment="1" applyProtection="1">
      <alignment horizontal="center" vertical="top" wrapText="1"/>
      <protection hidden="1"/>
    </xf>
    <xf numFmtId="0" fontId="13" fillId="9" borderId="4" xfId="0" applyFont="1" applyFill="1" applyBorder="1" applyAlignment="1" applyProtection="1">
      <alignment horizontal="center" vertical="top" wrapText="1"/>
      <protection hidden="1"/>
    </xf>
    <xf numFmtId="0" fontId="13" fillId="9" borderId="161" xfId="0" applyFont="1" applyFill="1" applyBorder="1" applyAlignment="1" applyProtection="1">
      <alignment horizontal="center" vertical="top" wrapText="1"/>
      <protection hidden="1"/>
    </xf>
    <xf numFmtId="0" fontId="13" fillId="2" borderId="24" xfId="0" applyFont="1" applyFill="1" applyBorder="1" applyAlignment="1" applyProtection="1">
      <alignment horizontal="center" vertical="center"/>
      <protection hidden="1"/>
    </xf>
    <xf numFmtId="0" fontId="13" fillId="2" borderId="16" xfId="0" applyFont="1" applyFill="1" applyBorder="1" applyAlignment="1" applyProtection="1">
      <alignment horizontal="center" vertical="center"/>
      <protection hidden="1"/>
    </xf>
    <xf numFmtId="0" fontId="13" fillId="2" borderId="84" xfId="0" applyFont="1" applyFill="1" applyBorder="1" applyAlignment="1" applyProtection="1">
      <alignment horizontal="center" vertical="center"/>
      <protection hidden="1"/>
    </xf>
    <xf numFmtId="0" fontId="13" fillId="2" borderId="35" xfId="0" applyFont="1" applyFill="1" applyBorder="1" applyAlignment="1" applyProtection="1">
      <alignment horizontal="center" vertical="center"/>
      <protection hidden="1"/>
    </xf>
    <xf numFmtId="0" fontId="13" fillId="2" borderId="20" xfId="0" applyFont="1" applyFill="1" applyBorder="1" applyAlignment="1" applyProtection="1">
      <alignment horizontal="center" vertical="top" wrapText="1"/>
      <protection hidden="1"/>
    </xf>
    <xf numFmtId="0" fontId="13" fillId="0" borderId="44" xfId="0" quotePrefix="1" applyFont="1" applyFill="1" applyBorder="1" applyAlignment="1" applyProtection="1">
      <alignment horizontal="left" vertical="center" indent="1"/>
      <protection hidden="1"/>
    </xf>
    <xf numFmtId="0" fontId="13" fillId="0" borderId="69" xfId="0" quotePrefix="1" applyFont="1" applyFill="1" applyBorder="1" applyAlignment="1" applyProtection="1">
      <alignment horizontal="left" vertical="center" indent="1"/>
      <protection hidden="1"/>
    </xf>
    <xf numFmtId="0" fontId="13" fillId="0" borderId="70" xfId="0" quotePrefix="1" applyFont="1" applyFill="1" applyBorder="1" applyAlignment="1" applyProtection="1">
      <alignment horizontal="left" vertical="center" indent="1"/>
      <protection hidden="1"/>
    </xf>
    <xf numFmtId="0" fontId="13" fillId="2" borderId="44" xfId="0" applyFont="1" applyFill="1" applyBorder="1" applyAlignment="1" applyProtection="1">
      <alignment horizontal="center" vertical="center"/>
      <protection hidden="1"/>
    </xf>
    <xf numFmtId="0" fontId="13" fillId="2" borderId="69" xfId="0" applyFont="1" applyFill="1" applyBorder="1" applyAlignment="1" applyProtection="1">
      <alignment horizontal="center" vertical="center"/>
      <protection hidden="1"/>
    </xf>
    <xf numFmtId="0" fontId="13" fillId="2" borderId="70" xfId="0" applyFont="1" applyFill="1" applyBorder="1" applyAlignment="1" applyProtection="1">
      <alignment horizontal="center" vertical="center"/>
      <protection hidden="1"/>
    </xf>
    <xf numFmtId="0" fontId="13" fillId="3" borderId="44" xfId="0" applyFont="1" applyFill="1" applyBorder="1" applyAlignment="1" applyProtection="1">
      <alignment horizontal="center" vertical="center"/>
      <protection hidden="1"/>
    </xf>
    <xf numFmtId="0" fontId="13" fillId="3" borderId="69" xfId="0" applyFont="1" applyFill="1" applyBorder="1" applyAlignment="1" applyProtection="1">
      <alignment horizontal="center" vertical="center"/>
      <protection hidden="1"/>
    </xf>
    <xf numFmtId="0" fontId="13" fillId="3" borderId="70" xfId="0" applyFont="1" applyFill="1" applyBorder="1" applyAlignment="1" applyProtection="1">
      <alignment horizontal="center" vertical="center"/>
      <protection hidden="1"/>
    </xf>
    <xf numFmtId="0" fontId="13" fillId="2" borderId="34" xfId="0" applyFont="1" applyFill="1" applyBorder="1" applyAlignment="1" applyProtection="1">
      <alignment horizontal="center" vertical="center"/>
      <protection hidden="1"/>
    </xf>
    <xf numFmtId="0" fontId="13" fillId="9" borderId="24" xfId="0" applyFont="1" applyFill="1" applyBorder="1" applyAlignment="1" applyProtection="1">
      <alignment horizontal="center" vertical="top" wrapText="1"/>
      <protection hidden="1"/>
    </xf>
    <xf numFmtId="0" fontId="13" fillId="9" borderId="10" xfId="0" applyFont="1" applyFill="1" applyBorder="1" applyAlignment="1" applyProtection="1">
      <alignment horizontal="center" vertical="top" wrapText="1"/>
      <protection hidden="1"/>
    </xf>
    <xf numFmtId="0" fontId="13" fillId="5" borderId="8" xfId="0" applyFont="1" applyFill="1" applyBorder="1" applyAlignment="1" applyProtection="1">
      <alignment horizontal="left" vertical="center" wrapText="1" indent="1"/>
      <protection hidden="1"/>
    </xf>
    <xf numFmtId="171" fontId="13" fillId="5" borderId="71" xfId="12" applyNumberFormat="1" applyFont="1" applyFill="1" applyBorder="1" applyAlignment="1" applyProtection="1">
      <alignment horizontal="center" vertical="center" wrapText="1"/>
      <protection hidden="1"/>
    </xf>
    <xf numFmtId="171" fontId="13" fillId="5" borderId="66" xfId="12" applyNumberFormat="1" applyFont="1" applyFill="1" applyBorder="1" applyAlignment="1" applyProtection="1">
      <alignment horizontal="center" vertical="center" wrapText="1"/>
      <protection hidden="1"/>
    </xf>
    <xf numFmtId="0" fontId="13" fillId="5" borderId="71" xfId="0" applyFont="1" applyFill="1" applyBorder="1" applyAlignment="1" applyProtection="1">
      <alignment horizontal="center" vertical="center"/>
      <protection hidden="1"/>
    </xf>
    <xf numFmtId="0" fontId="13" fillId="5" borderId="66" xfId="0" applyFont="1" applyFill="1" applyBorder="1" applyAlignment="1" applyProtection="1">
      <alignment horizontal="center" vertical="center"/>
      <protection hidden="1"/>
    </xf>
    <xf numFmtId="171" fontId="13" fillId="5" borderId="69" xfId="0" applyNumberFormat="1" applyFont="1" applyFill="1" applyBorder="1" applyAlignment="1" applyProtection="1">
      <alignment horizontal="center" vertical="center"/>
      <protection hidden="1"/>
    </xf>
    <xf numFmtId="171" fontId="13" fillId="5" borderId="70" xfId="0" applyNumberFormat="1" applyFont="1" applyFill="1" applyBorder="1" applyAlignment="1" applyProtection="1">
      <alignment horizontal="center" vertical="center"/>
      <protection hidden="1"/>
    </xf>
    <xf numFmtId="0" fontId="13" fillId="0" borderId="44" xfId="0" applyNumberFormat="1" applyFont="1" applyFill="1" applyBorder="1" applyAlignment="1" applyProtection="1">
      <alignment horizontal="center" vertical="center"/>
      <protection hidden="1"/>
    </xf>
    <xf numFmtId="0" fontId="13" fillId="0" borderId="70" xfId="0" applyNumberFormat="1" applyFont="1" applyFill="1" applyBorder="1" applyAlignment="1" applyProtection="1">
      <alignment horizontal="center" vertical="center"/>
      <protection hidden="1"/>
    </xf>
    <xf numFmtId="171" fontId="13" fillId="5" borderId="0" xfId="0" applyNumberFormat="1" applyFont="1" applyFill="1" applyBorder="1" applyAlignment="1" applyProtection="1">
      <alignment horizontal="center" vertical="center"/>
      <protection hidden="1"/>
    </xf>
    <xf numFmtId="171" fontId="13" fillId="5" borderId="9" xfId="0" applyNumberFormat="1" applyFont="1" applyFill="1" applyBorder="1" applyAlignment="1" applyProtection="1">
      <alignment horizontal="center" vertical="center"/>
      <protection hidden="1"/>
    </xf>
    <xf numFmtId="171" fontId="13" fillId="5" borderId="0" xfId="0" applyNumberFormat="1" applyFont="1" applyFill="1" applyBorder="1" applyAlignment="1" applyProtection="1">
      <alignment horizontal="center" vertical="top" wrapText="1"/>
      <protection hidden="1"/>
    </xf>
    <xf numFmtId="171" fontId="13" fillId="5" borderId="10" xfId="0" applyNumberFormat="1" applyFont="1" applyFill="1" applyBorder="1" applyAlignment="1" applyProtection="1">
      <alignment horizontal="center" vertical="top" wrapText="1"/>
      <protection hidden="1"/>
    </xf>
    <xf numFmtId="171" fontId="13" fillId="5" borderId="72" xfId="0" applyNumberFormat="1" applyFont="1" applyFill="1" applyBorder="1" applyAlignment="1" applyProtection="1">
      <alignment horizontal="center" vertical="top" wrapText="1"/>
      <protection hidden="1"/>
    </xf>
    <xf numFmtId="0" fontId="12" fillId="5" borderId="66" xfId="0" applyFont="1" applyFill="1" applyBorder="1" applyAlignment="1" applyProtection="1">
      <alignment horizontal="center" vertical="top" wrapText="1"/>
      <protection hidden="1"/>
    </xf>
    <xf numFmtId="0" fontId="13" fillId="0" borderId="69" xfId="0" applyNumberFormat="1" applyFont="1" applyFill="1" applyBorder="1" applyAlignment="1" applyProtection="1">
      <alignment horizontal="center" vertical="center"/>
      <protection hidden="1"/>
    </xf>
    <xf numFmtId="171" fontId="13" fillId="9" borderId="71" xfId="0" applyNumberFormat="1" applyFont="1" applyFill="1" applyBorder="1" applyAlignment="1" applyProtection="1">
      <alignment horizontal="center" vertical="top"/>
      <protection hidden="1"/>
    </xf>
    <xf numFmtId="171" fontId="13" fillId="9" borderId="66" xfId="0" applyNumberFormat="1" applyFont="1" applyFill="1" applyBorder="1" applyAlignment="1" applyProtection="1">
      <alignment horizontal="center" vertical="top"/>
      <protection hidden="1"/>
    </xf>
    <xf numFmtId="171" fontId="13" fillId="5" borderId="24" xfId="0" applyNumberFormat="1" applyFont="1" applyFill="1" applyBorder="1" applyAlignment="1" applyProtection="1">
      <alignment horizontal="center" vertical="top" wrapText="1"/>
      <protection hidden="1"/>
    </xf>
    <xf numFmtId="171" fontId="13" fillId="5" borderId="71" xfId="0" applyNumberFormat="1" applyFont="1" applyFill="1" applyBorder="1" applyAlignment="1" applyProtection="1">
      <alignment horizontal="center" vertical="center"/>
      <protection hidden="1"/>
    </xf>
    <xf numFmtId="171" fontId="13" fillId="5" borderId="66" xfId="0" applyNumberFormat="1" applyFont="1" applyFill="1" applyBorder="1" applyAlignment="1" applyProtection="1">
      <alignment horizontal="center" vertical="center"/>
      <protection hidden="1"/>
    </xf>
    <xf numFmtId="0" fontId="23" fillId="5" borderId="24" xfId="0" applyFont="1" applyFill="1" applyBorder="1" applyAlignment="1" applyProtection="1">
      <alignment horizontal="center" vertical="center"/>
      <protection hidden="1"/>
    </xf>
    <xf numFmtId="0" fontId="23" fillId="5" borderId="10" xfId="0" applyFont="1" applyFill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center" vertical="center"/>
      <protection hidden="1"/>
    </xf>
    <xf numFmtId="171" fontId="13" fillId="5" borderId="21" xfId="0" applyNumberFormat="1" applyFont="1" applyFill="1" applyBorder="1" applyAlignment="1" applyProtection="1">
      <alignment horizontal="center" vertical="top" wrapText="1"/>
      <protection hidden="1"/>
    </xf>
    <xf numFmtId="171" fontId="13" fillId="5" borderId="9" xfId="0" applyNumberFormat="1" applyFont="1" applyFill="1" applyBorder="1" applyAlignment="1" applyProtection="1">
      <alignment horizontal="center" vertical="top" wrapText="1"/>
      <protection hidden="1"/>
    </xf>
    <xf numFmtId="171" fontId="13" fillId="5" borderId="22" xfId="0" applyNumberFormat="1" applyFont="1" applyFill="1" applyBorder="1" applyAlignment="1" applyProtection="1">
      <alignment horizontal="center" vertical="top" wrapText="1"/>
      <protection hidden="1"/>
    </xf>
    <xf numFmtId="171" fontId="13" fillId="5" borderId="4" xfId="0" applyNumberFormat="1" applyFont="1" applyFill="1" applyBorder="1" applyAlignment="1" applyProtection="1">
      <alignment horizontal="center" vertical="top" wrapText="1"/>
      <protection hidden="1"/>
    </xf>
    <xf numFmtId="171" fontId="13" fillId="5" borderId="71" xfId="0" applyNumberFormat="1" applyFont="1" applyFill="1" applyBorder="1" applyAlignment="1" applyProtection="1">
      <alignment horizontal="center" vertical="top" wrapText="1"/>
      <protection hidden="1"/>
    </xf>
    <xf numFmtId="0" fontId="32" fillId="9" borderId="72" xfId="73" applyFont="1" applyFill="1" applyBorder="1" applyAlignment="1" applyProtection="1">
      <alignment horizontal="center" vertical="center"/>
      <protection hidden="1"/>
    </xf>
    <xf numFmtId="0" fontId="32" fillId="9" borderId="66" xfId="73" applyFont="1" applyFill="1" applyBorder="1" applyAlignment="1" applyProtection="1">
      <alignment horizontal="center" vertical="center"/>
      <protection hidden="1"/>
    </xf>
    <xf numFmtId="0" fontId="32" fillId="0" borderId="44" xfId="73" applyFont="1" applyFill="1" applyBorder="1" applyAlignment="1" applyProtection="1">
      <alignment horizontal="center" vertical="center"/>
      <protection hidden="1"/>
    </xf>
    <xf numFmtId="0" fontId="32" fillId="0" borderId="69" xfId="73" applyFont="1" applyFill="1" applyBorder="1" applyAlignment="1" applyProtection="1">
      <alignment horizontal="center" vertical="center"/>
      <protection hidden="1"/>
    </xf>
    <xf numFmtId="0" fontId="32" fillId="0" borderId="70" xfId="73" applyFont="1" applyFill="1" applyBorder="1" applyAlignment="1" applyProtection="1">
      <alignment horizontal="center" vertical="center"/>
      <protection hidden="1"/>
    </xf>
    <xf numFmtId="0" fontId="32" fillId="9" borderId="73" xfId="73" applyFont="1" applyFill="1" applyBorder="1" applyAlignment="1" applyProtection="1">
      <alignment horizontal="center" vertical="center"/>
      <protection hidden="1"/>
    </xf>
    <xf numFmtId="0" fontId="32" fillId="9" borderId="71" xfId="73" applyFont="1" applyFill="1" applyBorder="1" applyAlignment="1" applyProtection="1">
      <alignment horizontal="center" vertical="center"/>
      <protection hidden="1"/>
    </xf>
    <xf numFmtId="0" fontId="67" fillId="9" borderId="44" xfId="165" applyFont="1" applyFill="1" applyBorder="1" applyAlignment="1" applyProtection="1">
      <alignment horizontal="center" vertical="center"/>
      <protection hidden="1"/>
    </xf>
    <xf numFmtId="0" fontId="67" fillId="9" borderId="70" xfId="165" applyFont="1" applyFill="1" applyBorder="1" applyAlignment="1" applyProtection="1">
      <alignment horizontal="center" vertical="center"/>
      <protection hidden="1"/>
    </xf>
    <xf numFmtId="171" fontId="15" fillId="0" borderId="24" xfId="14" applyNumberFormat="1" applyFont="1" applyFill="1" applyBorder="1" applyAlignment="1" applyProtection="1">
      <alignment horizontal="center" vertical="center" wrapText="1"/>
      <protection hidden="1"/>
    </xf>
    <xf numFmtId="171" fontId="15" fillId="0" borderId="10" xfId="14" applyNumberFormat="1" applyFont="1" applyFill="1" applyBorder="1" applyAlignment="1" applyProtection="1">
      <alignment horizontal="center" vertical="center" wrapText="1"/>
      <protection hidden="1"/>
    </xf>
    <xf numFmtId="0" fontId="15" fillId="0" borderId="73" xfId="14" applyNumberFormat="1" applyFont="1" applyFill="1" applyBorder="1" applyAlignment="1" applyProtection="1">
      <alignment horizontal="center" vertical="center" wrapText="1"/>
      <protection hidden="1"/>
    </xf>
    <xf numFmtId="0" fontId="15" fillId="0" borderId="72" xfId="14" applyNumberFormat="1" applyFont="1" applyFill="1" applyBorder="1" applyAlignment="1" applyProtection="1">
      <alignment horizontal="center" vertical="center" wrapText="1"/>
      <protection hidden="1"/>
    </xf>
    <xf numFmtId="0" fontId="15" fillId="0" borderId="66" xfId="14" applyNumberFormat="1" applyFont="1" applyFill="1" applyBorder="1" applyAlignment="1" applyProtection="1">
      <alignment horizontal="center" vertical="center" wrapText="1"/>
      <protection hidden="1"/>
    </xf>
    <xf numFmtId="3" fontId="15" fillId="0" borderId="154" xfId="14" applyNumberFormat="1" applyFont="1" applyFill="1" applyBorder="1" applyAlignment="1" applyProtection="1">
      <alignment horizontal="center" vertical="top" wrapText="1"/>
      <protection hidden="1"/>
    </xf>
    <xf numFmtId="3" fontId="15" fillId="0" borderId="161" xfId="14" applyNumberFormat="1" applyFont="1" applyFill="1" applyBorder="1" applyAlignment="1" applyProtection="1">
      <alignment horizontal="center" vertical="top" wrapText="1"/>
      <protection hidden="1"/>
    </xf>
    <xf numFmtId="3" fontId="15" fillId="0" borderId="152" xfId="14" applyNumberFormat="1" applyFont="1" applyFill="1" applyBorder="1" applyAlignment="1" applyProtection="1">
      <alignment horizontal="center" vertical="top" wrapText="1"/>
      <protection hidden="1"/>
    </xf>
    <xf numFmtId="3" fontId="15" fillId="0" borderId="126" xfId="14" applyNumberFormat="1" applyFont="1" applyFill="1" applyBorder="1" applyAlignment="1" applyProtection="1">
      <alignment horizontal="center" vertical="top" wrapText="1"/>
      <protection hidden="1"/>
    </xf>
    <xf numFmtId="0" fontId="13" fillId="0" borderId="71" xfId="158" applyFont="1" applyBorder="1" applyAlignment="1" applyProtection="1">
      <alignment horizontal="center" vertical="center"/>
      <protection hidden="1"/>
    </xf>
    <xf numFmtId="0" fontId="13" fillId="0" borderId="72" xfId="158" applyFont="1" applyBorder="1" applyAlignment="1" applyProtection="1">
      <alignment horizontal="center" vertical="center"/>
      <protection hidden="1"/>
    </xf>
    <xf numFmtId="0" fontId="13" fillId="0" borderId="66" xfId="158" applyFont="1" applyBorder="1" applyAlignment="1" applyProtection="1">
      <alignment horizontal="center" vertical="center"/>
      <protection hidden="1"/>
    </xf>
    <xf numFmtId="3" fontId="15" fillId="0" borderId="157" xfId="14" applyNumberFormat="1" applyFont="1" applyFill="1" applyBorder="1" applyAlignment="1" applyProtection="1">
      <alignment horizontal="center" vertical="top" wrapText="1"/>
      <protection hidden="1"/>
    </xf>
    <xf numFmtId="3" fontId="15" fillId="0" borderId="162" xfId="14" applyNumberFormat="1" applyFont="1" applyFill="1" applyBorder="1" applyAlignment="1" applyProtection="1">
      <alignment horizontal="center" vertical="top" wrapText="1"/>
      <protection hidden="1"/>
    </xf>
    <xf numFmtId="3" fontId="15" fillId="0" borderId="176" xfId="14" applyNumberFormat="1" applyFont="1" applyFill="1" applyBorder="1" applyAlignment="1" applyProtection="1">
      <alignment horizontal="center" vertical="top" wrapText="1"/>
      <protection hidden="1"/>
    </xf>
    <xf numFmtId="3" fontId="15" fillId="0" borderId="0" xfId="14" applyNumberFormat="1" applyFont="1" applyFill="1" applyBorder="1" applyAlignment="1" applyProtection="1">
      <alignment horizontal="center" vertical="top" wrapText="1"/>
      <protection hidden="1"/>
    </xf>
    <xf numFmtId="171" fontId="15" fillId="0" borderId="71" xfId="14" applyNumberFormat="1" applyFont="1" applyFill="1" applyBorder="1" applyAlignment="1" applyProtection="1">
      <alignment horizontal="center" vertical="center"/>
      <protection hidden="1"/>
    </xf>
    <xf numFmtId="171" fontId="15" fillId="0" borderId="72" xfId="14" applyNumberFormat="1" applyFont="1" applyFill="1" applyBorder="1" applyAlignment="1" applyProtection="1">
      <alignment horizontal="center" vertical="center"/>
      <protection hidden="1"/>
    </xf>
    <xf numFmtId="171" fontId="15" fillId="0" borderId="66" xfId="14" applyNumberFormat="1" applyFont="1" applyFill="1" applyBorder="1" applyAlignment="1" applyProtection="1">
      <alignment horizontal="center" vertical="center"/>
      <protection hidden="1"/>
    </xf>
    <xf numFmtId="0" fontId="13" fillId="0" borderId="37" xfId="158" applyFont="1" applyBorder="1" applyAlignment="1" applyProtection="1">
      <alignment horizontal="center" vertical="center"/>
      <protection hidden="1"/>
    </xf>
    <xf numFmtId="0" fontId="13" fillId="0" borderId="159" xfId="158" applyFont="1" applyBorder="1" applyAlignment="1" applyProtection="1">
      <alignment horizontal="center" vertical="center"/>
      <protection hidden="1"/>
    </xf>
    <xf numFmtId="0" fontId="13" fillId="0" borderId="34" xfId="158" applyFont="1" applyBorder="1" applyAlignment="1" applyProtection="1">
      <alignment horizontal="center" vertical="center" wrapText="1"/>
      <protection hidden="1"/>
    </xf>
    <xf numFmtId="0" fontId="13" fillId="0" borderId="57" xfId="158" applyFont="1" applyBorder="1" applyAlignment="1" applyProtection="1">
      <alignment horizontal="center" vertical="center" wrapText="1"/>
      <protection hidden="1"/>
    </xf>
    <xf numFmtId="0" fontId="13" fillId="0" borderId="35" xfId="158" applyFont="1" applyBorder="1" applyAlignment="1" applyProtection="1">
      <alignment horizontal="center" vertical="center" wrapText="1"/>
      <protection hidden="1"/>
    </xf>
    <xf numFmtId="0" fontId="13" fillId="0" borderId="37" xfId="158" applyNumberFormat="1" applyFont="1" applyFill="1" applyBorder="1" applyAlignment="1" applyProtection="1">
      <alignment horizontal="center" vertical="center"/>
      <protection hidden="1"/>
    </xf>
    <xf numFmtId="0" fontId="13" fillId="0" borderId="153" xfId="158" applyNumberFormat="1" applyFont="1" applyFill="1" applyBorder="1" applyAlignment="1" applyProtection="1">
      <alignment horizontal="center" vertical="center"/>
      <protection hidden="1"/>
    </xf>
    <xf numFmtId="0" fontId="13" fillId="0" borderId="159" xfId="158" applyNumberFormat="1" applyFont="1" applyFill="1" applyBorder="1" applyAlignment="1" applyProtection="1">
      <alignment horizontal="center" vertical="center"/>
      <protection hidden="1"/>
    </xf>
    <xf numFmtId="0" fontId="13" fillId="0" borderId="153" xfId="158" applyFont="1" applyBorder="1" applyAlignment="1" applyProtection="1">
      <alignment horizontal="center" vertical="center"/>
      <protection hidden="1"/>
    </xf>
    <xf numFmtId="0" fontId="13" fillId="0" borderId="155" xfId="158" applyNumberFormat="1" applyFont="1" applyFill="1" applyBorder="1" applyAlignment="1" applyProtection="1">
      <alignment horizontal="center" vertical="top" wrapText="1"/>
      <protection hidden="1"/>
    </xf>
    <xf numFmtId="0" fontId="13" fillId="0" borderId="4" xfId="158" applyNumberFormat="1" applyFont="1" applyFill="1" applyBorder="1" applyAlignment="1" applyProtection="1">
      <alignment horizontal="center" vertical="top" wrapText="1"/>
      <protection hidden="1"/>
    </xf>
    <xf numFmtId="0" fontId="13" fillId="0" borderId="156" xfId="158" applyNumberFormat="1" applyFont="1" applyFill="1" applyBorder="1" applyAlignment="1" applyProtection="1">
      <alignment horizontal="center" vertical="center"/>
      <protection hidden="1"/>
    </xf>
    <xf numFmtId="0" fontId="13" fillId="0" borderId="58" xfId="158" applyFont="1" applyBorder="1" applyAlignment="1" applyProtection="1">
      <alignment horizontal="center" vertical="top" wrapText="1"/>
      <protection hidden="1"/>
    </xf>
    <xf numFmtId="0" fontId="13" fillId="0" borderId="40" xfId="158" applyFont="1" applyBorder="1" applyAlignment="1" applyProtection="1">
      <alignment horizontal="center" vertical="top" wrapText="1"/>
      <protection hidden="1"/>
    </xf>
    <xf numFmtId="0" fontId="13" fillId="0" borderId="156" xfId="158" applyFont="1" applyBorder="1" applyAlignment="1" applyProtection="1">
      <alignment horizontal="center" vertical="center"/>
      <protection hidden="1"/>
    </xf>
    <xf numFmtId="174" fontId="13" fillId="0" borderId="154" xfId="5" applyNumberFormat="1" applyFont="1" applyFill="1" applyBorder="1" applyAlignment="1" applyProtection="1">
      <alignment horizontal="center" vertical="top" wrapText="1"/>
      <protection hidden="1"/>
    </xf>
    <xf numFmtId="174" fontId="13" fillId="0" borderId="161" xfId="5" applyNumberFormat="1" applyFont="1" applyFill="1" applyBorder="1" applyAlignment="1" applyProtection="1">
      <alignment horizontal="center" vertical="top" wrapText="1"/>
      <protection hidden="1"/>
    </xf>
    <xf numFmtId="0" fontId="13" fillId="0" borderId="154" xfId="158" applyNumberFormat="1" applyFont="1" applyFill="1" applyBorder="1" applyAlignment="1" applyProtection="1">
      <alignment horizontal="center" vertical="top" wrapText="1"/>
      <protection hidden="1"/>
    </xf>
    <xf numFmtId="0" fontId="13" fillId="0" borderId="161" xfId="158" applyNumberFormat="1" applyFont="1" applyFill="1" applyBorder="1" applyAlignment="1" applyProtection="1">
      <alignment horizontal="center" vertical="top" wrapText="1"/>
      <protection hidden="1"/>
    </xf>
    <xf numFmtId="0" fontId="13" fillId="0" borderId="157" xfId="158" applyNumberFormat="1" applyFont="1" applyFill="1" applyBorder="1" applyAlignment="1" applyProtection="1">
      <alignment horizontal="center" vertical="top" wrapText="1"/>
      <protection hidden="1"/>
    </xf>
    <xf numFmtId="0" fontId="13" fillId="0" borderId="162" xfId="158" applyNumberFormat="1" applyFont="1" applyFill="1" applyBorder="1" applyAlignment="1" applyProtection="1">
      <alignment horizontal="center" vertical="top" wrapText="1"/>
      <protection hidden="1"/>
    </xf>
    <xf numFmtId="0" fontId="13" fillId="0" borderId="8" xfId="158" applyFont="1" applyBorder="1" applyAlignment="1" applyProtection="1">
      <alignment horizontal="center" vertical="center"/>
      <protection hidden="1"/>
    </xf>
    <xf numFmtId="0" fontId="13" fillId="0" borderId="9" xfId="158" applyFont="1" applyBorder="1" applyAlignment="1" applyProtection="1">
      <alignment horizontal="center" vertical="center"/>
      <protection hidden="1"/>
    </xf>
    <xf numFmtId="0" fontId="13" fillId="0" borderId="155" xfId="158" applyFont="1" applyBorder="1" applyAlignment="1" applyProtection="1">
      <alignment horizontal="center" vertical="top" wrapText="1"/>
      <protection hidden="1"/>
    </xf>
    <xf numFmtId="0" fontId="13" fillId="0" borderId="4" xfId="158" applyFont="1" applyBorder="1" applyAlignment="1" applyProtection="1">
      <alignment horizontal="center" vertical="top" wrapText="1"/>
      <protection hidden="1"/>
    </xf>
    <xf numFmtId="0" fontId="13" fillId="0" borderId="155" xfId="5" applyNumberFormat="1" applyFont="1" applyFill="1" applyBorder="1" applyAlignment="1" applyProtection="1">
      <alignment horizontal="center" vertical="top" wrapText="1"/>
      <protection hidden="1"/>
    </xf>
    <xf numFmtId="0" fontId="13" fillId="0" borderId="4" xfId="5" applyNumberFormat="1" applyFont="1" applyFill="1" applyBorder="1" applyAlignment="1" applyProtection="1">
      <alignment horizontal="center" vertical="top" wrapText="1"/>
      <protection hidden="1"/>
    </xf>
    <xf numFmtId="0" fontId="13" fillId="0" borderId="154" xfId="5" applyNumberFormat="1" applyFont="1" applyFill="1" applyBorder="1" applyAlignment="1" applyProtection="1">
      <alignment horizontal="center" vertical="top" wrapText="1"/>
      <protection hidden="1"/>
    </xf>
    <xf numFmtId="0" fontId="13" fillId="0" borderId="161" xfId="5" applyNumberFormat="1" applyFont="1" applyFill="1" applyBorder="1" applyAlignment="1" applyProtection="1">
      <alignment horizontal="center" vertical="top" wrapText="1"/>
      <protection hidden="1"/>
    </xf>
    <xf numFmtId="0" fontId="13" fillId="0" borderId="156" xfId="158" applyNumberFormat="1" applyFont="1" applyBorder="1" applyAlignment="1" applyProtection="1">
      <alignment horizontal="center" vertical="center" wrapText="1"/>
      <protection hidden="1"/>
    </xf>
    <xf numFmtId="0" fontId="13" fillId="0" borderId="153" xfId="158" applyNumberFormat="1" applyFont="1" applyBorder="1" applyAlignment="1" applyProtection="1">
      <alignment horizontal="center" vertical="center" wrapText="1"/>
      <protection hidden="1"/>
    </xf>
    <xf numFmtId="0" fontId="13" fillId="0" borderId="158" xfId="158" applyNumberFormat="1" applyFont="1" applyBorder="1" applyAlignment="1" applyProtection="1">
      <alignment horizontal="center" vertical="center" wrapText="1"/>
      <protection hidden="1"/>
    </xf>
    <xf numFmtId="0" fontId="13" fillId="0" borderId="71" xfId="157" applyFont="1" applyBorder="1" applyAlignment="1" applyProtection="1">
      <alignment horizontal="center" vertical="center"/>
      <protection hidden="1"/>
    </xf>
    <xf numFmtId="0" fontId="13" fillId="0" borderId="72" xfId="157" applyFont="1" applyBorder="1" applyAlignment="1" applyProtection="1">
      <alignment horizontal="center" vertical="center"/>
      <protection hidden="1"/>
    </xf>
    <xf numFmtId="0" fontId="13" fillId="0" borderId="66" xfId="157" applyFont="1" applyBorder="1" applyAlignment="1" applyProtection="1">
      <alignment horizontal="center" vertical="center"/>
      <protection hidden="1"/>
    </xf>
    <xf numFmtId="0" fontId="13" fillId="0" borderId="37" xfId="157" applyFont="1" applyFill="1" applyBorder="1" applyAlignment="1" applyProtection="1">
      <alignment horizontal="center" vertical="top" wrapText="1"/>
      <protection hidden="1"/>
    </xf>
    <xf numFmtId="0" fontId="13" fillId="0" borderId="159" xfId="157" applyFont="1" applyFill="1" applyBorder="1" applyAlignment="1" applyProtection="1">
      <alignment horizontal="center" vertical="top" wrapText="1"/>
      <protection hidden="1"/>
    </xf>
    <xf numFmtId="0" fontId="13" fillId="0" borderId="37" xfId="157" applyFont="1" applyFill="1" applyBorder="1" applyAlignment="1" applyProtection="1">
      <alignment horizontal="center" vertical="top"/>
      <protection hidden="1"/>
    </xf>
    <xf numFmtId="0" fontId="13" fillId="0" borderId="159" xfId="157" applyFont="1" applyFill="1" applyBorder="1" applyAlignment="1" applyProtection="1">
      <alignment horizontal="center" vertical="top"/>
      <protection hidden="1"/>
    </xf>
    <xf numFmtId="0" fontId="13" fillId="0" borderId="37" xfId="8" applyNumberFormat="1" applyFont="1" applyBorder="1" applyAlignment="1" applyProtection="1">
      <alignment horizontal="center" vertical="top" wrapText="1"/>
      <protection hidden="1"/>
    </xf>
    <xf numFmtId="0" fontId="13" fillId="0" borderId="159" xfId="8" applyNumberFormat="1" applyFont="1" applyBorder="1" applyAlignment="1" applyProtection="1">
      <alignment horizontal="center" vertical="top" wrapText="1"/>
      <protection hidden="1"/>
    </xf>
    <xf numFmtId="0" fontId="15" fillId="0" borderId="19" xfId="14" applyFont="1" applyBorder="1" applyAlignment="1" applyProtection="1">
      <alignment horizontal="center" vertical="center"/>
      <protection hidden="1"/>
    </xf>
    <xf numFmtId="0" fontId="15" fillId="0" borderId="55" xfId="14" applyFont="1" applyBorder="1" applyAlignment="1" applyProtection="1">
      <alignment horizontal="center" vertical="center"/>
      <protection hidden="1"/>
    </xf>
    <xf numFmtId="171" fontId="15" fillId="0" borderId="73" xfId="14" applyNumberFormat="1" applyFont="1" applyFill="1" applyBorder="1" applyAlignment="1" applyProtection="1">
      <alignment horizontal="center" vertical="center"/>
      <protection hidden="1"/>
    </xf>
    <xf numFmtId="0" fontId="13" fillId="0" borderId="157" xfId="14" applyFont="1" applyBorder="1" applyAlignment="1" applyProtection="1">
      <alignment horizontal="center" vertical="top" wrapText="1"/>
      <protection hidden="1"/>
    </xf>
    <xf numFmtId="0" fontId="13" fillId="0" borderId="162" xfId="14" applyFont="1" applyBorder="1" applyAlignment="1" applyProtection="1">
      <alignment horizontal="center" vertical="top" wrapText="1"/>
      <protection hidden="1"/>
    </xf>
  </cellXfs>
  <cellStyles count="166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lumn Header" xfId="42" xr:uid="{00000000-0005-0000-0000-00001B000000}"/>
    <cellStyle name="Comma 10" xfId="159" xr:uid="{00000000-0005-0000-0000-00001C000000}"/>
    <cellStyle name="Comma 2" xfId="1" xr:uid="{00000000-0005-0000-0000-00001D000000}"/>
    <cellStyle name="Comma 2 2" xfId="2" xr:uid="{00000000-0005-0000-0000-00001E000000}"/>
    <cellStyle name="Comma 3" xfId="3" xr:uid="{00000000-0005-0000-0000-00001F000000}"/>
    <cellStyle name="Comma 3 2" xfId="43" xr:uid="{00000000-0005-0000-0000-000020000000}"/>
    <cellStyle name="Comma 3 3" xfId="13" xr:uid="{00000000-0005-0000-0000-000021000000}"/>
    <cellStyle name="Comma 4" xfId="44" xr:uid="{00000000-0005-0000-0000-000022000000}"/>
    <cellStyle name="Comma 4 2" xfId="45" xr:uid="{00000000-0005-0000-0000-000023000000}"/>
    <cellStyle name="Comma 5" xfId="46" xr:uid="{00000000-0005-0000-0000-000024000000}"/>
    <cellStyle name="Comma 5 2" xfId="47" xr:uid="{00000000-0005-0000-0000-000025000000}"/>
    <cellStyle name="Comma 6" xfId="48" xr:uid="{00000000-0005-0000-0000-000026000000}"/>
    <cellStyle name="Comma 7" xfId="49" xr:uid="{00000000-0005-0000-0000-000027000000}"/>
    <cellStyle name="Comma 7 2" xfId="50" xr:uid="{00000000-0005-0000-0000-000028000000}"/>
    <cellStyle name="Comma 8" xfId="51" xr:uid="{00000000-0005-0000-0000-000029000000}"/>
    <cellStyle name="Comma 9" xfId="160" xr:uid="{00000000-0005-0000-0000-00002A000000}"/>
    <cellStyle name="Currency 2" xfId="52" xr:uid="{00000000-0005-0000-0000-00002B000000}"/>
    <cellStyle name="Data (0 dp)" xfId="53" xr:uid="{00000000-0005-0000-0000-00002C000000}"/>
    <cellStyle name="Data (1 dp)" xfId="54" xr:uid="{00000000-0005-0000-0000-00002D000000}"/>
    <cellStyle name="Data (2 dp)" xfId="55" xr:uid="{00000000-0005-0000-0000-00002E000000}"/>
    <cellStyle name="Data General" xfId="56" xr:uid="{00000000-0005-0000-0000-00002F000000}"/>
    <cellStyle name="Explanatory Text 2" xfId="57" xr:uid="{00000000-0005-0000-0000-000030000000}"/>
    <cellStyle name="Footnote" xfId="58" xr:uid="{00000000-0005-0000-0000-000031000000}"/>
    <cellStyle name="Good 2" xfId="59" xr:uid="{00000000-0005-0000-0000-000032000000}"/>
    <cellStyle name="Heading 1 2" xfId="60" xr:uid="{00000000-0005-0000-0000-000033000000}"/>
    <cellStyle name="Heading 2 2" xfId="61" xr:uid="{00000000-0005-0000-0000-000034000000}"/>
    <cellStyle name="Heading 3 2" xfId="62" xr:uid="{00000000-0005-0000-0000-000035000000}"/>
    <cellStyle name="Heading 4 2" xfId="63" xr:uid="{00000000-0005-0000-0000-000036000000}"/>
    <cellStyle name="Hyperlink 2" xfId="64" xr:uid="{00000000-0005-0000-0000-000037000000}"/>
    <cellStyle name="Hyperlink 2 2" xfId="65" xr:uid="{00000000-0005-0000-0000-000038000000}"/>
    <cellStyle name="Hyperlink 3" xfId="66" xr:uid="{00000000-0005-0000-0000-000039000000}"/>
    <cellStyle name="Hyperlink 4" xfId="67" xr:uid="{00000000-0005-0000-0000-00003A000000}"/>
    <cellStyle name="Hyperlink 5" xfId="68" xr:uid="{00000000-0005-0000-0000-00003B000000}"/>
    <cellStyle name="Input 2" xfId="69" xr:uid="{00000000-0005-0000-0000-00003C000000}"/>
    <cellStyle name="Linked Cell 2" xfId="70" xr:uid="{00000000-0005-0000-0000-00003D000000}"/>
    <cellStyle name="Neutral 2" xfId="71" xr:uid="{00000000-0005-0000-0000-00003E000000}"/>
    <cellStyle name="Normal" xfId="0" builtinId="0"/>
    <cellStyle name="Normal 10" xfId="72" xr:uid="{00000000-0005-0000-0000-000040000000}"/>
    <cellStyle name="Normal 11" xfId="73" xr:uid="{00000000-0005-0000-0000-000041000000}"/>
    <cellStyle name="Normal 11 2" xfId="161" xr:uid="{00000000-0005-0000-0000-000042000000}"/>
    <cellStyle name="Normal 12" xfId="74" xr:uid="{00000000-0005-0000-0000-000043000000}"/>
    <cellStyle name="Normal 13" xfId="75" xr:uid="{00000000-0005-0000-0000-000044000000}"/>
    <cellStyle name="Normal 14" xfId="76" xr:uid="{00000000-0005-0000-0000-000045000000}"/>
    <cellStyle name="Normal 15" xfId="77" xr:uid="{00000000-0005-0000-0000-000046000000}"/>
    <cellStyle name="Normal 15 2" xfId="78" xr:uid="{00000000-0005-0000-0000-000047000000}"/>
    <cellStyle name="Normal 16" xfId="79" xr:uid="{00000000-0005-0000-0000-000048000000}"/>
    <cellStyle name="Normal 16 2" xfId="80" xr:uid="{00000000-0005-0000-0000-000049000000}"/>
    <cellStyle name="Normal 17" xfId="157" xr:uid="{00000000-0005-0000-0000-00004A000000}"/>
    <cellStyle name="Normal 18" xfId="162" xr:uid="{00000000-0005-0000-0000-00004B000000}"/>
    <cellStyle name="Normal 19" xfId="163" xr:uid="{00000000-0005-0000-0000-00004C000000}"/>
    <cellStyle name="Normal 2" xfId="4" xr:uid="{00000000-0005-0000-0000-00004D000000}"/>
    <cellStyle name="Normal 2 2" xfId="5" xr:uid="{00000000-0005-0000-0000-00004E000000}"/>
    <cellStyle name="Normal 2 3" xfId="12" xr:uid="{00000000-0005-0000-0000-00004F000000}"/>
    <cellStyle name="Normal 2 4" xfId="81" xr:uid="{00000000-0005-0000-0000-000050000000}"/>
    <cellStyle name="Normal 2 5" xfId="82" xr:uid="{00000000-0005-0000-0000-000051000000}"/>
    <cellStyle name="Normal 2_GFU and SSI Teaching Grants for 2012-13, Additional Science inc STEM" xfId="83" xr:uid="{00000000-0005-0000-0000-000052000000}"/>
    <cellStyle name="Normal 2_RUK by FSG, 08-09 to 10-11" xfId="11" xr:uid="{00000000-0005-0000-0000-000053000000}"/>
    <cellStyle name="Normal 20" xfId="165" xr:uid="{00000000-0005-0000-0000-000054000000}"/>
    <cellStyle name="Normal 3" xfId="6" xr:uid="{00000000-0005-0000-0000-000055000000}"/>
    <cellStyle name="Normal 3 2" xfId="84" xr:uid="{00000000-0005-0000-0000-000056000000}"/>
    <cellStyle name="Normal 3 3" xfId="85" xr:uid="{00000000-0005-0000-0000-000057000000}"/>
    <cellStyle name="Normal 3 4" xfId="86" xr:uid="{00000000-0005-0000-0000-000058000000}"/>
    <cellStyle name="Normal 3_GFU and SSI Teaching Grants for 2012-13, Additional Science inc STEM" xfId="87" xr:uid="{00000000-0005-0000-0000-000059000000}"/>
    <cellStyle name="Normal 4" xfId="14" xr:uid="{00000000-0005-0000-0000-00005A000000}"/>
    <cellStyle name="Normal 4 2" xfId="88" xr:uid="{00000000-0005-0000-0000-00005B000000}"/>
    <cellStyle name="Normal 4 2 2" xfId="89" xr:uid="{00000000-0005-0000-0000-00005C000000}"/>
    <cellStyle name="Normal 4 2 2 2" xfId="90" xr:uid="{00000000-0005-0000-0000-00005D000000}"/>
    <cellStyle name="Normal 4 3" xfId="91" xr:uid="{00000000-0005-0000-0000-00005E000000}"/>
    <cellStyle name="Normal 4 4" xfId="158" xr:uid="{00000000-0005-0000-0000-00005F000000}"/>
    <cellStyle name="Normal 4_GFU and SSI Teaching Grants for 2012-13, Additional Science inc STEM" xfId="92" xr:uid="{00000000-0005-0000-0000-000060000000}"/>
    <cellStyle name="Normal 5" xfId="93" xr:uid="{00000000-0005-0000-0000-000061000000}"/>
    <cellStyle name="Normal 5 2" xfId="94" xr:uid="{00000000-0005-0000-0000-000062000000}"/>
    <cellStyle name="Normal 5 3" xfId="95" xr:uid="{00000000-0005-0000-0000-000063000000}"/>
    <cellStyle name="Normal 5 3 2" xfId="96" xr:uid="{00000000-0005-0000-0000-000064000000}"/>
    <cellStyle name="Normal 5 3_GFU and SSI Teaching Grants for 2012-13, Additional Science inc STEM" xfId="97" xr:uid="{00000000-0005-0000-0000-000065000000}"/>
    <cellStyle name="Normal 5_GFU and SSI Teaching Grants for 2012-13, Additional Science inc STEM" xfId="98" xr:uid="{00000000-0005-0000-0000-000066000000}"/>
    <cellStyle name="Normal 6" xfId="99" xr:uid="{00000000-0005-0000-0000-000067000000}"/>
    <cellStyle name="Normal 6 2" xfId="100" xr:uid="{00000000-0005-0000-0000-000068000000}"/>
    <cellStyle name="Normal 6 2 2" xfId="101" xr:uid="{00000000-0005-0000-0000-000069000000}"/>
    <cellStyle name="Normal 6 3" xfId="102" xr:uid="{00000000-0005-0000-0000-00006A000000}"/>
    <cellStyle name="Normal 7" xfId="103" xr:uid="{00000000-0005-0000-0000-00006B000000}"/>
    <cellStyle name="Normal 7 2" xfId="104" xr:uid="{00000000-0005-0000-0000-00006C000000}"/>
    <cellStyle name="Normal 8" xfId="105" xr:uid="{00000000-0005-0000-0000-00006D000000}"/>
    <cellStyle name="Normal 8 2" xfId="106" xr:uid="{00000000-0005-0000-0000-00006E000000}"/>
    <cellStyle name="Normal 8_GFU and SSI Teaching Grants for 2012-13, Additional Science inc STEM" xfId="107" xr:uid="{00000000-0005-0000-0000-00006F000000}"/>
    <cellStyle name="Normal 9" xfId="108" xr:uid="{00000000-0005-0000-0000-000070000000}"/>
    <cellStyle name="Normal 9 2" xfId="109" xr:uid="{00000000-0005-0000-0000-000071000000}"/>
    <cellStyle name="Normal Bold Text" xfId="110" xr:uid="{00000000-0005-0000-0000-000072000000}"/>
    <cellStyle name="Normal Italic Text" xfId="111" xr:uid="{00000000-0005-0000-0000-000073000000}"/>
    <cellStyle name="Normal Text" xfId="112" xr:uid="{00000000-0005-0000-0000-000074000000}"/>
    <cellStyle name="Normal_ABDN" xfId="7" xr:uid="{00000000-0005-0000-0000-000075000000}"/>
    <cellStyle name="Normal_GFU and SSI Teaching Grants for 2012-13, Additional Science inc STEM" xfId="8" xr:uid="{00000000-0005-0000-0000-000076000000}"/>
    <cellStyle name="Normal_Linked Table3 2004-05" xfId="9" xr:uid="{00000000-0005-0000-0000-000077000000}"/>
    <cellStyle name="Normal_Table1 ABER first cut" xfId="10" xr:uid="{00000000-0005-0000-0000-000078000000}"/>
    <cellStyle name="Note 2" xfId="113" xr:uid="{00000000-0005-0000-0000-000079000000}"/>
    <cellStyle name="Output 2" xfId="114" xr:uid="{00000000-0005-0000-0000-00007A000000}"/>
    <cellStyle name="Percent (0 dp)" xfId="115" xr:uid="{00000000-0005-0000-0000-00007B000000}"/>
    <cellStyle name="Percent (1 dp)" xfId="116" xr:uid="{00000000-0005-0000-0000-00007C000000}"/>
    <cellStyle name="Percent (2 dp)" xfId="117" xr:uid="{00000000-0005-0000-0000-00007D000000}"/>
    <cellStyle name="Percent 2" xfId="118" xr:uid="{00000000-0005-0000-0000-00007E000000}"/>
    <cellStyle name="Percent 2 2" xfId="119" xr:uid="{00000000-0005-0000-0000-00007F000000}"/>
    <cellStyle name="Percent 2 3" xfId="120" xr:uid="{00000000-0005-0000-0000-000080000000}"/>
    <cellStyle name="Percent 3" xfId="121" xr:uid="{00000000-0005-0000-0000-000081000000}"/>
    <cellStyle name="Percent 3 2" xfId="122" xr:uid="{00000000-0005-0000-0000-000082000000}"/>
    <cellStyle name="Percent 4" xfId="123" xr:uid="{00000000-0005-0000-0000-000083000000}"/>
    <cellStyle name="Percent 4 2" xfId="124" xr:uid="{00000000-0005-0000-0000-000084000000}"/>
    <cellStyle name="Percent 5" xfId="125" xr:uid="{00000000-0005-0000-0000-000085000000}"/>
    <cellStyle name="Percent 6" xfId="126" xr:uid="{00000000-0005-0000-0000-000086000000}"/>
    <cellStyle name="Percent 7" xfId="164" xr:uid="{00000000-0005-0000-0000-000087000000}"/>
    <cellStyle name="Row Header" xfId="127" xr:uid="{00000000-0005-0000-0000-000088000000}"/>
    <cellStyle name="Side Col Head" xfId="128" xr:uid="{00000000-0005-0000-0000-000089000000}"/>
    <cellStyle name="Source Note" xfId="129" xr:uid="{00000000-0005-0000-0000-00008A000000}"/>
    <cellStyle name="Table Title" xfId="130" xr:uid="{00000000-0005-0000-0000-00008B000000}"/>
    <cellStyle name="Top Level Col Head" xfId="131" xr:uid="{00000000-0005-0000-0000-00008C000000}"/>
    <cellStyle name="Top Level Row Head" xfId="132" xr:uid="{00000000-0005-0000-0000-00008D000000}"/>
    <cellStyle name="Total 2" xfId="133" xr:uid="{00000000-0005-0000-0000-00008E000000}"/>
    <cellStyle name="Total Column Header" xfId="134" xr:uid="{00000000-0005-0000-0000-00008F000000}"/>
    <cellStyle name="Total Data (0 dp)" xfId="135" xr:uid="{00000000-0005-0000-0000-000090000000}"/>
    <cellStyle name="Total Data (1 dp)" xfId="136" xr:uid="{00000000-0005-0000-0000-000091000000}"/>
    <cellStyle name="Total Data (2 dp)" xfId="137" xr:uid="{00000000-0005-0000-0000-000092000000}"/>
    <cellStyle name="Total Data General" xfId="138" xr:uid="{00000000-0005-0000-0000-000093000000}"/>
    <cellStyle name="Total Percent (0 dp)" xfId="139" xr:uid="{00000000-0005-0000-0000-000094000000}"/>
    <cellStyle name="Total Percent (1 dp)" xfId="140" xr:uid="{00000000-0005-0000-0000-000095000000}"/>
    <cellStyle name="Total Percent (2 dp)" xfId="141" xr:uid="{00000000-0005-0000-0000-000096000000}"/>
    <cellStyle name="Total Row Header" xfId="142" xr:uid="{00000000-0005-0000-0000-000097000000}"/>
    <cellStyle name="Total Side Col Head" xfId="143" xr:uid="{00000000-0005-0000-0000-000098000000}"/>
    <cellStyle name="Warning Text 2" xfId="144" xr:uid="{00000000-0005-0000-0000-000099000000}"/>
    <cellStyle name="Wrap Column Header" xfId="145" xr:uid="{00000000-0005-0000-0000-00009A000000}"/>
    <cellStyle name="Wrap Normal Bold Text" xfId="146" xr:uid="{00000000-0005-0000-0000-00009B000000}"/>
    <cellStyle name="Wrap Normal Italic Text" xfId="147" xr:uid="{00000000-0005-0000-0000-00009C000000}"/>
    <cellStyle name="Wrap Normal Text" xfId="148" xr:uid="{00000000-0005-0000-0000-00009D000000}"/>
    <cellStyle name="Wrap Row Header" xfId="149" xr:uid="{00000000-0005-0000-0000-00009E000000}"/>
    <cellStyle name="Wrap Side Col Head" xfId="150" xr:uid="{00000000-0005-0000-0000-00009F000000}"/>
    <cellStyle name="Wrap Table Title" xfId="151" xr:uid="{00000000-0005-0000-0000-0000A0000000}"/>
    <cellStyle name="Wrap Top Level Col Head" xfId="152" xr:uid="{00000000-0005-0000-0000-0000A1000000}"/>
    <cellStyle name="Wrap Top Level Row Head" xfId="153" xr:uid="{00000000-0005-0000-0000-0000A2000000}"/>
    <cellStyle name="Wrap Total Column Header" xfId="154" xr:uid="{00000000-0005-0000-0000-0000A3000000}"/>
    <cellStyle name="Wrap Total Row Header" xfId="155" xr:uid="{00000000-0005-0000-0000-0000A4000000}"/>
    <cellStyle name="Wrap Total Side Col Head" xfId="156" xr:uid="{00000000-0005-0000-0000-0000A5000000}"/>
  </cellStyles>
  <dxfs count="160"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ont>
        <color rgb="FFFF0000"/>
      </font>
    </dxf>
    <dxf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lor rgb="FFFF0000"/>
      </font>
    </dxf>
    <dxf>
      <fill>
        <patternFill>
          <bgColor rgb="FFFFFFFF"/>
        </patternFill>
      </fill>
    </dxf>
    <dxf>
      <fill>
        <patternFill patternType="none">
          <bgColor auto="1"/>
        </patternFill>
      </fill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  <color rgb="FFCCC0DA"/>
      <color rgb="FF000080"/>
      <color rgb="FFD9D9D9"/>
      <color rgb="FFCCECFF"/>
      <color rgb="FF66FFFF"/>
      <color rgb="FF66CCFF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4"/>
  <sheetViews>
    <sheetView topLeftCell="A4" zoomScale="85" zoomScaleNormal="85" workbookViewId="0">
      <selection activeCell="C23" sqref="C23"/>
    </sheetView>
  </sheetViews>
  <sheetFormatPr defaultColWidth="9.140625" defaultRowHeight="15.75"/>
  <cols>
    <col min="1" max="1" width="3.7109375" style="2480" customWidth="1"/>
    <col min="2" max="2" width="11.140625" style="2480" customWidth="1"/>
    <col min="3" max="3" width="157.28515625" style="2480" customWidth="1"/>
    <col min="4" max="4" width="14.28515625" style="2480" customWidth="1"/>
    <col min="5" max="5" width="5.7109375" style="2480" customWidth="1"/>
    <col min="6" max="16384" width="9.140625" style="2480"/>
  </cols>
  <sheetData>
    <row r="1" spans="1:5" ht="30" customHeight="1">
      <c r="A1" s="2477"/>
      <c r="B1" s="2422" t="s">
        <v>535</v>
      </c>
      <c r="C1" s="2478"/>
      <c r="D1" s="2478"/>
      <c r="E1" s="2479"/>
    </row>
    <row r="2" spans="1:5" ht="15" customHeight="1" thickBot="1">
      <c r="A2" s="2481"/>
      <c r="B2" s="2476"/>
      <c r="C2" s="2476"/>
      <c r="D2" s="2476"/>
      <c r="E2" s="2482"/>
    </row>
    <row r="3" spans="1:5" ht="30" customHeight="1" thickBot="1">
      <c r="A3" s="2481"/>
      <c r="B3" s="305" t="s">
        <v>0</v>
      </c>
      <c r="C3" s="2483" t="str">
        <f>'Background Data'!$G$2</f>
        <v>Glasgow, University of</v>
      </c>
      <c r="D3" s="2484"/>
      <c r="E3" s="2485"/>
    </row>
    <row r="4" spans="1:5" ht="15" customHeight="1">
      <c r="A4" s="2481"/>
      <c r="B4" s="2476"/>
      <c r="C4" s="2476"/>
      <c r="D4" s="2476"/>
      <c r="E4" s="2482"/>
    </row>
    <row r="5" spans="1:5" ht="24.95" customHeight="1">
      <c r="A5" s="2481"/>
      <c r="B5" s="2486" t="s">
        <v>518</v>
      </c>
      <c r="C5" s="2476"/>
      <c r="D5" s="2476"/>
      <c r="E5" s="2482"/>
    </row>
    <row r="6" spans="1:5" ht="9.9499999999999993" customHeight="1" thickBot="1">
      <c r="A6" s="2481"/>
      <c r="B6" s="2476"/>
      <c r="C6" s="2476"/>
      <c r="D6" s="2476"/>
      <c r="E6" s="2482"/>
    </row>
    <row r="7" spans="1:5" ht="30" customHeight="1">
      <c r="A7" s="2481"/>
      <c r="B7" s="2530" t="s">
        <v>187</v>
      </c>
      <c r="C7" s="2531"/>
      <c r="D7" s="2532" t="s">
        <v>188</v>
      </c>
      <c r="E7" s="2482"/>
    </row>
    <row r="8" spans="1:5" ht="39.950000000000003" customHeight="1" thickBot="1">
      <c r="A8" s="2481"/>
      <c r="B8" s="2487" t="s">
        <v>263</v>
      </c>
      <c r="C8" s="2488" t="s">
        <v>103</v>
      </c>
      <c r="D8" s="2533"/>
      <c r="E8" s="2482"/>
    </row>
    <row r="9" spans="1:5" ht="30" customHeight="1">
      <c r="A9" s="2481"/>
      <c r="B9" s="1332">
        <v>1</v>
      </c>
      <c r="C9" s="777" t="s">
        <v>370</v>
      </c>
      <c r="D9" s="2499" t="s">
        <v>189</v>
      </c>
      <c r="E9" s="2489"/>
    </row>
    <row r="10" spans="1:5" ht="30" customHeight="1">
      <c r="A10" s="2481"/>
      <c r="B10" s="529" t="s">
        <v>119</v>
      </c>
      <c r="C10" s="2412" t="s">
        <v>495</v>
      </c>
      <c r="D10" s="2500" t="str">
        <f>IF(E10&gt;0,"YES","")</f>
        <v>YES</v>
      </c>
      <c r="E10" s="2490">
        <f>VLOOKUP('Background Data'!$F$2,Inst_Tables,6,FALSE)</f>
        <v>1</v>
      </c>
    </row>
    <row r="11" spans="1:5" ht="30" customHeight="1">
      <c r="A11" s="2481"/>
      <c r="B11" s="529" t="s">
        <v>120</v>
      </c>
      <c r="C11" s="2412" t="s">
        <v>496</v>
      </c>
      <c r="D11" s="2500" t="str">
        <f t="shared" ref="D11:D21" si="0">IF(E11&gt;0,"YES","")</f>
        <v>YES</v>
      </c>
      <c r="E11" s="2490">
        <f>VLOOKUP('Background Data'!$F$2,Inst_Tables,7,FALSE)</f>
        <v>1</v>
      </c>
    </row>
    <row r="12" spans="1:5" ht="30" customHeight="1">
      <c r="A12" s="2481"/>
      <c r="B12" s="529" t="s">
        <v>121</v>
      </c>
      <c r="C12" s="2412" t="s">
        <v>497</v>
      </c>
      <c r="D12" s="2500" t="str">
        <f t="shared" si="0"/>
        <v>YES</v>
      </c>
      <c r="E12" s="2490">
        <f>VLOOKUP('Background Data'!$F$2,Inst_Tables,8,FALSE)</f>
        <v>1</v>
      </c>
    </row>
    <row r="13" spans="1:5" ht="30" customHeight="1">
      <c r="A13" s="2481"/>
      <c r="B13" s="529" t="s">
        <v>164</v>
      </c>
      <c r="C13" s="2412" t="s">
        <v>524</v>
      </c>
      <c r="D13" s="2500" t="str">
        <f t="shared" si="0"/>
        <v>YES</v>
      </c>
      <c r="E13" s="2490">
        <f>VLOOKUP('Background Data'!$F$2,Inst_Tables,9,FALSE)</f>
        <v>1</v>
      </c>
    </row>
    <row r="14" spans="1:5" ht="30" customHeight="1">
      <c r="A14" s="2481"/>
      <c r="B14" s="529" t="s">
        <v>253</v>
      </c>
      <c r="C14" s="2412" t="s">
        <v>406</v>
      </c>
      <c r="D14" s="2500" t="str">
        <f>IF(E14&gt;0,"YES","")</f>
        <v/>
      </c>
      <c r="E14" s="2490">
        <f>VLOOKUP('Background Data'!$F$2,Inst_Tables,10,FALSE)</f>
        <v>0</v>
      </c>
    </row>
    <row r="15" spans="1:5" ht="30" customHeight="1">
      <c r="A15" s="2481"/>
      <c r="B15" s="529" t="s">
        <v>254</v>
      </c>
      <c r="C15" s="2412" t="s">
        <v>494</v>
      </c>
      <c r="D15" s="2500" t="str">
        <f t="shared" ref="D15" si="1">IF(E15&gt;0,"YES","")</f>
        <v>YES</v>
      </c>
      <c r="E15" s="2490">
        <f>VLOOKUP('Background Data'!$F$2,Inst_Tables,11,FALSE)</f>
        <v>1</v>
      </c>
    </row>
    <row r="16" spans="1:5" ht="30" customHeight="1">
      <c r="A16" s="2481"/>
      <c r="B16" s="529">
        <v>3</v>
      </c>
      <c r="C16" s="2412" t="s">
        <v>526</v>
      </c>
      <c r="D16" s="2500" t="str">
        <f t="shared" si="0"/>
        <v>YES</v>
      </c>
      <c r="E16" s="2490">
        <f>VLOOKUP('Background Data'!$F$2,Inst_Tables,12,FALSE)</f>
        <v>4</v>
      </c>
    </row>
    <row r="17" spans="1:7" ht="30" customHeight="1">
      <c r="A17" s="2481"/>
      <c r="B17" s="529" t="s">
        <v>156</v>
      </c>
      <c r="C17" s="2412" t="s">
        <v>528</v>
      </c>
      <c r="D17" s="2500" t="str">
        <f t="shared" si="0"/>
        <v/>
      </c>
      <c r="E17" s="2490">
        <f>VLOOKUP('Background Data'!$F$2,Inst_Tables,13,FALSE)</f>
        <v>0</v>
      </c>
    </row>
    <row r="18" spans="1:7" ht="30" customHeight="1">
      <c r="A18" s="2481"/>
      <c r="B18" s="529" t="s">
        <v>157</v>
      </c>
      <c r="C18" s="2412" t="s">
        <v>527</v>
      </c>
      <c r="D18" s="2500" t="str">
        <f t="shared" si="0"/>
        <v>YES</v>
      </c>
      <c r="E18" s="2490">
        <f>VLOOKUP('Background Data'!$F$2,Inst_Tables,14,FALSE)</f>
        <v>1</v>
      </c>
    </row>
    <row r="19" spans="1:7" ht="30" customHeight="1">
      <c r="A19" s="2481"/>
      <c r="B19" s="529" t="s">
        <v>141</v>
      </c>
      <c r="C19" s="2412" t="s">
        <v>411</v>
      </c>
      <c r="D19" s="2500" t="str">
        <f t="shared" si="0"/>
        <v>YES</v>
      </c>
      <c r="E19" s="2490">
        <f>VLOOKUP('Background Data'!$F$2,Inst_Tables,15,FALSE)</f>
        <v>1</v>
      </c>
    </row>
    <row r="20" spans="1:7" ht="30" customHeight="1">
      <c r="A20" s="2481"/>
      <c r="B20" s="713" t="s">
        <v>142</v>
      </c>
      <c r="C20" s="2413" t="s">
        <v>441</v>
      </c>
      <c r="D20" s="2501" t="s">
        <v>249</v>
      </c>
      <c r="E20" s="2491"/>
    </row>
    <row r="21" spans="1:7" ht="30" customHeight="1">
      <c r="A21" s="2481"/>
      <c r="B21" s="2414" t="s">
        <v>143</v>
      </c>
      <c r="C21" s="2412" t="s">
        <v>440</v>
      </c>
      <c r="D21" s="2502" t="str">
        <f t="shared" si="0"/>
        <v>YES</v>
      </c>
      <c r="E21" s="2490">
        <f>VLOOKUP('Background Data'!$F$2,Inst_Tables,16,FALSE)</f>
        <v>1</v>
      </c>
      <c r="G21" s="2492"/>
    </row>
    <row r="22" spans="1:7" ht="30" customHeight="1">
      <c r="A22" s="2481"/>
      <c r="B22" s="2414" t="s">
        <v>293</v>
      </c>
      <c r="C22" s="2415" t="s">
        <v>442</v>
      </c>
      <c r="D22" s="2503" t="str">
        <f t="shared" ref="D22" si="2">IF(E22&gt;0,"YES","")</f>
        <v/>
      </c>
      <c r="E22" s="2490">
        <f>VLOOKUP('Background Data'!$F$2,Inst_Tables,17,FALSE)</f>
        <v>0</v>
      </c>
    </row>
    <row r="23" spans="1:7" ht="30" customHeight="1" thickBot="1">
      <c r="A23" s="2493"/>
      <c r="B23" s="2416">
        <v>6</v>
      </c>
      <c r="C23" s="2417" t="s">
        <v>408</v>
      </c>
      <c r="D23" s="2504" t="s">
        <v>189</v>
      </c>
      <c r="E23" s="2491"/>
    </row>
    <row r="24" spans="1:7" ht="30" customHeight="1" thickBot="1">
      <c r="A24" s="2481"/>
      <c r="B24" s="1333"/>
      <c r="C24" s="1334" t="s">
        <v>450</v>
      </c>
      <c r="D24" s="1335" t="s">
        <v>190</v>
      </c>
      <c r="E24" s="2482"/>
    </row>
    <row r="25" spans="1:7" ht="30" customHeight="1">
      <c r="A25" s="2481"/>
      <c r="B25" s="2494" t="s">
        <v>242</v>
      </c>
      <c r="C25" s="2476"/>
      <c r="D25" s="2476"/>
      <c r="E25" s="2482"/>
    </row>
    <row r="26" spans="1:7" ht="15" customHeight="1">
      <c r="A26" s="2481"/>
      <c r="B26" s="2476"/>
      <c r="C26" s="2476"/>
      <c r="D26" s="2476"/>
      <c r="E26" s="2482"/>
    </row>
    <row r="27" spans="1:7" ht="24.95" customHeight="1" thickBot="1">
      <c r="A27" s="2481"/>
      <c r="B27" s="2486" t="s">
        <v>519</v>
      </c>
      <c r="C27" s="2476"/>
      <c r="D27" s="2476"/>
      <c r="E27" s="2482"/>
    </row>
    <row r="28" spans="1:7" ht="30" customHeight="1">
      <c r="A28" s="2481"/>
      <c r="B28" s="2530" t="s">
        <v>187</v>
      </c>
      <c r="C28" s="2531"/>
      <c r="D28" s="2532" t="s">
        <v>188</v>
      </c>
      <c r="E28" s="2482"/>
    </row>
    <row r="29" spans="1:7" ht="39.950000000000003" customHeight="1" thickBot="1">
      <c r="A29" s="2481"/>
      <c r="B29" s="2487" t="s">
        <v>263</v>
      </c>
      <c r="C29" s="2488" t="s">
        <v>103</v>
      </c>
      <c r="D29" s="2533"/>
      <c r="E29" s="2482"/>
    </row>
    <row r="30" spans="1:7" ht="30" customHeight="1">
      <c r="A30" s="2481"/>
      <c r="B30" s="2411">
        <v>1</v>
      </c>
      <c r="C30" s="2423" t="s">
        <v>520</v>
      </c>
      <c r="D30" s="2505" t="s">
        <v>189</v>
      </c>
      <c r="E30" s="2489"/>
    </row>
    <row r="31" spans="1:7" ht="30" customHeight="1" thickBot="1">
      <c r="A31" s="2481"/>
      <c r="B31" s="2421">
        <v>2</v>
      </c>
      <c r="C31" s="2424" t="s">
        <v>525</v>
      </c>
      <c r="D31" s="2506" t="str">
        <f t="shared" ref="D31" si="3">IF(E31&gt;0,"YES","")</f>
        <v>YES</v>
      </c>
      <c r="E31" s="2490">
        <f>VLOOKUP('Background Data'!$F$2,Inst_Tables,32,FALSE)</f>
        <v>1</v>
      </c>
    </row>
    <row r="32" spans="1:7" ht="15" customHeight="1">
      <c r="A32" s="2481"/>
      <c r="B32" s="2476"/>
      <c r="C32" s="2476"/>
      <c r="D32" s="2476"/>
      <c r="E32" s="2482"/>
    </row>
    <row r="33" spans="1:5" ht="20.100000000000001" customHeight="1">
      <c r="A33" s="2495"/>
      <c r="B33" s="2476" t="s">
        <v>554</v>
      </c>
      <c r="C33" s="2476"/>
      <c r="D33" s="2476"/>
      <c r="E33" s="2482"/>
    </row>
    <row r="34" spans="1:5">
      <c r="A34" s="2496"/>
      <c r="B34" s="2497"/>
      <c r="C34" s="2497"/>
      <c r="D34" s="2497"/>
      <c r="E34" s="2498"/>
    </row>
  </sheetData>
  <sheetProtection password="E23E" sheet="1" objects="1" scenarios="1"/>
  <mergeCells count="4">
    <mergeCell ref="B7:C7"/>
    <mergeCell ref="D7:D8"/>
    <mergeCell ref="B28:C28"/>
    <mergeCell ref="D28:D29"/>
  </mergeCells>
  <conditionalFormatting sqref="B10:D19 B21:D22">
    <cfRule type="expression" dxfId="159" priority="2">
      <formula>$E10&gt;0</formula>
    </cfRule>
  </conditionalFormatting>
  <conditionalFormatting sqref="B31:D31">
    <cfRule type="expression" dxfId="158" priority="1">
      <formula>$E31&gt;0</formula>
    </cfRule>
  </conditionalFormatting>
  <pageMargins left="0.19685039370078741" right="0.19685039370078741" top="0.19685039370078741" bottom="0.39370078740157483" header="0" footer="0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9"/>
  <dimension ref="A1:AQ59"/>
  <sheetViews>
    <sheetView topLeftCell="A28" zoomScale="80" zoomScaleNormal="80" workbookViewId="0">
      <selection activeCell="J17" sqref="J17"/>
    </sheetView>
  </sheetViews>
  <sheetFormatPr defaultColWidth="9.7109375" defaultRowHeight="15"/>
  <cols>
    <col min="1" max="1" width="2.7109375" style="511" customWidth="1"/>
    <col min="2" max="2" width="56.7109375" style="511" customWidth="1"/>
    <col min="3" max="19" width="12.7109375" style="511" customWidth="1"/>
    <col min="20" max="21" width="4.7109375" style="511" customWidth="1"/>
    <col min="22" max="22" width="35.7109375" style="511" customWidth="1"/>
    <col min="23" max="23" width="3.7109375" style="2032" customWidth="1"/>
    <col min="24" max="25" width="12.7109375" style="511" customWidth="1"/>
    <col min="26" max="26" width="35.7109375" style="511" customWidth="1"/>
    <col min="27" max="27" width="6.7109375" style="511" customWidth="1"/>
    <col min="28" max="28" width="35.7109375" style="511" customWidth="1"/>
    <col min="29" max="29" width="3.7109375" style="2032" customWidth="1"/>
    <col min="30" max="31" width="12.7109375" style="511" customWidth="1"/>
    <col min="32" max="32" width="35.7109375" style="511" customWidth="1"/>
    <col min="33" max="33" width="6.7109375" style="511" customWidth="1"/>
    <col min="34" max="34" width="35.7109375" style="511" customWidth="1"/>
    <col min="35" max="35" width="3.7109375" style="2032" customWidth="1"/>
    <col min="36" max="37" width="12.7109375" style="511" customWidth="1"/>
    <col min="38" max="38" width="35.7109375" style="511" customWidth="1"/>
    <col min="39" max="39" width="6.7109375" style="511" customWidth="1"/>
    <col min="40" max="41" width="12.7109375" style="511" customWidth="1"/>
    <col min="42" max="42" width="35.7109375" style="511" customWidth="1"/>
    <col min="43" max="43" width="5.7109375" style="511" customWidth="1"/>
    <col min="44" max="249" width="9.7109375" style="511" customWidth="1"/>
    <col min="250" max="16384" width="9.7109375" style="511"/>
  </cols>
  <sheetData>
    <row r="1" spans="1:43" ht="39.950000000000003" customHeight="1">
      <c r="A1" s="343" t="s">
        <v>292</v>
      </c>
      <c r="B1" s="192" t="str">
        <f>IF(F4=0,"Your Institution Does Not Complete This Table","")</f>
        <v/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030"/>
      <c r="X1" s="213"/>
      <c r="Y1" s="213"/>
      <c r="Z1" s="213"/>
      <c r="AA1" s="213"/>
      <c r="AB1" s="213"/>
      <c r="AC1" s="2030"/>
      <c r="AD1" s="213"/>
      <c r="AE1" s="213"/>
      <c r="AF1" s="213"/>
      <c r="AG1" s="213"/>
      <c r="AH1" s="213"/>
      <c r="AI1" s="2030"/>
      <c r="AJ1" s="213"/>
      <c r="AK1" s="213"/>
      <c r="AL1" s="213"/>
      <c r="AM1" s="213"/>
      <c r="AN1" s="213"/>
      <c r="AO1" s="213"/>
      <c r="AP1" s="213"/>
      <c r="AQ1" s="213"/>
    </row>
    <row r="2" spans="1:43" s="512" customFormat="1" ht="30" customHeight="1">
      <c r="A2" s="853"/>
      <c r="B2" s="458" t="s">
        <v>258</v>
      </c>
      <c r="C2" s="854"/>
      <c r="D2" s="854"/>
      <c r="E2" s="854"/>
      <c r="F2" s="855"/>
      <c r="G2" s="855"/>
      <c r="H2" s="855"/>
      <c r="I2" s="854"/>
      <c r="J2" s="854"/>
      <c r="K2" s="854"/>
      <c r="L2" s="854"/>
      <c r="M2" s="854"/>
      <c r="N2" s="854"/>
      <c r="O2" s="854"/>
      <c r="P2" s="870"/>
      <c r="Q2" s="870"/>
      <c r="R2" s="870"/>
      <c r="S2" s="870"/>
      <c r="T2" s="856"/>
      <c r="U2" s="214"/>
      <c r="V2" s="215"/>
      <c r="W2" s="2031"/>
      <c r="X2" s="215"/>
      <c r="Y2" s="215"/>
      <c r="Z2" s="215"/>
      <c r="AA2" s="214"/>
      <c r="AB2" s="215"/>
      <c r="AC2" s="2031"/>
      <c r="AD2" s="215"/>
      <c r="AE2" s="215"/>
      <c r="AF2" s="215"/>
      <c r="AG2" s="215"/>
      <c r="AH2" s="215"/>
      <c r="AI2" s="2031"/>
      <c r="AJ2" s="215"/>
      <c r="AK2" s="215"/>
      <c r="AL2" s="215"/>
      <c r="AM2" s="215"/>
      <c r="AN2" s="215"/>
      <c r="AO2" s="215"/>
      <c r="AP2" s="215"/>
      <c r="AQ2" s="215"/>
    </row>
    <row r="3" spans="1:43" ht="15" customHeight="1" thickBot="1">
      <c r="A3" s="857"/>
      <c r="B3" s="344"/>
      <c r="C3" s="216"/>
      <c r="D3" s="216"/>
      <c r="E3" s="216"/>
      <c r="F3" s="852"/>
      <c r="G3" s="852"/>
      <c r="H3" s="852"/>
      <c r="I3" s="216"/>
      <c r="J3" s="216"/>
      <c r="K3" s="216"/>
      <c r="L3" s="216"/>
      <c r="M3" s="216"/>
      <c r="N3" s="216"/>
      <c r="O3" s="216"/>
      <c r="P3" s="217"/>
      <c r="Q3" s="217"/>
      <c r="R3" s="217"/>
      <c r="S3" s="217"/>
      <c r="T3" s="858"/>
      <c r="U3" s="217"/>
      <c r="V3" s="218"/>
      <c r="W3" s="2031"/>
      <c r="X3" s="218"/>
      <c r="Y3" s="218"/>
      <c r="Z3" s="218"/>
      <c r="AA3" s="217"/>
      <c r="AB3" s="218"/>
      <c r="AC3" s="2031"/>
      <c r="AD3" s="218"/>
      <c r="AE3" s="218"/>
      <c r="AF3" s="218"/>
      <c r="AG3" s="218"/>
      <c r="AH3" s="218"/>
      <c r="AI3" s="2031"/>
      <c r="AJ3" s="218"/>
      <c r="AK3" s="218"/>
      <c r="AL3" s="218"/>
      <c r="AM3" s="218"/>
      <c r="AN3" s="218"/>
      <c r="AO3" s="218"/>
      <c r="AP3" s="218"/>
      <c r="AQ3" s="218"/>
    </row>
    <row r="4" spans="1:43" ht="35.1" customHeight="1" thickBot="1">
      <c r="A4" s="857"/>
      <c r="B4" s="335" t="s">
        <v>0</v>
      </c>
      <c r="C4" s="2651" t="str">
        <f>'Background Data'!$G$2</f>
        <v>Glasgow, University of</v>
      </c>
      <c r="D4" s="2652"/>
      <c r="E4" s="2653"/>
      <c r="F4" s="46">
        <f>VLOOKUP('Background Data'!$F$2,Inst_Tables,12,FALSE)</f>
        <v>4</v>
      </c>
      <c r="G4" s="7"/>
      <c r="H4" s="7"/>
      <c r="I4" s="822"/>
      <c r="J4" s="46"/>
      <c r="K4" s="46"/>
      <c r="L4" s="46"/>
      <c r="M4" s="216"/>
      <c r="N4" s="216"/>
      <c r="O4" s="216"/>
      <c r="P4" s="219"/>
      <c r="Q4" s="219"/>
      <c r="R4" s="219"/>
      <c r="S4" s="219"/>
      <c r="T4" s="872"/>
      <c r="U4" s="219"/>
      <c r="V4" s="218"/>
      <c r="W4" s="2031"/>
      <c r="X4" s="218"/>
      <c r="Y4" s="218"/>
      <c r="Z4" s="218"/>
      <c r="AA4" s="219"/>
      <c r="AB4" s="218"/>
      <c r="AC4" s="2031"/>
      <c r="AD4" s="218"/>
      <c r="AE4" s="218"/>
      <c r="AF4" s="218"/>
      <c r="AG4" s="218"/>
      <c r="AH4" s="218"/>
      <c r="AI4" s="2031"/>
      <c r="AJ4" s="218"/>
      <c r="AK4" s="218"/>
      <c r="AL4" s="218"/>
      <c r="AM4" s="218"/>
      <c r="AN4" s="218"/>
      <c r="AO4" s="218"/>
      <c r="AP4" s="218"/>
      <c r="AQ4" s="218"/>
    </row>
    <row r="5" spans="1:43" ht="30" customHeight="1">
      <c r="A5" s="857"/>
      <c r="B5" s="345" t="s">
        <v>526</v>
      </c>
      <c r="C5" s="221"/>
      <c r="D5" s="221"/>
      <c r="E5" s="221"/>
      <c r="F5" s="538"/>
      <c r="G5" s="538"/>
      <c r="H5" s="538"/>
      <c r="I5" s="221"/>
      <c r="J5" s="221"/>
      <c r="K5" s="221"/>
      <c r="L5" s="221"/>
      <c r="M5" s="221"/>
      <c r="N5" s="221"/>
      <c r="O5" s="221"/>
      <c r="P5" s="220"/>
      <c r="Q5" s="220"/>
      <c r="R5" s="220"/>
      <c r="S5" s="220"/>
      <c r="T5" s="816"/>
      <c r="U5" s="220"/>
      <c r="V5" s="218"/>
      <c r="W5" s="2031"/>
      <c r="X5" s="218"/>
      <c r="Y5" s="218"/>
      <c r="Z5" s="218"/>
      <c r="AA5" s="220"/>
      <c r="AB5" s="218"/>
      <c r="AC5" s="2031"/>
      <c r="AD5" s="218"/>
      <c r="AE5" s="218"/>
      <c r="AF5" s="218"/>
      <c r="AG5" s="218"/>
      <c r="AH5" s="218"/>
      <c r="AI5" s="2031"/>
      <c r="AJ5" s="218"/>
      <c r="AK5" s="218"/>
      <c r="AL5" s="218"/>
      <c r="AM5" s="218"/>
      <c r="AN5" s="218"/>
      <c r="AO5" s="218"/>
      <c r="AP5" s="218"/>
      <c r="AQ5" s="218"/>
    </row>
    <row r="6" spans="1:43" ht="30" customHeight="1">
      <c r="A6" s="857"/>
      <c r="B6" s="11" t="s">
        <v>543</v>
      </c>
      <c r="C6" s="538"/>
      <c r="D6" s="538"/>
      <c r="E6" s="538"/>
      <c r="F6" s="538"/>
      <c r="G6" s="221"/>
      <c r="H6" s="221"/>
      <c r="I6" s="221"/>
      <c r="J6" s="221"/>
      <c r="K6" s="221"/>
      <c r="L6" s="221"/>
      <c r="M6" s="221"/>
      <c r="N6" s="221"/>
      <c r="O6" s="221"/>
      <c r="P6" s="220"/>
      <c r="Q6" s="220"/>
      <c r="R6" s="220"/>
      <c r="S6" s="220"/>
      <c r="T6" s="816"/>
      <c r="U6" s="220"/>
      <c r="V6" s="218"/>
      <c r="W6" s="2031"/>
      <c r="X6" s="218"/>
      <c r="Y6" s="218"/>
      <c r="Z6" s="218"/>
      <c r="AA6" s="220"/>
      <c r="AB6" s="218"/>
      <c r="AC6" s="2031"/>
      <c r="AD6" s="218"/>
      <c r="AE6" s="218"/>
      <c r="AF6" s="218"/>
      <c r="AG6" s="218"/>
      <c r="AH6" s="218"/>
      <c r="AI6" s="2031"/>
      <c r="AJ6" s="218"/>
      <c r="AK6" s="218"/>
      <c r="AL6" s="218"/>
      <c r="AM6" s="218"/>
      <c r="AN6" s="218"/>
      <c r="AO6" s="218"/>
      <c r="AP6" s="218"/>
      <c r="AQ6" s="218"/>
    </row>
    <row r="7" spans="1:43" ht="15" customHeight="1">
      <c r="A7" s="857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0"/>
      <c r="Q7" s="220"/>
      <c r="R7" s="220"/>
      <c r="S7" s="220"/>
      <c r="T7" s="816"/>
      <c r="U7" s="220"/>
      <c r="V7" s="218"/>
      <c r="W7" s="2031"/>
      <c r="X7" s="218"/>
      <c r="Y7" s="218"/>
      <c r="Z7" s="218"/>
      <c r="AA7" s="220"/>
      <c r="AB7" s="218"/>
      <c r="AC7" s="2031"/>
      <c r="AD7" s="218"/>
      <c r="AE7" s="218"/>
      <c r="AF7" s="218"/>
      <c r="AG7" s="218"/>
      <c r="AH7" s="218"/>
      <c r="AI7" s="2031"/>
      <c r="AJ7" s="218"/>
      <c r="AK7" s="218"/>
      <c r="AL7" s="218"/>
      <c r="AM7" s="218"/>
      <c r="AN7" s="218"/>
      <c r="AO7" s="218"/>
      <c r="AP7" s="218"/>
      <c r="AQ7" s="218"/>
    </row>
    <row r="8" spans="1:43" ht="24.95" customHeight="1">
      <c r="A8" s="857"/>
      <c r="B8" s="329" t="s">
        <v>425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0"/>
      <c r="Q8" s="220"/>
      <c r="R8" s="220"/>
      <c r="S8" s="220"/>
      <c r="T8" s="816"/>
      <c r="U8" s="220"/>
      <c r="V8" s="218"/>
      <c r="W8" s="2031"/>
      <c r="X8" s="218"/>
      <c r="Y8" s="218"/>
      <c r="Z8" s="218"/>
      <c r="AA8" s="220"/>
      <c r="AB8" s="218"/>
      <c r="AC8" s="2031"/>
      <c r="AD8" s="218"/>
      <c r="AE8" s="218"/>
      <c r="AF8" s="218"/>
      <c r="AG8" s="218"/>
      <c r="AH8" s="218"/>
      <c r="AI8" s="2031"/>
      <c r="AJ8" s="218"/>
      <c r="AK8" s="218"/>
      <c r="AL8" s="218"/>
      <c r="AM8" s="218"/>
      <c r="AN8" s="218"/>
      <c r="AO8" s="218"/>
      <c r="AP8" s="218"/>
      <c r="AQ8" s="218"/>
    </row>
    <row r="9" spans="1:43" ht="9.9499999999999993" customHeight="1" thickBot="1">
      <c r="A9" s="857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0"/>
      <c r="Q9" s="220"/>
      <c r="R9" s="220"/>
      <c r="S9" s="220"/>
      <c r="T9" s="816"/>
      <c r="U9" s="220"/>
      <c r="V9" s="218"/>
      <c r="W9" s="2031"/>
      <c r="X9" s="218"/>
      <c r="Y9" s="218"/>
      <c r="Z9" s="218"/>
      <c r="AA9" s="220"/>
      <c r="AB9" s="218"/>
      <c r="AC9" s="2031"/>
      <c r="AD9" s="218"/>
      <c r="AE9" s="218"/>
      <c r="AF9" s="218"/>
      <c r="AG9" s="218"/>
      <c r="AH9" s="218"/>
      <c r="AI9" s="2031"/>
      <c r="AJ9" s="218"/>
      <c r="AK9" s="218"/>
      <c r="AL9" s="218"/>
      <c r="AM9" s="218"/>
      <c r="AN9" s="218"/>
      <c r="AO9" s="218"/>
      <c r="AP9" s="218"/>
      <c r="AQ9" s="218"/>
    </row>
    <row r="10" spans="1:43" ht="30" customHeight="1" thickBot="1">
      <c r="A10" s="1976"/>
      <c r="B10" s="1980"/>
      <c r="C10" s="2674" t="s">
        <v>67</v>
      </c>
      <c r="D10" s="2675"/>
      <c r="E10" s="2675"/>
      <c r="F10" s="2675"/>
      <c r="G10" s="2675"/>
      <c r="H10" s="2676"/>
      <c r="I10" s="2677" t="s">
        <v>160</v>
      </c>
      <c r="J10" s="2680" t="s">
        <v>134</v>
      </c>
      <c r="K10" s="2675"/>
      <c r="L10" s="2675"/>
      <c r="M10" s="2676"/>
      <c r="N10" s="869" t="s">
        <v>2</v>
      </c>
      <c r="O10" s="2019"/>
      <c r="P10" s="222"/>
      <c r="Q10" s="2018"/>
      <c r="R10" s="2018"/>
      <c r="S10" s="220"/>
      <c r="T10" s="816"/>
      <c r="U10" s="220"/>
      <c r="V10" s="218"/>
      <c r="W10" s="2031"/>
      <c r="X10" s="218"/>
      <c r="Y10" s="218"/>
      <c r="Z10" s="218"/>
      <c r="AA10" s="220"/>
      <c r="AB10" s="218"/>
      <c r="AC10" s="2031"/>
      <c r="AD10" s="218"/>
      <c r="AE10" s="218"/>
      <c r="AF10" s="218"/>
      <c r="AG10" s="218"/>
      <c r="AH10" s="218"/>
      <c r="AI10" s="2031"/>
      <c r="AJ10" s="218"/>
      <c r="AK10" s="218"/>
      <c r="AL10" s="218"/>
      <c r="AM10" s="218"/>
      <c r="AN10" s="218"/>
      <c r="AO10" s="218"/>
      <c r="AP10" s="218"/>
      <c r="AQ10" s="218"/>
    </row>
    <row r="11" spans="1:43" ht="30" customHeight="1">
      <c r="A11" s="1976"/>
      <c r="B11" s="2331"/>
      <c r="C11" s="2679" t="s">
        <v>428</v>
      </c>
      <c r="D11" s="2679"/>
      <c r="E11" s="2679"/>
      <c r="F11" s="2679"/>
      <c r="G11" s="1992" t="s">
        <v>353</v>
      </c>
      <c r="H11" s="2332" t="s">
        <v>2</v>
      </c>
      <c r="I11" s="2678"/>
      <c r="J11" s="2681" t="s">
        <v>429</v>
      </c>
      <c r="K11" s="2632" t="s">
        <v>426</v>
      </c>
      <c r="L11" s="2271" t="s">
        <v>69</v>
      </c>
      <c r="M11" s="2333" t="s">
        <v>2</v>
      </c>
      <c r="N11" s="1873"/>
      <c r="O11" s="2022"/>
      <c r="P11" s="222"/>
      <c r="Q11" s="183"/>
      <c r="R11" s="183"/>
      <c r="S11" s="220"/>
      <c r="T11" s="816"/>
      <c r="U11" s="220"/>
      <c r="V11" s="218"/>
      <c r="W11" s="2031"/>
      <c r="X11" s="218"/>
      <c r="Y11" s="218"/>
      <c r="Z11" s="218"/>
      <c r="AA11" s="220"/>
      <c r="AB11" s="218"/>
      <c r="AC11" s="2031"/>
      <c r="AD11" s="218"/>
      <c r="AE11" s="218"/>
      <c r="AF11" s="218"/>
      <c r="AG11" s="218"/>
      <c r="AH11" s="218"/>
      <c r="AI11" s="2031"/>
      <c r="AJ11" s="218"/>
      <c r="AK11" s="218"/>
      <c r="AL11" s="218"/>
      <c r="AM11" s="218"/>
      <c r="AN11" s="218"/>
      <c r="AO11" s="218"/>
      <c r="AP11" s="218"/>
      <c r="AQ11" s="218"/>
    </row>
    <row r="12" spans="1:43" ht="69.95" customHeight="1">
      <c r="A12" s="1976"/>
      <c r="B12" s="1998"/>
      <c r="C12" s="1987" t="s">
        <v>427</v>
      </c>
      <c r="D12" s="1987" t="s">
        <v>290</v>
      </c>
      <c r="E12" s="1987" t="s">
        <v>69</v>
      </c>
      <c r="F12" s="1988" t="s">
        <v>2</v>
      </c>
      <c r="G12" s="1999"/>
      <c r="H12" s="1997"/>
      <c r="I12" s="2678"/>
      <c r="J12" s="2682"/>
      <c r="K12" s="2683"/>
      <c r="L12" s="1999"/>
      <c r="M12" s="2000"/>
      <c r="N12" s="1873"/>
      <c r="O12" s="2019"/>
      <c r="P12" s="222"/>
      <c r="Q12" s="183"/>
      <c r="R12" s="183"/>
      <c r="S12" s="220"/>
      <c r="T12" s="816"/>
      <c r="U12" s="220"/>
      <c r="V12" s="218"/>
      <c r="W12" s="2031"/>
      <c r="X12" s="218"/>
      <c r="Y12" s="218"/>
      <c r="Z12" s="218"/>
      <c r="AA12" s="220"/>
      <c r="AB12" s="218"/>
      <c r="AC12" s="2031"/>
      <c r="AD12" s="218"/>
      <c r="AE12" s="218"/>
      <c r="AF12" s="218"/>
      <c r="AG12" s="218"/>
      <c r="AH12" s="218"/>
      <c r="AI12" s="2031"/>
      <c r="AJ12" s="218"/>
      <c r="AK12" s="218"/>
      <c r="AL12" s="218"/>
      <c r="AM12" s="218"/>
      <c r="AN12" s="218"/>
      <c r="AO12" s="218"/>
      <c r="AP12" s="218"/>
      <c r="AQ12" s="218"/>
    </row>
    <row r="13" spans="1:43" ht="24.95" customHeight="1">
      <c r="A13" s="1976"/>
      <c r="B13" s="1998"/>
      <c r="C13" s="1977" t="s">
        <v>16</v>
      </c>
      <c r="D13" s="1977" t="s">
        <v>16</v>
      </c>
      <c r="E13" s="1977" t="s">
        <v>16</v>
      </c>
      <c r="F13" s="1977" t="s">
        <v>16</v>
      </c>
      <c r="G13" s="1977" t="s">
        <v>16</v>
      </c>
      <c r="H13" s="1993" t="s">
        <v>16</v>
      </c>
      <c r="I13" s="1994" t="s">
        <v>16</v>
      </c>
      <c r="J13" s="1979" t="s">
        <v>16</v>
      </c>
      <c r="K13" s="1977" t="s">
        <v>16</v>
      </c>
      <c r="L13" s="1977" t="s">
        <v>16</v>
      </c>
      <c r="M13" s="1977" t="s">
        <v>16</v>
      </c>
      <c r="N13" s="1994" t="s">
        <v>16</v>
      </c>
      <c r="O13" s="2020"/>
      <c r="P13" s="222"/>
      <c r="Q13" s="2016"/>
      <c r="R13" s="2016"/>
      <c r="S13" s="220"/>
      <c r="T13" s="816"/>
      <c r="U13" s="220"/>
      <c r="V13" s="218"/>
      <c r="W13" s="2031"/>
      <c r="X13" s="218"/>
      <c r="Y13" s="218"/>
      <c r="Z13" s="218"/>
      <c r="AA13" s="220"/>
      <c r="AB13" s="218"/>
      <c r="AC13" s="2031"/>
      <c r="AD13" s="218"/>
      <c r="AE13" s="218"/>
      <c r="AF13" s="218"/>
      <c r="AG13" s="218"/>
      <c r="AH13" s="218"/>
      <c r="AI13" s="2031"/>
      <c r="AJ13" s="218"/>
      <c r="AK13" s="218"/>
      <c r="AL13" s="218"/>
      <c r="AM13" s="218"/>
      <c r="AN13" s="218"/>
      <c r="AO13" s="218"/>
      <c r="AP13" s="218"/>
      <c r="AQ13" s="218"/>
    </row>
    <row r="14" spans="1:43" ht="24.95" customHeight="1">
      <c r="A14" s="1976"/>
      <c r="B14" s="1998"/>
      <c r="C14" s="1978" t="s">
        <v>29</v>
      </c>
      <c r="D14" s="1978" t="s">
        <v>29</v>
      </c>
      <c r="E14" s="1978" t="s">
        <v>29</v>
      </c>
      <c r="F14" s="1989" t="s">
        <v>54</v>
      </c>
      <c r="G14" s="1978" t="s">
        <v>29</v>
      </c>
      <c r="H14" s="1989" t="s">
        <v>54</v>
      </c>
      <c r="I14" s="2334" t="s">
        <v>29</v>
      </c>
      <c r="J14" s="2335" t="s">
        <v>29</v>
      </c>
      <c r="K14" s="2336" t="s">
        <v>29</v>
      </c>
      <c r="L14" s="2336" t="s">
        <v>29</v>
      </c>
      <c r="M14" s="2337" t="s">
        <v>54</v>
      </c>
      <c r="N14" s="2334" t="s">
        <v>54</v>
      </c>
      <c r="O14" s="2019"/>
      <c r="P14" s="222"/>
      <c r="Q14" s="2023"/>
      <c r="R14" s="2023"/>
      <c r="S14" s="220"/>
      <c r="T14" s="816"/>
      <c r="U14" s="220"/>
      <c r="V14" s="218"/>
      <c r="W14" s="2031"/>
      <c r="X14" s="218"/>
      <c r="Y14" s="218"/>
      <c r="Z14" s="218"/>
      <c r="AA14" s="220"/>
      <c r="AB14" s="218"/>
      <c r="AC14" s="2031"/>
      <c r="AD14" s="218"/>
      <c r="AE14" s="218"/>
      <c r="AF14" s="218"/>
      <c r="AG14" s="218"/>
      <c r="AH14" s="218"/>
      <c r="AI14" s="2031"/>
      <c r="AJ14" s="218"/>
      <c r="AK14" s="218"/>
      <c r="AL14" s="218"/>
      <c r="AM14" s="218"/>
      <c r="AN14" s="218"/>
      <c r="AO14" s="218"/>
      <c r="AP14" s="218"/>
      <c r="AQ14" s="218"/>
    </row>
    <row r="15" spans="1:43" ht="24.95" customHeight="1" thickBot="1">
      <c r="A15" s="1976"/>
      <c r="B15" s="560"/>
      <c r="C15" s="1985">
        <v>1</v>
      </c>
      <c r="D15" s="1985">
        <v>2</v>
      </c>
      <c r="E15" s="1985">
        <v>3</v>
      </c>
      <c r="F15" s="1985">
        <v>4</v>
      </c>
      <c r="G15" s="1985">
        <v>5</v>
      </c>
      <c r="H15" s="1991">
        <v>6</v>
      </c>
      <c r="I15" s="1990">
        <v>7</v>
      </c>
      <c r="J15" s="1984">
        <v>8</v>
      </c>
      <c r="K15" s="1985">
        <v>9</v>
      </c>
      <c r="L15" s="1985">
        <v>10</v>
      </c>
      <c r="M15" s="1986">
        <v>11</v>
      </c>
      <c r="N15" s="1990">
        <v>12</v>
      </c>
      <c r="O15" s="2021"/>
      <c r="P15" s="222"/>
      <c r="Q15" s="2017"/>
      <c r="R15" s="2017"/>
      <c r="S15" s="220"/>
      <c r="T15" s="816"/>
      <c r="U15" s="220"/>
      <c r="V15" s="218"/>
      <c r="W15" s="2031"/>
      <c r="X15" s="218"/>
      <c r="Y15" s="218"/>
      <c r="Z15" s="218"/>
      <c r="AA15" s="220"/>
      <c r="AB15" s="218"/>
      <c r="AC15" s="2031"/>
      <c r="AD15" s="218"/>
      <c r="AE15" s="218"/>
      <c r="AF15" s="218"/>
      <c r="AG15" s="218"/>
      <c r="AH15" s="218"/>
      <c r="AI15" s="2031"/>
      <c r="AJ15" s="218"/>
      <c r="AK15" s="218"/>
      <c r="AL15" s="218"/>
      <c r="AM15" s="218"/>
      <c r="AN15" s="218"/>
      <c r="AO15" s="218"/>
      <c r="AP15" s="218"/>
      <c r="AQ15" s="218"/>
    </row>
    <row r="16" spans="1:43" ht="35.1" customHeight="1">
      <c r="A16" s="1976"/>
      <c r="B16" s="1981" t="s">
        <v>5</v>
      </c>
      <c r="C16" s="1025"/>
      <c r="D16" s="1996"/>
      <c r="E16" s="1996"/>
      <c r="F16" s="1996"/>
      <c r="G16" s="1996"/>
      <c r="H16" s="1997"/>
      <c r="I16" s="183"/>
      <c r="J16" s="1998"/>
      <c r="K16" s="1999"/>
      <c r="L16" s="1999"/>
      <c r="M16" s="2000"/>
      <c r="N16" s="1873"/>
      <c r="O16" s="2019"/>
      <c r="P16" s="222"/>
      <c r="Q16" s="183"/>
      <c r="R16" s="183"/>
      <c r="S16" s="220"/>
      <c r="T16" s="816"/>
      <c r="U16" s="220"/>
      <c r="V16" s="218"/>
      <c r="W16" s="2031"/>
      <c r="X16" s="218"/>
      <c r="Y16" s="218"/>
      <c r="Z16" s="218"/>
      <c r="AA16" s="220"/>
      <c r="AB16" s="218"/>
      <c r="AC16" s="2031"/>
      <c r="AD16" s="218"/>
      <c r="AE16" s="218"/>
      <c r="AF16" s="218"/>
      <c r="AG16" s="218"/>
      <c r="AH16" s="218"/>
      <c r="AI16" s="2031"/>
      <c r="AJ16" s="218"/>
      <c r="AK16" s="218"/>
      <c r="AL16" s="218"/>
      <c r="AM16" s="218"/>
      <c r="AN16" s="218"/>
      <c r="AO16" s="218"/>
      <c r="AP16" s="218"/>
      <c r="AQ16" s="218"/>
    </row>
    <row r="17" spans="1:43" ht="30" customHeight="1">
      <c r="A17" s="1976"/>
      <c r="B17" s="1982" t="s">
        <v>349</v>
      </c>
      <c r="C17" s="900">
        <v>23</v>
      </c>
      <c r="D17" s="900">
        <v>29</v>
      </c>
      <c r="E17" s="900">
        <v>146</v>
      </c>
      <c r="F17" s="571">
        <f>SUM(C17:E17)</f>
        <v>198</v>
      </c>
      <c r="G17" s="900">
        <v>14</v>
      </c>
      <c r="H17" s="2001">
        <f>SUM(F17:G17)</f>
        <v>212</v>
      </c>
      <c r="I17" s="2013">
        <v>50</v>
      </c>
      <c r="J17" s="1066"/>
      <c r="K17" s="900"/>
      <c r="L17" s="900">
        <v>39</v>
      </c>
      <c r="M17" s="2001">
        <f>SUM(J17:L17)</f>
        <v>39</v>
      </c>
      <c r="N17" s="708">
        <f>SUM(H17,I17,M17)</f>
        <v>301</v>
      </c>
      <c r="O17" s="2019"/>
      <c r="P17" s="222"/>
      <c r="Q17" s="1907"/>
      <c r="R17" s="1907"/>
      <c r="S17" s="220"/>
      <c r="T17" s="816"/>
      <c r="U17" s="220"/>
      <c r="V17" s="218"/>
      <c r="W17" s="2031"/>
      <c r="X17" s="218"/>
      <c r="Y17" s="218"/>
      <c r="Z17" s="218"/>
      <c r="AA17" s="220"/>
      <c r="AB17" s="218"/>
      <c r="AC17" s="2031"/>
      <c r="AD17" s="218"/>
      <c r="AE17" s="218"/>
      <c r="AF17" s="218"/>
      <c r="AG17" s="218"/>
      <c r="AH17" s="218"/>
      <c r="AI17" s="2031"/>
      <c r="AJ17" s="218"/>
      <c r="AK17" s="218"/>
      <c r="AL17" s="218"/>
      <c r="AM17" s="218"/>
      <c r="AN17" s="218"/>
      <c r="AO17" s="218"/>
      <c r="AP17" s="218"/>
      <c r="AQ17" s="218"/>
    </row>
    <row r="18" spans="1:43" ht="30" customHeight="1">
      <c r="A18" s="1976"/>
      <c r="B18" s="1982" t="s">
        <v>268</v>
      </c>
      <c r="C18" s="2002"/>
      <c r="D18" s="2003"/>
      <c r="E18" s="2003"/>
      <c r="F18" s="2011"/>
      <c r="G18" s="900"/>
      <c r="H18" s="2001">
        <f>SUM(F18:G18)</f>
        <v>0</v>
      </c>
      <c r="I18" s="900"/>
      <c r="J18" s="1998"/>
      <c r="K18" s="1999"/>
      <c r="L18" s="1025"/>
      <c r="M18" s="2004"/>
      <c r="N18" s="708">
        <f>SUM(H18,I18)</f>
        <v>0</v>
      </c>
      <c r="O18" s="2019"/>
      <c r="P18" s="222"/>
      <c r="Q18" s="1907"/>
      <c r="R18" s="1907"/>
      <c r="S18" s="220"/>
      <c r="T18" s="816"/>
      <c r="U18" s="220"/>
      <c r="V18" s="218"/>
      <c r="W18" s="2031"/>
      <c r="X18" s="218"/>
      <c r="Y18" s="218"/>
      <c r="Z18" s="218"/>
      <c r="AA18" s="220"/>
      <c r="AB18" s="218"/>
      <c r="AC18" s="2031"/>
      <c r="AD18" s="218"/>
      <c r="AE18" s="218"/>
      <c r="AF18" s="218"/>
      <c r="AG18" s="218"/>
      <c r="AH18" s="218"/>
      <c r="AI18" s="2031"/>
      <c r="AJ18" s="218"/>
      <c r="AK18" s="218"/>
      <c r="AL18" s="218"/>
      <c r="AM18" s="218"/>
      <c r="AN18" s="218"/>
      <c r="AO18" s="218"/>
      <c r="AP18" s="218"/>
      <c r="AQ18" s="218"/>
    </row>
    <row r="19" spans="1:43" ht="30" customHeight="1" thickBot="1">
      <c r="A19" s="1976"/>
      <c r="B19" s="1983" t="s">
        <v>2</v>
      </c>
      <c r="C19" s="2005"/>
      <c r="D19" s="559"/>
      <c r="E19" s="559"/>
      <c r="F19" s="2006">
        <f>SUM(F17:F18)</f>
        <v>198</v>
      </c>
      <c r="G19" s="2006">
        <f>SUM(G17:G18)</f>
        <v>14</v>
      </c>
      <c r="H19" s="523">
        <f>SUM(H17:H18)</f>
        <v>212</v>
      </c>
      <c r="I19" s="523">
        <f t="shared" ref="I19" si="0">SUM(I17:I18)</f>
        <v>50</v>
      </c>
      <c r="J19" s="1998"/>
      <c r="K19" s="1999"/>
      <c r="L19" s="1999"/>
      <c r="M19" s="558"/>
      <c r="N19" s="2007">
        <f>SUM(N17:N18)</f>
        <v>301</v>
      </c>
      <c r="O19" s="2019"/>
      <c r="P19" s="222"/>
      <c r="Q19" s="1907"/>
      <c r="R19" s="1907"/>
      <c r="S19" s="220"/>
      <c r="T19" s="816"/>
      <c r="U19" s="220"/>
      <c r="V19" s="218"/>
      <c r="W19" s="2031"/>
      <c r="X19" s="218"/>
      <c r="Y19" s="218"/>
      <c r="Z19" s="218"/>
      <c r="AA19" s="220"/>
      <c r="AB19" s="218"/>
      <c r="AC19" s="2031"/>
      <c r="AD19" s="218"/>
      <c r="AE19" s="218"/>
      <c r="AF19" s="218"/>
      <c r="AG19" s="218"/>
      <c r="AH19" s="218"/>
      <c r="AI19" s="2031"/>
      <c r="AJ19" s="218"/>
      <c r="AK19" s="218"/>
      <c r="AL19" s="218"/>
      <c r="AM19" s="218"/>
      <c r="AN19" s="218"/>
      <c r="AO19" s="218"/>
      <c r="AP19" s="218"/>
      <c r="AQ19" s="218"/>
    </row>
    <row r="20" spans="1:43" ht="35.1" customHeight="1" thickBot="1">
      <c r="A20" s="1976"/>
      <c r="B20" s="1995" t="s">
        <v>31</v>
      </c>
      <c r="C20" s="2008"/>
      <c r="D20" s="2009"/>
      <c r="E20" s="2010"/>
      <c r="F20" s="2012">
        <v>25</v>
      </c>
      <c r="G20" s="2012">
        <v>1</v>
      </c>
      <c r="H20" s="1032">
        <f>SUM(F20:G20)</f>
        <v>26</v>
      </c>
      <c r="I20" s="2014">
        <v>5</v>
      </c>
      <c r="J20" s="2015">
        <v>15</v>
      </c>
      <c r="K20" s="2012"/>
      <c r="L20" s="2012">
        <v>6</v>
      </c>
      <c r="M20" s="187">
        <f>SUM(J20:L20)</f>
        <v>21</v>
      </c>
      <c r="N20" s="565">
        <f>SUM(H20,I20,M20)</f>
        <v>52</v>
      </c>
      <c r="O20" s="2019"/>
      <c r="P20" s="222"/>
      <c r="Q20" s="1907"/>
      <c r="R20" s="1907"/>
      <c r="S20" s="220"/>
      <c r="T20" s="816"/>
      <c r="U20" s="220"/>
      <c r="V20" s="218"/>
      <c r="W20" s="2031"/>
      <c r="X20" s="218"/>
      <c r="Y20" s="218"/>
      <c r="Z20" s="218"/>
      <c r="AA20" s="220"/>
      <c r="AB20" s="218"/>
      <c r="AC20" s="2031"/>
      <c r="AD20" s="218"/>
      <c r="AE20" s="218"/>
      <c r="AF20" s="218"/>
      <c r="AG20" s="218"/>
      <c r="AH20" s="218"/>
      <c r="AI20" s="2031"/>
      <c r="AJ20" s="218"/>
      <c r="AK20" s="218"/>
      <c r="AL20" s="218"/>
      <c r="AM20" s="218"/>
      <c r="AN20" s="218"/>
      <c r="AO20" s="218"/>
      <c r="AP20" s="218"/>
      <c r="AQ20" s="218"/>
    </row>
    <row r="21" spans="1:43" ht="20.100000000000001" customHeight="1">
      <c r="A21" s="1976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0"/>
      <c r="Q21" s="220"/>
      <c r="R21" s="220"/>
      <c r="S21" s="220"/>
      <c r="T21" s="816"/>
      <c r="U21" s="220"/>
      <c r="V21" s="218"/>
      <c r="W21" s="2031"/>
      <c r="X21" s="218"/>
      <c r="Y21" s="218"/>
      <c r="Z21" s="218"/>
      <c r="AA21" s="220"/>
      <c r="AB21" s="218"/>
      <c r="AC21" s="2031"/>
      <c r="AD21" s="218"/>
      <c r="AE21" s="218"/>
      <c r="AF21" s="218"/>
      <c r="AG21" s="218"/>
      <c r="AH21" s="218"/>
      <c r="AI21" s="2031"/>
      <c r="AJ21" s="218"/>
      <c r="AK21" s="218"/>
      <c r="AL21" s="218"/>
      <c r="AM21" s="218"/>
      <c r="AN21" s="218"/>
      <c r="AO21" s="218"/>
      <c r="AP21" s="218"/>
      <c r="AQ21" s="218"/>
    </row>
    <row r="22" spans="1:43" ht="20.100000000000001" customHeight="1">
      <c r="A22" s="857"/>
      <c r="B22" s="329" t="s">
        <v>430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0"/>
      <c r="Q22" s="220"/>
      <c r="R22" s="220"/>
      <c r="S22" s="220"/>
      <c r="T22" s="816"/>
      <c r="U22" s="220"/>
      <c r="V22" s="218"/>
      <c r="W22" s="2031"/>
      <c r="X22" s="218"/>
      <c r="Y22" s="218"/>
      <c r="Z22" s="218"/>
      <c r="AA22" s="220"/>
      <c r="AB22" s="218"/>
      <c r="AC22" s="2031"/>
      <c r="AD22" s="218"/>
      <c r="AE22" s="218"/>
      <c r="AF22" s="218"/>
      <c r="AG22" s="218"/>
      <c r="AH22" s="218"/>
      <c r="AI22" s="2031"/>
      <c r="AJ22" s="218"/>
      <c r="AK22" s="218"/>
      <c r="AL22" s="218"/>
      <c r="AM22" s="218"/>
      <c r="AN22" s="218"/>
      <c r="AO22" s="218"/>
      <c r="AP22" s="218"/>
      <c r="AQ22" s="218"/>
    </row>
    <row r="23" spans="1:43" ht="9.9499999999999993" customHeight="1" thickBot="1">
      <c r="A23" s="857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0"/>
      <c r="Q23" s="220"/>
      <c r="R23" s="220"/>
      <c r="S23" s="871"/>
      <c r="T23" s="816"/>
      <c r="U23" s="220"/>
      <c r="V23" s="218"/>
      <c r="W23" s="2031"/>
      <c r="X23" s="218"/>
      <c r="Y23" s="218"/>
      <c r="Z23" s="218"/>
      <c r="AA23" s="220"/>
      <c r="AB23" s="218"/>
      <c r="AC23" s="2031"/>
      <c r="AD23" s="218"/>
      <c r="AE23" s="218"/>
      <c r="AF23" s="218"/>
      <c r="AG23" s="218"/>
      <c r="AH23" s="218"/>
      <c r="AI23" s="2031"/>
      <c r="AJ23" s="218"/>
      <c r="AK23" s="218"/>
      <c r="AL23" s="218"/>
      <c r="AM23" s="218"/>
      <c r="AN23" s="218"/>
      <c r="AO23" s="218"/>
      <c r="AP23" s="218"/>
      <c r="AQ23" s="218"/>
    </row>
    <row r="24" spans="1:43" ht="35.1" customHeight="1" thickBot="1">
      <c r="A24" s="857"/>
      <c r="B24" s="2660" t="s">
        <v>27</v>
      </c>
      <c r="C24" s="2661"/>
      <c r="D24" s="2661"/>
      <c r="E24" s="2661"/>
      <c r="F24" s="2661"/>
      <c r="G24" s="2661"/>
      <c r="H24" s="2661"/>
      <c r="I24" s="2661"/>
      <c r="J24" s="2661"/>
      <c r="K24" s="2661"/>
      <c r="L24" s="2661"/>
      <c r="M24" s="2661"/>
      <c r="N24" s="2661"/>
      <c r="O24" s="2661"/>
      <c r="P24" s="2661"/>
      <c r="Q24" s="2661"/>
      <c r="R24" s="2661"/>
      <c r="S24" s="2662"/>
      <c r="T24" s="816"/>
      <c r="U24" s="220"/>
      <c r="V24" s="237" t="s">
        <v>308</v>
      </c>
      <c r="W24" s="828"/>
      <c r="X24" s="222"/>
      <c r="Y24" s="222"/>
      <c r="Z24" s="222"/>
      <c r="AA24" s="220"/>
      <c r="AB24" s="828"/>
      <c r="AC24" s="828"/>
      <c r="AD24" s="222"/>
      <c r="AE24" s="222"/>
      <c r="AF24" s="222"/>
      <c r="AG24" s="218"/>
      <c r="AH24" s="223"/>
      <c r="AI24" s="828"/>
      <c r="AJ24" s="223"/>
      <c r="AK24" s="223"/>
      <c r="AL24" s="223"/>
      <c r="AM24" s="218"/>
      <c r="AN24" s="223"/>
      <c r="AO24" s="223"/>
      <c r="AP24" s="223"/>
      <c r="AQ24" s="218"/>
    </row>
    <row r="25" spans="1:43" ht="39.950000000000003" customHeight="1" thickBot="1">
      <c r="A25" s="857"/>
      <c r="B25" s="253"/>
      <c r="C25" s="2660" t="s">
        <v>136</v>
      </c>
      <c r="D25" s="2661"/>
      <c r="E25" s="2661"/>
      <c r="F25" s="2661"/>
      <c r="G25" s="2661"/>
      <c r="H25" s="2661"/>
      <c r="I25" s="2661"/>
      <c r="J25" s="2661"/>
      <c r="K25" s="2661"/>
      <c r="L25" s="2661"/>
      <c r="M25" s="2661"/>
      <c r="N25" s="2661"/>
      <c r="O25" s="2661"/>
      <c r="P25" s="2661"/>
      <c r="Q25" s="2661"/>
      <c r="R25" s="2661"/>
      <c r="S25" s="2663" t="s">
        <v>125</v>
      </c>
      <c r="T25" s="816"/>
      <c r="U25" s="220"/>
      <c r="V25" s="224"/>
      <c r="W25" s="224"/>
      <c r="X25" s="224"/>
      <c r="Y25" s="224"/>
      <c r="Z25" s="224"/>
      <c r="AA25" s="220"/>
      <c r="AB25" s="224"/>
      <c r="AC25" s="224"/>
      <c r="AD25" s="224"/>
      <c r="AE25" s="224"/>
      <c r="AF25" s="224"/>
      <c r="AG25" s="218"/>
      <c r="AH25" s="225"/>
      <c r="AI25" s="224"/>
      <c r="AJ25" s="225"/>
      <c r="AK25" s="225"/>
      <c r="AL25" s="225"/>
      <c r="AM25" s="218"/>
      <c r="AN25" s="225"/>
      <c r="AO25" s="225"/>
      <c r="AP25" s="225"/>
      <c r="AQ25" s="218"/>
    </row>
    <row r="26" spans="1:43" ht="39.950000000000003" customHeight="1" thickBot="1">
      <c r="A26" s="857"/>
      <c r="B26" s="253"/>
      <c r="C26" s="2657" t="s">
        <v>4</v>
      </c>
      <c r="D26" s="2658"/>
      <c r="E26" s="2658"/>
      <c r="F26" s="2658"/>
      <c r="G26" s="2658"/>
      <c r="H26" s="2658"/>
      <c r="I26" s="2659"/>
      <c r="J26" s="2657" t="s">
        <v>28</v>
      </c>
      <c r="K26" s="2658"/>
      <c r="L26" s="2658"/>
      <c r="M26" s="2658"/>
      <c r="N26" s="2658"/>
      <c r="O26" s="2659"/>
      <c r="P26" s="2664" t="s">
        <v>2</v>
      </c>
      <c r="Q26" s="2665"/>
      <c r="R26" s="2666"/>
      <c r="S26" s="2663"/>
      <c r="T26" s="816"/>
      <c r="U26" s="220"/>
      <c r="V26" s="828"/>
      <c r="W26" s="828"/>
      <c r="X26" s="828"/>
      <c r="Y26" s="828"/>
      <c r="Z26" s="828"/>
      <c r="AA26" s="220"/>
      <c r="AB26" s="828"/>
      <c r="AC26" s="828"/>
      <c r="AD26" s="828"/>
      <c r="AE26" s="828"/>
      <c r="AF26" s="828"/>
      <c r="AG26" s="218"/>
      <c r="AH26" s="828"/>
      <c r="AI26" s="828"/>
      <c r="AJ26" s="828"/>
      <c r="AK26" s="828"/>
      <c r="AL26" s="828"/>
      <c r="AM26" s="218"/>
      <c r="AN26" s="828"/>
      <c r="AO26" s="828"/>
      <c r="AP26" s="828"/>
      <c r="AQ26" s="218"/>
    </row>
    <row r="27" spans="1:43" ht="39.950000000000003" customHeight="1">
      <c r="A27" s="857"/>
      <c r="B27" s="246" t="s">
        <v>135</v>
      </c>
      <c r="C27" s="2668" t="s">
        <v>349</v>
      </c>
      <c r="D27" s="2669"/>
      <c r="E27" s="2669"/>
      <c r="F27" s="2669"/>
      <c r="G27" s="2670"/>
      <c r="H27" s="868" t="s">
        <v>268</v>
      </c>
      <c r="I27" s="869" t="s">
        <v>2</v>
      </c>
      <c r="J27" s="2671" t="s">
        <v>349</v>
      </c>
      <c r="K27" s="2672"/>
      <c r="L27" s="2672"/>
      <c r="M27" s="2673"/>
      <c r="N27" s="868" t="s">
        <v>268</v>
      </c>
      <c r="O27" s="869" t="s">
        <v>2</v>
      </c>
      <c r="P27" s="2517" t="s">
        <v>349</v>
      </c>
      <c r="Q27" s="2025" t="s">
        <v>268</v>
      </c>
      <c r="R27" s="2027" t="s">
        <v>2</v>
      </c>
      <c r="S27" s="2026"/>
      <c r="T27" s="816"/>
      <c r="U27" s="220"/>
      <c r="V27" s="237" t="s">
        <v>431</v>
      </c>
      <c r="W27" s="828"/>
      <c r="X27" s="828"/>
      <c r="Y27" s="828"/>
      <c r="Z27" s="828"/>
      <c r="AA27" s="220"/>
      <c r="AB27" s="237" t="s">
        <v>432</v>
      </c>
      <c r="AC27" s="828"/>
      <c r="AD27" s="828"/>
      <c r="AE27" s="828"/>
      <c r="AF27" s="828"/>
      <c r="AG27" s="218"/>
      <c r="AH27" s="237" t="s">
        <v>433</v>
      </c>
      <c r="AI27" s="828"/>
      <c r="AJ27" s="828"/>
      <c r="AK27" s="828"/>
      <c r="AL27" s="828"/>
      <c r="AM27" s="220"/>
      <c r="AN27" s="237" t="s">
        <v>434</v>
      </c>
      <c r="AO27" s="828"/>
      <c r="AP27" s="828"/>
      <c r="AQ27" s="218"/>
    </row>
    <row r="28" spans="1:43" ht="39.950000000000003" customHeight="1" thickBot="1">
      <c r="A28" s="857"/>
      <c r="B28" s="246"/>
      <c r="C28" s="815" t="s">
        <v>23</v>
      </c>
      <c r="D28" s="864" t="s">
        <v>12</v>
      </c>
      <c r="E28" s="864" t="s">
        <v>13</v>
      </c>
      <c r="F28" s="864" t="s">
        <v>14</v>
      </c>
      <c r="G28" s="2515" t="s">
        <v>2</v>
      </c>
      <c r="H28" s="867" t="s">
        <v>23</v>
      </c>
      <c r="I28" s="866"/>
      <c r="J28" s="815" t="s">
        <v>13</v>
      </c>
      <c r="K28" s="864" t="s">
        <v>14</v>
      </c>
      <c r="L28" s="864" t="s">
        <v>15</v>
      </c>
      <c r="M28" s="2515" t="s">
        <v>2</v>
      </c>
      <c r="N28" s="867">
        <v>2</v>
      </c>
      <c r="O28" s="866"/>
      <c r="P28" s="245"/>
      <c r="Q28" s="2024"/>
      <c r="R28" s="2028"/>
      <c r="S28" s="1883"/>
      <c r="T28" s="816"/>
      <c r="U28" s="220"/>
      <c r="V28" s="2029"/>
      <c r="W28" s="828"/>
      <c r="X28" s="633"/>
      <c r="Y28" s="633"/>
      <c r="Z28" s="633"/>
      <c r="AA28" s="220"/>
      <c r="AB28" s="2029"/>
      <c r="AC28" s="828"/>
      <c r="AD28" s="633"/>
      <c r="AE28" s="633"/>
      <c r="AF28" s="633"/>
      <c r="AG28" s="218"/>
      <c r="AH28" s="270"/>
      <c r="AI28" s="828"/>
      <c r="AJ28" s="2039"/>
      <c r="AK28" s="2039"/>
      <c r="AL28" s="2039"/>
      <c r="AM28" s="218"/>
      <c r="AN28" s="270"/>
      <c r="AO28" s="270"/>
      <c r="AP28" s="270"/>
      <c r="AQ28" s="218"/>
    </row>
    <row r="29" spans="1:43" ht="30" customHeight="1">
      <c r="A29" s="857"/>
      <c r="B29" s="254"/>
      <c r="C29" s="818" t="s">
        <v>16</v>
      </c>
      <c r="D29" s="861" t="s">
        <v>16</v>
      </c>
      <c r="E29" s="861" t="s">
        <v>16</v>
      </c>
      <c r="F29" s="861" t="s">
        <v>16</v>
      </c>
      <c r="G29" s="862" t="s">
        <v>16</v>
      </c>
      <c r="H29" s="246" t="s">
        <v>16</v>
      </c>
      <c r="I29" s="866"/>
      <c r="J29" s="818" t="s">
        <v>16</v>
      </c>
      <c r="K29" s="861" t="s">
        <v>16</v>
      </c>
      <c r="L29" s="861" t="s">
        <v>16</v>
      </c>
      <c r="M29" s="862" t="s">
        <v>16</v>
      </c>
      <c r="N29" s="246" t="s">
        <v>16</v>
      </c>
      <c r="O29" s="866"/>
      <c r="P29" s="245" t="s">
        <v>16</v>
      </c>
      <c r="Q29" s="2024" t="s">
        <v>16</v>
      </c>
      <c r="R29" s="2028" t="s">
        <v>16</v>
      </c>
      <c r="S29" s="226" t="s">
        <v>16</v>
      </c>
      <c r="T29" s="816"/>
      <c r="U29" s="220"/>
      <c r="V29" s="2648" t="s">
        <v>345</v>
      </c>
      <c r="W29" s="828"/>
      <c r="X29" s="2645" t="s">
        <v>152</v>
      </c>
      <c r="Y29" s="2646"/>
      <c r="Z29" s="2647"/>
      <c r="AA29" s="220"/>
      <c r="AB29" s="2648" t="s">
        <v>345</v>
      </c>
      <c r="AC29" s="828"/>
      <c r="AD29" s="2645" t="s">
        <v>152</v>
      </c>
      <c r="AE29" s="2646"/>
      <c r="AF29" s="2647"/>
      <c r="AG29" s="218"/>
      <c r="AH29" s="2649" t="s">
        <v>345</v>
      </c>
      <c r="AI29" s="828"/>
      <c r="AJ29" s="2654" t="s">
        <v>152</v>
      </c>
      <c r="AK29" s="2655"/>
      <c r="AL29" s="2656"/>
      <c r="AM29" s="218"/>
      <c r="AN29" s="2654" t="s">
        <v>152</v>
      </c>
      <c r="AO29" s="2655"/>
      <c r="AP29" s="2656"/>
      <c r="AQ29" s="218"/>
    </row>
    <row r="30" spans="1:43" ht="39.950000000000003" customHeight="1">
      <c r="A30" s="857"/>
      <c r="B30" s="254"/>
      <c r="C30" s="819" t="s">
        <v>29</v>
      </c>
      <c r="D30" s="860" t="s">
        <v>29</v>
      </c>
      <c r="E30" s="860" t="s">
        <v>29</v>
      </c>
      <c r="F30" s="860" t="s">
        <v>29</v>
      </c>
      <c r="G30" s="862" t="s">
        <v>54</v>
      </c>
      <c r="H30" s="817" t="s">
        <v>29</v>
      </c>
      <c r="I30" s="862" t="s">
        <v>54</v>
      </c>
      <c r="J30" s="819" t="s">
        <v>29</v>
      </c>
      <c r="K30" s="860" t="s">
        <v>29</v>
      </c>
      <c r="L30" s="860" t="s">
        <v>29</v>
      </c>
      <c r="M30" s="862" t="s">
        <v>54</v>
      </c>
      <c r="N30" s="817" t="s">
        <v>29</v>
      </c>
      <c r="O30" s="862" t="s">
        <v>54</v>
      </c>
      <c r="P30" s="245" t="s">
        <v>54</v>
      </c>
      <c r="Q30" s="2024" t="s">
        <v>54</v>
      </c>
      <c r="R30" s="2028" t="s">
        <v>54</v>
      </c>
      <c r="S30" s="243" t="s">
        <v>29</v>
      </c>
      <c r="T30" s="816"/>
      <c r="U30" s="220"/>
      <c r="V30" s="2649"/>
      <c r="W30" s="828"/>
      <c r="X30" s="2034" t="s">
        <v>58</v>
      </c>
      <c r="Y30" s="2597" t="s">
        <v>153</v>
      </c>
      <c r="Z30" s="2035" t="s">
        <v>66</v>
      </c>
      <c r="AA30" s="220"/>
      <c r="AB30" s="2649"/>
      <c r="AC30" s="828"/>
      <c r="AD30" s="2034" t="s">
        <v>58</v>
      </c>
      <c r="AE30" s="2597" t="s">
        <v>153</v>
      </c>
      <c r="AF30" s="2035" t="s">
        <v>66</v>
      </c>
      <c r="AG30" s="218"/>
      <c r="AH30" s="2649"/>
      <c r="AI30" s="828"/>
      <c r="AJ30" s="1949" t="s">
        <v>58</v>
      </c>
      <c r="AK30" s="2597" t="s">
        <v>153</v>
      </c>
      <c r="AL30" s="2033" t="s">
        <v>66</v>
      </c>
      <c r="AM30" s="218"/>
      <c r="AN30" s="1949" t="s">
        <v>58</v>
      </c>
      <c r="AO30" s="2597" t="s">
        <v>153</v>
      </c>
      <c r="AP30" s="2033" t="s">
        <v>66</v>
      </c>
      <c r="AQ30" s="218"/>
    </row>
    <row r="31" spans="1:43" ht="30" customHeight="1" thickBot="1">
      <c r="A31" s="857"/>
      <c r="B31" s="255"/>
      <c r="C31" s="418">
        <v>1</v>
      </c>
      <c r="D31" s="415">
        <v>2</v>
      </c>
      <c r="E31" s="417">
        <v>3</v>
      </c>
      <c r="F31" s="417">
        <v>4</v>
      </c>
      <c r="G31" s="421">
        <v>5</v>
      </c>
      <c r="H31" s="419">
        <v>6</v>
      </c>
      <c r="I31" s="421">
        <v>7</v>
      </c>
      <c r="J31" s="418">
        <v>8</v>
      </c>
      <c r="K31" s="415">
        <v>9</v>
      </c>
      <c r="L31" s="417">
        <v>10</v>
      </c>
      <c r="M31" s="420">
        <v>11</v>
      </c>
      <c r="N31" s="419">
        <v>12</v>
      </c>
      <c r="O31" s="421">
        <v>13</v>
      </c>
      <c r="P31" s="416">
        <v>14</v>
      </c>
      <c r="Q31" s="417">
        <v>15</v>
      </c>
      <c r="R31" s="420">
        <v>16</v>
      </c>
      <c r="S31" s="421">
        <v>17</v>
      </c>
      <c r="T31" s="816"/>
      <c r="U31" s="220"/>
      <c r="V31" s="1093"/>
      <c r="W31" s="828"/>
      <c r="X31" s="825"/>
      <c r="Y31" s="2598"/>
      <c r="Z31" s="827"/>
      <c r="AA31" s="220"/>
      <c r="AB31" s="1093"/>
      <c r="AC31" s="828"/>
      <c r="AD31" s="825"/>
      <c r="AE31" s="2598"/>
      <c r="AF31" s="827"/>
      <c r="AG31" s="218"/>
      <c r="AH31" s="1093"/>
      <c r="AI31" s="828"/>
      <c r="AJ31" s="825"/>
      <c r="AK31" s="2598"/>
      <c r="AL31" s="827"/>
      <c r="AM31" s="218"/>
      <c r="AN31" s="825"/>
      <c r="AO31" s="2598"/>
      <c r="AP31" s="827"/>
      <c r="AQ31" s="218"/>
    </row>
    <row r="32" spans="1:43" ht="35.1" customHeight="1" thickBot="1">
      <c r="A32" s="857"/>
      <c r="B32" s="2338" t="s">
        <v>161</v>
      </c>
      <c r="C32" s="2339"/>
      <c r="D32" s="2340"/>
      <c r="E32" s="2341"/>
      <c r="F32" s="2341"/>
      <c r="G32" s="1883"/>
      <c r="H32" s="866"/>
      <c r="I32" s="866"/>
      <c r="J32" s="2339"/>
      <c r="K32" s="2340"/>
      <c r="L32" s="865"/>
      <c r="M32" s="1883"/>
      <c r="N32" s="866"/>
      <c r="O32" s="866"/>
      <c r="P32" s="2312"/>
      <c r="Q32" s="2313"/>
      <c r="R32" s="2314"/>
      <c r="S32" s="239"/>
      <c r="T32" s="816"/>
      <c r="U32" s="220"/>
      <c r="V32" s="1427"/>
      <c r="W32" s="828"/>
      <c r="X32" s="1427"/>
      <c r="Y32" s="1427"/>
      <c r="Z32" s="1428"/>
      <c r="AA32" s="220"/>
      <c r="AB32" s="1427"/>
      <c r="AC32" s="828"/>
      <c r="AD32" s="1427"/>
      <c r="AE32" s="1427"/>
      <c r="AF32" s="1428"/>
      <c r="AG32" s="218"/>
      <c r="AH32" s="1430"/>
      <c r="AI32" s="828"/>
      <c r="AJ32" s="1430"/>
      <c r="AK32" s="1430"/>
      <c r="AL32" s="1431"/>
      <c r="AM32" s="218"/>
      <c r="AN32" s="1430"/>
      <c r="AO32" s="1430"/>
      <c r="AP32" s="1431"/>
      <c r="AQ32" s="218"/>
    </row>
    <row r="33" spans="1:43" ht="30" customHeight="1">
      <c r="A33" s="857"/>
      <c r="B33" s="2342" t="s">
        <v>133</v>
      </c>
      <c r="C33" s="2360">
        <v>222</v>
      </c>
      <c r="D33" s="887">
        <v>177</v>
      </c>
      <c r="E33" s="2361"/>
      <c r="F33" s="2361"/>
      <c r="G33" s="820">
        <f>SUM(C33:F33)</f>
        <v>399</v>
      </c>
      <c r="H33" s="883"/>
      <c r="I33" s="820">
        <f>SUM(G33,H33)</f>
        <v>399</v>
      </c>
      <c r="J33" s="2360">
        <v>189</v>
      </c>
      <c r="K33" s="887">
        <v>181</v>
      </c>
      <c r="L33" s="896">
        <v>170</v>
      </c>
      <c r="M33" s="820">
        <f>SUM(J33:L33)</f>
        <v>540</v>
      </c>
      <c r="N33" s="883"/>
      <c r="O33" s="820">
        <f>SUM(M33,N33)</f>
        <v>540</v>
      </c>
      <c r="P33" s="2315">
        <f>SUM(G33,M33)</f>
        <v>939</v>
      </c>
      <c r="Q33" s="2316">
        <f>SUM(H33,N33)</f>
        <v>0</v>
      </c>
      <c r="R33" s="2317">
        <f>SUM(P33:Q33)</f>
        <v>939</v>
      </c>
      <c r="S33" s="2362">
        <v>63</v>
      </c>
      <c r="T33" s="816"/>
      <c r="U33" s="220"/>
      <c r="V33" s="1094" t="str">
        <f>IF(AND($G33&gt;0,$H$17=0),"No intake?",IF(AND($H$17&gt;0,$G33=0),"No enrolments",IF(AND($H$17&gt;=$G33,$G33&gt;0),"Intake inconsistent with enrolments","OK")))</f>
        <v>OK</v>
      </c>
      <c r="W33" s="828"/>
      <c r="X33" s="2036">
        <f>'T1 Main Table'!$K$41</f>
        <v>399</v>
      </c>
      <c r="Y33" s="1429">
        <f>$G33-X33</f>
        <v>0</v>
      </c>
      <c r="Z33" s="1089" t="str">
        <f>IF(ABS(Y33)&gt;0.1,"Does not equal figure in Table 1","OK")</f>
        <v>OK</v>
      </c>
      <c r="AA33" s="220"/>
      <c r="AB33" s="1094" t="str">
        <f>IF(AND($H33&gt;0,$H$18=0),"No intake?",IF(AND($H$18&gt;0,$H33=0),"No enrolments",IF(AND($H$18&gt;=$H33,$H33&gt;0),"Intake inconsistent with enrolments","OK")))</f>
        <v>OK</v>
      </c>
      <c r="AC33" s="828"/>
      <c r="AD33" s="2036">
        <f>'T1 Main Table'!$K$42</f>
        <v>0</v>
      </c>
      <c r="AE33" s="1429">
        <f>$H33-AD33</f>
        <v>0</v>
      </c>
      <c r="AF33" s="1089" t="str">
        <f>IF(ABS(AE33)&gt;0.1,"Does not equal figure in Table 1","OK")</f>
        <v>OK</v>
      </c>
      <c r="AG33" s="218"/>
      <c r="AH33" s="1094" t="str">
        <f>IF(AND($M33&gt;0,$H$20=0),"No intake?",IF(AND($H$20&gt;0,$M33=0),"No enrolments",IF(AND($H$20&gt;=$M33,$M33&gt;0),"Intake inconsistent with enrolments","OK")))</f>
        <v>OK</v>
      </c>
      <c r="AI33" s="828"/>
      <c r="AJ33" s="2036">
        <f>'T1 Main Table'!$K$38</f>
        <v>540</v>
      </c>
      <c r="AK33" s="1429">
        <f>$M33-AJ33</f>
        <v>0</v>
      </c>
      <c r="AL33" s="1089" t="str">
        <f>IF(ABS(AK33)&gt;0.1,"Does not equal figure in Table 1","OK")</f>
        <v>OK</v>
      </c>
      <c r="AM33" s="218"/>
      <c r="AN33" s="1826">
        <f>'T1 Main Table'!$K$39</f>
        <v>0</v>
      </c>
      <c r="AO33" s="1429">
        <f>$N33-AN33</f>
        <v>0</v>
      </c>
      <c r="AP33" s="1089" t="str">
        <f>IF(ABS(AO33)&gt;0.1,"Does not equal figure in Table 1","OK")</f>
        <v>OK</v>
      </c>
      <c r="AQ33" s="218"/>
    </row>
    <row r="34" spans="1:43" ht="30" customHeight="1" thickBot="1">
      <c r="A34" s="857"/>
      <c r="B34" s="2342" t="s">
        <v>160</v>
      </c>
      <c r="C34" s="2360">
        <v>50</v>
      </c>
      <c r="D34" s="887">
        <v>62</v>
      </c>
      <c r="E34" s="2361"/>
      <c r="F34" s="2361"/>
      <c r="G34" s="820">
        <f>SUM(C34:F34)</f>
        <v>112</v>
      </c>
      <c r="H34" s="883"/>
      <c r="I34" s="820">
        <f>SUM(G34,H34)</f>
        <v>112</v>
      </c>
      <c r="J34" s="2360">
        <v>60</v>
      </c>
      <c r="K34" s="887">
        <v>64</v>
      </c>
      <c r="L34" s="896">
        <v>62</v>
      </c>
      <c r="M34" s="820">
        <f>SUM(J34:L34)</f>
        <v>186</v>
      </c>
      <c r="N34" s="883"/>
      <c r="O34" s="820">
        <f>SUM(M34,N34)</f>
        <v>186</v>
      </c>
      <c r="P34" s="2318">
        <f>SUM(G34,M34)</f>
        <v>298</v>
      </c>
      <c r="Q34" s="2316">
        <f>SUM(H34,N34)</f>
        <v>0</v>
      </c>
      <c r="R34" s="2317">
        <f>SUM(P34:Q34)</f>
        <v>298</v>
      </c>
      <c r="S34" s="2362">
        <v>18</v>
      </c>
      <c r="T34" s="816"/>
      <c r="U34" s="220"/>
      <c r="V34" s="1096" t="str">
        <f>IF(AND($G34&gt;0,$I$17=0),"No intake?",IF(AND($I$17&gt;0,$G34=0),"No enrolments",IF(AND($I$17&gt;=$G34,$G34&gt;0),"Intake inconsistent with enrolments","OK")))</f>
        <v>OK</v>
      </c>
      <c r="W34" s="828"/>
      <c r="X34" s="2037">
        <f>'T1 Main Table'!$O$41</f>
        <v>112</v>
      </c>
      <c r="Y34" s="880">
        <f>$G34-X34</f>
        <v>0</v>
      </c>
      <c r="Z34" s="21" t="str">
        <f>IF(ABS(Y34)&gt;0.1,"Does not equal figure in Table 1","OK")</f>
        <v>OK</v>
      </c>
      <c r="AA34" s="220"/>
      <c r="AB34" s="1096" t="str">
        <f>IF(AND($H34&gt;0,$I$18=0),"No intake?",IF(AND($I$18&gt;0,$H34=0),"No enrolments",IF(AND($I$18&gt;=$H34,$H34&gt;0),"Intake inconsistent with enrolments","OK")))</f>
        <v>OK</v>
      </c>
      <c r="AC34" s="828"/>
      <c r="AD34" s="2037">
        <f>'T1 Main Table'!$O$42</f>
        <v>0</v>
      </c>
      <c r="AE34" s="880">
        <f>$H34-AD34</f>
        <v>0</v>
      </c>
      <c r="AF34" s="21" t="str">
        <f>IF(ABS(AE34)&gt;0.1,"Does not equal figure in Table 1","OK")</f>
        <v>OK</v>
      </c>
      <c r="AG34" s="218"/>
      <c r="AH34" s="1096" t="str">
        <f>IF(AND($M34&gt;0,$I$20=0),"No intake?",IF(AND($I$20&gt;0,$M34=0),"No enrolments",IF(AND($I$20&gt;=$M34,$M34&gt;0),"Intake inconsistent with enrolments","OK")))</f>
        <v>OK</v>
      </c>
      <c r="AI34" s="828"/>
      <c r="AJ34" s="2037">
        <f>'T1 Main Table'!$O$38</f>
        <v>186</v>
      </c>
      <c r="AK34" s="880">
        <f>$M34-AJ34</f>
        <v>0</v>
      </c>
      <c r="AL34" s="21" t="str">
        <f>IF(ABS(AK34)&gt;0.1,"Does not equal figure in Table 1","OK")</f>
        <v>OK</v>
      </c>
      <c r="AM34" s="218"/>
      <c r="AN34" s="1827">
        <f>'T1 Main Table'!$O$39</f>
        <v>0</v>
      </c>
      <c r="AO34" s="880">
        <f>$N34-AN34</f>
        <v>0</v>
      </c>
      <c r="AP34" s="21" t="str">
        <f>IF(ABS(AO34)&gt;0.1,"Does not equal figure in Table 1","OK")</f>
        <v>OK</v>
      </c>
      <c r="AQ34" s="218"/>
    </row>
    <row r="35" spans="1:43" ht="30" customHeight="1" thickBot="1">
      <c r="A35" s="857"/>
      <c r="B35" s="2343" t="s">
        <v>162</v>
      </c>
      <c r="C35" s="2344">
        <f t="shared" ref="C35:I35" si="1">SUM(C33:C34)</f>
        <v>272</v>
      </c>
      <c r="D35" s="2345">
        <f t="shared" si="1"/>
        <v>239</v>
      </c>
      <c r="E35" s="2345">
        <f t="shared" si="1"/>
        <v>0</v>
      </c>
      <c r="F35" s="2345">
        <f t="shared" si="1"/>
        <v>0</v>
      </c>
      <c r="G35" s="2319">
        <f t="shared" si="1"/>
        <v>511</v>
      </c>
      <c r="H35" s="539">
        <f t="shared" si="1"/>
        <v>0</v>
      </c>
      <c r="I35" s="2319">
        <f t="shared" si="1"/>
        <v>511</v>
      </c>
      <c r="J35" s="2344">
        <f t="shared" ref="J35:M35" si="2">SUM(J33:J34)</f>
        <v>249</v>
      </c>
      <c r="K35" s="2345">
        <f t="shared" si="2"/>
        <v>245</v>
      </c>
      <c r="L35" s="2345">
        <f t="shared" si="2"/>
        <v>232</v>
      </c>
      <c r="M35" s="2319">
        <f t="shared" si="2"/>
        <v>726</v>
      </c>
      <c r="N35" s="539">
        <f t="shared" ref="N35:S35" si="3">SUM(N33:N34)</f>
        <v>0</v>
      </c>
      <c r="O35" s="2319">
        <f t="shared" si="3"/>
        <v>726</v>
      </c>
      <c r="P35" s="265">
        <f t="shared" si="3"/>
        <v>1237</v>
      </c>
      <c r="Q35" s="266">
        <f t="shared" si="3"/>
        <v>0</v>
      </c>
      <c r="R35" s="267">
        <f t="shared" si="3"/>
        <v>1237</v>
      </c>
      <c r="S35" s="2346">
        <f t="shared" si="3"/>
        <v>81</v>
      </c>
      <c r="T35" s="816"/>
      <c r="U35" s="220"/>
      <c r="V35" s="231"/>
      <c r="W35" s="828"/>
      <c r="X35" s="225"/>
      <c r="Y35" s="230"/>
      <c r="Z35" s="225"/>
      <c r="AA35" s="220"/>
      <c r="AB35" s="231"/>
      <c r="AC35" s="828"/>
      <c r="AD35" s="225"/>
      <c r="AE35" s="230"/>
      <c r="AF35" s="225"/>
      <c r="AG35" s="218"/>
      <c r="AH35" s="231"/>
      <c r="AI35" s="828"/>
      <c r="AJ35" s="225"/>
      <c r="AK35" s="230"/>
      <c r="AL35" s="225"/>
      <c r="AM35" s="218"/>
      <c r="AN35" s="881"/>
      <c r="AO35" s="882"/>
      <c r="AP35" s="881"/>
      <c r="AQ35" s="218"/>
    </row>
    <row r="36" spans="1:43" ht="35.1" customHeight="1" thickBot="1">
      <c r="A36" s="857"/>
      <c r="B36" s="2347" t="s">
        <v>134</v>
      </c>
      <c r="C36" s="2348"/>
      <c r="D36" s="2349"/>
      <c r="E36" s="2349"/>
      <c r="F36" s="2349"/>
      <c r="G36" s="2350"/>
      <c r="H36" s="2309"/>
      <c r="I36" s="2320"/>
      <c r="J36" s="2348"/>
      <c r="K36" s="2349"/>
      <c r="L36" s="2351"/>
      <c r="M36" s="2350"/>
      <c r="N36" s="2309"/>
      <c r="O36" s="2320"/>
      <c r="P36" s="2321"/>
      <c r="Q36" s="2322"/>
      <c r="R36" s="2323"/>
      <c r="S36" s="2352"/>
      <c r="T36" s="816"/>
      <c r="U36" s="220"/>
      <c r="V36" s="231"/>
      <c r="W36" s="828"/>
      <c r="X36" s="225"/>
      <c r="Y36" s="230"/>
      <c r="Z36" s="225"/>
      <c r="AA36" s="2038"/>
      <c r="AB36" s="225"/>
      <c r="AC36" s="225"/>
      <c r="AD36" s="225"/>
      <c r="AE36" s="230"/>
      <c r="AF36" s="225"/>
      <c r="AG36" s="218"/>
      <c r="AH36" s="231"/>
      <c r="AI36" s="828"/>
      <c r="AJ36" s="225"/>
      <c r="AK36" s="230"/>
      <c r="AL36" s="225"/>
      <c r="AM36" s="218"/>
      <c r="AN36" s="225"/>
      <c r="AO36" s="230"/>
      <c r="AP36" s="225"/>
      <c r="AQ36" s="218"/>
    </row>
    <row r="37" spans="1:43" ht="30" customHeight="1">
      <c r="A37" s="857"/>
      <c r="B37" s="2342" t="s">
        <v>138</v>
      </c>
      <c r="C37" s="2361"/>
      <c r="D37" s="896"/>
      <c r="E37" s="2361"/>
      <c r="F37" s="2361"/>
      <c r="G37" s="820">
        <f>SUM(C37:F37)</f>
        <v>0</v>
      </c>
      <c r="H37" s="2310"/>
      <c r="I37" s="820">
        <f>G37</f>
        <v>0</v>
      </c>
      <c r="J37" s="2361">
        <v>15</v>
      </c>
      <c r="K37" s="896">
        <v>16</v>
      </c>
      <c r="L37" s="896">
        <v>16</v>
      </c>
      <c r="M37" s="820">
        <f t="shared" ref="M37:M39" si="4">SUM(J37:L37)</f>
        <v>47</v>
      </c>
      <c r="N37" s="2310"/>
      <c r="O37" s="820">
        <f>M37</f>
        <v>47</v>
      </c>
      <c r="P37" s="2318">
        <f>SUM(G37,M37)</f>
        <v>47</v>
      </c>
      <c r="Q37" s="2316">
        <f t="shared" ref="Q37:Q39" si="5">SUM(H37,N37)</f>
        <v>0</v>
      </c>
      <c r="R37" s="2317">
        <f t="shared" ref="R37:R39" si="6">SUM(P37:Q37)</f>
        <v>47</v>
      </c>
      <c r="S37" s="2362"/>
      <c r="T37" s="816"/>
      <c r="U37" s="220"/>
      <c r="V37" s="1094" t="str">
        <f>IF(AND($G37&gt;0,$J$17=0),"No intake?",IF(AND($J$17&gt;0,$G37=0),"No enrolments",IF(AND($J$17&gt;=$G37,$G37&gt;0),"Intake inconsistent with enrolments","OK")))</f>
        <v>OK</v>
      </c>
      <c r="W37" s="828"/>
      <c r="X37" s="225"/>
      <c r="Y37" s="230"/>
      <c r="Z37" s="225"/>
      <c r="AA37" s="2038"/>
      <c r="AB37" s="225"/>
      <c r="AC37" s="225"/>
      <c r="AD37" s="225"/>
      <c r="AE37" s="230"/>
      <c r="AF37" s="225"/>
      <c r="AG37" s="218"/>
      <c r="AH37" s="1094" t="str">
        <f>IF(AND($M37&gt;0,$J$20=0),"No intake?",IF(AND($J$20&gt;0,$M37=0),"No enrolments",IF(AND($J$20&gt;=$M37,$M37&gt;0),"Intake inconsistent with enrolments","OK")))</f>
        <v>OK</v>
      </c>
      <c r="AI37" s="828"/>
      <c r="AJ37" s="225"/>
      <c r="AK37" s="230"/>
      <c r="AL37" s="225"/>
      <c r="AM37" s="218"/>
      <c r="AN37" s="225"/>
      <c r="AO37" s="230"/>
      <c r="AP37" s="225"/>
      <c r="AQ37" s="218"/>
    </row>
    <row r="38" spans="1:43" ht="30" customHeight="1">
      <c r="A38" s="857"/>
      <c r="B38" s="2342" t="s">
        <v>139</v>
      </c>
      <c r="C38" s="2361"/>
      <c r="D38" s="896"/>
      <c r="E38" s="2361"/>
      <c r="F38" s="2361"/>
      <c r="G38" s="820">
        <f>SUM(C38:F38)</f>
        <v>0</v>
      </c>
      <c r="H38" s="2310"/>
      <c r="I38" s="820">
        <f t="shared" ref="I38:I39" si="7">G38</f>
        <v>0</v>
      </c>
      <c r="J38" s="2361"/>
      <c r="K38" s="896"/>
      <c r="L38" s="896"/>
      <c r="M38" s="820">
        <f t="shared" si="4"/>
        <v>0</v>
      </c>
      <c r="N38" s="2310"/>
      <c r="O38" s="820">
        <f t="shared" ref="O38:O39" si="8">M38</f>
        <v>0</v>
      </c>
      <c r="P38" s="2318">
        <f>SUM(G38,M38)</f>
        <v>0</v>
      </c>
      <c r="Q38" s="2316">
        <f t="shared" si="5"/>
        <v>0</v>
      </c>
      <c r="R38" s="2317">
        <f t="shared" si="6"/>
        <v>0</v>
      </c>
      <c r="S38" s="2362"/>
      <c r="T38" s="816"/>
      <c r="U38" s="220"/>
      <c r="V38" s="1095" t="str">
        <f>IF(AND($G38&gt;0,$K$17=0),"No intake?",IF(AND($K$17&gt;0,$G38=0),"No enrolments",IF(AND($K$17&gt;=$G38,$G38&gt;0),"Intake inconsistent with enrolments","OK")))</f>
        <v>OK</v>
      </c>
      <c r="W38" s="828"/>
      <c r="X38" s="225"/>
      <c r="Y38" s="230"/>
      <c r="Z38" s="225"/>
      <c r="AA38" s="2038"/>
      <c r="AB38" s="225"/>
      <c r="AC38" s="225"/>
      <c r="AD38" s="225"/>
      <c r="AE38" s="230"/>
      <c r="AF38" s="225"/>
      <c r="AG38" s="218"/>
      <c r="AH38" s="1095" t="str">
        <f>IF(AND($M38&gt;0,$K$20=0),"No intake?",IF(AND($K$20&gt;0,$M38=0),"No enrolments",IF(AND($K$20&gt;=$M38,$M38&gt;0),"Intake inconsistent with enrolments","OK")))</f>
        <v>OK</v>
      </c>
      <c r="AI38" s="828"/>
      <c r="AJ38" s="225"/>
      <c r="AK38" s="230"/>
      <c r="AL38" s="225"/>
      <c r="AM38" s="218"/>
      <c r="AN38" s="225"/>
      <c r="AO38" s="230"/>
      <c r="AP38" s="225"/>
      <c r="AQ38" s="218"/>
    </row>
    <row r="39" spans="1:43" ht="30" customHeight="1" thickBot="1">
      <c r="A39" s="857"/>
      <c r="B39" s="2342" t="s">
        <v>69</v>
      </c>
      <c r="C39" s="2361">
        <v>42</v>
      </c>
      <c r="D39" s="896">
        <v>36</v>
      </c>
      <c r="E39" s="2361"/>
      <c r="F39" s="2361"/>
      <c r="G39" s="820">
        <f>SUM(C39:F39)</f>
        <v>78</v>
      </c>
      <c r="H39" s="2310"/>
      <c r="I39" s="820">
        <f t="shared" si="7"/>
        <v>78</v>
      </c>
      <c r="J39" s="2361">
        <v>37</v>
      </c>
      <c r="K39" s="896">
        <v>33</v>
      </c>
      <c r="L39" s="896">
        <v>23</v>
      </c>
      <c r="M39" s="820">
        <f t="shared" si="4"/>
        <v>93</v>
      </c>
      <c r="N39" s="2310"/>
      <c r="O39" s="820">
        <f t="shared" si="8"/>
        <v>93</v>
      </c>
      <c r="P39" s="2318">
        <f>SUM(G39,M39)</f>
        <v>171</v>
      </c>
      <c r="Q39" s="2316">
        <f t="shared" si="5"/>
        <v>0</v>
      </c>
      <c r="R39" s="2317">
        <f t="shared" si="6"/>
        <v>171</v>
      </c>
      <c r="S39" s="2362">
        <v>10</v>
      </c>
      <c r="T39" s="816"/>
      <c r="U39" s="220"/>
      <c r="V39" s="1096" t="str">
        <f>IF(AND($G39&gt;0,$L$17=0),"No intake?",IF(AND($L$17&gt;0,$G39=0),"No enrolments",IF(AND($L$17&gt;=$G39,$G39&gt;0),"Intake inconsistent with enrolments","OK")))</f>
        <v>OK</v>
      </c>
      <c r="W39" s="828"/>
      <c r="X39" s="225"/>
      <c r="Y39" s="230"/>
      <c r="Z39" s="225"/>
      <c r="AA39" s="2038"/>
      <c r="AB39" s="225"/>
      <c r="AC39" s="225"/>
      <c r="AD39" s="225"/>
      <c r="AE39" s="230"/>
      <c r="AF39" s="225"/>
      <c r="AG39" s="218"/>
      <c r="AH39" s="1096" t="str">
        <f>IF(AND($M39&gt;0,$L$20=0),"No intake?",IF(AND($L$20&gt;0,$M39=0),"No enrolments",IF(AND($L$20&gt;=$M39,$M39&gt;0),"Intake inconsistent with enrolments","OK")))</f>
        <v>OK</v>
      </c>
      <c r="AI39" s="828"/>
      <c r="AJ39" s="225"/>
      <c r="AK39" s="230"/>
      <c r="AL39" s="225"/>
      <c r="AM39" s="218"/>
      <c r="AN39" s="225"/>
      <c r="AO39" s="230"/>
      <c r="AP39" s="225"/>
      <c r="AQ39" s="218"/>
    </row>
    <row r="40" spans="1:43" ht="30" customHeight="1" thickBot="1">
      <c r="A40" s="857"/>
      <c r="B40" s="2343" t="s">
        <v>145</v>
      </c>
      <c r="C40" s="2353">
        <f>SUM(C37:C39)</f>
        <v>42</v>
      </c>
      <c r="D40" s="266">
        <f>SUM(D37:D39)</f>
        <v>36</v>
      </c>
      <c r="E40" s="266">
        <f>SUM(E37:E39)</f>
        <v>0</v>
      </c>
      <c r="F40" s="266">
        <f>SUM(F37:F39)</f>
        <v>0</v>
      </c>
      <c r="G40" s="267">
        <f>SUM(G37:G39)</f>
        <v>78</v>
      </c>
      <c r="H40" s="2311"/>
      <c r="I40" s="267">
        <f>SUM(I37:I39)</f>
        <v>78</v>
      </c>
      <c r="J40" s="2353">
        <f t="shared" ref="J40:R40" si="9">SUM(J37:J39)</f>
        <v>52</v>
      </c>
      <c r="K40" s="266">
        <f t="shared" si="9"/>
        <v>49</v>
      </c>
      <c r="L40" s="266">
        <f t="shared" si="9"/>
        <v>39</v>
      </c>
      <c r="M40" s="267">
        <f t="shared" si="9"/>
        <v>140</v>
      </c>
      <c r="N40" s="2311"/>
      <c r="O40" s="267">
        <f>SUM(O37:O39)</f>
        <v>140</v>
      </c>
      <c r="P40" s="2324">
        <f>SUM(P37:P39)</f>
        <v>218</v>
      </c>
      <c r="Q40" s="2325">
        <f>SUM(Q37:Q39)</f>
        <v>0</v>
      </c>
      <c r="R40" s="2326">
        <f t="shared" si="9"/>
        <v>218</v>
      </c>
      <c r="S40" s="2354">
        <f>SUM(S37:S39)</f>
        <v>10</v>
      </c>
      <c r="T40" s="816"/>
      <c r="U40" s="220"/>
      <c r="V40" s="224"/>
      <c r="W40" s="224"/>
      <c r="X40" s="224"/>
      <c r="Y40" s="228"/>
      <c r="Z40" s="224"/>
      <c r="AA40" s="2038"/>
      <c r="AB40" s="224"/>
      <c r="AC40" s="224"/>
      <c r="AD40" s="224"/>
      <c r="AE40" s="228"/>
      <c r="AF40" s="224"/>
      <c r="AG40" s="218"/>
      <c r="AH40" s="218"/>
      <c r="AI40" s="224"/>
      <c r="AJ40" s="218"/>
      <c r="AK40" s="218"/>
      <c r="AL40" s="218"/>
      <c r="AM40" s="218"/>
      <c r="AN40" s="223"/>
      <c r="AO40" s="223"/>
      <c r="AP40" s="223"/>
      <c r="AQ40" s="218"/>
    </row>
    <row r="41" spans="1:43" ht="35.1" customHeight="1" thickBot="1">
      <c r="A41" s="857"/>
      <c r="B41" s="2355" t="s">
        <v>2</v>
      </c>
      <c r="C41" s="2356">
        <f>SUM(C35,C40)</f>
        <v>314</v>
      </c>
      <c r="D41" s="2357">
        <f>SUM(D35,D40)</f>
        <v>275</v>
      </c>
      <c r="E41" s="2357">
        <f>SUM(E35,E40)</f>
        <v>0</v>
      </c>
      <c r="F41" s="2357">
        <f>SUM(F35,F40)</f>
        <v>0</v>
      </c>
      <c r="G41" s="2327">
        <f>SUM(G35,G40)</f>
        <v>589</v>
      </c>
      <c r="H41" s="2358">
        <f>H35</f>
        <v>0</v>
      </c>
      <c r="I41" s="2327">
        <f>SUM(I35,I40)</f>
        <v>589</v>
      </c>
      <c r="J41" s="2356">
        <f>SUM(J35,J40)</f>
        <v>301</v>
      </c>
      <c r="K41" s="2357">
        <f>SUM(K35,K40)</f>
        <v>294</v>
      </c>
      <c r="L41" s="2357">
        <f>SUM(L35,L40)</f>
        <v>271</v>
      </c>
      <c r="M41" s="2327">
        <f>SUM(M35,M40)</f>
        <v>866</v>
      </c>
      <c r="N41" s="2358">
        <f>N35</f>
        <v>0</v>
      </c>
      <c r="O41" s="2327">
        <f>SUM(O35,O40)</f>
        <v>866</v>
      </c>
      <c r="P41" s="2328">
        <f t="shared" ref="P41:R41" si="10">SUM(P35,P40)</f>
        <v>1455</v>
      </c>
      <c r="Q41" s="2329">
        <f t="shared" si="10"/>
        <v>0</v>
      </c>
      <c r="R41" s="2330">
        <f t="shared" si="10"/>
        <v>1455</v>
      </c>
      <c r="S41" s="2359">
        <f>SUM(S35,S40)</f>
        <v>91</v>
      </c>
      <c r="T41" s="816"/>
      <c r="U41" s="220"/>
      <c r="V41" s="224"/>
      <c r="W41" s="224"/>
      <c r="X41" s="224"/>
      <c r="Y41" s="228"/>
      <c r="Z41" s="224"/>
      <c r="AA41" s="2038"/>
      <c r="AB41" s="224"/>
      <c r="AC41" s="224"/>
      <c r="AD41" s="224"/>
      <c r="AE41" s="228"/>
      <c r="AF41" s="224"/>
      <c r="AG41" s="218"/>
      <c r="AH41" s="218"/>
      <c r="AI41" s="224"/>
      <c r="AJ41" s="218"/>
      <c r="AK41" s="218"/>
      <c r="AL41" s="218"/>
      <c r="AM41" s="218"/>
      <c r="AN41" s="223"/>
      <c r="AO41" s="223"/>
      <c r="AP41" s="223"/>
      <c r="AQ41" s="218"/>
    </row>
    <row r="42" spans="1:43" ht="15" customHeight="1">
      <c r="A42" s="857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0"/>
      <c r="Q42" s="220"/>
      <c r="R42" s="220"/>
      <c r="S42" s="220"/>
      <c r="T42" s="816"/>
      <c r="U42" s="220"/>
      <c r="V42" s="225"/>
      <c r="W42" s="225"/>
      <c r="X42" s="225"/>
      <c r="Y42" s="230"/>
      <c r="Z42" s="225"/>
      <c r="AA42" s="220"/>
      <c r="AB42" s="225"/>
      <c r="AC42" s="225"/>
      <c r="AD42" s="225"/>
      <c r="AE42" s="230"/>
      <c r="AF42" s="225"/>
      <c r="AG42" s="218"/>
      <c r="AH42" s="218"/>
      <c r="AI42" s="225"/>
      <c r="AJ42" s="218"/>
      <c r="AK42" s="218"/>
      <c r="AL42" s="218"/>
      <c r="AM42" s="218"/>
      <c r="AN42" s="218"/>
      <c r="AO42" s="218"/>
      <c r="AP42" s="218"/>
      <c r="AQ42" s="218"/>
    </row>
    <row r="43" spans="1:43" ht="20.100000000000001" customHeight="1">
      <c r="A43" s="857"/>
      <c r="B43" s="329" t="s">
        <v>291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0"/>
      <c r="Q43" s="220"/>
      <c r="R43" s="220"/>
      <c r="S43" s="220"/>
      <c r="T43" s="816"/>
      <c r="U43" s="220"/>
      <c r="V43" s="218"/>
      <c r="W43" s="2031"/>
      <c r="X43" s="218"/>
      <c r="Y43" s="218"/>
      <c r="Z43" s="218"/>
      <c r="AA43" s="220"/>
      <c r="AB43" s="218"/>
      <c r="AC43" s="2031"/>
      <c r="AD43" s="218"/>
      <c r="AE43" s="218"/>
      <c r="AF43" s="218"/>
      <c r="AG43" s="218"/>
      <c r="AH43" s="218"/>
      <c r="AI43" s="2031"/>
      <c r="AJ43" s="218"/>
      <c r="AK43" s="218"/>
      <c r="AL43" s="218"/>
      <c r="AM43" s="218"/>
      <c r="AN43" s="218"/>
      <c r="AO43" s="218"/>
      <c r="AP43" s="218"/>
      <c r="AQ43" s="218"/>
    </row>
    <row r="44" spans="1:43" ht="9.9499999999999993" customHeight="1" thickBot="1">
      <c r="A44" s="857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0"/>
      <c r="Q44" s="220"/>
      <c r="R44" s="220"/>
      <c r="S44" s="220"/>
      <c r="T44" s="816"/>
      <c r="U44" s="220"/>
      <c r="V44" s="225"/>
      <c r="W44" s="225"/>
      <c r="X44" s="225"/>
      <c r="Y44" s="230"/>
      <c r="Z44" s="225"/>
      <c r="AA44" s="220"/>
      <c r="AB44" s="225"/>
      <c r="AC44" s="225"/>
      <c r="AD44" s="225"/>
      <c r="AE44" s="230"/>
      <c r="AF44" s="225"/>
      <c r="AG44" s="218"/>
      <c r="AH44" s="218"/>
      <c r="AI44" s="225"/>
      <c r="AJ44" s="218"/>
      <c r="AK44" s="218"/>
      <c r="AL44" s="218"/>
      <c r="AM44" s="218"/>
      <c r="AN44" s="218"/>
      <c r="AO44" s="218"/>
      <c r="AP44" s="218"/>
      <c r="AQ44" s="218"/>
    </row>
    <row r="45" spans="1:43" ht="35.1" customHeight="1" thickBot="1">
      <c r="A45" s="857"/>
      <c r="B45" s="2660" t="s">
        <v>127</v>
      </c>
      <c r="C45" s="2661"/>
      <c r="D45" s="2661"/>
      <c r="E45" s="2661"/>
      <c r="F45" s="2661"/>
      <c r="G45" s="2661"/>
      <c r="H45" s="2661"/>
      <c r="I45" s="2661"/>
      <c r="J45" s="2661"/>
      <c r="K45" s="2661"/>
      <c r="L45" s="2662"/>
      <c r="M45" s="821"/>
      <c r="N45" s="821"/>
      <c r="O45" s="821"/>
      <c r="P45" s="220"/>
      <c r="Q45" s="220"/>
      <c r="R45" s="220"/>
      <c r="S45" s="220"/>
      <c r="T45" s="816"/>
      <c r="U45" s="220"/>
      <c r="V45" s="225"/>
      <c r="W45" s="225"/>
      <c r="X45" s="225"/>
      <c r="Y45" s="230"/>
      <c r="Z45" s="225"/>
      <c r="AA45" s="220"/>
      <c r="AB45" s="225"/>
      <c r="AC45" s="225"/>
      <c r="AD45" s="225"/>
      <c r="AE45" s="230"/>
      <c r="AF45" s="225"/>
      <c r="AG45" s="218"/>
      <c r="AH45" s="218"/>
      <c r="AI45" s="225"/>
      <c r="AJ45" s="218"/>
      <c r="AK45" s="218"/>
      <c r="AL45" s="218"/>
      <c r="AM45" s="218"/>
      <c r="AN45" s="218"/>
      <c r="AO45" s="218"/>
      <c r="AP45" s="218"/>
      <c r="AQ45" s="218"/>
    </row>
    <row r="46" spans="1:43" ht="39.950000000000003" customHeight="1" thickBot="1">
      <c r="A46" s="857"/>
      <c r="B46" s="256"/>
      <c r="C46" s="2660" t="s">
        <v>136</v>
      </c>
      <c r="D46" s="2661"/>
      <c r="E46" s="2661"/>
      <c r="F46" s="2661"/>
      <c r="G46" s="2661"/>
      <c r="H46" s="2661"/>
      <c r="I46" s="2661"/>
      <c r="J46" s="2661"/>
      <c r="K46" s="2661"/>
      <c r="L46" s="2667" t="s">
        <v>125</v>
      </c>
      <c r="M46" s="821"/>
      <c r="N46" s="821"/>
      <c r="O46" s="821"/>
      <c r="P46" s="220"/>
      <c r="Q46" s="220"/>
      <c r="R46" s="220"/>
      <c r="S46" s="220"/>
      <c r="T46" s="816"/>
      <c r="U46" s="220"/>
      <c r="V46" s="225"/>
      <c r="W46" s="225"/>
      <c r="X46" s="225"/>
      <c r="Y46" s="230"/>
      <c r="Z46" s="225"/>
      <c r="AA46" s="220"/>
      <c r="AB46" s="225"/>
      <c r="AC46" s="225"/>
      <c r="AD46" s="225"/>
      <c r="AE46" s="230"/>
      <c r="AF46" s="225"/>
      <c r="AG46" s="218"/>
      <c r="AH46" s="218"/>
      <c r="AI46" s="225"/>
      <c r="AJ46" s="218"/>
      <c r="AK46" s="218"/>
      <c r="AL46" s="218"/>
      <c r="AM46" s="223"/>
      <c r="AN46" s="223"/>
      <c r="AO46" s="223"/>
      <c r="AP46" s="223"/>
      <c r="AQ46" s="223"/>
    </row>
    <row r="47" spans="1:43" ht="39.950000000000003" customHeight="1" thickBot="1">
      <c r="A47" s="857"/>
      <c r="B47" s="256"/>
      <c r="C47" s="2660" t="s">
        <v>4</v>
      </c>
      <c r="D47" s="2662"/>
      <c r="E47" s="2660" t="s">
        <v>28</v>
      </c>
      <c r="F47" s="2661"/>
      <c r="G47" s="2661"/>
      <c r="H47" s="2661"/>
      <c r="I47" s="2661"/>
      <c r="J47" s="2662"/>
      <c r="K47" s="226" t="s">
        <v>2</v>
      </c>
      <c r="L47" s="2663"/>
      <c r="M47" s="822"/>
      <c r="N47" s="822"/>
      <c r="O47" s="822"/>
      <c r="P47" s="220"/>
      <c r="Q47" s="220"/>
      <c r="R47" s="220"/>
      <c r="S47" s="220"/>
      <c r="T47" s="816"/>
      <c r="U47" s="220"/>
      <c r="V47" s="237" t="s">
        <v>4</v>
      </c>
      <c r="W47" s="828"/>
      <c r="X47" s="828"/>
      <c r="Y47" s="828"/>
      <c r="Z47" s="828"/>
      <c r="AA47" s="220"/>
      <c r="AB47" s="237" t="s">
        <v>28</v>
      </c>
      <c r="AC47" s="828"/>
      <c r="AD47" s="828"/>
      <c r="AE47" s="828"/>
      <c r="AF47" s="828"/>
      <c r="AG47" s="271"/>
      <c r="AH47" s="224"/>
      <c r="AI47" s="224"/>
      <c r="AJ47" s="224"/>
      <c r="AK47" s="224"/>
      <c r="AL47" s="224"/>
      <c r="AM47" s="223"/>
      <c r="AN47" s="225"/>
      <c r="AO47" s="225"/>
      <c r="AP47" s="225"/>
      <c r="AQ47" s="223"/>
    </row>
    <row r="48" spans="1:43" ht="54.95" customHeight="1" thickBot="1">
      <c r="A48" s="857"/>
      <c r="B48" s="259" t="s">
        <v>135</v>
      </c>
      <c r="C48" s="2272" t="s">
        <v>94</v>
      </c>
      <c r="D48" s="2516">
        <v>1</v>
      </c>
      <c r="E48" s="244" t="s">
        <v>94</v>
      </c>
      <c r="F48" s="250" t="s">
        <v>12</v>
      </c>
      <c r="G48" s="864" t="s">
        <v>13</v>
      </c>
      <c r="H48" s="864" t="s">
        <v>14</v>
      </c>
      <c r="I48" s="864" t="s">
        <v>15</v>
      </c>
      <c r="J48" s="2515" t="s">
        <v>2</v>
      </c>
      <c r="K48" s="226"/>
      <c r="L48" s="707"/>
      <c r="M48" s="822"/>
      <c r="N48" s="822"/>
      <c r="O48" s="822"/>
      <c r="P48" s="220"/>
      <c r="Q48" s="220"/>
      <c r="R48" s="220"/>
      <c r="S48" s="220"/>
      <c r="T48" s="816"/>
      <c r="U48" s="220"/>
      <c r="V48" s="828"/>
      <c r="W48" s="828"/>
      <c r="X48" s="828"/>
      <c r="Y48" s="828"/>
      <c r="Z48" s="828"/>
      <c r="AA48" s="220"/>
      <c r="AB48" s="828"/>
      <c r="AC48" s="828"/>
      <c r="AD48" s="828"/>
      <c r="AE48" s="828"/>
      <c r="AF48" s="828"/>
      <c r="AG48" s="218"/>
      <c r="AH48" s="224"/>
      <c r="AI48" s="224"/>
      <c r="AJ48" s="224"/>
      <c r="AK48" s="224"/>
      <c r="AL48" s="224"/>
      <c r="AM48" s="223"/>
      <c r="AN48" s="225"/>
      <c r="AO48" s="225"/>
      <c r="AP48" s="225"/>
      <c r="AQ48" s="223"/>
    </row>
    <row r="49" spans="1:43" ht="30" customHeight="1">
      <c r="A49" s="857"/>
      <c r="B49" s="238"/>
      <c r="C49" s="246" t="s">
        <v>16</v>
      </c>
      <c r="D49" s="226" t="s">
        <v>16</v>
      </c>
      <c r="E49" s="251" t="s">
        <v>16</v>
      </c>
      <c r="F49" s="245" t="s">
        <v>16</v>
      </c>
      <c r="G49" s="861" t="s">
        <v>16</v>
      </c>
      <c r="H49" s="861" t="s">
        <v>16</v>
      </c>
      <c r="I49" s="861" t="s">
        <v>16</v>
      </c>
      <c r="J49" s="862" t="s">
        <v>16</v>
      </c>
      <c r="K49" s="226" t="s">
        <v>16</v>
      </c>
      <c r="L49" s="226" t="s">
        <v>16</v>
      </c>
      <c r="M49" s="822"/>
      <c r="N49" s="822"/>
      <c r="O49" s="822"/>
      <c r="P49" s="220"/>
      <c r="Q49" s="220"/>
      <c r="R49" s="220"/>
      <c r="S49" s="220"/>
      <c r="T49" s="816"/>
      <c r="U49" s="220"/>
      <c r="V49" s="2650" t="s">
        <v>345</v>
      </c>
      <c r="W49" s="828"/>
      <c r="X49" s="2645" t="s">
        <v>152</v>
      </c>
      <c r="Y49" s="2646"/>
      <c r="Z49" s="2647"/>
      <c r="AA49" s="220"/>
      <c r="AB49" s="2650" t="s">
        <v>345</v>
      </c>
      <c r="AC49" s="828"/>
      <c r="AD49" s="2645" t="s">
        <v>152</v>
      </c>
      <c r="AE49" s="2646"/>
      <c r="AF49" s="2647"/>
      <c r="AG49" s="218"/>
      <c r="AH49" s="224"/>
      <c r="AI49" s="224"/>
      <c r="AJ49" s="224"/>
      <c r="AK49" s="224"/>
      <c r="AL49" s="224"/>
      <c r="AM49" s="223"/>
      <c r="AN49" s="225"/>
      <c r="AO49" s="225"/>
      <c r="AP49" s="225"/>
      <c r="AQ49" s="223"/>
    </row>
    <row r="50" spans="1:43" ht="39.950000000000003" customHeight="1">
      <c r="A50" s="857"/>
      <c r="B50" s="238"/>
      <c r="C50" s="817" t="s">
        <v>29</v>
      </c>
      <c r="D50" s="243" t="s">
        <v>29</v>
      </c>
      <c r="E50" s="829" t="s">
        <v>29</v>
      </c>
      <c r="F50" s="830" t="s">
        <v>29</v>
      </c>
      <c r="G50" s="860" t="s">
        <v>29</v>
      </c>
      <c r="H50" s="860" t="s">
        <v>29</v>
      </c>
      <c r="I50" s="860" t="s">
        <v>29</v>
      </c>
      <c r="J50" s="862" t="s">
        <v>54</v>
      </c>
      <c r="K50" s="226" t="s">
        <v>54</v>
      </c>
      <c r="L50" s="243" t="s">
        <v>29</v>
      </c>
      <c r="M50" s="822"/>
      <c r="N50" s="822"/>
      <c r="O50" s="822"/>
      <c r="P50" s="220"/>
      <c r="Q50" s="220"/>
      <c r="R50" s="220"/>
      <c r="S50" s="220"/>
      <c r="T50" s="816"/>
      <c r="U50" s="220"/>
      <c r="V50" s="2649"/>
      <c r="W50" s="828"/>
      <c r="X50" s="2034" t="s">
        <v>58</v>
      </c>
      <c r="Y50" s="2597" t="s">
        <v>153</v>
      </c>
      <c r="Z50" s="2035" t="s">
        <v>66</v>
      </c>
      <c r="AA50" s="220"/>
      <c r="AB50" s="2649"/>
      <c r="AC50" s="828"/>
      <c r="AD50" s="2034" t="s">
        <v>58</v>
      </c>
      <c r="AE50" s="2597" t="s">
        <v>153</v>
      </c>
      <c r="AF50" s="2035" t="s">
        <v>66</v>
      </c>
      <c r="AG50" s="218"/>
      <c r="AH50" s="224"/>
      <c r="AI50" s="224"/>
      <c r="AJ50" s="224"/>
      <c r="AK50" s="224"/>
      <c r="AL50" s="224"/>
      <c r="AM50" s="223"/>
      <c r="AN50" s="225"/>
      <c r="AO50" s="225"/>
      <c r="AP50" s="225"/>
      <c r="AQ50" s="223"/>
    </row>
    <row r="51" spans="1:43" ht="30" customHeight="1" thickBot="1">
      <c r="A51" s="857"/>
      <c r="B51" s="255"/>
      <c r="C51" s="419">
        <v>1</v>
      </c>
      <c r="D51" s="421">
        <v>2</v>
      </c>
      <c r="E51" s="415">
        <v>3</v>
      </c>
      <c r="F51" s="416">
        <v>4</v>
      </c>
      <c r="G51" s="415">
        <v>5</v>
      </c>
      <c r="H51" s="417">
        <v>6</v>
      </c>
      <c r="I51" s="418">
        <v>7</v>
      </c>
      <c r="J51" s="420">
        <v>8</v>
      </c>
      <c r="K51" s="419">
        <v>9</v>
      </c>
      <c r="L51" s="421">
        <v>10</v>
      </c>
      <c r="M51" s="822"/>
      <c r="N51" s="822"/>
      <c r="O51" s="822"/>
      <c r="P51" s="220"/>
      <c r="Q51" s="220"/>
      <c r="R51" s="220"/>
      <c r="S51" s="220"/>
      <c r="T51" s="816"/>
      <c r="U51" s="220"/>
      <c r="V51" s="1093"/>
      <c r="W51" s="828"/>
      <c r="X51" s="825"/>
      <c r="Y51" s="2598"/>
      <c r="Z51" s="827"/>
      <c r="AA51" s="220"/>
      <c r="AB51" s="1093"/>
      <c r="AC51" s="828"/>
      <c r="AD51" s="825"/>
      <c r="AE51" s="2598"/>
      <c r="AF51" s="827"/>
      <c r="AG51" s="218"/>
      <c r="AH51" s="224"/>
      <c r="AI51" s="224"/>
      <c r="AJ51" s="224"/>
      <c r="AK51" s="224"/>
      <c r="AL51" s="222"/>
      <c r="AM51" s="223"/>
      <c r="AN51" s="225"/>
      <c r="AO51" s="225"/>
      <c r="AP51" s="222"/>
      <c r="AQ51" s="223"/>
    </row>
    <row r="52" spans="1:43" ht="35.1" customHeight="1" thickBot="1">
      <c r="A52" s="857"/>
      <c r="B52" s="240" t="s">
        <v>161</v>
      </c>
      <c r="C52" s="248"/>
      <c r="D52" s="239"/>
      <c r="E52" s="252"/>
      <c r="F52" s="247"/>
      <c r="G52" s="865"/>
      <c r="H52" s="865"/>
      <c r="I52" s="865"/>
      <c r="J52" s="1883"/>
      <c r="K52" s="2273"/>
      <c r="L52" s="243"/>
      <c r="M52" s="822"/>
      <c r="N52" s="822"/>
      <c r="O52" s="822"/>
      <c r="P52" s="220"/>
      <c r="Q52" s="220"/>
      <c r="R52" s="220"/>
      <c r="S52" s="220"/>
      <c r="T52" s="816"/>
      <c r="U52" s="220"/>
      <c r="V52" s="1430"/>
      <c r="W52" s="828"/>
      <c r="X52" s="1430"/>
      <c r="Y52" s="1430"/>
      <c r="Z52" s="1431"/>
      <c r="AA52" s="220"/>
      <c r="AB52" s="1430"/>
      <c r="AC52" s="828"/>
      <c r="AD52" s="1430"/>
      <c r="AE52" s="1430"/>
      <c r="AF52" s="1431"/>
      <c r="AG52" s="218"/>
      <c r="AH52" s="224"/>
      <c r="AI52" s="224"/>
      <c r="AJ52" s="224"/>
      <c r="AK52" s="224"/>
      <c r="AL52" s="222"/>
      <c r="AM52" s="223"/>
      <c r="AN52" s="225"/>
      <c r="AO52" s="225"/>
      <c r="AP52" s="222"/>
      <c r="AQ52" s="223"/>
    </row>
    <row r="53" spans="1:43" ht="30" customHeight="1">
      <c r="A53" s="857"/>
      <c r="B53" s="227" t="s">
        <v>133</v>
      </c>
      <c r="C53" s="883">
        <v>53</v>
      </c>
      <c r="D53" s="884">
        <v>55</v>
      </c>
      <c r="E53" s="885"/>
      <c r="F53" s="886">
        <v>60</v>
      </c>
      <c r="G53" s="887">
        <v>45</v>
      </c>
      <c r="H53" s="887">
        <v>54</v>
      </c>
      <c r="I53" s="887">
        <v>50</v>
      </c>
      <c r="J53" s="863">
        <f>SUM(F53:I53)</f>
        <v>209</v>
      </c>
      <c r="K53" s="261">
        <f>SUM(D53,J53)</f>
        <v>264</v>
      </c>
      <c r="L53" s="884">
        <v>1</v>
      </c>
      <c r="M53" s="822"/>
      <c r="N53" s="822"/>
      <c r="O53" s="822"/>
      <c r="P53" s="220"/>
      <c r="Q53" s="220"/>
      <c r="R53" s="220"/>
      <c r="S53" s="220"/>
      <c r="T53" s="816"/>
      <c r="U53" s="220"/>
      <c r="V53" s="1094" t="str">
        <f>IF(AND($D53&gt;0,$C53=0),"No intake",IF(AND($C53&gt;0,$D53=0),"No enrolments",IF(AND($C53&gt;$D53,$D53&gt;0),"Intake inconsistent with enrolments","OK")))</f>
        <v>OK</v>
      </c>
      <c r="W53" s="828"/>
      <c r="X53" s="2036">
        <f>'T1 Main Table'!$K$43</f>
        <v>55</v>
      </c>
      <c r="Y53" s="1429">
        <f>$D53-X53</f>
        <v>0</v>
      </c>
      <c r="Z53" s="1089" t="str">
        <f>IF(ABS(Y53)&gt;0.1,"Does not equal figure in Table 1","OK")</f>
        <v>OK</v>
      </c>
      <c r="AA53" s="220"/>
      <c r="AB53" s="1094" t="str">
        <f>IF(AND($J53&gt;0,$E53=0),"No intake",IF(AND($E53&gt;0,$J53=0),"No enrolments",IF(AND($E53&gt;$J53,$J53&gt;0),"Intake inconsistent with enrolments","OK")))</f>
        <v>No intake</v>
      </c>
      <c r="AC53" s="828"/>
      <c r="AD53" s="2036">
        <f>'T1 Main Table'!$K$43</f>
        <v>55</v>
      </c>
      <c r="AE53" s="1429">
        <f>$J53-AD53</f>
        <v>154</v>
      </c>
      <c r="AF53" s="1089" t="str">
        <f>IF(ABS(AE53)&gt;0.1,"Does not equal figure in Table 1","OK")</f>
        <v>Does not equal figure in Table 1</v>
      </c>
      <c r="AG53" s="218"/>
      <c r="AH53" s="224"/>
      <c r="AI53" s="224"/>
      <c r="AJ53" s="224"/>
      <c r="AK53" s="228"/>
      <c r="AL53" s="224"/>
      <c r="AM53" s="223"/>
      <c r="AN53" s="225"/>
      <c r="AO53" s="230"/>
      <c r="AP53" s="225"/>
      <c r="AQ53" s="223"/>
    </row>
    <row r="54" spans="1:43" ht="30" customHeight="1" thickBot="1">
      <c r="A54" s="857"/>
      <c r="B54" s="227" t="s">
        <v>160</v>
      </c>
      <c r="C54" s="888">
        <v>13</v>
      </c>
      <c r="D54" s="889">
        <v>13</v>
      </c>
      <c r="E54" s="890"/>
      <c r="F54" s="891">
        <v>14</v>
      </c>
      <c r="G54" s="892">
        <v>14</v>
      </c>
      <c r="H54" s="892">
        <v>14</v>
      </c>
      <c r="I54" s="892">
        <v>11</v>
      </c>
      <c r="J54" s="260">
        <f t="shared" ref="J54:J56" si="11">SUM(F54:I54)</f>
        <v>53</v>
      </c>
      <c r="K54" s="262">
        <f>SUM(D54,J54)</f>
        <v>66</v>
      </c>
      <c r="L54" s="897">
        <v>2</v>
      </c>
      <c r="M54" s="822"/>
      <c r="N54" s="822"/>
      <c r="O54" s="822"/>
      <c r="P54" s="220"/>
      <c r="Q54" s="220"/>
      <c r="R54" s="220"/>
      <c r="S54" s="220"/>
      <c r="T54" s="816"/>
      <c r="U54" s="220"/>
      <c r="V54" s="1096" t="str">
        <f>IF(AND($D54&gt;0,$C54=0),"No intake",IF(AND($C54&gt;0,$D54=0),"No enrolments",IF(AND($C54&gt;$D54,$D54&gt;0),"Intake inconsistent with enrolments","OK")))</f>
        <v>OK</v>
      </c>
      <c r="W54" s="828"/>
      <c r="X54" s="2037">
        <f>'T1 Main Table'!$O$43</f>
        <v>13</v>
      </c>
      <c r="Y54" s="880">
        <f>$D54-X54</f>
        <v>0</v>
      </c>
      <c r="Z54" s="21" t="str">
        <f>IF(ABS(Y54)&gt;0.1,"Does not equal figure in Table 1","OK")</f>
        <v>OK</v>
      </c>
      <c r="AA54" s="220"/>
      <c r="AB54" s="1096" t="str">
        <f>IF(AND($J54&gt;0,$E54=0),"No intake",IF(AND($E54&gt;0,$J54=0),"No enrolments",IF(AND($E54&gt;$J54,$J54&gt;0),"Intake inconsistent with enrolments","OK")))</f>
        <v>No intake</v>
      </c>
      <c r="AC54" s="828"/>
      <c r="AD54" s="2037">
        <f>'T1 Main Table'!$O$43</f>
        <v>13</v>
      </c>
      <c r="AE54" s="880">
        <f>$J54-AD54</f>
        <v>40</v>
      </c>
      <c r="AF54" s="21" t="str">
        <f>IF(ABS(AE54)&gt;0.1,"Does not equal figure in Table 1","OK")</f>
        <v>Does not equal figure in Table 1</v>
      </c>
      <c r="AG54" s="218"/>
      <c r="AH54" s="224"/>
      <c r="AI54" s="224"/>
      <c r="AJ54" s="224"/>
      <c r="AK54" s="228"/>
      <c r="AL54" s="224"/>
      <c r="AM54" s="223"/>
      <c r="AN54" s="225"/>
      <c r="AO54" s="230"/>
      <c r="AP54" s="225"/>
      <c r="AQ54" s="223"/>
    </row>
    <row r="55" spans="1:43" ht="30" customHeight="1" thickBot="1">
      <c r="A55" s="857"/>
      <c r="B55" s="257" t="s">
        <v>162</v>
      </c>
      <c r="C55" s="539">
        <f>SUM(C53:C54)</f>
        <v>66</v>
      </c>
      <c r="D55" s="540">
        <f t="shared" ref="D55" si="12">SUM(D53:D54)</f>
        <v>68</v>
      </c>
      <c r="E55" s="873">
        <f>SUM(E53:E54)</f>
        <v>0</v>
      </c>
      <c r="F55" s="249">
        <f>SUM(F53:F54)</f>
        <v>74</v>
      </c>
      <c r="G55" s="241">
        <f t="shared" ref="G55:I55" si="13">SUM(G53:G54)</f>
        <v>59</v>
      </c>
      <c r="H55" s="241">
        <f t="shared" si="13"/>
        <v>68</v>
      </c>
      <c r="I55" s="241">
        <f t="shared" si="13"/>
        <v>61</v>
      </c>
      <c r="J55" s="242">
        <f>SUM(J53:J54)</f>
        <v>262</v>
      </c>
      <c r="K55" s="874">
        <f>SUM(K53:K54)</f>
        <v>330</v>
      </c>
      <c r="L55" s="814">
        <f>SUM(L53:L54)</f>
        <v>3</v>
      </c>
      <c r="M55" s="822"/>
      <c r="N55" s="822"/>
      <c r="O55" s="822"/>
      <c r="P55" s="220"/>
      <c r="Q55" s="220"/>
      <c r="R55" s="220"/>
      <c r="S55" s="220"/>
      <c r="T55" s="816"/>
      <c r="U55" s="220"/>
      <c r="V55" s="826"/>
      <c r="W55" s="828"/>
      <c r="X55" s="881"/>
      <c r="Y55" s="882"/>
      <c r="Z55" s="881"/>
      <c r="AA55" s="220"/>
      <c r="AB55" s="826"/>
      <c r="AC55" s="828"/>
      <c r="AD55" s="881"/>
      <c r="AE55" s="882"/>
      <c r="AF55" s="881"/>
      <c r="AG55" s="218"/>
      <c r="AH55" s="224"/>
      <c r="AI55" s="224"/>
      <c r="AJ55" s="224"/>
      <c r="AK55" s="228"/>
      <c r="AL55" s="224"/>
      <c r="AM55" s="223"/>
      <c r="AN55" s="225"/>
      <c r="AO55" s="230"/>
      <c r="AP55" s="225"/>
      <c r="AQ55" s="223"/>
    </row>
    <row r="56" spans="1:43" ht="35.1" customHeight="1" thickBot="1">
      <c r="A56" s="857"/>
      <c r="B56" s="258" t="s">
        <v>134</v>
      </c>
      <c r="C56" s="893">
        <v>12</v>
      </c>
      <c r="D56" s="884">
        <v>12</v>
      </c>
      <c r="E56" s="894">
        <v>5</v>
      </c>
      <c r="F56" s="895">
        <v>11</v>
      </c>
      <c r="G56" s="896">
        <v>14</v>
      </c>
      <c r="H56" s="896">
        <v>15</v>
      </c>
      <c r="I56" s="896">
        <v>14</v>
      </c>
      <c r="J56" s="820">
        <f t="shared" si="11"/>
        <v>54</v>
      </c>
      <c r="K56" s="262">
        <f>SUM(D56,J56)</f>
        <v>66</v>
      </c>
      <c r="L56" s="898"/>
      <c r="M56" s="822"/>
      <c r="N56" s="822"/>
      <c r="O56" s="822"/>
      <c r="P56" s="220"/>
      <c r="Q56" s="220"/>
      <c r="R56" s="220"/>
      <c r="S56" s="220"/>
      <c r="T56" s="816"/>
      <c r="U56" s="220"/>
      <c r="V56" s="1432" t="str">
        <f>IF(AND($D56&gt;0,$C56=0),"No intake",IF(AND($C56&gt;0,$D56=0),"No enrolments",IF(AND($C56&gt;$D56,$D56&gt;0),"Intake inconsistent with enrolments","OK")))</f>
        <v>OK</v>
      </c>
      <c r="W56" s="828"/>
      <c r="X56" s="225"/>
      <c r="Y56" s="230"/>
      <c r="Z56" s="225"/>
      <c r="AA56" s="220"/>
      <c r="AB56" s="1432" t="str">
        <f>IF(AND($J56&gt;0,$E56=0),"No intake",IF(AND($E56&gt;0,$J56=0),"No enrolments",IF(AND($E56&gt;$J56,$J56&gt;0),"Intake inconsistent with enrolments","OK")))</f>
        <v>OK</v>
      </c>
      <c r="AC56" s="828"/>
      <c r="AD56" s="225"/>
      <c r="AE56" s="230"/>
      <c r="AF56" s="225"/>
      <c r="AG56" s="218"/>
      <c r="AH56" s="224"/>
      <c r="AI56" s="224"/>
      <c r="AJ56" s="224"/>
      <c r="AK56" s="228"/>
      <c r="AL56" s="224"/>
      <c r="AM56" s="223"/>
      <c r="AN56" s="225"/>
      <c r="AO56" s="230"/>
      <c r="AP56" s="225"/>
      <c r="AQ56" s="223"/>
    </row>
    <row r="57" spans="1:43" ht="35.1" customHeight="1" thickBot="1">
      <c r="A57" s="857"/>
      <c r="B57" s="229" t="s">
        <v>2</v>
      </c>
      <c r="C57" s="263">
        <f t="shared" ref="C57" si="14">SUM(C55:C56)</f>
        <v>78</v>
      </c>
      <c r="D57" s="268">
        <f t="shared" ref="D57:L57" si="15">SUM(D55:D56)</f>
        <v>80</v>
      </c>
      <c r="E57" s="264">
        <f t="shared" si="15"/>
        <v>5</v>
      </c>
      <c r="F57" s="265">
        <f t="shared" si="15"/>
        <v>85</v>
      </c>
      <c r="G57" s="266">
        <f t="shared" si="15"/>
        <v>73</v>
      </c>
      <c r="H57" s="266">
        <f t="shared" si="15"/>
        <v>83</v>
      </c>
      <c r="I57" s="266">
        <f t="shared" si="15"/>
        <v>75</v>
      </c>
      <c r="J57" s="267">
        <f t="shared" si="15"/>
        <v>316</v>
      </c>
      <c r="K57" s="263">
        <f t="shared" si="15"/>
        <v>396</v>
      </c>
      <c r="L57" s="269">
        <f t="shared" si="15"/>
        <v>3</v>
      </c>
      <c r="M57" s="822"/>
      <c r="N57" s="822"/>
      <c r="O57" s="822"/>
      <c r="P57" s="220"/>
      <c r="Q57" s="220"/>
      <c r="R57" s="220"/>
      <c r="S57" s="220"/>
      <c r="T57" s="816"/>
      <c r="U57" s="220"/>
      <c r="V57" s="231"/>
      <c r="W57" s="828"/>
      <c r="X57" s="231"/>
      <c r="Y57" s="232"/>
      <c r="Z57" s="233"/>
      <c r="AA57" s="220"/>
      <c r="AB57" s="231"/>
      <c r="AC57" s="828"/>
      <c r="AD57" s="231"/>
      <c r="AE57" s="232"/>
      <c r="AF57" s="233"/>
      <c r="AG57" s="218"/>
      <c r="AH57" s="222"/>
      <c r="AI57" s="224"/>
      <c r="AJ57" s="222"/>
      <c r="AK57" s="222"/>
      <c r="AL57" s="222"/>
      <c r="AM57" s="223"/>
      <c r="AN57" s="223"/>
      <c r="AO57" s="223"/>
      <c r="AP57" s="223"/>
      <c r="AQ57" s="223"/>
    </row>
    <row r="58" spans="1:43" s="513" customFormat="1" ht="15" customHeight="1">
      <c r="A58" s="875"/>
      <c r="B58" s="876"/>
      <c r="C58" s="877"/>
      <c r="D58" s="877"/>
      <c r="E58" s="877"/>
      <c r="F58" s="877"/>
      <c r="G58" s="877"/>
      <c r="H58" s="877"/>
      <c r="I58" s="877"/>
      <c r="J58" s="877"/>
      <c r="K58" s="877"/>
      <c r="L58" s="877"/>
      <c r="M58" s="877"/>
      <c r="N58" s="877"/>
      <c r="O58" s="877"/>
      <c r="P58" s="878"/>
      <c r="Q58" s="878"/>
      <c r="R58" s="878"/>
      <c r="S58" s="878"/>
      <c r="T58" s="879"/>
      <c r="U58" s="235"/>
      <c r="V58" s="236"/>
      <c r="W58" s="2031"/>
      <c r="X58" s="236"/>
      <c r="Y58" s="237"/>
      <c r="Z58" s="237"/>
      <c r="AA58" s="235"/>
      <c r="AB58" s="236"/>
      <c r="AC58" s="2031"/>
      <c r="AD58" s="236"/>
      <c r="AE58" s="237"/>
      <c r="AF58" s="237"/>
      <c r="AG58" s="236"/>
      <c r="AH58" s="236"/>
      <c r="AI58" s="2031"/>
      <c r="AJ58" s="236"/>
      <c r="AK58" s="236"/>
      <c r="AL58" s="236"/>
      <c r="AM58" s="236"/>
      <c r="AN58" s="236"/>
      <c r="AO58" s="236"/>
      <c r="AP58" s="236"/>
      <c r="AQ58" s="236"/>
    </row>
    <row r="59" spans="1:43" ht="12.75" customHeight="1">
      <c r="A59" s="343"/>
      <c r="B59" s="343"/>
      <c r="C59" s="859"/>
      <c r="D59" s="859"/>
      <c r="E59" s="859"/>
      <c r="F59" s="859"/>
      <c r="G59" s="859"/>
      <c r="H59" s="859"/>
      <c r="I59" s="859"/>
      <c r="J59" s="859"/>
      <c r="K59" s="859"/>
      <c r="L59" s="859"/>
      <c r="M59" s="859"/>
      <c r="N59" s="859"/>
      <c r="O59" s="859"/>
      <c r="P59" s="859"/>
      <c r="Q59" s="859"/>
      <c r="R59" s="859"/>
      <c r="S59" s="859"/>
      <c r="T59" s="859"/>
      <c r="U59" s="859"/>
      <c r="V59" s="859"/>
      <c r="W59" s="292"/>
      <c r="X59" s="859"/>
      <c r="Y59" s="343"/>
      <c r="Z59" s="343"/>
      <c r="AA59" s="859"/>
      <c r="AB59" s="859"/>
      <c r="AC59" s="292"/>
      <c r="AD59" s="859"/>
      <c r="AE59" s="343"/>
      <c r="AF59" s="343"/>
      <c r="AG59" s="343"/>
      <c r="AH59" s="343"/>
      <c r="AI59" s="292"/>
      <c r="AJ59" s="343"/>
      <c r="AK59" s="343"/>
      <c r="AL59" s="343"/>
      <c r="AM59" s="343"/>
      <c r="AN59" s="343"/>
      <c r="AO59" s="343"/>
      <c r="AP59" s="343"/>
      <c r="AQ59" s="343"/>
    </row>
  </sheetData>
  <sheetProtection password="E23E" sheet="1" objects="1" scenarios="1"/>
  <mergeCells count="37">
    <mergeCell ref="C10:H10"/>
    <mergeCell ref="I10:I12"/>
    <mergeCell ref="C11:F11"/>
    <mergeCell ref="J10:M10"/>
    <mergeCell ref="J11:J12"/>
    <mergeCell ref="K11:K12"/>
    <mergeCell ref="B45:L45"/>
    <mergeCell ref="C46:K46"/>
    <mergeCell ref="C47:D47"/>
    <mergeCell ref="C27:G27"/>
    <mergeCell ref="J27:M27"/>
    <mergeCell ref="Y50:Y51"/>
    <mergeCell ref="E47:J47"/>
    <mergeCell ref="L46:L47"/>
    <mergeCell ref="V49:V50"/>
    <mergeCell ref="X49:Z49"/>
    <mergeCell ref="C4:E4"/>
    <mergeCell ref="AN29:AP29"/>
    <mergeCell ref="AO30:AO31"/>
    <mergeCell ref="AH29:AH30"/>
    <mergeCell ref="AJ29:AL29"/>
    <mergeCell ref="AK30:AK31"/>
    <mergeCell ref="C26:I26"/>
    <mergeCell ref="B24:S24"/>
    <mergeCell ref="S25:S26"/>
    <mergeCell ref="V29:V30"/>
    <mergeCell ref="X29:Z29"/>
    <mergeCell ref="Y30:Y31"/>
    <mergeCell ref="J26:O26"/>
    <mergeCell ref="C25:R25"/>
    <mergeCell ref="P26:R26"/>
    <mergeCell ref="AD29:AF29"/>
    <mergeCell ref="AE30:AE31"/>
    <mergeCell ref="AD49:AF49"/>
    <mergeCell ref="AE50:AE51"/>
    <mergeCell ref="AB29:AB30"/>
    <mergeCell ref="AB49:AB50"/>
  </mergeCells>
  <conditionalFormatting sqref="B2">
    <cfRule type="expression" dxfId="85" priority="34" stopIfTrue="1">
      <formula>#REF!=0</formula>
    </cfRule>
  </conditionalFormatting>
  <conditionalFormatting sqref="A1:T1">
    <cfRule type="expression" dxfId="84" priority="44" stopIfTrue="1">
      <formula>$F$4=0</formula>
    </cfRule>
  </conditionalFormatting>
  <conditionalFormatting sqref="E53:I54 E56:I56">
    <cfRule type="expression" dxfId="83" priority="27">
      <formula>OR($F$4=1,$F$4=2,$F$4=4)</formula>
    </cfRule>
  </conditionalFormatting>
  <conditionalFormatting sqref="V33:W34 V37:W39 Z33:Z34 AP33:AP34 V53:W54 V56:W56 Z53:Z54 AH53:AH54 AH56 AL53:AL54">
    <cfRule type="expression" dxfId="82" priority="16">
      <formula>V33&lt;&gt;"OK"</formula>
    </cfRule>
  </conditionalFormatting>
  <conditionalFormatting sqref="F20:G20 I20:L20">
    <cfRule type="expression" dxfId="81" priority="15">
      <formula>AND($F$4&gt;0,$F$4&lt;5)</formula>
    </cfRule>
  </conditionalFormatting>
  <conditionalFormatting sqref="F18:G18 I18">
    <cfRule type="expression" dxfId="80" priority="14">
      <formula>$F$4=5</formula>
    </cfRule>
  </conditionalFormatting>
  <conditionalFormatting sqref="C17">
    <cfRule type="expression" dxfId="79" priority="13">
      <formula>OR($F$4=1,$F$4=4)</formula>
    </cfRule>
  </conditionalFormatting>
  <conditionalFormatting sqref="D17:E17 G17 I17:L17">
    <cfRule type="expression" dxfId="78" priority="12">
      <formula>$F$4&gt;0</formula>
    </cfRule>
  </conditionalFormatting>
  <conditionalFormatting sqref="C33:D34 C37:D39">
    <cfRule type="expression" dxfId="77" priority="10">
      <formula>$F$4&gt;0</formula>
    </cfRule>
  </conditionalFormatting>
  <conditionalFormatting sqref="E33:F34 E37:F39 H33:H34 N33:N34">
    <cfRule type="expression" dxfId="76" priority="9">
      <formula>$F$4=5</formula>
    </cfRule>
  </conditionalFormatting>
  <conditionalFormatting sqref="J33:L34 J37:L39 S33:S34 S37:S39">
    <cfRule type="expression" dxfId="75" priority="8">
      <formula>AND($F$4&gt;0,$F$4&lt;5)</formula>
    </cfRule>
  </conditionalFormatting>
  <conditionalFormatting sqref="C53:D54 C56:D56 L53:L54 L56">
    <cfRule type="expression" dxfId="74" priority="7">
      <formula>OR($F$4=2,$F$4=4)</formula>
    </cfRule>
  </conditionalFormatting>
  <conditionalFormatting sqref="AB37:AC39 AF33:AF34 AB33:AC34">
    <cfRule type="expression" dxfId="73" priority="6">
      <formula>AB33&lt;&gt;"OK"</formula>
    </cfRule>
  </conditionalFormatting>
  <conditionalFormatting sqref="AI53:AI54 AI56">
    <cfRule type="expression" dxfId="72" priority="5">
      <formula>AI53&lt;&gt;"OK"</formula>
    </cfRule>
  </conditionalFormatting>
  <conditionalFormatting sqref="AH33:AI34 AH37:AI39 AL33:AL34">
    <cfRule type="expression" dxfId="71" priority="3">
      <formula>AH33&lt;&gt;"OK"</formula>
    </cfRule>
  </conditionalFormatting>
  <conditionalFormatting sqref="AB53:AC54 AB56:AC56 AF53:AF54">
    <cfRule type="expression" dxfId="70" priority="1">
      <formula>AB53&lt;&gt;"OK"</formula>
    </cfRule>
  </conditionalFormatting>
  <dataValidations count="2">
    <dataValidation type="decimal" operator="greaterThanOrEqual" allowBlank="1" showErrorMessage="1" errorTitle="Number less than 0" error="You are trying to enter a number which is less than 0, please re-enter a valid number." sqref="C53:I54 S33:S34 S37:S39 L56 L53:L54 C56:I56 J37:L39 J33:L34 H33:H34 H37:H39 C37:F39 C33:F34 N37:N39 N33:N34" xr:uid="{00000000-0002-0000-0900-000000000000}">
      <formula1>0</formula1>
    </dataValidation>
    <dataValidation type="custom" allowBlank="1" showErrorMessage="1" errorTitle="Number less than 0" error="You are trying to enter a number which is less than 0, please re-enter a valid number." sqref="C55:L55 C57:K57 M35:N36 I35:L35 J36:K36 C44:O44 C40:O41 C35:H36 C42:D42 E42:O42 O35:S35 P41:S41" xr:uid="{00000000-0002-0000-0900-000001000000}">
      <formula1>C35&gt;=0</formula1>
    </dataValidation>
  </dataValidations>
  <printOptions gridLines="1" gridLinesSet="0"/>
  <pageMargins left="0.19685039370078741" right="0.19685039370078741" top="0.19685039370078741" bottom="0.39370078740157483" header="0" footer="0"/>
  <pageSetup paperSize="9" scale="52" fitToHeight="3" orientation="landscape" r:id="rId1"/>
  <headerFooter alignWithMargins="0"/>
  <rowBreaks count="2" manualBreakCount="2">
    <brk id="21" max="19" man="1"/>
    <brk id="42" max="1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AG51"/>
  <sheetViews>
    <sheetView topLeftCell="A10" zoomScale="80" zoomScaleNormal="80" workbookViewId="0">
      <selection activeCell="F26" sqref="F26"/>
    </sheetView>
  </sheetViews>
  <sheetFormatPr defaultColWidth="9.140625" defaultRowHeight="15"/>
  <cols>
    <col min="1" max="1" width="2.7109375" style="507" customWidth="1"/>
    <col min="2" max="2" width="28.7109375" style="507" customWidth="1"/>
    <col min="3" max="3" width="3.7109375" style="509" customWidth="1"/>
    <col min="4" max="8" width="13.7109375" style="507" customWidth="1"/>
    <col min="9" max="9" width="3.7109375" style="509" customWidth="1"/>
    <col min="10" max="14" width="13.7109375" style="507" customWidth="1"/>
    <col min="15" max="15" width="3.7109375" style="509" customWidth="1"/>
    <col min="16" max="20" width="13.7109375" style="507" customWidth="1"/>
    <col min="21" max="24" width="4.7109375" style="507" customWidth="1"/>
    <col min="25" max="25" width="35.7109375" style="507" customWidth="1"/>
    <col min="26" max="26" width="3.7109375" style="510" customWidth="1"/>
    <col min="27" max="27" width="35.7109375" style="507" customWidth="1"/>
    <col min="28" max="28" width="4.7109375" style="507" customWidth="1"/>
    <col min="29" max="29" width="34.85546875" style="507" customWidth="1"/>
    <col min="30" max="31" width="12.7109375" style="507" customWidth="1"/>
    <col min="32" max="32" width="35.85546875" style="507" customWidth="1"/>
    <col min="33" max="33" width="10.7109375" style="507" customWidth="1"/>
    <col min="34" max="16384" width="9.140625" style="507"/>
  </cols>
  <sheetData>
    <row r="1" spans="1:33" ht="39.950000000000003" customHeight="1">
      <c r="A1" s="184"/>
      <c r="B1" s="192" t="str">
        <f>IF(G4=0,"Your Institution Does Not Complete This Table","")</f>
        <v>Your Institution Does Not Complete This Table</v>
      </c>
      <c r="C1" s="1861"/>
      <c r="D1" s="184"/>
      <c r="E1" s="184"/>
      <c r="F1" s="184"/>
      <c r="G1" s="184"/>
      <c r="H1" s="184"/>
      <c r="I1" s="1861"/>
      <c r="J1" s="184"/>
      <c r="K1" s="184"/>
      <c r="L1" s="184"/>
      <c r="M1" s="184"/>
      <c r="N1" s="184"/>
      <c r="O1" s="1861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292"/>
      <c r="AA1" s="184"/>
      <c r="AB1" s="184"/>
      <c r="AC1" s="184"/>
      <c r="AD1" s="184"/>
      <c r="AE1" s="184"/>
      <c r="AF1" s="184"/>
      <c r="AG1" s="184"/>
    </row>
    <row r="2" spans="1:33" ht="30" customHeight="1">
      <c r="A2" s="1484"/>
      <c r="B2" s="458" t="s">
        <v>410</v>
      </c>
      <c r="C2" s="1371"/>
      <c r="D2" s="2067"/>
      <c r="E2" s="2067"/>
      <c r="F2" s="2067"/>
      <c r="G2" s="2067"/>
      <c r="H2" s="2068"/>
      <c r="I2" s="1371"/>
      <c r="J2" s="2068"/>
      <c r="K2" s="2069"/>
      <c r="L2" s="2069"/>
      <c r="M2" s="2069"/>
      <c r="N2" s="2069"/>
      <c r="O2" s="1371"/>
      <c r="P2" s="2069"/>
      <c r="Q2" s="2069"/>
      <c r="R2" s="2069"/>
      <c r="S2" s="2069"/>
      <c r="T2" s="2069"/>
      <c r="U2" s="2070"/>
      <c r="V2" s="189"/>
      <c r="W2" s="189"/>
      <c r="X2" s="189"/>
      <c r="Y2" s="5"/>
      <c r="Z2" s="828"/>
      <c r="AA2" s="5"/>
      <c r="AB2" s="189"/>
      <c r="AC2" s="189"/>
      <c r="AD2" s="189"/>
      <c r="AE2" s="189"/>
      <c r="AF2" s="189"/>
      <c r="AG2" s="189"/>
    </row>
    <row r="3" spans="1:33" ht="15" customHeight="1" thickBot="1">
      <c r="A3" s="1025"/>
      <c r="B3" s="36"/>
      <c r="C3" s="1859"/>
      <c r="D3" s="56"/>
      <c r="E3" s="57"/>
      <c r="F3" s="57"/>
      <c r="G3" s="57"/>
      <c r="H3" s="57"/>
      <c r="I3" s="1859"/>
      <c r="J3" s="57"/>
      <c r="K3" s="57"/>
      <c r="L3" s="57"/>
      <c r="M3" s="57"/>
      <c r="N3" s="57"/>
      <c r="O3" s="1859"/>
      <c r="P3" s="57"/>
      <c r="Q3" s="57"/>
      <c r="R3" s="57"/>
      <c r="S3" s="57"/>
      <c r="T3" s="57"/>
      <c r="U3" s="2071"/>
      <c r="V3" s="57"/>
      <c r="W3" s="57"/>
      <c r="X3" s="57"/>
      <c r="Y3" s="5"/>
      <c r="Z3" s="828"/>
      <c r="AA3" s="5"/>
      <c r="AB3" s="57"/>
      <c r="AC3" s="57"/>
      <c r="AD3" s="57"/>
      <c r="AE3" s="57"/>
      <c r="AF3" s="57"/>
      <c r="AG3" s="57"/>
    </row>
    <row r="4" spans="1:33" ht="35.1" customHeight="1" thickBot="1">
      <c r="A4" s="1025"/>
      <c r="B4" s="346" t="s">
        <v>0</v>
      </c>
      <c r="C4" s="234"/>
      <c r="D4" s="2689" t="str">
        <f>'Background Data'!$G$2</f>
        <v>Glasgow, University of</v>
      </c>
      <c r="E4" s="2690"/>
      <c r="F4" s="2691"/>
      <c r="G4" s="631">
        <f>VLOOKUP('Background Data'!$F$2,Inst_Tables,13,FALSE)</f>
        <v>0</v>
      </c>
      <c r="H4" s="569"/>
      <c r="I4" s="234"/>
      <c r="J4" s="569"/>
      <c r="K4" s="183"/>
      <c r="L4" s="58"/>
      <c r="M4" s="58"/>
      <c r="N4" s="58"/>
      <c r="O4" s="234"/>
      <c r="P4" s="58"/>
      <c r="Q4" s="58"/>
      <c r="R4" s="58"/>
      <c r="S4" s="58"/>
      <c r="T4" s="58"/>
      <c r="U4" s="2072"/>
      <c r="V4" s="58"/>
      <c r="W4" s="58"/>
      <c r="X4" s="58"/>
      <c r="Y4" s="5"/>
      <c r="Z4" s="828"/>
      <c r="AA4" s="5"/>
      <c r="AB4" s="58"/>
      <c r="AC4" s="58"/>
      <c r="AD4" s="58"/>
      <c r="AE4" s="58"/>
      <c r="AF4" s="58"/>
      <c r="AG4" s="58"/>
    </row>
    <row r="5" spans="1:33" ht="35.1" customHeight="1">
      <c r="A5" s="1025"/>
      <c r="B5" s="347" t="s">
        <v>528</v>
      </c>
      <c r="C5" s="1860"/>
      <c r="D5" s="59"/>
      <c r="E5" s="59"/>
      <c r="F5" s="59"/>
      <c r="G5" s="59"/>
      <c r="H5" s="59"/>
      <c r="I5" s="1860"/>
      <c r="J5" s="59"/>
      <c r="K5" s="59"/>
      <c r="L5" s="59"/>
      <c r="M5" s="59"/>
      <c r="N5" s="59"/>
      <c r="O5" s="1860"/>
      <c r="P5" s="59"/>
      <c r="Q5" s="59"/>
      <c r="R5" s="59"/>
      <c r="S5" s="59"/>
      <c r="T5" s="59"/>
      <c r="U5" s="2073"/>
      <c r="V5" s="59"/>
      <c r="W5" s="59"/>
      <c r="X5" s="59"/>
      <c r="Y5" s="5"/>
      <c r="Z5" s="828"/>
      <c r="AA5" s="5"/>
      <c r="AB5" s="59"/>
      <c r="AC5" s="59"/>
      <c r="AD5" s="59"/>
      <c r="AE5" s="59"/>
      <c r="AF5" s="59"/>
      <c r="AG5" s="59"/>
    </row>
    <row r="6" spans="1:33" ht="24.95" customHeight="1">
      <c r="A6" s="1025"/>
      <c r="B6" s="11" t="s">
        <v>544</v>
      </c>
      <c r="C6" s="15"/>
      <c r="D6" s="59"/>
      <c r="E6" s="59"/>
      <c r="F6" s="59"/>
      <c r="G6" s="59"/>
      <c r="H6" s="59"/>
      <c r="I6" s="15"/>
      <c r="J6" s="59"/>
      <c r="K6" s="59"/>
      <c r="L6" s="59"/>
      <c r="M6" s="59"/>
      <c r="N6" s="59"/>
      <c r="O6" s="15"/>
      <c r="P6" s="59"/>
      <c r="Q6" s="59"/>
      <c r="R6" s="59"/>
      <c r="S6" s="59"/>
      <c r="T6" s="59"/>
      <c r="U6" s="2073"/>
      <c r="V6" s="59"/>
      <c r="W6" s="59"/>
      <c r="X6" s="59"/>
      <c r="Y6" s="5"/>
      <c r="Z6" s="828"/>
      <c r="AA6" s="5"/>
      <c r="AB6" s="59"/>
      <c r="AC6" s="59"/>
      <c r="AD6" s="59"/>
      <c r="AE6" s="59"/>
      <c r="AF6" s="59"/>
      <c r="AG6" s="59"/>
    </row>
    <row r="7" spans="1:33" ht="15" customHeight="1" thickBot="1">
      <c r="A7" s="1025"/>
      <c r="B7" s="348"/>
      <c r="C7" s="1860"/>
      <c r="D7" s="59"/>
      <c r="E7" s="59"/>
      <c r="F7" s="59"/>
      <c r="G7" s="59"/>
      <c r="H7" s="59"/>
      <c r="I7" s="1860"/>
      <c r="J7" s="59"/>
      <c r="K7" s="59"/>
      <c r="L7" s="59"/>
      <c r="M7" s="59"/>
      <c r="N7" s="59"/>
      <c r="O7" s="1860"/>
      <c r="P7" s="59"/>
      <c r="Q7" s="59"/>
      <c r="R7" s="59"/>
      <c r="S7" s="59"/>
      <c r="T7" s="59"/>
      <c r="U7" s="2073"/>
      <c r="V7" s="59"/>
      <c r="W7" s="59"/>
      <c r="X7" s="59"/>
      <c r="Y7" s="5"/>
      <c r="Z7" s="828"/>
      <c r="AA7" s="5"/>
      <c r="AB7" s="59"/>
      <c r="AC7" s="59"/>
      <c r="AD7" s="59"/>
      <c r="AE7" s="59"/>
      <c r="AF7" s="59"/>
      <c r="AG7" s="59"/>
    </row>
    <row r="8" spans="1:33" ht="30" customHeight="1" thickBot="1">
      <c r="A8" s="1025"/>
      <c r="B8" s="375"/>
      <c r="C8" s="566"/>
      <c r="D8" s="2692" t="s">
        <v>67</v>
      </c>
      <c r="E8" s="2693"/>
      <c r="F8" s="2693"/>
      <c r="G8" s="2693"/>
      <c r="H8" s="2694"/>
      <c r="I8" s="566"/>
      <c r="J8" s="2692" t="s">
        <v>286</v>
      </c>
      <c r="K8" s="2693"/>
      <c r="L8" s="2693"/>
      <c r="M8" s="2693"/>
      <c r="N8" s="2694"/>
      <c r="O8" s="566"/>
      <c r="P8" s="2695" t="s">
        <v>2</v>
      </c>
      <c r="Q8" s="2696"/>
      <c r="R8" s="2696"/>
      <c r="S8" s="2696"/>
      <c r="T8" s="2697"/>
      <c r="U8" s="2073"/>
      <c r="V8" s="59"/>
      <c r="W8" s="59"/>
      <c r="X8" s="59"/>
      <c r="Y8" s="828"/>
      <c r="Z8" s="828"/>
      <c r="AA8" s="5"/>
      <c r="AB8" s="59"/>
      <c r="AC8" s="190"/>
      <c r="AD8" s="59"/>
      <c r="AE8" s="59"/>
      <c r="AF8" s="59"/>
      <c r="AG8" s="59"/>
    </row>
    <row r="9" spans="1:33" ht="30" customHeight="1">
      <c r="A9" s="1025"/>
      <c r="B9" s="541"/>
      <c r="C9" s="566"/>
      <c r="D9" s="562" t="s">
        <v>158</v>
      </c>
      <c r="E9" s="2686" t="s">
        <v>26</v>
      </c>
      <c r="F9" s="2686"/>
      <c r="G9" s="2686"/>
      <c r="H9" s="2687"/>
      <c r="I9" s="566"/>
      <c r="J9" s="562" t="s">
        <v>158</v>
      </c>
      <c r="K9" s="2698" t="s">
        <v>26</v>
      </c>
      <c r="L9" s="2686"/>
      <c r="M9" s="2686"/>
      <c r="N9" s="2687"/>
      <c r="O9" s="566"/>
      <c r="P9" s="562" t="s">
        <v>158</v>
      </c>
      <c r="Q9" s="2686" t="s">
        <v>26</v>
      </c>
      <c r="R9" s="2686"/>
      <c r="S9" s="2686"/>
      <c r="T9" s="2687"/>
      <c r="U9" s="2073"/>
      <c r="V9" s="59"/>
      <c r="W9" s="59"/>
      <c r="X9" s="59"/>
      <c r="Y9" s="828"/>
      <c r="Z9" s="828"/>
      <c r="AA9" s="5"/>
      <c r="AB9" s="59"/>
      <c r="AC9" s="190"/>
      <c r="AD9" s="59"/>
      <c r="AE9" s="59"/>
      <c r="AF9" s="59"/>
      <c r="AG9" s="59"/>
    </row>
    <row r="10" spans="1:33" ht="32.25" customHeight="1">
      <c r="A10" s="1025"/>
      <c r="B10" s="376"/>
      <c r="C10" s="566"/>
      <c r="D10" s="566"/>
      <c r="E10" s="2074" t="s">
        <v>23</v>
      </c>
      <c r="F10" s="2075" t="s">
        <v>12</v>
      </c>
      <c r="G10" s="2075" t="s">
        <v>13</v>
      </c>
      <c r="H10" s="2076" t="s">
        <v>2</v>
      </c>
      <c r="I10" s="566"/>
      <c r="J10" s="566"/>
      <c r="K10" s="2074" t="s">
        <v>23</v>
      </c>
      <c r="L10" s="2075" t="s">
        <v>12</v>
      </c>
      <c r="M10" s="2075" t="s">
        <v>13</v>
      </c>
      <c r="N10" s="2076" t="s">
        <v>2</v>
      </c>
      <c r="O10" s="566"/>
      <c r="P10" s="566"/>
      <c r="Q10" s="2074" t="s">
        <v>23</v>
      </c>
      <c r="R10" s="2075" t="s">
        <v>12</v>
      </c>
      <c r="S10" s="2075" t="s">
        <v>13</v>
      </c>
      <c r="T10" s="2076" t="s">
        <v>2</v>
      </c>
      <c r="U10" s="2073"/>
      <c r="V10" s="59"/>
      <c r="W10" s="59"/>
      <c r="X10" s="59"/>
      <c r="Y10" s="237" t="s">
        <v>436</v>
      </c>
      <c r="Z10" s="828"/>
      <c r="AA10" s="5"/>
      <c r="AB10" s="59"/>
      <c r="AC10" s="272" t="s">
        <v>435</v>
      </c>
      <c r="AD10" s="59"/>
      <c r="AE10" s="59"/>
      <c r="AF10" s="59"/>
      <c r="AG10" s="59"/>
    </row>
    <row r="11" spans="1:33" ht="30" customHeight="1" thickBot="1">
      <c r="A11" s="1025"/>
      <c r="B11" s="542" t="s">
        <v>191</v>
      </c>
      <c r="C11" s="566"/>
      <c r="D11" s="562" t="s">
        <v>16</v>
      </c>
      <c r="E11" s="1060" t="s">
        <v>16</v>
      </c>
      <c r="F11" s="1836" t="s">
        <v>16</v>
      </c>
      <c r="G11" s="1836" t="s">
        <v>16</v>
      </c>
      <c r="H11" s="1835" t="s">
        <v>16</v>
      </c>
      <c r="I11" s="566"/>
      <c r="J11" s="562" t="s">
        <v>16</v>
      </c>
      <c r="K11" s="1060" t="s">
        <v>16</v>
      </c>
      <c r="L11" s="1836" t="s">
        <v>16</v>
      </c>
      <c r="M11" s="1836" t="s">
        <v>16</v>
      </c>
      <c r="N11" s="1835" t="s">
        <v>16</v>
      </c>
      <c r="O11" s="566"/>
      <c r="P11" s="562" t="s">
        <v>16</v>
      </c>
      <c r="Q11" s="1060" t="s">
        <v>16</v>
      </c>
      <c r="R11" s="1836" t="s">
        <v>16</v>
      </c>
      <c r="S11" s="1836" t="s">
        <v>16</v>
      </c>
      <c r="T11" s="1835" t="s">
        <v>16</v>
      </c>
      <c r="U11" s="2073"/>
      <c r="V11" s="59"/>
      <c r="W11" s="59"/>
      <c r="X11" s="59"/>
      <c r="Y11" s="270"/>
      <c r="Z11" s="828"/>
      <c r="AA11" s="270"/>
      <c r="AB11" s="59"/>
      <c r="AC11" s="184"/>
      <c r="AD11" s="184"/>
      <c r="AE11" s="184"/>
      <c r="AF11" s="184"/>
      <c r="AG11" s="59"/>
    </row>
    <row r="12" spans="1:33" ht="30" customHeight="1">
      <c r="A12" s="1025"/>
      <c r="B12" s="377"/>
      <c r="C12" s="566"/>
      <c r="D12" s="562" t="s">
        <v>29</v>
      </c>
      <c r="E12" s="1060" t="s">
        <v>29</v>
      </c>
      <c r="F12" s="1836" t="s">
        <v>29</v>
      </c>
      <c r="G12" s="1836" t="s">
        <v>29</v>
      </c>
      <c r="H12" s="1835" t="s">
        <v>54</v>
      </c>
      <c r="I12" s="566"/>
      <c r="J12" s="562" t="s">
        <v>29</v>
      </c>
      <c r="K12" s="1060" t="s">
        <v>29</v>
      </c>
      <c r="L12" s="1836" t="s">
        <v>29</v>
      </c>
      <c r="M12" s="1836" t="s">
        <v>29</v>
      </c>
      <c r="N12" s="1835" t="s">
        <v>54</v>
      </c>
      <c r="O12" s="566"/>
      <c r="P12" s="562" t="s">
        <v>54</v>
      </c>
      <c r="Q12" s="1060" t="s">
        <v>54</v>
      </c>
      <c r="R12" s="1836" t="s">
        <v>54</v>
      </c>
      <c r="S12" s="1836" t="s">
        <v>54</v>
      </c>
      <c r="T12" s="1835" t="s">
        <v>54</v>
      </c>
      <c r="U12" s="2073"/>
      <c r="V12" s="59"/>
      <c r="W12" s="59"/>
      <c r="X12" s="59"/>
      <c r="Y12" s="2684" t="s">
        <v>67</v>
      </c>
      <c r="Z12" s="828"/>
      <c r="AA12" s="2684" t="s">
        <v>286</v>
      </c>
      <c r="AB12" s="59"/>
      <c r="AC12" s="572"/>
      <c r="AD12" s="573" t="s">
        <v>58</v>
      </c>
      <c r="AE12" s="2688" t="s">
        <v>153</v>
      </c>
      <c r="AF12" s="574" t="s">
        <v>66</v>
      </c>
      <c r="AG12" s="59"/>
    </row>
    <row r="13" spans="1:33" ht="24.95" customHeight="1" thickBot="1">
      <c r="A13" s="1025"/>
      <c r="B13" s="378"/>
      <c r="C13" s="566"/>
      <c r="D13" s="563">
        <v>1</v>
      </c>
      <c r="E13" s="422">
        <v>2</v>
      </c>
      <c r="F13" s="411">
        <v>3</v>
      </c>
      <c r="G13" s="411">
        <v>4</v>
      </c>
      <c r="H13" s="412">
        <v>5</v>
      </c>
      <c r="I13" s="566"/>
      <c r="J13" s="563">
        <v>6</v>
      </c>
      <c r="K13" s="422">
        <v>7</v>
      </c>
      <c r="L13" s="411">
        <v>8</v>
      </c>
      <c r="M13" s="411">
        <v>9</v>
      </c>
      <c r="N13" s="412">
        <v>10</v>
      </c>
      <c r="O13" s="566"/>
      <c r="P13" s="563">
        <v>11</v>
      </c>
      <c r="Q13" s="422">
        <v>12</v>
      </c>
      <c r="R13" s="411">
        <v>13</v>
      </c>
      <c r="S13" s="411">
        <v>14</v>
      </c>
      <c r="T13" s="412">
        <v>15</v>
      </c>
      <c r="U13" s="2073"/>
      <c r="V13" s="59"/>
      <c r="W13" s="59"/>
      <c r="X13" s="59"/>
      <c r="Y13" s="2685"/>
      <c r="Z13" s="828"/>
      <c r="AA13" s="2685"/>
      <c r="AB13" s="59"/>
      <c r="AC13" s="378"/>
      <c r="AD13" s="1434"/>
      <c r="AE13" s="2598"/>
      <c r="AF13" s="1435"/>
      <c r="AG13" s="59"/>
    </row>
    <row r="14" spans="1:33" s="506" customFormat="1" ht="35.1" customHeight="1" thickBot="1">
      <c r="A14" s="1025"/>
      <c r="B14" s="2055" t="s">
        <v>10</v>
      </c>
      <c r="C14" s="1860"/>
      <c r="D14" s="2045"/>
      <c r="E14" s="181"/>
      <c r="F14" s="181"/>
      <c r="G14" s="181"/>
      <c r="H14" s="2046"/>
      <c r="I14" s="1860"/>
      <c r="J14" s="2045"/>
      <c r="K14" s="181"/>
      <c r="L14" s="181"/>
      <c r="M14" s="181"/>
      <c r="N14" s="2046"/>
      <c r="O14" s="1860"/>
      <c r="P14" s="2045"/>
      <c r="Q14" s="181"/>
      <c r="R14" s="181"/>
      <c r="S14" s="181"/>
      <c r="T14" s="2046"/>
      <c r="U14" s="2073"/>
      <c r="V14" s="59"/>
      <c r="W14" s="59"/>
      <c r="X14" s="59"/>
      <c r="Y14" s="1091"/>
      <c r="Z14" s="828"/>
      <c r="AA14" s="1091"/>
      <c r="AB14" s="59"/>
      <c r="AC14" s="183"/>
      <c r="AD14" s="183"/>
      <c r="AE14" s="183"/>
      <c r="AF14" s="183"/>
      <c r="AG14" s="59"/>
    </row>
    <row r="15" spans="1:33" ht="30" customHeight="1" thickBot="1">
      <c r="A15" s="1025"/>
      <c r="B15" s="2097" t="s">
        <v>33</v>
      </c>
      <c r="C15" s="566"/>
      <c r="D15" s="2048"/>
      <c r="E15" s="2049"/>
      <c r="F15" s="2050"/>
      <c r="G15" s="2050"/>
      <c r="H15" s="2051"/>
      <c r="I15" s="566"/>
      <c r="J15" s="2048"/>
      <c r="K15" s="2049"/>
      <c r="L15" s="2050"/>
      <c r="M15" s="2050"/>
      <c r="N15" s="2051"/>
      <c r="O15" s="566"/>
      <c r="P15" s="2048"/>
      <c r="Q15" s="2049"/>
      <c r="R15" s="2050"/>
      <c r="S15" s="2050"/>
      <c r="T15" s="2051"/>
      <c r="U15" s="2073"/>
      <c r="V15" s="59"/>
      <c r="W15" s="59"/>
      <c r="X15" s="59"/>
      <c r="Y15" s="270"/>
      <c r="Z15" s="828"/>
      <c r="AA15" s="270"/>
      <c r="AB15" s="59"/>
      <c r="AC15" s="184"/>
      <c r="AD15" s="184"/>
      <c r="AE15" s="184"/>
      <c r="AF15" s="184"/>
      <c r="AG15" s="59"/>
    </row>
    <row r="16" spans="1:33" ht="24.95" customHeight="1" thickBot="1">
      <c r="A16" s="1025"/>
      <c r="B16" s="2098" t="s">
        <v>34</v>
      </c>
      <c r="C16" s="566"/>
      <c r="D16" s="899"/>
      <c r="E16" s="2077"/>
      <c r="F16" s="900"/>
      <c r="G16" s="900"/>
      <c r="H16" s="2078">
        <f>SUM(E16:G16)</f>
        <v>0</v>
      </c>
      <c r="I16" s="566"/>
      <c r="J16" s="899"/>
      <c r="K16" s="2077"/>
      <c r="L16" s="900"/>
      <c r="M16" s="900"/>
      <c r="N16" s="2078">
        <f>SUM(K16:M16)</f>
        <v>0</v>
      </c>
      <c r="O16" s="566"/>
      <c r="P16" s="708">
        <f>SUM(D16,J16)</f>
        <v>0</v>
      </c>
      <c r="Q16" s="2061">
        <f>SUM(E16,K16)</f>
        <v>0</v>
      </c>
      <c r="R16" s="571">
        <f>SUM(F16,L16)</f>
        <v>0</v>
      </c>
      <c r="S16" s="571">
        <f>SUM(G16,M16)</f>
        <v>0</v>
      </c>
      <c r="T16" s="2078">
        <f>SUM(Q16:S16)</f>
        <v>0</v>
      </c>
      <c r="U16" s="2079"/>
      <c r="V16" s="190"/>
      <c r="W16" s="190"/>
      <c r="X16" s="190"/>
      <c r="Y16" s="2040" t="str">
        <f>IF(AND(H16&gt;0,D16=0),"No intake?",IF(AND(D16&gt;0,H16=0),"No enrolments",IF(OR(D16&gt;H16,AND(D16=H16,SUM(F16:G16)&gt;0)),"Intake inconsistent with enrolments","OK")))</f>
        <v>OK</v>
      </c>
      <c r="Z16" s="292"/>
      <c r="AA16" s="2040" t="str">
        <f>IF(AND(N16&gt;0,J16=0),"No intake?",IF(AND(J16&gt;0,N16=0),"No enrolments",IF(OR(J16&gt;N16,AND(J16=N16,SUM(L16:M16)&gt;0)),"Intake inconsistent with enrolments","OK")))</f>
        <v>OK</v>
      </c>
      <c r="AB16" s="190"/>
      <c r="AC16" s="2043" t="s">
        <v>10</v>
      </c>
      <c r="AD16" s="1253"/>
      <c r="AE16" s="1253"/>
      <c r="AF16" s="1253"/>
      <c r="AG16" s="190"/>
    </row>
    <row r="17" spans="1:33" ht="24.95" customHeight="1">
      <c r="A17" s="1025"/>
      <c r="B17" s="2098" t="s">
        <v>35</v>
      </c>
      <c r="C17" s="566"/>
      <c r="D17" s="901"/>
      <c r="E17" s="2077"/>
      <c r="F17" s="900"/>
      <c r="G17" s="900"/>
      <c r="H17" s="2078">
        <f>SUM(E17:G17)</f>
        <v>0</v>
      </c>
      <c r="I17" s="566"/>
      <c r="J17" s="901"/>
      <c r="K17" s="2077"/>
      <c r="L17" s="900"/>
      <c r="M17" s="900"/>
      <c r="N17" s="2078">
        <f>SUM(K17:M17)</f>
        <v>0</v>
      </c>
      <c r="O17" s="566"/>
      <c r="P17" s="708">
        <f t="shared" ref="P17:P18" si="0">SUM(D17,J17)</f>
        <v>0</v>
      </c>
      <c r="Q17" s="2061">
        <f t="shared" ref="Q17:Q18" si="1">SUM(E17,K17)</f>
        <v>0</v>
      </c>
      <c r="R17" s="571">
        <f t="shared" ref="R17:R18" si="2">SUM(F17,L17)</f>
        <v>0</v>
      </c>
      <c r="S17" s="571">
        <f t="shared" ref="S17:S18" si="3">SUM(G17,M17)</f>
        <v>0</v>
      </c>
      <c r="T17" s="2078">
        <f>SUM(Q17:S17)</f>
        <v>0</v>
      </c>
      <c r="U17" s="2079"/>
      <c r="V17" s="190"/>
      <c r="W17" s="190"/>
      <c r="X17" s="190"/>
      <c r="Y17" s="2041" t="str">
        <f t="shared" ref="Y17:Y18" si="4">IF(AND(H17&gt;0,D17=0),"No intake?",IF(AND(D17&gt;0,H17=0),"No enrolments",IF(OR(D17&gt;H17,AND(D17=H17,SUM(F17:G17)&gt;0)),"Intake inconsistent with enrolments","OK")))</f>
        <v>OK</v>
      </c>
      <c r="Z17" s="292"/>
      <c r="AA17" s="2041" t="str">
        <f t="shared" ref="AA17:AA18" si="5">IF(AND(N17&gt;0,J17=0),"No intake?",IF(AND(J17&gt;0,N17=0),"No enrolments",IF(OR(J17&gt;N17,AND(J17=N17,SUM(L17:M17)&gt;0)),"Intake inconsistent with enrolments","OK")))</f>
        <v>OK</v>
      </c>
      <c r="AB17" s="190"/>
      <c r="AC17" s="1865" t="s">
        <v>67</v>
      </c>
      <c r="AD17" s="1862">
        <f>'T1 Main Table'!$K$58</f>
        <v>0</v>
      </c>
      <c r="AE17" s="1863">
        <f>$H$39-AD17</f>
        <v>0</v>
      </c>
      <c r="AF17" s="1864" t="str">
        <f>IF(ABS(AE17)&gt;0.1,"Does not equal figure in Table 1","OK")</f>
        <v>OK</v>
      </c>
      <c r="AG17" s="190"/>
    </row>
    <row r="18" spans="1:33" ht="24.95" customHeight="1" thickBot="1">
      <c r="A18" s="1025"/>
      <c r="B18" s="2098" t="s">
        <v>36</v>
      </c>
      <c r="C18" s="566"/>
      <c r="D18" s="2080"/>
      <c r="E18" s="2081"/>
      <c r="F18" s="2082"/>
      <c r="G18" s="2082"/>
      <c r="H18" s="2083">
        <f>SUM(E18:G18)</f>
        <v>0</v>
      </c>
      <c r="I18" s="566"/>
      <c r="J18" s="2080"/>
      <c r="K18" s="2081"/>
      <c r="L18" s="2082"/>
      <c r="M18" s="2082"/>
      <c r="N18" s="2083">
        <f>SUM(K18:M18)</f>
        <v>0</v>
      </c>
      <c r="O18" s="566"/>
      <c r="P18" s="708">
        <f t="shared" si="0"/>
        <v>0</v>
      </c>
      <c r="Q18" s="2084">
        <f t="shared" si="1"/>
        <v>0</v>
      </c>
      <c r="R18" s="2085">
        <f t="shared" si="2"/>
        <v>0</v>
      </c>
      <c r="S18" s="2085">
        <f t="shared" si="3"/>
        <v>0</v>
      </c>
      <c r="T18" s="2083">
        <f>SUM(Q18:S18)</f>
        <v>0</v>
      </c>
      <c r="U18" s="2079"/>
      <c r="V18" s="190"/>
      <c r="W18" s="190"/>
      <c r="X18" s="190"/>
      <c r="Y18" s="2042" t="str">
        <f t="shared" si="4"/>
        <v>OK</v>
      </c>
      <c r="Z18" s="292"/>
      <c r="AA18" s="2042" t="str">
        <f t="shared" si="5"/>
        <v>OK</v>
      </c>
      <c r="AB18" s="190"/>
      <c r="AC18" s="2062" t="s">
        <v>286</v>
      </c>
      <c r="AD18" s="2063">
        <f>'T1 Main Table'!$O$58</f>
        <v>0</v>
      </c>
      <c r="AE18" s="2064">
        <f>$N$39-AD18</f>
        <v>0</v>
      </c>
      <c r="AF18" s="2065" t="str">
        <f>IF(ABS(AE18)&gt;0.1,"Does not equal figure in Table 1","OK")</f>
        <v>OK</v>
      </c>
      <c r="AG18" s="190"/>
    </row>
    <row r="19" spans="1:33" ht="24.95" customHeight="1" thickBot="1">
      <c r="A19" s="1025"/>
      <c r="B19" s="2047" t="s">
        <v>2</v>
      </c>
      <c r="C19" s="566"/>
      <c r="D19" s="2086">
        <f>SUM(D16:D18)</f>
        <v>0</v>
      </c>
      <c r="E19" s="2087">
        <f>SUM(E16:E18)</f>
        <v>0</v>
      </c>
      <c r="F19" s="2088">
        <f>SUM(F16:F18)</f>
        <v>0</v>
      </c>
      <c r="G19" s="2088">
        <f>SUM(G16:G18)</f>
        <v>0</v>
      </c>
      <c r="H19" s="2083">
        <f>SUM(E19:G19)</f>
        <v>0</v>
      </c>
      <c r="I19" s="566"/>
      <c r="J19" s="2086">
        <f>SUM(J16:J18)</f>
        <v>0</v>
      </c>
      <c r="K19" s="2087">
        <f>SUM(K16:K18)</f>
        <v>0</v>
      </c>
      <c r="L19" s="2088">
        <f>SUM(L16:L18)</f>
        <v>0</v>
      </c>
      <c r="M19" s="2088">
        <f>SUM(M16:M18)</f>
        <v>0</v>
      </c>
      <c r="N19" s="2083">
        <f>SUM(K19:M19)</f>
        <v>0</v>
      </c>
      <c r="O19" s="566"/>
      <c r="P19" s="2086">
        <f>SUM(P16:P18)</f>
        <v>0</v>
      </c>
      <c r="Q19" s="2087">
        <f>SUM(Q16:Q18)</f>
        <v>0</v>
      </c>
      <c r="R19" s="2088">
        <f>SUM(R16:R18)</f>
        <v>0</v>
      </c>
      <c r="S19" s="2088">
        <f>SUM(S16:S18)</f>
        <v>0</v>
      </c>
      <c r="T19" s="2083">
        <f>SUM(Q19:S19)</f>
        <v>0</v>
      </c>
      <c r="U19" s="2079"/>
      <c r="V19" s="190"/>
      <c r="W19" s="190"/>
      <c r="X19" s="190"/>
      <c r="Y19" s="881"/>
      <c r="Z19" s="225"/>
      <c r="AA19" s="881"/>
      <c r="AB19" s="190"/>
      <c r="AC19" s="190"/>
      <c r="AD19" s="190"/>
      <c r="AE19" s="190"/>
      <c r="AF19" s="190"/>
      <c r="AG19" s="190"/>
    </row>
    <row r="20" spans="1:33" ht="30" customHeight="1" thickBot="1">
      <c r="A20" s="1025"/>
      <c r="B20" s="2097" t="s">
        <v>37</v>
      </c>
      <c r="C20" s="566"/>
      <c r="D20" s="2364"/>
      <c r="E20" s="2365"/>
      <c r="F20" s="2366"/>
      <c r="G20" s="2366"/>
      <c r="H20" s="2367"/>
      <c r="I20" s="566"/>
      <c r="J20" s="2364"/>
      <c r="K20" s="2365"/>
      <c r="L20" s="2366"/>
      <c r="M20" s="2366"/>
      <c r="N20" s="2367"/>
      <c r="O20" s="566"/>
      <c r="P20" s="2364"/>
      <c r="Q20" s="2365"/>
      <c r="R20" s="2366"/>
      <c r="S20" s="2366"/>
      <c r="T20" s="2367"/>
      <c r="U20" s="2079"/>
      <c r="V20" s="190"/>
      <c r="W20" s="190"/>
      <c r="X20" s="190"/>
      <c r="Y20" s="1433"/>
      <c r="Z20" s="225"/>
      <c r="AA20" s="1433"/>
      <c r="AB20" s="190"/>
      <c r="AC20" s="190"/>
      <c r="AD20" s="190"/>
      <c r="AE20" s="190"/>
      <c r="AF20" s="190"/>
      <c r="AG20" s="190"/>
    </row>
    <row r="21" spans="1:33" ht="24.95" customHeight="1" thickBot="1">
      <c r="A21" s="1025"/>
      <c r="B21" s="2098" t="s">
        <v>34</v>
      </c>
      <c r="C21" s="566"/>
      <c r="D21" s="899"/>
      <c r="E21" s="2077"/>
      <c r="F21" s="900"/>
      <c r="G21" s="900"/>
      <c r="H21" s="2078">
        <f>SUM(E21:G21)</f>
        <v>0</v>
      </c>
      <c r="I21" s="566"/>
      <c r="J21" s="899"/>
      <c r="K21" s="2077"/>
      <c r="L21" s="900"/>
      <c r="M21" s="900"/>
      <c r="N21" s="2078">
        <f>SUM(K21:M21)</f>
        <v>0</v>
      </c>
      <c r="O21" s="566"/>
      <c r="P21" s="708">
        <f>SUM(D21,J21)</f>
        <v>0</v>
      </c>
      <c r="Q21" s="2061">
        <f>SUM(E21,K21)</f>
        <v>0</v>
      </c>
      <c r="R21" s="571">
        <f t="shared" ref="R21:R23" si="6">SUM(F21,L21)</f>
        <v>0</v>
      </c>
      <c r="S21" s="571">
        <f t="shared" ref="S21:S23" si="7">SUM(G21,M21)</f>
        <v>0</v>
      </c>
      <c r="T21" s="2078">
        <f>SUM(Q21:S21)</f>
        <v>0</v>
      </c>
      <c r="U21" s="2079"/>
      <c r="V21" s="190"/>
      <c r="W21" s="190"/>
      <c r="X21" s="190"/>
      <c r="Y21" s="2040" t="str">
        <f>IF(AND(H21&gt;0,D21=0),"No intake?",IF(AND(D21&gt;0,H21=0),"No enrolments",IF(OR(D21&gt;H21,AND(D21=H21,SUM(F21:G21)&gt;0)),"Intake inconsistent with enrolments","OK")))</f>
        <v>OK</v>
      </c>
      <c r="Z21" s="292"/>
      <c r="AA21" s="2040" t="str">
        <f>IF(AND(N21&gt;0,J21=0),"No intake?",IF(AND(J21&gt;0,N21=0),"No enrolments",IF(OR(J21&gt;N21,AND(J21=N21,SUM(L21:M21)&gt;0)),"Intake inconsistent with enrolments","OK")))</f>
        <v>OK</v>
      </c>
      <c r="AB21" s="190"/>
      <c r="AC21" s="2044" t="s">
        <v>8</v>
      </c>
      <c r="AD21" s="1867"/>
      <c r="AE21" s="1867"/>
      <c r="AF21" s="1867"/>
      <c r="AG21" s="190"/>
    </row>
    <row r="22" spans="1:33" ht="24.95" customHeight="1">
      <c r="A22" s="1025"/>
      <c r="B22" s="2098" t="s">
        <v>35</v>
      </c>
      <c r="C22" s="566"/>
      <c r="D22" s="901"/>
      <c r="E22" s="2077"/>
      <c r="F22" s="900"/>
      <c r="G22" s="900"/>
      <c r="H22" s="2078">
        <f>SUM(E22:G22)</f>
        <v>0</v>
      </c>
      <c r="I22" s="566"/>
      <c r="J22" s="901"/>
      <c r="K22" s="2077"/>
      <c r="L22" s="900"/>
      <c r="M22" s="900"/>
      <c r="N22" s="2078">
        <f>SUM(K22:M22)</f>
        <v>0</v>
      </c>
      <c r="O22" s="566"/>
      <c r="P22" s="708">
        <f t="shared" ref="P22:P23" si="8">SUM(D22,J22)</f>
        <v>0</v>
      </c>
      <c r="Q22" s="2061">
        <f t="shared" ref="Q22:Q23" si="9">SUM(E22,K22)</f>
        <v>0</v>
      </c>
      <c r="R22" s="571">
        <f t="shared" si="6"/>
        <v>0</v>
      </c>
      <c r="S22" s="571">
        <f t="shared" si="7"/>
        <v>0</v>
      </c>
      <c r="T22" s="2078">
        <f>SUM(Q22:S22)</f>
        <v>0</v>
      </c>
      <c r="U22" s="2079"/>
      <c r="V22" s="190"/>
      <c r="W22" s="190"/>
      <c r="X22" s="190"/>
      <c r="Y22" s="2041" t="str">
        <f t="shared" ref="Y22:Y23" si="10">IF(AND(H22&gt;0,D22=0),"No intake?",IF(AND(D22&gt;0,H22=0),"No enrolments",IF(OR(D22&gt;H22,AND(D22=H22,SUM(F22:G22)&gt;0)),"Intake inconsistent with enrolments","OK")))</f>
        <v>OK</v>
      </c>
      <c r="Z22" s="292"/>
      <c r="AA22" s="2041" t="str">
        <f t="shared" ref="AA22:AA23" si="11">IF(AND(N22&gt;0,J22=0),"No intake?",IF(AND(J22&gt;0,N22=0),"No enrolments",IF(OR(J22&gt;N22,AND(J22=N22,SUM(L22:M22)&gt;0)),"Intake inconsistent with enrolments","OK")))</f>
        <v>OK</v>
      </c>
      <c r="AB22" s="190"/>
      <c r="AC22" s="1865" t="s">
        <v>67</v>
      </c>
      <c r="AD22" s="1862">
        <f>'T1 Main Table'!$K$15</f>
        <v>0</v>
      </c>
      <c r="AE22" s="1863">
        <f>$H$47-AD22</f>
        <v>0</v>
      </c>
      <c r="AF22" s="1866" t="str">
        <f>IF(ABS(AE22)&gt;0.1,"Does not equal figure in Table 1","OK")</f>
        <v>OK</v>
      </c>
      <c r="AG22" s="190"/>
    </row>
    <row r="23" spans="1:33" ht="24.95" customHeight="1" thickBot="1">
      <c r="A23" s="1025"/>
      <c r="B23" s="2098" t="s">
        <v>36</v>
      </c>
      <c r="C23" s="566"/>
      <c r="D23" s="899"/>
      <c r="E23" s="2077"/>
      <c r="F23" s="900"/>
      <c r="G23" s="900"/>
      <c r="H23" s="2078">
        <f>SUM(E23:G23)</f>
        <v>0</v>
      </c>
      <c r="I23" s="566"/>
      <c r="J23" s="899"/>
      <c r="K23" s="2077"/>
      <c r="L23" s="900"/>
      <c r="M23" s="900"/>
      <c r="N23" s="2078">
        <f>SUM(K23:M23)</f>
        <v>0</v>
      </c>
      <c r="O23" s="566"/>
      <c r="P23" s="708">
        <f t="shared" si="8"/>
        <v>0</v>
      </c>
      <c r="Q23" s="2376">
        <f t="shared" si="9"/>
        <v>0</v>
      </c>
      <c r="R23" s="2085">
        <f t="shared" si="6"/>
        <v>0</v>
      </c>
      <c r="S23" s="2085">
        <f t="shared" si="7"/>
        <v>0</v>
      </c>
      <c r="T23" s="2083">
        <f>SUM(Q23:S23)</f>
        <v>0</v>
      </c>
      <c r="U23" s="2079"/>
      <c r="V23" s="190"/>
      <c r="W23" s="190"/>
      <c r="X23" s="190"/>
      <c r="Y23" s="2042" t="str">
        <f t="shared" si="10"/>
        <v>OK</v>
      </c>
      <c r="Z23" s="292"/>
      <c r="AA23" s="2042" t="str">
        <f t="shared" si="11"/>
        <v>OK</v>
      </c>
      <c r="AB23" s="190"/>
      <c r="AC23" s="2062" t="s">
        <v>286</v>
      </c>
      <c r="AD23" s="2063">
        <f>'T1 Main Table'!$O$15</f>
        <v>0</v>
      </c>
      <c r="AE23" s="2064">
        <f>$N$47-AD23</f>
        <v>0</v>
      </c>
      <c r="AF23" s="2066" t="str">
        <f>IF(ABS(AE23)&gt;0.1,"Does not equal figure in Table 1","OK")</f>
        <v>OK</v>
      </c>
      <c r="AG23" s="190"/>
    </row>
    <row r="24" spans="1:33" ht="24.95" customHeight="1" thickBot="1">
      <c r="A24" s="1025"/>
      <c r="B24" s="2363" t="s">
        <v>2</v>
      </c>
      <c r="C24" s="566"/>
      <c r="D24" s="2368">
        <f>SUM(D21:D23)</f>
        <v>0</v>
      </c>
      <c r="E24" s="2369">
        <f>SUM(E21:E23)</f>
        <v>0</v>
      </c>
      <c r="F24" s="2370">
        <f>SUM(F21:F23)</f>
        <v>0</v>
      </c>
      <c r="G24" s="2370">
        <f>SUM(G21:G23)</f>
        <v>0</v>
      </c>
      <c r="H24" s="2371">
        <f>SUM(E24:G24)</f>
        <v>0</v>
      </c>
      <c r="I24" s="566"/>
      <c r="J24" s="2368">
        <f>SUM(J21:J23)</f>
        <v>0</v>
      </c>
      <c r="K24" s="2369">
        <f>SUM(K21:K23)</f>
        <v>0</v>
      </c>
      <c r="L24" s="2370">
        <f>SUM(L21:L23)</f>
        <v>0</v>
      </c>
      <c r="M24" s="2370">
        <f>SUM(M21:M23)</f>
        <v>0</v>
      </c>
      <c r="N24" s="2371">
        <f>SUM(K24:M24)</f>
        <v>0</v>
      </c>
      <c r="O24" s="566"/>
      <c r="P24" s="2368">
        <f>SUM(P21:P23)</f>
        <v>0</v>
      </c>
      <c r="Q24" s="2369">
        <f>SUM(Q21:Q23)</f>
        <v>0</v>
      </c>
      <c r="R24" s="2370">
        <f>SUM(R21:R23)</f>
        <v>0</v>
      </c>
      <c r="S24" s="2370">
        <f>SUM(S21:S23)</f>
        <v>0</v>
      </c>
      <c r="T24" s="2371">
        <f>SUM(Q24:S24)</f>
        <v>0</v>
      </c>
      <c r="U24" s="2079"/>
      <c r="V24" s="190"/>
      <c r="W24" s="190"/>
      <c r="X24" s="190"/>
      <c r="Y24" s="881"/>
      <c r="Z24" s="225"/>
      <c r="AA24" s="881"/>
      <c r="AB24" s="190"/>
      <c r="AC24" s="190"/>
      <c r="AD24" s="190"/>
      <c r="AE24" s="190"/>
      <c r="AF24" s="190"/>
      <c r="AG24" s="190"/>
    </row>
    <row r="25" spans="1:33" ht="30" customHeight="1" thickBot="1">
      <c r="A25" s="1025"/>
      <c r="B25" s="2096" t="s">
        <v>38</v>
      </c>
      <c r="C25" s="566"/>
      <c r="D25" s="564"/>
      <c r="E25" s="61"/>
      <c r="F25" s="2089"/>
      <c r="G25" s="2090"/>
      <c r="H25" s="62"/>
      <c r="I25" s="566"/>
      <c r="J25" s="564"/>
      <c r="K25" s="61"/>
      <c r="L25" s="2089"/>
      <c r="M25" s="2090"/>
      <c r="N25" s="62"/>
      <c r="O25" s="566"/>
      <c r="P25" s="564"/>
      <c r="Q25" s="61"/>
      <c r="R25" s="2089"/>
      <c r="S25" s="2090"/>
      <c r="T25" s="62"/>
      <c r="U25" s="2079"/>
      <c r="V25" s="190"/>
      <c r="W25" s="190"/>
      <c r="X25" s="190"/>
      <c r="Y25" s="1433"/>
      <c r="Z25" s="225"/>
      <c r="AA25" s="1433"/>
      <c r="AB25" s="190"/>
      <c r="AC25" s="190"/>
      <c r="AD25" s="190"/>
      <c r="AE25" s="190"/>
      <c r="AF25" s="190"/>
      <c r="AG25" s="190"/>
    </row>
    <row r="26" spans="1:33" ht="24.95" customHeight="1">
      <c r="A26" s="1025"/>
      <c r="B26" s="2098" t="s">
        <v>34</v>
      </c>
      <c r="C26" s="566"/>
      <c r="D26" s="899"/>
      <c r="E26" s="2077"/>
      <c r="F26" s="900"/>
      <c r="G26" s="900"/>
      <c r="H26" s="2078">
        <f>SUM(E26:G26)</f>
        <v>0</v>
      </c>
      <c r="I26" s="566"/>
      <c r="J26" s="899"/>
      <c r="K26" s="2077"/>
      <c r="L26" s="900"/>
      <c r="M26" s="900"/>
      <c r="N26" s="2078">
        <f>SUM(K26:M26)</f>
        <v>0</v>
      </c>
      <c r="O26" s="566"/>
      <c r="P26" s="708">
        <f>SUM(D26,J26)</f>
        <v>0</v>
      </c>
      <c r="Q26" s="2061">
        <f>SUM(E26,K26)</f>
        <v>0</v>
      </c>
      <c r="R26" s="571">
        <f t="shared" ref="R26:R28" si="12">SUM(F26,L26)</f>
        <v>0</v>
      </c>
      <c r="S26" s="571">
        <f t="shared" ref="S26:S28" si="13">SUM(G26,M26)</f>
        <v>0</v>
      </c>
      <c r="T26" s="2078">
        <f>SUM(Q26:S26)</f>
        <v>0</v>
      </c>
      <c r="U26" s="2079"/>
      <c r="V26" s="190"/>
      <c r="W26" s="190"/>
      <c r="X26" s="190"/>
      <c r="Y26" s="2040" t="str">
        <f>IF(AND(H26&gt;0,D26=0),"No intake?",IF(AND(D26&gt;0,H26=0),"No enrolments",IF(OR(D26&gt;H26,AND(D26=H26,SUM(F26:G26)&gt;0)),"Intake inconsistent with enrolments","OK")))</f>
        <v>OK</v>
      </c>
      <c r="Z26" s="292"/>
      <c r="AA26" s="2040" t="str">
        <f>IF(AND(N26&gt;0,J26=0),"No intake?",IF(AND(J26&gt;0,N26=0),"No enrolments",IF(OR(J26&gt;N26,AND(J26=N26,SUM(L26:M26)&gt;0)),"Intake inconsistent with enrolments","OK")))</f>
        <v>OK</v>
      </c>
      <c r="AB26" s="190"/>
      <c r="AC26" s="190"/>
      <c r="AD26" s="190"/>
      <c r="AE26" s="190"/>
      <c r="AF26" s="190"/>
      <c r="AG26" s="190"/>
    </row>
    <row r="27" spans="1:33" ht="24.95" customHeight="1">
      <c r="A27" s="1025"/>
      <c r="B27" s="2098" t="s">
        <v>35</v>
      </c>
      <c r="C27" s="566"/>
      <c r="D27" s="901"/>
      <c r="E27" s="2077"/>
      <c r="F27" s="900"/>
      <c r="G27" s="900"/>
      <c r="H27" s="2078">
        <f>SUM(E27:G27)</f>
        <v>0</v>
      </c>
      <c r="I27" s="566"/>
      <c r="J27" s="901"/>
      <c r="K27" s="2077"/>
      <c r="L27" s="900"/>
      <c r="M27" s="900"/>
      <c r="N27" s="2078">
        <f>SUM(K27:M27)</f>
        <v>0</v>
      </c>
      <c r="O27" s="566"/>
      <c r="P27" s="708">
        <f t="shared" ref="P27:P28" si="14">SUM(D27,J27)</f>
        <v>0</v>
      </c>
      <c r="Q27" s="2061">
        <f t="shared" ref="Q27:Q28" si="15">SUM(E27,K27)</f>
        <v>0</v>
      </c>
      <c r="R27" s="571">
        <f t="shared" si="12"/>
        <v>0</v>
      </c>
      <c r="S27" s="571">
        <f t="shared" si="13"/>
        <v>0</v>
      </c>
      <c r="T27" s="2078">
        <f>SUM(Q27:S27)</f>
        <v>0</v>
      </c>
      <c r="U27" s="2079"/>
      <c r="V27" s="190"/>
      <c r="W27" s="190"/>
      <c r="X27" s="190"/>
      <c r="Y27" s="2041" t="str">
        <f t="shared" ref="Y27:Y28" si="16">IF(AND(H27&gt;0,D27=0),"No intake?",IF(AND(D27&gt;0,H27=0),"No enrolments",IF(OR(D27&gt;H27,AND(D27=H27,SUM(F27:G27)&gt;0)),"Intake inconsistent with enrolments","OK")))</f>
        <v>OK</v>
      </c>
      <c r="Z27" s="292"/>
      <c r="AA27" s="2041" t="str">
        <f t="shared" ref="AA27:AA28" si="17">IF(AND(N27&gt;0,J27=0),"No intake?",IF(AND(J27&gt;0,N27=0),"No enrolments",IF(OR(J27&gt;N27,AND(J27=N27,SUM(L27:M27)&gt;0)),"Intake inconsistent with enrolments","OK")))</f>
        <v>OK</v>
      </c>
      <c r="AB27" s="190"/>
      <c r="AC27" s="190"/>
      <c r="AD27" s="190"/>
      <c r="AE27" s="190"/>
      <c r="AF27" s="190"/>
      <c r="AG27" s="190"/>
    </row>
    <row r="28" spans="1:33" ht="24.95" customHeight="1" thickBot="1">
      <c r="A28" s="1025"/>
      <c r="B28" s="2098" t="s">
        <v>36</v>
      </c>
      <c r="C28" s="566"/>
      <c r="D28" s="2080"/>
      <c r="E28" s="2081"/>
      <c r="F28" s="2082"/>
      <c r="G28" s="2082"/>
      <c r="H28" s="2083">
        <f>SUM(E28:G28)</f>
        <v>0</v>
      </c>
      <c r="I28" s="566"/>
      <c r="J28" s="2080"/>
      <c r="K28" s="2081"/>
      <c r="L28" s="2082"/>
      <c r="M28" s="2082"/>
      <c r="N28" s="2083">
        <f>SUM(K28:M28)</f>
        <v>0</v>
      </c>
      <c r="O28" s="566"/>
      <c r="P28" s="708">
        <f t="shared" si="14"/>
        <v>0</v>
      </c>
      <c r="Q28" s="2084">
        <f t="shared" si="15"/>
        <v>0</v>
      </c>
      <c r="R28" s="2085">
        <f t="shared" si="12"/>
        <v>0</v>
      </c>
      <c r="S28" s="2085">
        <f t="shared" si="13"/>
        <v>0</v>
      </c>
      <c r="T28" s="2083">
        <f>SUM(Q28:S28)</f>
        <v>0</v>
      </c>
      <c r="U28" s="2079"/>
      <c r="V28" s="190"/>
      <c r="W28" s="190"/>
      <c r="X28" s="190"/>
      <c r="Y28" s="2042" t="str">
        <f t="shared" si="16"/>
        <v>OK</v>
      </c>
      <c r="Z28" s="292"/>
      <c r="AA28" s="2042" t="str">
        <f t="shared" si="17"/>
        <v>OK</v>
      </c>
      <c r="AB28" s="190"/>
      <c r="AC28" s="190"/>
      <c r="AD28" s="190"/>
      <c r="AE28" s="190"/>
      <c r="AF28" s="190"/>
      <c r="AG28" s="190"/>
    </row>
    <row r="29" spans="1:33" ht="24.95" customHeight="1" thickBot="1">
      <c r="A29" s="1025"/>
      <c r="B29" s="2047" t="s">
        <v>2</v>
      </c>
      <c r="C29" s="566"/>
      <c r="D29" s="2086">
        <f>SUM(D26:D28)</f>
        <v>0</v>
      </c>
      <c r="E29" s="2087">
        <f>SUM(E26:E28)</f>
        <v>0</v>
      </c>
      <c r="F29" s="2088">
        <f>SUM(F26:F28)</f>
        <v>0</v>
      </c>
      <c r="G29" s="2088">
        <f>SUM(G26:G28)</f>
        <v>0</v>
      </c>
      <c r="H29" s="2083">
        <f>SUM(E29:G29)</f>
        <v>0</v>
      </c>
      <c r="I29" s="566"/>
      <c r="J29" s="2086">
        <f>SUM(J26:J28)</f>
        <v>0</v>
      </c>
      <c r="K29" s="2087">
        <f>SUM(K26:K28)</f>
        <v>0</v>
      </c>
      <c r="L29" s="2088">
        <f>SUM(L26:L28)</f>
        <v>0</v>
      </c>
      <c r="M29" s="2088">
        <f>SUM(M26:M28)</f>
        <v>0</v>
      </c>
      <c r="N29" s="2083">
        <f>SUM(K29:M29)</f>
        <v>0</v>
      </c>
      <c r="O29" s="566"/>
      <c r="P29" s="2086">
        <f>SUM(P26:P28)</f>
        <v>0</v>
      </c>
      <c r="Q29" s="2087">
        <f>SUM(Q26:Q28)</f>
        <v>0</v>
      </c>
      <c r="R29" s="2088">
        <f>SUM(R26:R28)</f>
        <v>0</v>
      </c>
      <c r="S29" s="2088">
        <f>SUM(S26:S28)</f>
        <v>0</v>
      </c>
      <c r="T29" s="2083">
        <f>SUM(Q29:S29)</f>
        <v>0</v>
      </c>
      <c r="U29" s="2079"/>
      <c r="V29" s="190"/>
      <c r="W29" s="190"/>
      <c r="X29" s="190"/>
      <c r="Y29" s="881"/>
      <c r="Z29" s="225"/>
      <c r="AA29" s="881"/>
      <c r="AB29" s="190"/>
      <c r="AC29" s="190"/>
      <c r="AD29" s="190"/>
      <c r="AE29" s="190"/>
      <c r="AF29" s="190"/>
      <c r="AG29" s="190"/>
    </row>
    <row r="30" spans="1:33" ht="30" customHeight="1" thickBot="1">
      <c r="A30" s="1025"/>
      <c r="B30" s="2097" t="s">
        <v>39</v>
      </c>
      <c r="C30" s="566"/>
      <c r="D30" s="2372"/>
      <c r="E30" s="2365"/>
      <c r="F30" s="2366"/>
      <c r="G30" s="2373"/>
      <c r="H30" s="2374"/>
      <c r="I30" s="566"/>
      <c r="J30" s="2372"/>
      <c r="K30" s="2365"/>
      <c r="L30" s="2366"/>
      <c r="M30" s="2373"/>
      <c r="N30" s="2374"/>
      <c r="O30" s="566"/>
      <c r="P30" s="2372"/>
      <c r="Q30" s="2365"/>
      <c r="R30" s="2366"/>
      <c r="S30" s="2373"/>
      <c r="T30" s="2374"/>
      <c r="U30" s="2079"/>
      <c r="V30" s="190"/>
      <c r="W30" s="190"/>
      <c r="X30" s="190"/>
      <c r="Y30" s="1433"/>
      <c r="Z30" s="225"/>
      <c r="AA30" s="1433"/>
      <c r="AB30" s="190"/>
      <c r="AC30" s="190"/>
      <c r="AD30" s="190"/>
      <c r="AE30" s="190"/>
      <c r="AF30" s="190"/>
      <c r="AG30" s="190"/>
    </row>
    <row r="31" spans="1:33" ht="24.95" customHeight="1">
      <c r="A31" s="1025"/>
      <c r="B31" s="2098" t="s">
        <v>34</v>
      </c>
      <c r="C31" s="566"/>
      <c r="D31" s="899"/>
      <c r="E31" s="2077"/>
      <c r="F31" s="900"/>
      <c r="G31" s="900"/>
      <c r="H31" s="2078">
        <f>SUM(E31:G31)</f>
        <v>0</v>
      </c>
      <c r="I31" s="566"/>
      <c r="J31" s="899"/>
      <c r="K31" s="2077"/>
      <c r="L31" s="900"/>
      <c r="M31" s="900"/>
      <c r="N31" s="2078">
        <f>SUM(K31:M31)</f>
        <v>0</v>
      </c>
      <c r="O31" s="566"/>
      <c r="P31" s="708">
        <f>SUM(D31,J31)</f>
        <v>0</v>
      </c>
      <c r="Q31" s="2061">
        <f>SUM(E31,K31)</f>
        <v>0</v>
      </c>
      <c r="R31" s="571">
        <f t="shared" ref="R31:R33" si="18">SUM(F31,L31)</f>
        <v>0</v>
      </c>
      <c r="S31" s="571">
        <f t="shared" ref="S31:S33" si="19">SUM(G31,M31)</f>
        <v>0</v>
      </c>
      <c r="T31" s="2078">
        <f>SUM(Q31:S31)</f>
        <v>0</v>
      </c>
      <c r="U31" s="2079"/>
      <c r="V31" s="190"/>
      <c r="W31" s="190"/>
      <c r="X31" s="190"/>
      <c r="Y31" s="2040" t="str">
        <f>IF(AND(H31&gt;0,D31=0),"No intake?",IF(AND(D31&gt;0,H31=0),"No enrolments",IF(OR(D31&gt;H31,AND(D31=H31,SUM(F31:G31)&gt;0)),"Intake inconsistent with enrolments","OK")))</f>
        <v>OK</v>
      </c>
      <c r="Z31" s="292"/>
      <c r="AA31" s="2040" t="str">
        <f>IF(AND(N31&gt;0,J31=0),"No intake?",IF(AND(J31&gt;0,N31=0),"No enrolments",IF(OR(J31&gt;N31,AND(J31=N31,SUM(L31:M31)&gt;0)),"Intake inconsistent with enrolments","OK")))</f>
        <v>OK</v>
      </c>
      <c r="AB31" s="190"/>
      <c r="AC31" s="190"/>
      <c r="AD31" s="190"/>
      <c r="AE31" s="190"/>
      <c r="AF31" s="190"/>
      <c r="AG31" s="190"/>
    </row>
    <row r="32" spans="1:33" ht="24.95" customHeight="1">
      <c r="A32" s="1025"/>
      <c r="B32" s="2098" t="s">
        <v>35</v>
      </c>
      <c r="C32" s="566"/>
      <c r="D32" s="901"/>
      <c r="E32" s="2077"/>
      <c r="F32" s="900"/>
      <c r="G32" s="900"/>
      <c r="H32" s="2078">
        <f>SUM(E32:G32)</f>
        <v>0</v>
      </c>
      <c r="I32" s="566"/>
      <c r="J32" s="901"/>
      <c r="K32" s="2077"/>
      <c r="L32" s="900"/>
      <c r="M32" s="900"/>
      <c r="N32" s="2078">
        <f>SUM(K32:M32)</f>
        <v>0</v>
      </c>
      <c r="O32" s="566"/>
      <c r="P32" s="708">
        <f t="shared" ref="P32:P33" si="20">SUM(D32,J32)</f>
        <v>0</v>
      </c>
      <c r="Q32" s="2061">
        <f t="shared" ref="Q32:Q33" si="21">SUM(E32,K32)</f>
        <v>0</v>
      </c>
      <c r="R32" s="571">
        <f t="shared" si="18"/>
        <v>0</v>
      </c>
      <c r="S32" s="571">
        <f t="shared" si="19"/>
        <v>0</v>
      </c>
      <c r="T32" s="2078">
        <f>SUM(Q32:S32)</f>
        <v>0</v>
      </c>
      <c r="U32" s="2079"/>
      <c r="V32" s="190"/>
      <c r="W32" s="190"/>
      <c r="X32" s="190"/>
      <c r="Y32" s="2041" t="str">
        <f t="shared" ref="Y32:Y33" si="22">IF(AND(H32&gt;0,D32=0),"No intake?",IF(AND(D32&gt;0,H32=0),"No enrolments",IF(OR(D32&gt;H32,AND(D32=H32,SUM(F32:G32)&gt;0)),"Intake inconsistent with enrolments","OK")))</f>
        <v>OK</v>
      </c>
      <c r="Z32" s="292"/>
      <c r="AA32" s="2041" t="str">
        <f t="shared" ref="AA32:AA33" si="23">IF(AND(N32&gt;0,J32=0),"No intake?",IF(AND(J32&gt;0,N32=0),"No enrolments",IF(OR(J32&gt;N32,AND(J32=N32,SUM(L32:M32)&gt;0)),"Intake inconsistent with enrolments","OK")))</f>
        <v>OK</v>
      </c>
      <c r="AB32" s="190"/>
      <c r="AC32" s="190"/>
      <c r="AD32" s="190"/>
      <c r="AE32" s="190"/>
      <c r="AF32" s="190"/>
      <c r="AG32" s="190"/>
    </row>
    <row r="33" spans="1:33" ht="24.95" customHeight="1" thickBot="1">
      <c r="A33" s="1025"/>
      <c r="B33" s="2098" t="s">
        <v>36</v>
      </c>
      <c r="C33" s="566"/>
      <c r="D33" s="2080"/>
      <c r="E33" s="2375"/>
      <c r="F33" s="2082"/>
      <c r="G33" s="2082"/>
      <c r="H33" s="2083">
        <f>SUM(E33:G33)</f>
        <v>0</v>
      </c>
      <c r="I33" s="566"/>
      <c r="J33" s="2080"/>
      <c r="K33" s="2375"/>
      <c r="L33" s="2082"/>
      <c r="M33" s="2082"/>
      <c r="N33" s="2083">
        <f>SUM(K33:M33)</f>
        <v>0</v>
      </c>
      <c r="O33" s="566"/>
      <c r="P33" s="708">
        <f t="shared" si="20"/>
        <v>0</v>
      </c>
      <c r="Q33" s="2376">
        <f t="shared" si="21"/>
        <v>0</v>
      </c>
      <c r="R33" s="2085">
        <f t="shared" si="18"/>
        <v>0</v>
      </c>
      <c r="S33" s="2085">
        <f t="shared" si="19"/>
        <v>0</v>
      </c>
      <c r="T33" s="2083">
        <f>SUM(Q33:S33)</f>
        <v>0</v>
      </c>
      <c r="U33" s="2079"/>
      <c r="V33" s="190"/>
      <c r="W33" s="190"/>
      <c r="X33" s="190"/>
      <c r="Y33" s="2042" t="str">
        <f t="shared" si="22"/>
        <v>OK</v>
      </c>
      <c r="Z33" s="292"/>
      <c r="AA33" s="2042" t="str">
        <f t="shared" si="23"/>
        <v>OK</v>
      </c>
      <c r="AB33" s="190"/>
      <c r="AC33" s="190"/>
      <c r="AD33" s="190"/>
      <c r="AE33" s="190"/>
      <c r="AF33" s="190"/>
      <c r="AG33" s="190"/>
    </row>
    <row r="34" spans="1:33" ht="24.95" customHeight="1" thickBot="1">
      <c r="A34" s="1025"/>
      <c r="B34" s="2363" t="s">
        <v>2</v>
      </c>
      <c r="C34" s="566"/>
      <c r="D34" s="2368">
        <f>SUM(D31:D33)</f>
        <v>0</v>
      </c>
      <c r="E34" s="2369">
        <f>SUM(E31:E33)</f>
        <v>0</v>
      </c>
      <c r="F34" s="2370">
        <f>SUM(F31:F33)</f>
        <v>0</v>
      </c>
      <c r="G34" s="2370">
        <f>SUM(G31:G33)</f>
        <v>0</v>
      </c>
      <c r="H34" s="2371">
        <f>SUM(E34:G34)</f>
        <v>0</v>
      </c>
      <c r="I34" s="566"/>
      <c r="J34" s="2368">
        <f>SUM(J31:J33)</f>
        <v>0</v>
      </c>
      <c r="K34" s="2369">
        <f>SUM(K31:K33)</f>
        <v>0</v>
      </c>
      <c r="L34" s="2370">
        <f>SUM(L31:L33)</f>
        <v>0</v>
      </c>
      <c r="M34" s="2370">
        <f>SUM(M31:M33)</f>
        <v>0</v>
      </c>
      <c r="N34" s="2371">
        <f>SUM(K34:M34)</f>
        <v>0</v>
      </c>
      <c r="O34" s="566"/>
      <c r="P34" s="2368">
        <f>SUM(P31:P33)</f>
        <v>0</v>
      </c>
      <c r="Q34" s="2369">
        <f>SUM(Q31:Q33)</f>
        <v>0</v>
      </c>
      <c r="R34" s="2370">
        <f>SUM(R31:R33)</f>
        <v>0</v>
      </c>
      <c r="S34" s="2370">
        <f>SUM(S31:S33)</f>
        <v>0</v>
      </c>
      <c r="T34" s="2371">
        <f>SUM(Q34:S34)</f>
        <v>0</v>
      </c>
      <c r="U34" s="2079"/>
      <c r="V34" s="190"/>
      <c r="W34" s="190"/>
      <c r="X34" s="190"/>
      <c r="Y34" s="881"/>
      <c r="Z34" s="225"/>
      <c r="AA34" s="881"/>
      <c r="AB34" s="190"/>
      <c r="AC34" s="190"/>
      <c r="AD34" s="190"/>
      <c r="AE34" s="190"/>
      <c r="AF34" s="190"/>
      <c r="AG34" s="190"/>
    </row>
    <row r="35" spans="1:33" ht="30" customHeight="1" thickBot="1">
      <c r="A35" s="1025"/>
      <c r="B35" s="2096" t="s">
        <v>40</v>
      </c>
      <c r="C35" s="566"/>
      <c r="D35" s="564"/>
      <c r="E35" s="61"/>
      <c r="F35" s="2089"/>
      <c r="G35" s="2090"/>
      <c r="H35" s="62"/>
      <c r="I35" s="566"/>
      <c r="J35" s="564"/>
      <c r="K35" s="61"/>
      <c r="L35" s="2089"/>
      <c r="M35" s="2090"/>
      <c r="N35" s="62"/>
      <c r="O35" s="566"/>
      <c r="P35" s="564"/>
      <c r="Q35" s="61"/>
      <c r="R35" s="2089"/>
      <c r="S35" s="2090"/>
      <c r="T35" s="62"/>
      <c r="U35" s="2079"/>
      <c r="V35" s="190"/>
      <c r="W35" s="190"/>
      <c r="X35" s="190"/>
      <c r="Y35" s="1433"/>
      <c r="Z35" s="225"/>
      <c r="AA35" s="1433"/>
      <c r="AB35" s="190"/>
      <c r="AC35" s="714"/>
      <c r="AD35" s="714"/>
      <c r="AE35" s="714"/>
      <c r="AF35" s="714"/>
      <c r="AG35" s="714"/>
    </row>
    <row r="36" spans="1:33" ht="24.95" customHeight="1">
      <c r="A36" s="1025"/>
      <c r="B36" s="2098" t="s">
        <v>34</v>
      </c>
      <c r="C36" s="566"/>
      <c r="D36" s="899"/>
      <c r="E36" s="2077"/>
      <c r="F36" s="900"/>
      <c r="G36" s="900"/>
      <c r="H36" s="2078">
        <f>SUM(E36:G36)</f>
        <v>0</v>
      </c>
      <c r="I36" s="566"/>
      <c r="J36" s="899"/>
      <c r="K36" s="2077"/>
      <c r="L36" s="900"/>
      <c r="M36" s="900"/>
      <c r="N36" s="2078">
        <f>SUM(K36:M36)</f>
        <v>0</v>
      </c>
      <c r="O36" s="566"/>
      <c r="P36" s="708">
        <f>SUM(D36,J36)</f>
        <v>0</v>
      </c>
      <c r="Q36" s="2061">
        <f>SUM(E36,K36)</f>
        <v>0</v>
      </c>
      <c r="R36" s="571">
        <f t="shared" ref="R36:R37" si="24">SUM(F36,L36)</f>
        <v>0</v>
      </c>
      <c r="S36" s="571">
        <f t="shared" ref="S36:S37" si="25">SUM(G36,M36)</f>
        <v>0</v>
      </c>
      <c r="T36" s="2078">
        <f>SUM(Q36:S36)</f>
        <v>0</v>
      </c>
      <c r="U36" s="2079"/>
      <c r="V36" s="190"/>
      <c r="W36" s="190"/>
      <c r="X36" s="190"/>
      <c r="Y36" s="2040" t="str">
        <f>IF(AND(H36&gt;0,D36=0),"No intake?",IF(AND(D36&gt;0,H36=0),"No enrolments",IF(OR(D36&gt;H36,AND(D36=H36,SUM(F36:G36)&gt;0)),"Intake inconsistent with enrolments","OK")))</f>
        <v>OK</v>
      </c>
      <c r="Z36" s="292"/>
      <c r="AA36" s="2040" t="str">
        <f>IF(AND(N36&gt;0,J36=0),"No intake?",IF(AND(J36&gt;0,N36=0),"No enrolments",IF(OR(J36&gt;N36,AND(J36=N36,SUM(L36:M36)&gt;0)),"Intake inconsistent with enrolments","OK")))</f>
        <v>OK</v>
      </c>
      <c r="AB36" s="190"/>
      <c r="AC36" s="714"/>
      <c r="AD36" s="714"/>
      <c r="AE36" s="714"/>
      <c r="AF36" s="714"/>
      <c r="AG36" s="714"/>
    </row>
    <row r="37" spans="1:33" ht="24.95" customHeight="1" thickBot="1">
      <c r="A37" s="1025"/>
      <c r="B37" s="2098" t="s">
        <v>35</v>
      </c>
      <c r="C37" s="566"/>
      <c r="D37" s="901"/>
      <c r="E37" s="2077"/>
      <c r="F37" s="900"/>
      <c r="G37" s="900"/>
      <c r="H37" s="2078">
        <f>SUM(E37:G37)</f>
        <v>0</v>
      </c>
      <c r="I37" s="566"/>
      <c r="J37" s="901"/>
      <c r="K37" s="2077"/>
      <c r="L37" s="900"/>
      <c r="M37" s="900"/>
      <c r="N37" s="2078">
        <f>SUM(K37:M37)</f>
        <v>0</v>
      </c>
      <c r="O37" s="566"/>
      <c r="P37" s="708">
        <f t="shared" ref="P37" si="26">SUM(D37,J37)</f>
        <v>0</v>
      </c>
      <c r="Q37" s="2061">
        <f t="shared" ref="Q37" si="27">SUM(E37,K37)</f>
        <v>0</v>
      </c>
      <c r="R37" s="571">
        <f t="shared" si="24"/>
        <v>0</v>
      </c>
      <c r="S37" s="571">
        <f t="shared" si="25"/>
        <v>0</v>
      </c>
      <c r="T37" s="2078">
        <f>SUM(Q37:S37)</f>
        <v>0</v>
      </c>
      <c r="U37" s="570"/>
      <c r="V37" s="190"/>
      <c r="W37" s="190"/>
      <c r="X37" s="567"/>
      <c r="Y37" s="2042" t="str">
        <f t="shared" ref="Y37" si="28">IF(AND(H37&gt;0,D37=0),"No intake?",IF(AND(D37&gt;0,H37=0),"No enrolments",IF(OR(D37&gt;H37,AND(D37=H37,SUM(F37:G37)&gt;0)),"Intake inconsistent with enrolments","OK")))</f>
        <v>OK</v>
      </c>
      <c r="Z37" s="292"/>
      <c r="AA37" s="2042" t="str">
        <f t="shared" ref="AA37" si="29">IF(AND(N37&gt;0,J37=0),"No intake?",IF(AND(J37&gt;0,N37=0),"No enrolments",IF(OR(J37&gt;N37,AND(J37=N37,SUM(L37:M37)&gt;0)),"Intake inconsistent with enrolments","OK")))</f>
        <v>OK</v>
      </c>
      <c r="AB37" s="190"/>
      <c r="AC37" s="714"/>
      <c r="AD37" s="714"/>
      <c r="AE37" s="225"/>
      <c r="AF37" s="225"/>
      <c r="AG37" s="225"/>
    </row>
    <row r="38" spans="1:33" ht="24.95" customHeight="1" thickBot="1">
      <c r="A38" s="1025"/>
      <c r="B38" s="2047" t="s">
        <v>2</v>
      </c>
      <c r="C38" s="566"/>
      <c r="D38" s="2086">
        <f>SUM(D36:D37)</f>
        <v>0</v>
      </c>
      <c r="E38" s="2087">
        <f>SUM(E36:E37)</f>
        <v>0</v>
      </c>
      <c r="F38" s="2088">
        <f>SUM(F36:F37)</f>
        <v>0</v>
      </c>
      <c r="G38" s="2088">
        <f>SUM(G36:G37)</f>
        <v>0</v>
      </c>
      <c r="H38" s="2083">
        <f>SUM(E38:G38)</f>
        <v>0</v>
      </c>
      <c r="I38" s="566"/>
      <c r="J38" s="2086">
        <f>SUM(J36:J37)</f>
        <v>0</v>
      </c>
      <c r="K38" s="2087">
        <f>SUM(K36:K37)</f>
        <v>0</v>
      </c>
      <c r="L38" s="2088">
        <f>SUM(L36:L37)</f>
        <v>0</v>
      </c>
      <c r="M38" s="2088">
        <f>SUM(M36:M37)</f>
        <v>0</v>
      </c>
      <c r="N38" s="2083">
        <f>SUM(K38:M38)</f>
        <v>0</v>
      </c>
      <c r="O38" s="566"/>
      <c r="P38" s="2086">
        <f>SUM(P36:P37)</f>
        <v>0</v>
      </c>
      <c r="Q38" s="2087">
        <f>SUM(Q36:Q37)</f>
        <v>0</v>
      </c>
      <c r="R38" s="2088">
        <f>SUM(R36:R37)</f>
        <v>0</v>
      </c>
      <c r="S38" s="2088">
        <f>SUM(S36:S37)</f>
        <v>0</v>
      </c>
      <c r="T38" s="2083">
        <f>SUM(Q38:S38)</f>
        <v>0</v>
      </c>
      <c r="U38" s="2079"/>
      <c r="V38" s="190"/>
      <c r="W38" s="190"/>
      <c r="X38" s="190"/>
      <c r="Y38" s="881"/>
      <c r="Z38" s="225"/>
      <c r="AA38" s="881"/>
      <c r="AB38" s="190"/>
      <c r="AC38" s="714"/>
      <c r="AD38" s="714"/>
      <c r="AE38" s="225"/>
      <c r="AF38" s="225"/>
      <c r="AG38" s="225"/>
    </row>
    <row r="39" spans="1:33" ht="35.1" customHeight="1" thickBot="1">
      <c r="A39" s="1025"/>
      <c r="B39" s="1868" t="s">
        <v>2</v>
      </c>
      <c r="C39" s="566"/>
      <c r="D39" s="1869">
        <f>SUM(D19,D24,D29,D34,D38)</f>
        <v>0</v>
      </c>
      <c r="E39" s="1870">
        <f>SUM(E19,E24,E29,E34,E38)</f>
        <v>0</v>
      </c>
      <c r="F39" s="1871">
        <f>SUM(F19,F24,F29,F34,F38)</f>
        <v>0</v>
      </c>
      <c r="G39" s="1871">
        <f>SUM(G19,G24,G29,G34,G38)</f>
        <v>0</v>
      </c>
      <c r="H39" s="1872">
        <f>SUM(E39:G39)</f>
        <v>0</v>
      </c>
      <c r="I39" s="566"/>
      <c r="J39" s="1869">
        <f>SUM(J19,J24,J29,J34,J38)</f>
        <v>0</v>
      </c>
      <c r="K39" s="1870">
        <f>SUM(K19,K24,K29,K34,K38)</f>
        <v>0</v>
      </c>
      <c r="L39" s="1871">
        <f>SUM(L19,L24,L29,L34,L38)</f>
        <v>0</v>
      </c>
      <c r="M39" s="1871">
        <f>SUM(M19,M24,M29,M34,M38)</f>
        <v>0</v>
      </c>
      <c r="N39" s="1872">
        <f>SUM(K39:M39)</f>
        <v>0</v>
      </c>
      <c r="O39" s="566"/>
      <c r="P39" s="1869">
        <f>SUM(P19,P24,P29,P34,P38)</f>
        <v>0</v>
      </c>
      <c r="Q39" s="1870">
        <f>SUM(Q19,Q24,Q29,Q34,Q38)</f>
        <v>0</v>
      </c>
      <c r="R39" s="1871">
        <f>SUM(R19,R24,R29,R34,R38)</f>
        <v>0</v>
      </c>
      <c r="S39" s="1871">
        <f>SUM(S19,S24,S29,S34,S38)</f>
        <v>0</v>
      </c>
      <c r="T39" s="1872">
        <f>SUM(Q39:S39)</f>
        <v>0</v>
      </c>
      <c r="U39" s="2052"/>
      <c r="V39" s="210"/>
      <c r="W39" s="210"/>
      <c r="X39" s="210"/>
      <c r="Y39" s="225"/>
      <c r="Z39" s="225"/>
      <c r="AA39" s="225"/>
      <c r="AB39" s="210"/>
      <c r="AC39" s="714"/>
      <c r="AD39" s="224"/>
      <c r="AE39" s="224"/>
      <c r="AF39" s="224"/>
      <c r="AG39" s="714"/>
    </row>
    <row r="40" spans="1:33" s="812" customFormat="1" ht="9.9499999999999993" customHeight="1">
      <c r="A40" s="1082"/>
      <c r="B40" s="2053"/>
      <c r="C40" s="714"/>
      <c r="D40" s="881"/>
      <c r="E40" s="881"/>
      <c r="F40" s="881"/>
      <c r="G40" s="881"/>
      <c r="H40" s="2054"/>
      <c r="I40" s="714"/>
      <c r="J40" s="881"/>
      <c r="K40" s="881"/>
      <c r="L40" s="881"/>
      <c r="M40" s="881"/>
      <c r="N40" s="2054"/>
      <c r="O40" s="714"/>
      <c r="P40" s="881"/>
      <c r="Q40" s="881"/>
      <c r="R40" s="881"/>
      <c r="S40" s="881"/>
      <c r="T40" s="2054"/>
      <c r="U40" s="2091"/>
      <c r="V40" s="714"/>
      <c r="W40" s="714"/>
      <c r="X40" s="714"/>
      <c r="Y40" s="225"/>
      <c r="Z40" s="225"/>
      <c r="AA40" s="225"/>
      <c r="AB40" s="714"/>
      <c r="AC40" s="714"/>
      <c r="AD40" s="224"/>
      <c r="AE40" s="224"/>
      <c r="AF40" s="224"/>
      <c r="AG40" s="714"/>
    </row>
    <row r="41" spans="1:33" s="510" customFormat="1" ht="35.1" customHeight="1" thickBot="1">
      <c r="A41" s="1130"/>
      <c r="B41" s="2055" t="s">
        <v>8</v>
      </c>
      <c r="C41" s="1860"/>
      <c r="D41" s="1860"/>
      <c r="E41" s="1860"/>
      <c r="F41" s="1860"/>
      <c r="G41" s="1860"/>
      <c r="H41" s="1860"/>
      <c r="I41" s="1860"/>
      <c r="J41" s="1860"/>
      <c r="K41" s="1860"/>
      <c r="L41" s="1860"/>
      <c r="M41" s="1860"/>
      <c r="N41" s="1860"/>
      <c r="O41" s="1860"/>
      <c r="P41" s="1860"/>
      <c r="Q41" s="1860"/>
      <c r="R41" s="1860"/>
      <c r="S41" s="1860"/>
      <c r="T41" s="1860"/>
      <c r="U41" s="2092"/>
      <c r="V41" s="1860"/>
      <c r="W41" s="1860"/>
      <c r="X41" s="1860"/>
      <c r="Y41" s="828"/>
      <c r="Z41" s="828"/>
      <c r="AA41" s="828"/>
      <c r="AB41" s="1860"/>
      <c r="AC41" s="292"/>
      <c r="AD41" s="292"/>
      <c r="AE41" s="292"/>
      <c r="AF41" s="292"/>
      <c r="AG41" s="1860"/>
    </row>
    <row r="42" spans="1:33" ht="24.95" customHeight="1">
      <c r="A42" s="1025"/>
      <c r="B42" s="2094" t="s">
        <v>33</v>
      </c>
      <c r="C42" s="1857"/>
      <c r="D42" s="1975"/>
      <c r="E42" s="1969"/>
      <c r="F42" s="2056"/>
      <c r="G42" s="2056"/>
      <c r="H42" s="2057">
        <f t="shared" ref="H42:H46" si="30">SUM(E42:G42)</f>
        <v>0</v>
      </c>
      <c r="I42" s="1857"/>
      <c r="J42" s="1975"/>
      <c r="K42" s="1969"/>
      <c r="L42" s="2056"/>
      <c r="M42" s="2056"/>
      <c r="N42" s="2057">
        <f t="shared" ref="N42:N46" si="31">SUM(K42:M42)</f>
        <v>0</v>
      </c>
      <c r="O42" s="1857"/>
      <c r="P42" s="2058">
        <f t="shared" ref="P42:P46" si="32">SUM(D42,J42)</f>
        <v>0</v>
      </c>
      <c r="Q42" s="2059">
        <f t="shared" ref="Q42:Q46" si="33">SUM(E42,K42)</f>
        <v>0</v>
      </c>
      <c r="R42" s="2060">
        <f t="shared" ref="R42:R46" si="34">SUM(F42,L42)</f>
        <v>0</v>
      </c>
      <c r="S42" s="2060">
        <f t="shared" ref="S42:S46" si="35">SUM(G42,M42)</f>
        <v>0</v>
      </c>
      <c r="T42" s="2057">
        <f t="shared" ref="T42:T46" si="36">SUM(Q42:S42)</f>
        <v>0</v>
      </c>
      <c r="U42" s="1247"/>
      <c r="V42" s="182"/>
      <c r="W42" s="182"/>
      <c r="X42" s="182"/>
      <c r="Y42" s="1094" t="str">
        <f t="shared" ref="Y42:Y46" si="37">IF(AND(H42&gt;0,D42=0),"No intake?",IF(AND(D42&gt;0,H42=0),"No enrolments",IF(OR(D42&gt;H42,AND(D42=H42,SUM(F42:G42)&gt;0)),"Intake inconsistent with enrolments","OK")))</f>
        <v>OK</v>
      </c>
      <c r="Z42" s="828"/>
      <c r="AA42" s="1094" t="str">
        <f t="shared" ref="AA42:AA46" si="38">IF(AND(N42&gt;0,J42=0),"No intake?",IF(AND(J42&gt;0,N42=0),"No enrolments",IF(OR(J42&gt;N42,AND(J42=N42,SUM(L42:M42)&gt;0)),"Intake inconsistent with enrolments","OK")))</f>
        <v>OK</v>
      </c>
      <c r="AB42" s="182"/>
      <c r="AC42" s="224"/>
      <c r="AD42" s="224"/>
      <c r="AE42" s="224"/>
      <c r="AF42" s="224"/>
      <c r="AG42" s="224"/>
    </row>
    <row r="43" spans="1:33" ht="24.95" customHeight="1">
      <c r="A43" s="1025"/>
      <c r="B43" s="2095" t="s">
        <v>37</v>
      </c>
      <c r="C43" s="1857"/>
      <c r="D43" s="899"/>
      <c r="E43" s="1449"/>
      <c r="F43" s="900"/>
      <c r="G43" s="900"/>
      <c r="H43" s="60">
        <f t="shared" si="30"/>
        <v>0</v>
      </c>
      <c r="I43" s="1857"/>
      <c r="J43" s="899"/>
      <c r="K43" s="1449"/>
      <c r="L43" s="900"/>
      <c r="M43" s="900"/>
      <c r="N43" s="60">
        <f t="shared" si="31"/>
        <v>0</v>
      </c>
      <c r="O43" s="1857"/>
      <c r="P43" s="708">
        <f t="shared" si="32"/>
        <v>0</v>
      </c>
      <c r="Q43" s="2061">
        <f t="shared" si="33"/>
        <v>0</v>
      </c>
      <c r="R43" s="571">
        <f t="shared" si="34"/>
        <v>0</v>
      </c>
      <c r="S43" s="571">
        <f t="shared" si="35"/>
        <v>0</v>
      </c>
      <c r="T43" s="60">
        <f t="shared" si="36"/>
        <v>0</v>
      </c>
      <c r="U43" s="1247"/>
      <c r="V43" s="182"/>
      <c r="W43" s="182"/>
      <c r="X43" s="182"/>
      <c r="Y43" s="1095" t="str">
        <f t="shared" si="37"/>
        <v>OK</v>
      </c>
      <c r="Z43" s="828"/>
      <c r="AA43" s="1095" t="str">
        <f t="shared" si="38"/>
        <v>OK</v>
      </c>
      <c r="AB43" s="182"/>
      <c r="AC43" s="224"/>
      <c r="AD43" s="714"/>
      <c r="AE43" s="224"/>
      <c r="AF43" s="224"/>
      <c r="AG43" s="224"/>
    </row>
    <row r="44" spans="1:33" ht="24.95" customHeight="1">
      <c r="A44" s="1025"/>
      <c r="B44" s="2095" t="s">
        <v>38</v>
      </c>
      <c r="C44" s="1857"/>
      <c r="D44" s="899"/>
      <c r="E44" s="1449"/>
      <c r="F44" s="900"/>
      <c r="G44" s="900"/>
      <c r="H44" s="60">
        <f t="shared" si="30"/>
        <v>0</v>
      </c>
      <c r="I44" s="1857"/>
      <c r="J44" s="899"/>
      <c r="K44" s="1449"/>
      <c r="L44" s="900"/>
      <c r="M44" s="900"/>
      <c r="N44" s="60">
        <f t="shared" si="31"/>
        <v>0</v>
      </c>
      <c r="O44" s="1857"/>
      <c r="P44" s="708">
        <f t="shared" si="32"/>
        <v>0</v>
      </c>
      <c r="Q44" s="2061">
        <f t="shared" si="33"/>
        <v>0</v>
      </c>
      <c r="R44" s="571">
        <f t="shared" si="34"/>
        <v>0</v>
      </c>
      <c r="S44" s="571">
        <f t="shared" si="35"/>
        <v>0</v>
      </c>
      <c r="T44" s="60">
        <f t="shared" si="36"/>
        <v>0</v>
      </c>
      <c r="U44" s="1247"/>
      <c r="V44" s="182"/>
      <c r="W44" s="182"/>
      <c r="X44" s="182"/>
      <c r="Y44" s="1095" t="str">
        <f t="shared" si="37"/>
        <v>OK</v>
      </c>
      <c r="Z44" s="828"/>
      <c r="AA44" s="1095" t="str">
        <f t="shared" si="38"/>
        <v>OK</v>
      </c>
      <c r="AB44" s="182"/>
      <c r="AC44" s="224"/>
      <c r="AD44" s="224"/>
      <c r="AE44" s="224"/>
      <c r="AF44" s="224"/>
      <c r="AG44" s="224"/>
    </row>
    <row r="45" spans="1:33" ht="24.95" customHeight="1">
      <c r="A45" s="1025"/>
      <c r="B45" s="2095" t="s">
        <v>39</v>
      </c>
      <c r="C45" s="1857"/>
      <c r="D45" s="899"/>
      <c r="E45" s="1449"/>
      <c r="F45" s="900"/>
      <c r="G45" s="900"/>
      <c r="H45" s="60">
        <f t="shared" si="30"/>
        <v>0</v>
      </c>
      <c r="I45" s="1857"/>
      <c r="J45" s="899"/>
      <c r="K45" s="1449"/>
      <c r="L45" s="900"/>
      <c r="M45" s="900"/>
      <c r="N45" s="60">
        <f t="shared" si="31"/>
        <v>0</v>
      </c>
      <c r="O45" s="1857"/>
      <c r="P45" s="708">
        <f t="shared" si="32"/>
        <v>0</v>
      </c>
      <c r="Q45" s="2061">
        <f t="shared" si="33"/>
        <v>0</v>
      </c>
      <c r="R45" s="571">
        <f t="shared" si="34"/>
        <v>0</v>
      </c>
      <c r="S45" s="571">
        <f t="shared" si="35"/>
        <v>0</v>
      </c>
      <c r="T45" s="60">
        <f t="shared" si="36"/>
        <v>0</v>
      </c>
      <c r="U45" s="188"/>
      <c r="V45" s="182"/>
      <c r="W45" s="182"/>
      <c r="X45" s="568"/>
      <c r="Y45" s="1095" t="str">
        <f t="shared" si="37"/>
        <v>OK</v>
      </c>
      <c r="Z45" s="828"/>
      <c r="AA45" s="1095" t="str">
        <f t="shared" si="38"/>
        <v>OK</v>
      </c>
      <c r="AB45" s="182"/>
      <c r="AC45" s="224"/>
      <c r="AD45" s="714"/>
      <c r="AE45" s="225"/>
      <c r="AF45" s="225"/>
      <c r="AG45" s="224"/>
    </row>
    <row r="46" spans="1:33" ht="24.95" customHeight="1" thickBot="1">
      <c r="A46" s="1025"/>
      <c r="B46" s="2095" t="s">
        <v>40</v>
      </c>
      <c r="C46" s="1857"/>
      <c r="D46" s="2080"/>
      <c r="E46" s="2100"/>
      <c r="F46" s="2082"/>
      <c r="G46" s="2082"/>
      <c r="H46" s="2101">
        <f t="shared" si="30"/>
        <v>0</v>
      </c>
      <c r="I46" s="1857"/>
      <c r="J46" s="2080"/>
      <c r="K46" s="2100"/>
      <c r="L46" s="2082"/>
      <c r="M46" s="2082"/>
      <c r="N46" s="2101">
        <f t="shared" si="31"/>
        <v>0</v>
      </c>
      <c r="O46" s="1857"/>
      <c r="P46" s="2104">
        <f t="shared" si="32"/>
        <v>0</v>
      </c>
      <c r="Q46" s="2084">
        <f t="shared" si="33"/>
        <v>0</v>
      </c>
      <c r="R46" s="2085">
        <f t="shared" si="34"/>
        <v>0</v>
      </c>
      <c r="S46" s="2085">
        <f t="shared" si="35"/>
        <v>0</v>
      </c>
      <c r="T46" s="2101">
        <f t="shared" si="36"/>
        <v>0</v>
      </c>
      <c r="U46" s="712"/>
      <c r="V46" s="183"/>
      <c r="W46" s="183"/>
      <c r="X46" s="183"/>
      <c r="Y46" s="1096" t="str">
        <f t="shared" si="37"/>
        <v>OK</v>
      </c>
      <c r="Z46" s="828"/>
      <c r="AA46" s="1096" t="str">
        <f t="shared" si="38"/>
        <v>OK</v>
      </c>
      <c r="AB46" s="183"/>
      <c r="AC46" s="224"/>
      <c r="AD46" s="714"/>
      <c r="AE46" s="225"/>
      <c r="AF46" s="225"/>
      <c r="AG46" s="224"/>
    </row>
    <row r="47" spans="1:33" ht="35.1" customHeight="1" thickBot="1">
      <c r="A47" s="1025"/>
      <c r="B47" s="2099" t="s">
        <v>2</v>
      </c>
      <c r="C47" s="1858"/>
      <c r="D47" s="1869">
        <f>SUM(D42:D46)</f>
        <v>0</v>
      </c>
      <c r="E47" s="2102">
        <f>SUM(E42:E46)</f>
        <v>0</v>
      </c>
      <c r="F47" s="1871">
        <f>SUM(F42:F46)</f>
        <v>0</v>
      </c>
      <c r="G47" s="1871">
        <f>SUM(G42:G46)</f>
        <v>0</v>
      </c>
      <c r="H47" s="2103">
        <f>SUM(E47:G47)</f>
        <v>0</v>
      </c>
      <c r="I47" s="1858"/>
      <c r="J47" s="1869">
        <f>SUM(J42:J46)</f>
        <v>0</v>
      </c>
      <c r="K47" s="2102">
        <f>SUM(K42:K46)</f>
        <v>0</v>
      </c>
      <c r="L47" s="1871">
        <f>SUM(L42:L46)</f>
        <v>0</v>
      </c>
      <c r="M47" s="1871">
        <f>SUM(M42:M46)</f>
        <v>0</v>
      </c>
      <c r="N47" s="2103">
        <f>SUM(K47:M47)</f>
        <v>0</v>
      </c>
      <c r="O47" s="1858"/>
      <c r="P47" s="1869">
        <f>SUM(P42:P46)</f>
        <v>0</v>
      </c>
      <c r="Q47" s="2102">
        <f>SUM(Q42:Q46)</f>
        <v>0</v>
      </c>
      <c r="R47" s="1871">
        <f>SUM(R42:R46)</f>
        <v>0</v>
      </c>
      <c r="S47" s="1871">
        <f>SUM(S42:S46)</f>
        <v>0</v>
      </c>
      <c r="T47" s="2103">
        <f>SUM(Q47:S47)</f>
        <v>0</v>
      </c>
      <c r="U47" s="712"/>
      <c r="V47" s="183"/>
      <c r="W47" s="183"/>
      <c r="X47" s="183"/>
      <c r="Y47" s="184"/>
      <c r="Z47" s="292"/>
      <c r="AA47" s="184"/>
      <c r="AB47" s="183"/>
      <c r="AC47" s="224"/>
      <c r="AD47" s="714"/>
      <c r="AE47" s="714"/>
      <c r="AF47" s="714"/>
      <c r="AG47" s="224"/>
    </row>
    <row r="48" spans="1:33" s="812" customFormat="1" ht="9.9499999999999993" customHeight="1" thickBot="1">
      <c r="A48" s="1082"/>
      <c r="B48" s="1090"/>
      <c r="C48" s="224"/>
      <c r="D48" s="1433"/>
      <c r="E48" s="1433"/>
      <c r="F48" s="1433"/>
      <c r="G48" s="1433"/>
      <c r="H48" s="1433"/>
      <c r="I48" s="224"/>
      <c r="J48" s="1433"/>
      <c r="K48" s="1433"/>
      <c r="L48" s="1433"/>
      <c r="M48" s="1433"/>
      <c r="N48" s="1433"/>
      <c r="O48" s="224"/>
      <c r="P48" s="1433"/>
      <c r="Q48" s="1433"/>
      <c r="R48" s="1433"/>
      <c r="S48" s="1433"/>
      <c r="T48" s="1433"/>
      <c r="U48" s="1496"/>
      <c r="V48" s="224"/>
      <c r="W48" s="224"/>
      <c r="X48" s="224"/>
      <c r="Y48" s="224"/>
      <c r="Z48" s="224"/>
      <c r="AA48" s="224"/>
      <c r="AB48" s="224"/>
      <c r="AC48" s="224"/>
      <c r="AD48" s="714"/>
      <c r="AE48" s="714"/>
      <c r="AF48" s="714"/>
      <c r="AG48" s="224"/>
    </row>
    <row r="49" spans="1:33" ht="35.1" customHeight="1" thickBot="1">
      <c r="A49" s="1025"/>
      <c r="B49" s="373" t="s">
        <v>2</v>
      </c>
      <c r="C49" s="1858"/>
      <c r="D49" s="565">
        <f>SUM(D39,D47)</f>
        <v>0</v>
      </c>
      <c r="E49" s="374">
        <f>SUM(E39,E47)</f>
        <v>0</v>
      </c>
      <c r="F49" s="186">
        <f t="shared" ref="F49:G49" si="39">SUM(F39,F47)</f>
        <v>0</v>
      </c>
      <c r="G49" s="186">
        <f t="shared" si="39"/>
        <v>0</v>
      </c>
      <c r="H49" s="187">
        <f>SUM(E49:G49)</f>
        <v>0</v>
      </c>
      <c r="I49" s="1858"/>
      <c r="J49" s="565">
        <f>SUM(J39,J47)</f>
        <v>0</v>
      </c>
      <c r="K49" s="374">
        <f>SUM(K39,K47)</f>
        <v>0</v>
      </c>
      <c r="L49" s="186">
        <f t="shared" ref="L49:M49" si="40">SUM(L39,L47)</f>
        <v>0</v>
      </c>
      <c r="M49" s="186">
        <f t="shared" si="40"/>
        <v>0</v>
      </c>
      <c r="N49" s="187">
        <f>SUM(K49:M49)</f>
        <v>0</v>
      </c>
      <c r="O49" s="1858"/>
      <c r="P49" s="565">
        <f>SUM(P39,P47)</f>
        <v>0</v>
      </c>
      <c r="Q49" s="374">
        <f>SUM(Q39,Q47)</f>
        <v>0</v>
      </c>
      <c r="R49" s="186">
        <f t="shared" ref="R49:S49" si="41">SUM(R39,R47)</f>
        <v>0</v>
      </c>
      <c r="S49" s="186">
        <f t="shared" si="41"/>
        <v>0</v>
      </c>
      <c r="T49" s="187">
        <f>SUM(Q49:S49)</f>
        <v>0</v>
      </c>
      <c r="U49" s="712"/>
      <c r="V49" s="183"/>
      <c r="W49" s="183"/>
      <c r="X49" s="183"/>
      <c r="Y49" s="184"/>
      <c r="Z49" s="292"/>
      <c r="AA49" s="184"/>
      <c r="AB49" s="183"/>
      <c r="AC49" s="224"/>
      <c r="AD49" s="224"/>
      <c r="AE49" s="224"/>
      <c r="AF49" s="224"/>
      <c r="AG49" s="224"/>
    </row>
    <row r="50" spans="1:33">
      <c r="A50" s="289"/>
      <c r="B50" s="526"/>
      <c r="C50" s="2093"/>
      <c r="D50" s="526"/>
      <c r="E50" s="526"/>
      <c r="F50" s="526"/>
      <c r="G50" s="526"/>
      <c r="H50" s="526"/>
      <c r="I50" s="2093"/>
      <c r="J50" s="526"/>
      <c r="K50" s="526"/>
      <c r="L50" s="526"/>
      <c r="M50" s="526"/>
      <c r="N50" s="526"/>
      <c r="O50" s="2093"/>
      <c r="P50" s="526"/>
      <c r="Q50" s="526"/>
      <c r="R50" s="526"/>
      <c r="S50" s="526"/>
      <c r="T50" s="526"/>
      <c r="U50" s="288"/>
      <c r="V50" s="184"/>
      <c r="W50" s="184"/>
      <c r="X50" s="184"/>
      <c r="Y50" s="184"/>
      <c r="Z50" s="292"/>
      <c r="AA50" s="184"/>
      <c r="AB50" s="184"/>
      <c r="AC50" s="184"/>
      <c r="AD50" s="184"/>
      <c r="AE50" s="184"/>
      <c r="AF50" s="184"/>
      <c r="AG50" s="184"/>
    </row>
    <row r="51" spans="1:33">
      <c r="A51" s="184"/>
      <c r="B51" s="184"/>
      <c r="C51" s="851"/>
      <c r="D51" s="184"/>
      <c r="E51" s="184"/>
      <c r="F51" s="184"/>
      <c r="G51" s="184"/>
      <c r="H51" s="184"/>
      <c r="I51" s="851"/>
      <c r="J51" s="184"/>
      <c r="K51" s="184"/>
      <c r="L51" s="184"/>
      <c r="M51" s="184"/>
      <c r="N51" s="184"/>
      <c r="O51" s="851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292"/>
      <c r="AA51" s="184"/>
      <c r="AB51" s="184"/>
      <c r="AC51" s="184"/>
      <c r="AD51" s="184"/>
      <c r="AE51" s="184"/>
      <c r="AF51" s="184"/>
      <c r="AG51" s="184"/>
    </row>
  </sheetData>
  <sheetProtection password="E23E" sheet="1" objects="1" scenarios="1"/>
  <mergeCells count="10">
    <mergeCell ref="Y12:Y13"/>
    <mergeCell ref="AA12:AA13"/>
    <mergeCell ref="E9:H9"/>
    <mergeCell ref="AE12:AE13"/>
    <mergeCell ref="D4:F4"/>
    <mergeCell ref="D8:H8"/>
    <mergeCell ref="P8:T8"/>
    <mergeCell ref="K9:N9"/>
    <mergeCell ref="Q9:T9"/>
    <mergeCell ref="J8:N8"/>
  </mergeCells>
  <conditionalFormatting sqref="B2:C2">
    <cfRule type="expression" dxfId="69" priority="73" stopIfTrue="1">
      <formula>#REF!=0</formula>
    </cfRule>
  </conditionalFormatting>
  <conditionalFormatting sqref="E47:H48">
    <cfRule type="expression" dxfId="68" priority="71" stopIfTrue="1">
      <formula>#REF!=0</formula>
    </cfRule>
  </conditionalFormatting>
  <conditionalFormatting sqref="D47:D48">
    <cfRule type="expression" dxfId="67" priority="72" stopIfTrue="1">
      <formula>#REF!=0</formula>
    </cfRule>
  </conditionalFormatting>
  <conditionalFormatting sqref="K47:N48">
    <cfRule type="expression" dxfId="66" priority="58" stopIfTrue="1">
      <formula>#REF!=0</formula>
    </cfRule>
  </conditionalFormatting>
  <conditionalFormatting sqref="Q47:T48">
    <cfRule type="expression" dxfId="65" priority="53" stopIfTrue="1">
      <formula>#REF!=0</formula>
    </cfRule>
  </conditionalFormatting>
  <conditionalFormatting sqref="P47:P48">
    <cfRule type="expression" dxfId="64" priority="54" stopIfTrue="1">
      <formula>#REF!=0</formula>
    </cfRule>
  </conditionalFormatting>
  <conditionalFormatting sqref="A1:H1 J1:N1 P1:U1">
    <cfRule type="expression" dxfId="63" priority="292" stopIfTrue="1">
      <formula>$G$4=0</formula>
    </cfRule>
  </conditionalFormatting>
  <conditionalFormatting sqref="Q21:S23">
    <cfRule type="expression" dxfId="62" priority="43" stopIfTrue="1">
      <formula>$G$4=0</formula>
    </cfRule>
  </conditionalFormatting>
  <conditionalFormatting sqref="Q26:S28">
    <cfRule type="expression" dxfId="61" priority="42" stopIfTrue="1">
      <formula>$G$4=0</formula>
    </cfRule>
  </conditionalFormatting>
  <conditionalFormatting sqref="Q31:S33">
    <cfRule type="expression" dxfId="60" priority="41" stopIfTrue="1">
      <formula>$G$4=0</formula>
    </cfRule>
  </conditionalFormatting>
  <conditionalFormatting sqref="Q36:S37">
    <cfRule type="expression" dxfId="59" priority="40" stopIfTrue="1">
      <formula>$G$4=0</formula>
    </cfRule>
  </conditionalFormatting>
  <conditionalFormatting sqref="Q42:S46">
    <cfRule type="expression" dxfId="58" priority="39" stopIfTrue="1">
      <formula>$G$4=0</formula>
    </cfRule>
  </conditionalFormatting>
  <conditionalFormatting sqref="J47:J48">
    <cfRule type="expression" dxfId="57" priority="37" stopIfTrue="1">
      <formula>#REF!=0</formula>
    </cfRule>
  </conditionalFormatting>
  <conditionalFormatting sqref="P21:P23">
    <cfRule type="expression" dxfId="56" priority="36" stopIfTrue="1">
      <formula>$G$4=0</formula>
    </cfRule>
  </conditionalFormatting>
  <conditionalFormatting sqref="P26:P28">
    <cfRule type="expression" dxfId="55" priority="35" stopIfTrue="1">
      <formula>$G$4=0</formula>
    </cfRule>
  </conditionalFormatting>
  <conditionalFormatting sqref="P31:P33">
    <cfRule type="expression" dxfId="54" priority="34" stopIfTrue="1">
      <formula>$G$4=0</formula>
    </cfRule>
  </conditionalFormatting>
  <conditionalFormatting sqref="P36:P37">
    <cfRule type="expression" dxfId="53" priority="33" stopIfTrue="1">
      <formula>$G$4=0</formula>
    </cfRule>
  </conditionalFormatting>
  <conditionalFormatting sqref="P42:P46">
    <cfRule type="expression" dxfId="52" priority="32" stopIfTrue="1">
      <formula>$G$4=0</formula>
    </cfRule>
  </conditionalFormatting>
  <conditionalFormatting sqref="D16:G18 J16:M18 D21:G23 J21:M23 D26:G28 J26:M28 D31:G33 J31:M33 D36:G37 J36:M37 D42:G46 J42:M46">
    <cfRule type="expression" dxfId="51" priority="30">
      <formula>$G$4=1</formula>
    </cfRule>
  </conditionalFormatting>
  <conditionalFormatting sqref="Y16:AA16 AF17:AF18 AF21:AF23">
    <cfRule type="expression" dxfId="50" priority="29">
      <formula>Y16&lt;&gt;"OK"</formula>
    </cfRule>
  </conditionalFormatting>
  <conditionalFormatting sqref="Y17:AA18">
    <cfRule type="expression" dxfId="49" priority="17">
      <formula>Y17&lt;&gt;"OK"</formula>
    </cfRule>
  </conditionalFormatting>
  <conditionalFormatting sqref="I2">
    <cfRule type="expression" dxfId="48" priority="11" stopIfTrue="1">
      <formula>#REF!=0</formula>
    </cfRule>
  </conditionalFormatting>
  <conditionalFormatting sqref="I1">
    <cfRule type="expression" dxfId="47" priority="12" stopIfTrue="1">
      <formula>$G$4=0</formula>
    </cfRule>
  </conditionalFormatting>
  <conditionalFormatting sqref="O2">
    <cfRule type="expression" dxfId="46" priority="9" stopIfTrue="1">
      <formula>#REF!=0</formula>
    </cfRule>
  </conditionalFormatting>
  <conditionalFormatting sqref="O1">
    <cfRule type="expression" dxfId="45" priority="10" stopIfTrue="1">
      <formula>$G$4=0</formula>
    </cfRule>
  </conditionalFormatting>
  <conditionalFormatting sqref="Y21:AA21">
    <cfRule type="expression" dxfId="44" priority="8">
      <formula>Y21&lt;&gt;"OK"</formula>
    </cfRule>
  </conditionalFormatting>
  <conditionalFormatting sqref="Y22:AA23">
    <cfRule type="expression" dxfId="43" priority="7">
      <formula>Y22&lt;&gt;"OK"</formula>
    </cfRule>
  </conditionalFormatting>
  <conditionalFormatting sqref="Y26:AA26">
    <cfRule type="expression" dxfId="42" priority="6">
      <formula>Y26&lt;&gt;"OK"</formula>
    </cfRule>
  </conditionalFormatting>
  <conditionalFormatting sqref="Y27:AA28">
    <cfRule type="expression" dxfId="41" priority="5">
      <formula>Y27&lt;&gt;"OK"</formula>
    </cfRule>
  </conditionalFormatting>
  <conditionalFormatting sqref="Y31:AA31">
    <cfRule type="expression" dxfId="40" priority="4">
      <formula>Y31&lt;&gt;"OK"</formula>
    </cfRule>
  </conditionalFormatting>
  <conditionalFormatting sqref="Y32:AA33">
    <cfRule type="expression" dxfId="39" priority="3">
      <formula>Y32&lt;&gt;"OK"</formula>
    </cfRule>
  </conditionalFormatting>
  <conditionalFormatting sqref="Y36:AA36">
    <cfRule type="expression" dxfId="38" priority="2">
      <formula>Y36&lt;&gt;"OK"</formula>
    </cfRule>
  </conditionalFormatting>
  <conditionalFormatting sqref="Y37:AA37">
    <cfRule type="expression" dxfId="37" priority="1">
      <formula>Y37&lt;&gt;"OK"</formula>
    </cfRule>
  </conditionalFormatting>
  <dataValidations count="4">
    <dataValidation type="custom" allowBlank="1" showErrorMessage="1" errorTitle="Number less than 0" error="You are trying to enter a number which is less than 0, please re-enter a valid number." sqref="D38:G38 D19:G19 D34:G34 D29:G29 D24:G24 J29:M29 J34:M34 J38:M38 J24:M24 J19:M19 P38:S38 P19:S19 P24:S24 P29:S29 P34:S34 D47:H48 J47:N48 P47:T48" xr:uid="{00000000-0002-0000-0A00-000000000000}">
      <formula1>D19&gt;=0</formula1>
    </dataValidation>
    <dataValidation type="custom" errorStyle="warning" operator="greaterThanOrEqual" allowBlank="1" showInputMessage="1" showErrorMessage="1" error="Entry must be positive or zero, and no more than one decimal place" sqref="H16:H19 H21:H24 H31:H34 H36:H46 T31:T34 N26:N29 N16:N19 N21:N24 N31:N34 H26:H29 T36:T46 T26:T29 T16:T19 T21:T24 N36:N46" xr:uid="{00000000-0002-0000-0A00-000001000000}">
      <formula1>AND(NOT(H16&lt;0),INT(H16*10)=H16*10)</formula1>
    </dataValidation>
    <dataValidation type="whole" operator="greaterThanOrEqual" allowBlank="1" showInputMessage="1" showErrorMessage="1" errorTitle="ERROR!" error="Invalid Entry" sqref="P31:S33 P21:S23 P36:S37 P26:S28 P16:S18 P42:S46" xr:uid="{00000000-0002-0000-0A00-000002000000}">
      <formula1>0</formula1>
    </dataValidation>
    <dataValidation type="decimal" operator="greaterThanOrEqual" allowBlank="1" showInputMessage="1" showErrorMessage="1" errorTitle="ERROR!" error="Invalid Entry" sqref="D16:G18 J16:M18 D21:G23 J21:M23 D26:G28 J26:M28 D31:G33 J31:M33 D36:G37 J36:M37 D42:G46 J42:M46" xr:uid="{00000000-0002-0000-0A00-000003000000}">
      <formula1>0</formula1>
    </dataValidation>
  </dataValidations>
  <pageMargins left="0.19685039370078741" right="0.19685039370078741" top="0.19685039370078741" bottom="0.39370078740157483" header="0" footer="0"/>
  <pageSetup paperSize="9" scale="57" fitToHeight="2" orientation="landscape" r:id="rId1"/>
  <headerFooter alignWithMargins="0"/>
  <rowBreaks count="1" manualBreakCount="1">
    <brk id="34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O28"/>
  <sheetViews>
    <sheetView zoomScale="80" zoomScaleNormal="80" workbookViewId="0">
      <selection activeCell="D16" sqref="D16"/>
    </sheetView>
  </sheetViews>
  <sheetFormatPr defaultColWidth="9.140625" defaultRowHeight="15"/>
  <cols>
    <col min="1" max="1" width="2.7109375" style="507" customWidth="1"/>
    <col min="2" max="2" width="24.7109375" style="507" customWidth="1"/>
    <col min="3" max="5" width="16.7109375" style="507" customWidth="1"/>
    <col min="6" max="7" width="4.7109375" style="507" customWidth="1"/>
    <col min="8" max="8" width="33.28515625" style="507" customWidth="1"/>
    <col min="9" max="9" width="3.7109375" style="812" customWidth="1"/>
    <col min="10" max="10" width="35.7109375" style="507" customWidth="1"/>
    <col min="11" max="11" width="3.7109375" style="812" customWidth="1"/>
    <col min="12" max="13" width="14.7109375" style="507" customWidth="1"/>
    <col min="14" max="14" width="30.7109375" style="507" customWidth="1"/>
    <col min="15" max="16384" width="9.140625" style="507"/>
  </cols>
  <sheetData>
    <row r="1" spans="1:15" ht="39.950000000000003" customHeight="1">
      <c r="A1" s="184"/>
      <c r="B1" s="192" t="str">
        <f>IF(F4=0,"Your Institution Does Not Complete This Table","")</f>
        <v/>
      </c>
      <c r="C1" s="2"/>
      <c r="D1" s="2"/>
      <c r="E1" s="2"/>
      <c r="F1" s="2"/>
      <c r="G1" s="184"/>
      <c r="H1" s="184"/>
      <c r="I1" s="224"/>
      <c r="J1" s="184"/>
      <c r="K1" s="224"/>
      <c r="L1" s="184"/>
      <c r="M1" s="184"/>
      <c r="N1" s="184"/>
      <c r="O1" s="184"/>
    </row>
    <row r="2" spans="1:15" ht="30" customHeight="1">
      <c r="A2" s="319"/>
      <c r="B2" s="273" t="s">
        <v>439</v>
      </c>
      <c r="C2" s="4"/>
      <c r="D2" s="4"/>
      <c r="E2" s="543"/>
      <c r="F2" s="544"/>
      <c r="G2" s="184"/>
      <c r="H2" s="184"/>
      <c r="I2" s="224"/>
      <c r="J2" s="184"/>
      <c r="K2" s="224"/>
      <c r="L2" s="184"/>
      <c r="M2" s="184"/>
      <c r="N2" s="184"/>
      <c r="O2" s="184"/>
    </row>
    <row r="3" spans="1:15" ht="15" customHeight="1" thickBot="1">
      <c r="A3" s="280"/>
      <c r="B3" s="36"/>
      <c r="C3" s="44"/>
      <c r="D3" s="44"/>
      <c r="E3" s="44"/>
      <c r="F3" s="545"/>
      <c r="G3" s="184"/>
      <c r="H3" s="184"/>
      <c r="I3" s="224"/>
      <c r="J3" s="184"/>
      <c r="K3" s="224"/>
      <c r="L3" s="184"/>
      <c r="M3" s="184"/>
      <c r="N3" s="184"/>
      <c r="O3" s="184"/>
    </row>
    <row r="4" spans="1:15" ht="35.1" customHeight="1" thickBot="1">
      <c r="A4" s="280"/>
      <c r="B4" s="335" t="s">
        <v>0</v>
      </c>
      <c r="C4" s="2580" t="str">
        <f>'Background Data'!$G$2</f>
        <v>Glasgow, University of</v>
      </c>
      <c r="D4" s="2581"/>
      <c r="E4" s="2582"/>
      <c r="F4" s="630">
        <f>VLOOKUP('Background Data'!$F$2,Inst_Tables,14,FALSE)</f>
        <v>1</v>
      </c>
      <c r="G4" s="184"/>
      <c r="H4" s="184"/>
      <c r="I4" s="224"/>
      <c r="J4" s="184"/>
      <c r="K4" s="224"/>
      <c r="L4" s="184"/>
      <c r="M4" s="184"/>
      <c r="N4" s="184"/>
      <c r="O4" s="184"/>
    </row>
    <row r="5" spans="1:15" ht="35.1" customHeight="1">
      <c r="A5" s="280"/>
      <c r="B5" s="347" t="s">
        <v>527</v>
      </c>
      <c r="C5" s="47"/>
      <c r="D5" s="48"/>
      <c r="E5" s="48"/>
      <c r="F5" s="546"/>
      <c r="G5" s="184"/>
      <c r="H5" s="184"/>
      <c r="I5" s="224"/>
      <c r="J5" s="184"/>
      <c r="K5" s="224"/>
      <c r="L5" s="184"/>
      <c r="M5" s="184"/>
      <c r="N5" s="184"/>
      <c r="O5" s="184"/>
    </row>
    <row r="6" spans="1:15" ht="30" customHeight="1">
      <c r="A6" s="280"/>
      <c r="B6" s="11" t="s">
        <v>544</v>
      </c>
      <c r="C6" s="47"/>
      <c r="D6" s="48"/>
      <c r="E6" s="48"/>
      <c r="F6" s="546"/>
      <c r="G6" s="184"/>
      <c r="H6" s="184"/>
      <c r="I6" s="224"/>
      <c r="J6" s="184"/>
      <c r="K6" s="224"/>
      <c r="L6" s="184"/>
      <c r="M6" s="184"/>
      <c r="N6" s="184"/>
      <c r="O6" s="184"/>
    </row>
    <row r="7" spans="1:15" ht="15" customHeight="1" thickBot="1">
      <c r="A7" s="280"/>
      <c r="B7" s="329"/>
      <c r="C7" s="47"/>
      <c r="D7" s="48"/>
      <c r="E7" s="48"/>
      <c r="F7" s="546"/>
      <c r="G7" s="184"/>
      <c r="H7" s="184"/>
      <c r="I7" s="224"/>
      <c r="J7" s="184"/>
      <c r="K7" s="224"/>
      <c r="L7" s="184"/>
      <c r="M7" s="184"/>
      <c r="N7" s="184"/>
      <c r="O7" s="184"/>
    </row>
    <row r="8" spans="1:15" ht="50.1" customHeight="1" thickBot="1">
      <c r="A8" s="280"/>
      <c r="B8" s="2106"/>
      <c r="C8" s="2111" t="s">
        <v>224</v>
      </c>
      <c r="D8" s="2111" t="s">
        <v>286</v>
      </c>
      <c r="E8" s="551" t="s">
        <v>2</v>
      </c>
      <c r="F8" s="547"/>
      <c r="G8" s="184"/>
      <c r="H8" s="1343" t="s">
        <v>308</v>
      </c>
      <c r="I8" s="224"/>
      <c r="J8" s="184"/>
      <c r="K8" s="224"/>
      <c r="L8" s="184"/>
      <c r="M8" s="184"/>
      <c r="N8" s="184"/>
      <c r="O8" s="184"/>
    </row>
    <row r="9" spans="1:15" ht="30" customHeight="1">
      <c r="A9" s="280"/>
      <c r="B9" s="2701" t="s">
        <v>163</v>
      </c>
      <c r="C9" s="1948" t="s">
        <v>16</v>
      </c>
      <c r="D9" s="1948" t="s">
        <v>16</v>
      </c>
      <c r="E9" s="365" t="s">
        <v>16</v>
      </c>
      <c r="F9" s="547"/>
      <c r="G9" s="184"/>
      <c r="H9" s="183"/>
      <c r="I9" s="224"/>
      <c r="J9" s="2699" t="s">
        <v>347</v>
      </c>
      <c r="K9" s="224"/>
      <c r="L9" s="1879" t="s">
        <v>58</v>
      </c>
      <c r="M9" s="2632" t="s">
        <v>153</v>
      </c>
      <c r="N9" s="1533" t="s">
        <v>225</v>
      </c>
      <c r="O9" s="184"/>
    </row>
    <row r="10" spans="1:15" ht="30" customHeight="1">
      <c r="A10" s="280"/>
      <c r="B10" s="2701"/>
      <c r="C10" s="364" t="s">
        <v>29</v>
      </c>
      <c r="D10" s="364" t="s">
        <v>29</v>
      </c>
      <c r="E10" s="531" t="s">
        <v>54</v>
      </c>
      <c r="F10" s="547"/>
      <c r="G10" s="184"/>
      <c r="H10" s="183"/>
      <c r="I10" s="224"/>
      <c r="J10" s="2700"/>
      <c r="K10" s="224"/>
      <c r="L10" s="1880"/>
      <c r="M10" s="2683"/>
      <c r="N10" s="1881"/>
      <c r="O10" s="184"/>
    </row>
    <row r="11" spans="1:15" ht="30" customHeight="1" thickBot="1">
      <c r="A11" s="280"/>
      <c r="B11" s="1921"/>
      <c r="C11" s="2112">
        <v>1</v>
      </c>
      <c r="D11" s="2112">
        <v>2</v>
      </c>
      <c r="E11" s="552">
        <v>3</v>
      </c>
      <c r="F11" s="548"/>
      <c r="G11" s="184"/>
      <c r="H11" s="183"/>
      <c r="I11" s="224"/>
      <c r="J11" s="1874"/>
      <c r="K11" s="224"/>
      <c r="L11" s="560"/>
      <c r="M11" s="559"/>
      <c r="N11" s="558"/>
      <c r="O11" s="184"/>
    </row>
    <row r="12" spans="1:15" ht="35.1" customHeight="1" thickBot="1">
      <c r="A12" s="280"/>
      <c r="B12" s="2107" t="s">
        <v>158</v>
      </c>
      <c r="C12" s="2113">
        <v>60</v>
      </c>
      <c r="D12" s="2113">
        <v>1</v>
      </c>
      <c r="E12" s="1330">
        <f>SUM(C12:D12)</f>
        <v>61</v>
      </c>
      <c r="F12" s="554"/>
      <c r="G12" s="184"/>
      <c r="H12" s="184"/>
      <c r="I12" s="224"/>
      <c r="J12" s="184"/>
      <c r="K12" s="224"/>
      <c r="L12" s="184"/>
      <c r="M12" s="184"/>
      <c r="N12" s="184"/>
      <c r="O12" s="184"/>
    </row>
    <row r="13" spans="1:15" ht="35.1" customHeight="1">
      <c r="A13" s="280"/>
      <c r="B13" s="2108" t="s">
        <v>159</v>
      </c>
      <c r="C13" s="2114"/>
      <c r="D13" s="2114"/>
      <c r="E13" s="553"/>
      <c r="F13" s="549"/>
      <c r="G13" s="184"/>
      <c r="H13" s="1875" t="s">
        <v>133</v>
      </c>
      <c r="I13" s="224"/>
      <c r="J13" s="1877" t="str">
        <f>IF(AND($C$18&gt;0,$C$12=0),"No intake?",IF(AND($C$12&gt;0,$C$18=0),"No enrolments",IF(OR($C$12&gt;$C$18,AND($C$12=$C$18,SUM($C$15:$C$17)&gt;0)),"Intake inconsistent with enrolments","OK")))</f>
        <v>OK</v>
      </c>
      <c r="K13" s="224"/>
      <c r="L13" s="1882">
        <f>'T1 Main Table'!$K$59</f>
        <v>162</v>
      </c>
      <c r="M13" s="1342">
        <f>$C$18-$L$13</f>
        <v>0</v>
      </c>
      <c r="N13" s="1436" t="str">
        <f>IF(ABS(M13)&gt;0.1,"Does not equal figure in Table 1","OK")</f>
        <v>OK</v>
      </c>
      <c r="O13" s="184"/>
    </row>
    <row r="14" spans="1:15" ht="35.1" customHeight="1" thickBot="1">
      <c r="A14" s="280"/>
      <c r="B14" s="2109">
        <v>1</v>
      </c>
      <c r="C14" s="2115">
        <v>60</v>
      </c>
      <c r="D14" s="2115">
        <v>1</v>
      </c>
      <c r="E14" s="1331">
        <f t="shared" ref="E14:E15" si="0">SUM(C14:D14)</f>
        <v>61</v>
      </c>
      <c r="F14" s="554"/>
      <c r="G14" s="184"/>
      <c r="H14" s="1876" t="s">
        <v>286</v>
      </c>
      <c r="I14" s="224"/>
      <c r="J14" s="1878" t="str">
        <f>IF(AND($D$18&gt;0,$D$12=0),"No intake?",IF(AND($D$12&gt;0,$D$18=0),"No enrolments",IF(OR($D$12&gt;$D$18,AND($D$12=$D$18,SUM($D$15:$D$17)&gt;0)),"Intake inconsistent with enrolments","OK")))</f>
        <v>OK</v>
      </c>
      <c r="K14" s="224"/>
      <c r="L14" s="1047">
        <f>'T1 Main Table'!$O$59</f>
        <v>6</v>
      </c>
      <c r="M14" s="368">
        <f>$D$18-$L$14</f>
        <v>0</v>
      </c>
      <c r="N14" s="1344" t="str">
        <f>IF(ABS(M14)&gt;0.1,"Does not equal figure in Table 1","OK")</f>
        <v>OK</v>
      </c>
      <c r="O14" s="184"/>
    </row>
    <row r="15" spans="1:15" ht="35.1" customHeight="1">
      <c r="A15" s="280"/>
      <c r="B15" s="2109">
        <v>2</v>
      </c>
      <c r="C15" s="2115">
        <v>37</v>
      </c>
      <c r="D15" s="2115">
        <v>2</v>
      </c>
      <c r="E15" s="1331">
        <f t="shared" si="0"/>
        <v>39</v>
      </c>
      <c r="F15" s="554"/>
      <c r="G15" s="184"/>
      <c r="H15" s="184"/>
      <c r="I15" s="224"/>
      <c r="J15" s="184"/>
      <c r="K15" s="224"/>
      <c r="L15" s="184"/>
      <c r="M15" s="184"/>
      <c r="N15" s="184"/>
      <c r="O15" s="184"/>
    </row>
    <row r="16" spans="1:15" ht="35.1" customHeight="1">
      <c r="A16" s="280"/>
      <c r="B16" s="2109">
        <v>3</v>
      </c>
      <c r="C16" s="2115">
        <v>34</v>
      </c>
      <c r="D16" s="2115">
        <v>3</v>
      </c>
      <c r="E16" s="1331">
        <f>SUM(C16:D16)</f>
        <v>37</v>
      </c>
      <c r="F16" s="554"/>
      <c r="G16" s="184"/>
      <c r="H16" s="555"/>
      <c r="I16" s="224"/>
      <c r="J16" s="556"/>
      <c r="K16" s="224"/>
      <c r="L16" s="184"/>
      <c r="M16" s="184"/>
      <c r="N16" s="184"/>
      <c r="O16" s="184"/>
    </row>
    <row r="17" spans="1:15" ht="35.1" customHeight="1" thickBot="1">
      <c r="A17" s="280"/>
      <c r="B17" s="2109">
        <v>4</v>
      </c>
      <c r="C17" s="2116">
        <v>31</v>
      </c>
      <c r="D17" s="2116"/>
      <c r="E17" s="2105">
        <f>SUM(C17:D17)</f>
        <v>31</v>
      </c>
      <c r="F17" s="554"/>
      <c r="G17" s="184"/>
      <c r="H17" s="555"/>
      <c r="I17" s="224"/>
      <c r="J17" s="292"/>
      <c r="K17" s="224"/>
      <c r="L17" s="184"/>
      <c r="M17" s="184"/>
      <c r="N17" s="184"/>
      <c r="O17" s="184"/>
    </row>
    <row r="18" spans="1:15" ht="35.1" customHeight="1" thickBot="1">
      <c r="A18" s="280"/>
      <c r="B18" s="2110" t="s">
        <v>2</v>
      </c>
      <c r="C18" s="2117">
        <f>SUM(C14:C17)</f>
        <v>162</v>
      </c>
      <c r="D18" s="2117">
        <f>SUM(D14:D17)</f>
        <v>6</v>
      </c>
      <c r="E18" s="1849">
        <f t="shared" ref="E18" si="1">SUM(E14:E17)</f>
        <v>168</v>
      </c>
      <c r="F18" s="550"/>
      <c r="G18" s="184"/>
      <c r="H18" s="184"/>
      <c r="I18" s="224"/>
      <c r="J18" s="184"/>
      <c r="K18" s="224"/>
      <c r="L18" s="184"/>
      <c r="M18" s="184"/>
      <c r="N18" s="184"/>
      <c r="O18" s="184"/>
    </row>
    <row r="19" spans="1:15" ht="24.95" customHeight="1">
      <c r="A19" s="289"/>
      <c r="B19" s="50"/>
      <c r="C19" s="50"/>
      <c r="D19" s="51"/>
      <c r="E19" s="51"/>
      <c r="F19" s="52"/>
      <c r="G19" s="184"/>
      <c r="H19" s="184"/>
      <c r="I19" s="224"/>
      <c r="J19" s="184"/>
      <c r="K19" s="224"/>
      <c r="L19" s="184"/>
      <c r="M19" s="184"/>
      <c r="N19" s="184"/>
      <c r="O19" s="184"/>
    </row>
    <row r="20" spans="1:15" s="509" customFormat="1" ht="12" customHeight="1">
      <c r="B20" s="510"/>
      <c r="I20" s="812"/>
      <c r="K20" s="812"/>
    </row>
    <row r="21" spans="1:15">
      <c r="D21" s="508"/>
      <c r="E21" s="508"/>
      <c r="F21" s="508"/>
      <c r="G21" s="508"/>
      <c r="H21" s="508"/>
    </row>
    <row r="22" spans="1:15">
      <c r="D22" s="508"/>
      <c r="E22" s="508"/>
      <c r="F22" s="508"/>
      <c r="G22" s="508"/>
    </row>
    <row r="23" spans="1:15">
      <c r="D23" s="508"/>
      <c r="E23" s="508"/>
      <c r="F23" s="508"/>
      <c r="G23" s="508"/>
    </row>
    <row r="28" spans="1:15" ht="12.75" customHeight="1"/>
  </sheetData>
  <sheetProtection password="E23E" sheet="1" objects="1" scenarios="1"/>
  <mergeCells count="4">
    <mergeCell ref="J9:J10"/>
    <mergeCell ref="C4:E4"/>
    <mergeCell ref="B9:B10"/>
    <mergeCell ref="M9:M10"/>
  </mergeCells>
  <conditionalFormatting sqref="B2">
    <cfRule type="expression" dxfId="36" priority="10" stopIfTrue="1">
      <formula>#REF!=0</formula>
    </cfRule>
  </conditionalFormatting>
  <conditionalFormatting sqref="A1:F1">
    <cfRule type="expression" dxfId="35" priority="172" stopIfTrue="1">
      <formula>$F$4=0</formula>
    </cfRule>
  </conditionalFormatting>
  <conditionalFormatting sqref="C12:D12 C14:D17">
    <cfRule type="expression" dxfId="34" priority="2">
      <formula>$F$4=1</formula>
    </cfRule>
  </conditionalFormatting>
  <conditionalFormatting sqref="J13:J14 N13:N14">
    <cfRule type="expression" dxfId="33" priority="1">
      <formula>J13&lt;&gt;"OK"</formula>
    </cfRule>
  </conditionalFormatting>
  <dataValidations count="2">
    <dataValidation type="custom" allowBlank="1" showErrorMessage="1" errorTitle="Number less than 0" error="You are trying to enter a number which is less than 0, please re-enter a valid number." sqref="C13:D13 E12:F17" xr:uid="{00000000-0002-0000-0B00-000000000000}">
      <formula1>C12&gt;=0</formula1>
    </dataValidation>
    <dataValidation type="decimal" operator="greaterThanOrEqual" allowBlank="1" showInputMessage="1" showErrorMessage="1" errorTitle="ERROR!" error="Invalid Entry" sqref="C12:D12 C14:D17" xr:uid="{00000000-0002-0000-0B00-000001000000}">
      <formula1>0</formula1>
    </dataValidation>
  </dataValidations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E50"/>
  <sheetViews>
    <sheetView zoomScale="80" zoomScaleNormal="80" workbookViewId="0"/>
  </sheetViews>
  <sheetFormatPr defaultColWidth="9.140625" defaultRowHeight="15"/>
  <cols>
    <col min="1" max="1" width="5.7109375" style="577" customWidth="1"/>
    <col min="2" max="2" width="110.7109375" style="577" customWidth="1"/>
    <col min="3" max="4" width="18.7109375" style="948" customWidth="1"/>
    <col min="5" max="5" width="5.7109375" style="577" customWidth="1"/>
    <col min="6" max="16384" width="9.140625" style="577"/>
  </cols>
  <sheetData>
    <row r="1" spans="1:5" ht="39.950000000000003" customHeight="1">
      <c r="A1" s="1106"/>
      <c r="B1" s="1518" t="str">
        <f>IF(C4=0,"Your Institution Does Not Complete This Table","")</f>
        <v/>
      </c>
      <c r="C1" s="1519"/>
      <c r="D1" s="1519"/>
      <c r="E1" s="1520"/>
    </row>
    <row r="2" spans="1:5" s="582" customFormat="1" ht="30" customHeight="1">
      <c r="A2" s="1521"/>
      <c r="B2" s="831" t="s">
        <v>438</v>
      </c>
      <c r="C2" s="1522"/>
      <c r="D2" s="1522"/>
      <c r="E2" s="922"/>
    </row>
    <row r="3" spans="1:5" ht="35.1" customHeight="1">
      <c r="A3" s="1107"/>
      <c r="B3" s="772" t="s">
        <v>0</v>
      </c>
      <c r="C3" s="591"/>
      <c r="D3" s="591"/>
      <c r="E3" s="923"/>
    </row>
    <row r="4" spans="1:5" ht="30" customHeight="1">
      <c r="A4" s="1107"/>
      <c r="B4" s="924" t="str">
        <f>'Background Data'!$G$2</f>
        <v>Glasgow, University of</v>
      </c>
      <c r="C4" s="925">
        <f>VLOOKUP('Background Data'!$F$2,Inst_Tables,15,FALSE)</f>
        <v>1</v>
      </c>
      <c r="D4" s="925">
        <f>VLOOKUP('Background Data'!$F$2,Inst_Tables,10,FALSE)</f>
        <v>0</v>
      </c>
      <c r="E4" s="923"/>
    </row>
    <row r="5" spans="1:5" s="768" customFormat="1" ht="30" customHeight="1">
      <c r="A5" s="1479"/>
      <c r="B5" s="773" t="s">
        <v>529</v>
      </c>
      <c r="C5" s="926"/>
      <c r="D5" s="926"/>
      <c r="E5" s="927"/>
    </row>
    <row r="6" spans="1:5" s="768" customFormat="1" ht="24.95" customHeight="1">
      <c r="A6" s="1479"/>
      <c r="B6" s="11" t="s">
        <v>530</v>
      </c>
      <c r="C6" s="926"/>
      <c r="D6" s="926"/>
      <c r="E6" s="927"/>
    </row>
    <row r="7" spans="1:5" s="768" customFormat="1" ht="24.95" customHeight="1">
      <c r="A7" s="1479"/>
      <c r="B7" s="11" t="s">
        <v>552</v>
      </c>
      <c r="C7" s="926"/>
      <c r="D7" s="926"/>
      <c r="E7" s="927"/>
    </row>
    <row r="8" spans="1:5" ht="9.9499999999999993" customHeight="1">
      <c r="A8" s="1107"/>
      <c r="B8" s="928"/>
      <c r="C8" s="929"/>
      <c r="D8" s="929"/>
      <c r="E8" s="930"/>
    </row>
    <row r="9" spans="1:5" ht="9.9499999999999993" customHeight="1" thickBot="1">
      <c r="A9" s="1107"/>
      <c r="B9" s="928"/>
      <c r="C9" s="929"/>
      <c r="D9" s="929"/>
      <c r="E9" s="930"/>
    </row>
    <row r="10" spans="1:5" ht="75" customHeight="1">
      <c r="A10" s="1107"/>
      <c r="B10" s="931" t="s">
        <v>137</v>
      </c>
      <c r="C10" s="2702" t="s">
        <v>531</v>
      </c>
      <c r="D10" s="2703"/>
      <c r="E10" s="927"/>
    </row>
    <row r="11" spans="1:5" ht="80.099999999999994" customHeight="1">
      <c r="A11" s="1107"/>
      <c r="B11" s="935"/>
      <c r="C11" s="2139" t="s">
        <v>445</v>
      </c>
      <c r="D11" s="2139" t="s">
        <v>532</v>
      </c>
      <c r="E11" s="927"/>
    </row>
    <row r="12" spans="1:5" ht="24.95" customHeight="1">
      <c r="A12" s="1107"/>
      <c r="B12" s="932"/>
      <c r="C12" s="933" t="s">
        <v>16</v>
      </c>
      <c r="D12" s="933" t="s">
        <v>16</v>
      </c>
      <c r="E12" s="934"/>
    </row>
    <row r="13" spans="1:5" ht="24.95" customHeight="1">
      <c r="A13" s="1107"/>
      <c r="B13" s="935" t="s">
        <v>29</v>
      </c>
      <c r="C13" s="1523" t="s">
        <v>29</v>
      </c>
      <c r="D13" s="1523" t="s">
        <v>29</v>
      </c>
      <c r="E13" s="934"/>
    </row>
    <row r="14" spans="1:5" ht="24.95" customHeight="1" thickBot="1">
      <c r="A14" s="1107"/>
      <c r="B14" s="936">
        <v>1</v>
      </c>
      <c r="C14" s="937">
        <v>2</v>
      </c>
      <c r="D14" s="937">
        <v>3</v>
      </c>
      <c r="E14" s="938"/>
    </row>
    <row r="15" spans="1:5" ht="35.1" customHeight="1">
      <c r="A15" s="949"/>
      <c r="B15" s="939"/>
      <c r="C15" s="1524"/>
      <c r="D15" s="1524"/>
      <c r="E15" s="938"/>
    </row>
    <row r="16" spans="1:5" ht="35.1" customHeight="1">
      <c r="A16" s="949"/>
      <c r="B16" s="939"/>
      <c r="C16" s="1524"/>
      <c r="D16" s="1524"/>
      <c r="E16" s="938"/>
    </row>
    <row r="17" spans="1:5" ht="35.1" customHeight="1">
      <c r="A17" s="949"/>
      <c r="B17" s="939"/>
      <c r="C17" s="1524"/>
      <c r="D17" s="1524"/>
      <c r="E17" s="938"/>
    </row>
    <row r="18" spans="1:5" ht="35.1" customHeight="1">
      <c r="A18" s="949"/>
      <c r="B18" s="939"/>
      <c r="C18" s="1524"/>
      <c r="D18" s="1524"/>
      <c r="E18" s="938"/>
    </row>
    <row r="19" spans="1:5" ht="35.1" customHeight="1">
      <c r="A19" s="949"/>
      <c r="B19" s="939"/>
      <c r="C19" s="1524"/>
      <c r="D19" s="1524"/>
      <c r="E19" s="938"/>
    </row>
    <row r="20" spans="1:5" ht="35.1" customHeight="1">
      <c r="A20" s="949"/>
      <c r="B20" s="939"/>
      <c r="C20" s="1524"/>
      <c r="D20" s="1524"/>
      <c r="E20" s="938"/>
    </row>
    <row r="21" spans="1:5" ht="35.1" customHeight="1">
      <c r="A21" s="949"/>
      <c r="B21" s="939"/>
      <c r="C21" s="1524"/>
      <c r="D21" s="1524"/>
      <c r="E21" s="938"/>
    </row>
    <row r="22" spans="1:5" ht="35.1" customHeight="1">
      <c r="A22" s="949"/>
      <c r="B22" s="939"/>
      <c r="C22" s="1524"/>
      <c r="D22" s="1524"/>
      <c r="E22" s="938"/>
    </row>
    <row r="23" spans="1:5" ht="35.1" customHeight="1">
      <c r="A23" s="949"/>
      <c r="B23" s="939"/>
      <c r="C23" s="1524"/>
      <c r="D23" s="1524"/>
      <c r="E23" s="938"/>
    </row>
    <row r="24" spans="1:5" ht="35.1" customHeight="1">
      <c r="A24" s="949"/>
      <c r="B24" s="939"/>
      <c r="C24" s="1524"/>
      <c r="D24" s="1524"/>
      <c r="E24" s="938"/>
    </row>
    <row r="25" spans="1:5" ht="35.1" customHeight="1">
      <c r="A25" s="949"/>
      <c r="B25" s="939"/>
      <c r="C25" s="1524"/>
      <c r="D25" s="1524"/>
      <c r="E25" s="938"/>
    </row>
    <row r="26" spans="1:5" ht="35.1" customHeight="1">
      <c r="A26" s="949"/>
      <c r="B26" s="939"/>
      <c r="C26" s="1524"/>
      <c r="D26" s="1524"/>
      <c r="E26" s="938"/>
    </row>
    <row r="27" spans="1:5" ht="35.1" customHeight="1">
      <c r="A27" s="949"/>
      <c r="B27" s="939"/>
      <c r="C27" s="1524"/>
      <c r="D27" s="1524"/>
      <c r="E27" s="938"/>
    </row>
    <row r="28" spans="1:5" ht="35.1" customHeight="1">
      <c r="A28" s="949"/>
      <c r="B28" s="940"/>
      <c r="C28" s="1525"/>
      <c r="D28" s="1525"/>
      <c r="E28" s="840"/>
    </row>
    <row r="29" spans="1:5" ht="35.1" customHeight="1">
      <c r="A29" s="949"/>
      <c r="B29" s="940"/>
      <c r="C29" s="1525"/>
      <c r="D29" s="1525"/>
      <c r="E29" s="840"/>
    </row>
    <row r="30" spans="1:5" ht="35.1" customHeight="1">
      <c r="A30" s="949"/>
      <c r="B30" s="940"/>
      <c r="C30" s="1525"/>
      <c r="D30" s="1525"/>
      <c r="E30" s="840"/>
    </row>
    <row r="31" spans="1:5" ht="35.1" customHeight="1">
      <c r="A31" s="949"/>
      <c r="B31" s="940"/>
      <c r="C31" s="941"/>
      <c r="D31" s="941"/>
      <c r="E31" s="840"/>
    </row>
    <row r="32" spans="1:5" ht="35.1" customHeight="1">
      <c r="A32" s="949"/>
      <c r="B32" s="940"/>
      <c r="C32" s="1525"/>
      <c r="D32" s="1525"/>
      <c r="E32" s="840"/>
    </row>
    <row r="33" spans="1:5" ht="35.1" customHeight="1">
      <c r="A33" s="949"/>
      <c r="B33" s="940"/>
      <c r="C33" s="1525"/>
      <c r="D33" s="1525"/>
      <c r="E33" s="840"/>
    </row>
    <row r="34" spans="1:5" ht="35.1" customHeight="1">
      <c r="A34" s="949"/>
      <c r="B34" s="940"/>
      <c r="C34" s="1525"/>
      <c r="D34" s="1525"/>
      <c r="E34" s="840"/>
    </row>
    <row r="35" spans="1:5" ht="35.1" customHeight="1">
      <c r="A35" s="949"/>
      <c r="B35" s="940"/>
      <c r="C35" s="1525"/>
      <c r="D35" s="1525"/>
      <c r="E35" s="840"/>
    </row>
    <row r="36" spans="1:5" ht="35.1" customHeight="1">
      <c r="A36" s="949"/>
      <c r="B36" s="940"/>
      <c r="C36" s="1525"/>
      <c r="D36" s="1525"/>
      <c r="E36" s="840"/>
    </row>
    <row r="37" spans="1:5" ht="35.1" customHeight="1">
      <c r="A37" s="949"/>
      <c r="B37" s="940"/>
      <c r="C37" s="1525"/>
      <c r="D37" s="1525"/>
      <c r="E37" s="840"/>
    </row>
    <row r="38" spans="1:5" ht="35.1" customHeight="1">
      <c r="A38" s="949"/>
      <c r="B38" s="940"/>
      <c r="C38" s="1525"/>
      <c r="D38" s="1525"/>
      <c r="E38" s="840"/>
    </row>
    <row r="39" spans="1:5" ht="35.1" customHeight="1">
      <c r="A39" s="949"/>
      <c r="B39" s="940"/>
      <c r="C39" s="1525"/>
      <c r="D39" s="1525"/>
      <c r="E39" s="840"/>
    </row>
    <row r="40" spans="1:5" ht="35.1" customHeight="1">
      <c r="A40" s="949"/>
      <c r="B40" s="940"/>
      <c r="C40" s="1525"/>
      <c r="D40" s="1525"/>
      <c r="E40" s="840"/>
    </row>
    <row r="41" spans="1:5" ht="35.1" customHeight="1">
      <c r="A41" s="949"/>
      <c r="B41" s="940"/>
      <c r="C41" s="941"/>
      <c r="D41" s="941"/>
      <c r="E41" s="840"/>
    </row>
    <row r="42" spans="1:5" ht="35.1" customHeight="1">
      <c r="A42" s="949"/>
      <c r="B42" s="940"/>
      <c r="C42" s="1525"/>
      <c r="D42" s="1525"/>
      <c r="E42" s="840"/>
    </row>
    <row r="43" spans="1:5" ht="35.1" customHeight="1">
      <c r="A43" s="949"/>
      <c r="B43" s="940"/>
      <c r="C43" s="1525"/>
      <c r="D43" s="1525"/>
      <c r="E43" s="840"/>
    </row>
    <row r="44" spans="1:5" ht="35.1" customHeight="1">
      <c r="A44" s="949"/>
      <c r="B44" s="940"/>
      <c r="C44" s="1525"/>
      <c r="D44" s="1525"/>
      <c r="E44" s="840"/>
    </row>
    <row r="45" spans="1:5" ht="35.1" customHeight="1" thickBot="1">
      <c r="A45" s="949"/>
      <c r="B45" s="1526"/>
      <c r="C45" s="941"/>
      <c r="D45" s="941"/>
      <c r="E45" s="840"/>
    </row>
    <row r="46" spans="1:5" ht="35.1" customHeight="1" thickBot="1">
      <c r="A46" s="1107"/>
      <c r="B46" s="2140" t="s">
        <v>2</v>
      </c>
      <c r="C46" s="2141">
        <f>SUM(C15:C45)</f>
        <v>0</v>
      </c>
      <c r="D46" s="2141">
        <f>SUM(D15:D45)</f>
        <v>0</v>
      </c>
      <c r="E46" s="840"/>
    </row>
    <row r="47" spans="1:5" ht="35.1" customHeight="1">
      <c r="A47" s="1107"/>
      <c r="B47" s="2140" t="s">
        <v>446</v>
      </c>
      <c r="C47" s="2142">
        <f>VLOOKUP('Background Data'!$F$2,Inst_FPs,3,FALSE)</f>
        <v>2.5</v>
      </c>
      <c r="D47" s="2143"/>
      <c r="E47" s="840"/>
    </row>
    <row r="48" spans="1:5" ht="35.1" customHeight="1" thickBot="1">
      <c r="A48" s="1107"/>
      <c r="B48" s="942" t="s">
        <v>296</v>
      </c>
      <c r="C48" s="943">
        <f>C46-C47</f>
        <v>-2.5</v>
      </c>
      <c r="D48" s="2144"/>
      <c r="E48" s="840"/>
    </row>
    <row r="49" spans="1:5" ht="30" customHeight="1">
      <c r="A49" s="1107"/>
      <c r="B49" s="944" t="s">
        <v>447</v>
      </c>
      <c r="C49" s="945"/>
      <c r="D49" s="945"/>
      <c r="E49" s="840"/>
    </row>
    <row r="50" spans="1:5" ht="20.100000000000001" customHeight="1">
      <c r="A50" s="946"/>
      <c r="B50" s="615"/>
      <c r="C50" s="947"/>
      <c r="D50" s="947"/>
      <c r="E50" s="616"/>
    </row>
  </sheetData>
  <sheetProtection password="E23E" sheet="1" objects="1" scenarios="1"/>
  <mergeCells count="1">
    <mergeCell ref="C10:D10"/>
  </mergeCells>
  <conditionalFormatting sqref="A1:C1 E1">
    <cfRule type="expression" dxfId="32" priority="7" stopIfTrue="1">
      <formula>$C$4=0</formula>
    </cfRule>
  </conditionalFormatting>
  <conditionalFormatting sqref="B8:B9">
    <cfRule type="expression" dxfId="31" priority="5" stopIfTrue="1">
      <formula>#REF!=0</formula>
    </cfRule>
  </conditionalFormatting>
  <conditionalFormatting sqref="B15:D45">
    <cfRule type="expression" dxfId="30" priority="4">
      <formula>$C$4=1</formula>
    </cfRule>
  </conditionalFormatting>
  <conditionalFormatting sqref="B2">
    <cfRule type="expression" dxfId="29" priority="3" stopIfTrue="1">
      <formula>#REF!=0</formula>
    </cfRule>
  </conditionalFormatting>
  <conditionalFormatting sqref="D1">
    <cfRule type="expression" dxfId="28" priority="2" stopIfTrue="1">
      <formula>$C$4=0</formula>
    </cfRule>
  </conditionalFormatting>
  <dataValidations count="2">
    <dataValidation allowBlank="1" sqref="B50 B4 C2:D2 B51:E65424 C10:C14 E5:E9 D11:D14 B10:B48 F1:IM1048576 C46:D50 E31:E50" xr:uid="{00000000-0002-0000-0C00-000000000000}"/>
    <dataValidation type="decimal" operator="greaterThanOrEqual" allowBlank="1" showErrorMessage="1" error="Invalid Entry" sqref="C15:D45" xr:uid="{00000000-0002-0000-0C00-000001000000}">
      <formula1>0</formula1>
    </dataValidation>
  </dataValidations>
  <pageMargins left="0.19685039370078741" right="0.19685039370078741" top="0.19685039370078741" bottom="0.19685039370078741" header="0" footer="0"/>
  <pageSetup paperSize="9" scale="60" fitToHeight="2" orientation="portrait" r:id="rId1"/>
  <headerFooter alignWithMargins="0"/>
  <rowBreaks count="1" manualBreakCount="1">
    <brk id="30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G20"/>
  <sheetViews>
    <sheetView topLeftCell="A7" zoomScaleNormal="100" workbookViewId="0">
      <selection activeCell="E15" sqref="E15"/>
    </sheetView>
  </sheetViews>
  <sheetFormatPr defaultColWidth="9.140625" defaultRowHeight="15"/>
  <cols>
    <col min="1" max="1" width="5.7109375" style="577" customWidth="1"/>
    <col min="2" max="2" width="53.7109375" style="577" customWidth="1"/>
    <col min="3" max="3" width="40" style="577" customWidth="1"/>
    <col min="4" max="5" width="15.7109375" style="577" customWidth="1"/>
    <col min="6" max="6" width="37.28515625" style="577" customWidth="1"/>
    <col min="7" max="7" width="8.7109375" style="577" customWidth="1"/>
    <col min="8" max="16384" width="9.140625" style="577"/>
  </cols>
  <sheetData>
    <row r="1" spans="1:7">
      <c r="A1" s="576"/>
      <c r="B1" s="576"/>
      <c r="C1" s="576"/>
      <c r="D1" s="576"/>
      <c r="E1" s="576"/>
      <c r="F1" s="576"/>
      <c r="G1" s="576"/>
    </row>
    <row r="2" spans="1:7" s="582" customFormat="1" ht="30" customHeight="1">
      <c r="A2" s="578"/>
      <c r="B2" s="579" t="s">
        <v>437</v>
      </c>
      <c r="C2" s="580"/>
      <c r="D2" s="580"/>
      <c r="E2" s="580"/>
      <c r="F2" s="581"/>
      <c r="G2" s="622"/>
    </row>
    <row r="3" spans="1:7" s="582" customFormat="1" ht="15" customHeight="1" thickBot="1">
      <c r="A3" s="583"/>
      <c r="B3" s="584"/>
      <c r="C3" s="585"/>
      <c r="D3" s="585"/>
      <c r="E3" s="585"/>
      <c r="F3" s="586"/>
      <c r="G3" s="622"/>
    </row>
    <row r="4" spans="1:7" ht="35.1" customHeight="1" thickBot="1">
      <c r="A4" s="587"/>
      <c r="B4" s="588" t="s">
        <v>0</v>
      </c>
      <c r="C4" s="629" t="str">
        <f>'Background Data'!$G$2</f>
        <v>Glasgow, University of</v>
      </c>
      <c r="D4" s="589"/>
      <c r="E4" s="589"/>
      <c r="F4" s="590"/>
      <c r="G4" s="576"/>
    </row>
    <row r="5" spans="1:7" ht="30" customHeight="1">
      <c r="A5" s="587"/>
      <c r="B5" s="584" t="s">
        <v>441</v>
      </c>
      <c r="C5" s="591"/>
      <c r="D5" s="591"/>
      <c r="E5" s="591"/>
      <c r="F5" s="592"/>
      <c r="G5" s="576"/>
    </row>
    <row r="6" spans="1:7" ht="24.95" customHeight="1">
      <c r="A6" s="587"/>
      <c r="B6" s="11" t="s">
        <v>545</v>
      </c>
      <c r="C6" s="591"/>
      <c r="D6" s="591"/>
      <c r="E6" s="591"/>
      <c r="F6" s="592"/>
      <c r="G6" s="576"/>
    </row>
    <row r="7" spans="1:7" ht="9.9499999999999993" customHeight="1" thickBot="1">
      <c r="A7" s="587"/>
      <c r="B7" s="591"/>
      <c r="C7" s="591"/>
      <c r="D7" s="591"/>
      <c r="E7" s="591"/>
      <c r="F7" s="592"/>
      <c r="G7" s="576"/>
    </row>
    <row r="8" spans="1:7" ht="84.95" customHeight="1">
      <c r="A8" s="587"/>
      <c r="B8" s="593" t="s">
        <v>232</v>
      </c>
      <c r="C8" s="594" t="s">
        <v>233</v>
      </c>
      <c r="D8" s="595" t="s">
        <v>234</v>
      </c>
      <c r="E8" s="595" t="s">
        <v>235</v>
      </c>
      <c r="F8" s="592"/>
      <c r="G8" s="576"/>
    </row>
    <row r="9" spans="1:7" ht="24.95" customHeight="1">
      <c r="A9" s="587"/>
      <c r="B9" s="596"/>
      <c r="C9" s="597"/>
      <c r="D9" s="598" t="s">
        <v>16</v>
      </c>
      <c r="E9" s="598" t="s">
        <v>16</v>
      </c>
      <c r="F9" s="592"/>
      <c r="G9" s="576"/>
    </row>
    <row r="10" spans="1:7" ht="24.95" customHeight="1">
      <c r="A10" s="839"/>
      <c r="B10" s="596"/>
      <c r="C10" s="597"/>
      <c r="D10" s="824" t="s">
        <v>287</v>
      </c>
      <c r="E10" s="598" t="s">
        <v>29</v>
      </c>
      <c r="F10" s="840"/>
      <c r="G10" s="576"/>
    </row>
    <row r="11" spans="1:7" ht="24.95" customHeight="1" thickBot="1">
      <c r="A11" s="587"/>
      <c r="B11" s="599"/>
      <c r="C11" s="600"/>
      <c r="D11" s="601">
        <v>1</v>
      </c>
      <c r="E11" s="601">
        <v>2</v>
      </c>
      <c r="F11" s="592"/>
      <c r="G11" s="576"/>
    </row>
    <row r="12" spans="1:7" ht="30" customHeight="1">
      <c r="A12" s="587"/>
      <c r="B12" s="596" t="s">
        <v>236</v>
      </c>
      <c r="C12" s="597" t="str">
        <f t="shared" ref="C12:C17" si="0">VLOOKUP(B12,Innov_Centres,2,FALSE)</f>
        <v>Edinburgh Napier University</v>
      </c>
      <c r="D12" s="841">
        <f t="shared" ref="D12:D17" si="1">VLOOKUP(B12,Innov_Centres,3,FALSE)</f>
        <v>20</v>
      </c>
      <c r="E12" s="602"/>
      <c r="F12" s="592"/>
      <c r="G12" s="576"/>
    </row>
    <row r="13" spans="1:7" ht="30" customHeight="1">
      <c r="A13" s="587"/>
      <c r="B13" s="603" t="s">
        <v>237</v>
      </c>
      <c r="C13" s="604" t="str">
        <f t="shared" si="0"/>
        <v>Edinburgh, University of</v>
      </c>
      <c r="D13" s="842">
        <f t="shared" si="1"/>
        <v>75</v>
      </c>
      <c r="E13" s="605">
        <v>18.5</v>
      </c>
      <c r="F13" s="592"/>
      <c r="G13" s="576"/>
    </row>
    <row r="14" spans="1:7" ht="30" customHeight="1">
      <c r="A14" s="587"/>
      <c r="B14" s="603" t="s">
        <v>238</v>
      </c>
      <c r="C14" s="604" t="str">
        <f t="shared" si="0"/>
        <v>Strathclyde, University of</v>
      </c>
      <c r="D14" s="842">
        <f t="shared" si="1"/>
        <v>20</v>
      </c>
      <c r="E14" s="605"/>
      <c r="F14" s="592"/>
      <c r="G14" s="576"/>
    </row>
    <row r="15" spans="1:7" ht="30" customHeight="1">
      <c r="A15" s="587"/>
      <c r="B15" s="603" t="s">
        <v>239</v>
      </c>
      <c r="C15" s="604" t="str">
        <f t="shared" si="0"/>
        <v>Glasgow, University of</v>
      </c>
      <c r="D15" s="842">
        <f t="shared" si="1"/>
        <v>35</v>
      </c>
      <c r="E15" s="605">
        <v>36.25</v>
      </c>
      <c r="F15" s="592"/>
      <c r="G15" s="576"/>
    </row>
    <row r="16" spans="1:7" ht="30" customHeight="1">
      <c r="A16" s="587"/>
      <c r="B16" s="603" t="s">
        <v>240</v>
      </c>
      <c r="C16" s="604" t="str">
        <f t="shared" si="0"/>
        <v>Stirling, University of</v>
      </c>
      <c r="D16" s="842">
        <f t="shared" si="1"/>
        <v>25</v>
      </c>
      <c r="E16" s="605"/>
      <c r="F16" s="592"/>
      <c r="G16" s="576"/>
    </row>
    <row r="17" spans="1:7" ht="30" customHeight="1" thickBot="1">
      <c r="A17" s="587"/>
      <c r="B17" s="606" t="s">
        <v>241</v>
      </c>
      <c r="C17" s="607" t="str">
        <f t="shared" si="0"/>
        <v>Strathclyde, University of</v>
      </c>
      <c r="D17" s="843">
        <f t="shared" si="1"/>
        <v>30</v>
      </c>
      <c r="E17" s="608"/>
      <c r="F17" s="592"/>
      <c r="G17" s="576"/>
    </row>
    <row r="18" spans="1:7" ht="27" customHeight="1" thickBot="1">
      <c r="A18" s="587"/>
      <c r="B18" s="609" t="s">
        <v>2</v>
      </c>
      <c r="C18" s="610"/>
      <c r="D18" s="611"/>
      <c r="E18" s="612">
        <f>SUM(E12:E17)</f>
        <v>54.75</v>
      </c>
      <c r="F18" s="592"/>
      <c r="G18" s="576"/>
    </row>
    <row r="19" spans="1:7" ht="30" customHeight="1">
      <c r="A19" s="587"/>
      <c r="B19" s="613" t="s">
        <v>242</v>
      </c>
      <c r="C19" s="591"/>
      <c r="D19" s="591"/>
      <c r="E19" s="591"/>
      <c r="F19" s="592"/>
      <c r="G19" s="576"/>
    </row>
    <row r="20" spans="1:7">
      <c r="A20" s="614"/>
      <c r="B20" s="615"/>
      <c r="C20" s="615"/>
      <c r="D20" s="615"/>
      <c r="E20" s="615"/>
      <c r="F20" s="616"/>
      <c r="G20" s="576"/>
    </row>
  </sheetData>
  <sheetProtection password="E23E" sheet="1" objects="1" scenarios="1"/>
  <conditionalFormatting sqref="B12:C17">
    <cfRule type="expression" dxfId="27" priority="1">
      <formula>$C12=$C$4</formula>
    </cfRule>
  </conditionalFormatting>
  <dataValidations count="2">
    <dataValidation allowBlank="1" sqref="C4 C2:F3 G2:IM4 D10" xr:uid="{00000000-0002-0000-0D00-000000000000}"/>
    <dataValidation type="decimal" operator="greaterThanOrEqual" allowBlank="1" showInputMessage="1" showErrorMessage="1" errorTitle="ERROR!" error="Invalid Entry" sqref="E12:E17" xr:uid="{00000000-0002-0000-0D00-000001000000}">
      <formula1>0</formula1>
    </dataValidation>
  </dataValidations>
  <pageMargins left="0.19685039370078741" right="0.19685039370078741" top="0.19685039370078741" bottom="0.39370078740157483" header="0" footer="0"/>
  <pageSetup paperSize="9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18"/>
  <sheetViews>
    <sheetView topLeftCell="A7" zoomScaleNormal="100" workbookViewId="0">
      <selection activeCell="C20" sqref="C20"/>
    </sheetView>
  </sheetViews>
  <sheetFormatPr defaultColWidth="9.140625" defaultRowHeight="15"/>
  <cols>
    <col min="1" max="1" width="2.7109375" style="507" customWidth="1"/>
    <col min="2" max="2" width="61.140625" style="507" customWidth="1"/>
    <col min="3" max="4" width="14.7109375" style="507" customWidth="1"/>
    <col min="5" max="5" width="10.7109375" style="507" customWidth="1"/>
    <col min="6" max="6" width="5.7109375" style="507" customWidth="1"/>
    <col min="7" max="7" width="33.7109375" style="507" customWidth="1"/>
    <col min="8" max="8" width="38.85546875" style="507" customWidth="1"/>
    <col min="9" max="9" width="5.7109375" style="517" customWidth="1"/>
    <col min="10" max="10" width="5.7109375" style="507" customWidth="1"/>
    <col min="11" max="11" width="33.28515625" style="507" customWidth="1"/>
    <col min="12" max="12" width="31.140625" style="507" customWidth="1"/>
    <col min="13" max="13" width="40.140625" style="507" customWidth="1"/>
    <col min="14" max="16384" width="9.140625" style="507"/>
  </cols>
  <sheetData>
    <row r="1" spans="1:14" ht="39.950000000000003" customHeight="1">
      <c r="A1" s="319"/>
      <c r="B1" s="192" t="str">
        <f>IF(C5=0,"Your Institution Does Not Complete This Table","")</f>
        <v/>
      </c>
      <c r="C1" s="3"/>
      <c r="D1" s="3"/>
      <c r="E1" s="3"/>
      <c r="F1" s="3"/>
      <c r="G1" s="3"/>
      <c r="H1" s="3"/>
      <c r="I1" s="3"/>
      <c r="J1" s="184"/>
      <c r="K1" s="184"/>
      <c r="L1" s="184"/>
      <c r="M1" s="184"/>
      <c r="N1" s="184"/>
    </row>
    <row r="2" spans="1:14" s="515" customFormat="1" ht="30" customHeight="1">
      <c r="A2" s="2128"/>
      <c r="B2" s="458" t="s">
        <v>297</v>
      </c>
      <c r="C2" s="458"/>
      <c r="D2" s="458"/>
      <c r="E2" s="2129"/>
      <c r="F2" s="458"/>
      <c r="G2" s="831"/>
      <c r="H2" s="458"/>
      <c r="I2" s="715"/>
      <c r="J2" s="850"/>
      <c r="K2" s="184"/>
      <c r="L2" s="184"/>
      <c r="M2" s="184"/>
      <c r="N2" s="850"/>
    </row>
    <row r="3" spans="1:14" s="515" customFormat="1" ht="15" customHeight="1">
      <c r="A3" s="2130"/>
      <c r="B3" s="328"/>
      <c r="C3" s="276"/>
      <c r="D3" s="276"/>
      <c r="E3" s="2131"/>
      <c r="F3" s="276"/>
      <c r="G3" s="276"/>
      <c r="H3" s="276"/>
      <c r="I3" s="834"/>
      <c r="J3" s="850"/>
      <c r="K3" s="184"/>
      <c r="L3" s="184"/>
      <c r="M3" s="184"/>
      <c r="N3" s="850"/>
    </row>
    <row r="4" spans="1:14" ht="35.1" customHeight="1" thickBot="1">
      <c r="A4" s="1025"/>
      <c r="B4" s="349" t="s">
        <v>0</v>
      </c>
      <c r="C4" s="224"/>
      <c r="D4" s="224"/>
      <c r="E4" s="1496"/>
      <c r="F4" s="224"/>
      <c r="G4" s="46"/>
      <c r="H4" s="46"/>
      <c r="I4" s="835"/>
      <c r="J4" s="184"/>
      <c r="K4" s="184"/>
      <c r="L4" s="184"/>
      <c r="M4" s="184"/>
      <c r="N4" s="184"/>
    </row>
    <row r="5" spans="1:14" ht="35.1" customHeight="1" thickBot="1">
      <c r="A5" s="1025"/>
      <c r="B5" s="628" t="str">
        <f>'Background Data'!$G$2</f>
        <v>Glasgow, University of</v>
      </c>
      <c r="C5" s="832">
        <f>VLOOKUP('Background Data'!$F$2,Inst_Tables,16,FALSE)</f>
        <v>1</v>
      </c>
      <c r="D5" s="46">
        <f>VLOOKUP('Background Data'!$F$2,Inst_Tables,9,FALSE)</f>
        <v>1</v>
      </c>
      <c r="E5" s="837"/>
      <c r="F5" s="46"/>
      <c r="G5" s="46"/>
      <c r="H5" s="46"/>
      <c r="I5" s="835"/>
      <c r="J5" s="184"/>
      <c r="K5" s="184"/>
      <c r="L5" s="184"/>
      <c r="M5" s="184"/>
      <c r="N5" s="184"/>
    </row>
    <row r="6" spans="1:14" s="509" customFormat="1" ht="35.1" customHeight="1">
      <c r="A6" s="1130"/>
      <c r="B6" s="350" t="s">
        <v>440</v>
      </c>
      <c r="C6" s="193"/>
      <c r="D6" s="193"/>
      <c r="E6" s="836"/>
      <c r="F6" s="193"/>
      <c r="G6" s="193"/>
      <c r="H6" s="193"/>
      <c r="I6" s="836"/>
      <c r="J6" s="851"/>
      <c r="K6" s="184"/>
      <c r="L6" s="184"/>
      <c r="M6" s="184"/>
      <c r="N6" s="851"/>
    </row>
    <row r="7" spans="1:14" s="509" customFormat="1" ht="30" customHeight="1">
      <c r="A7" s="1130"/>
      <c r="B7" s="11" t="s">
        <v>546</v>
      </c>
      <c r="C7" s="193"/>
      <c r="D7" s="193"/>
      <c r="E7" s="836"/>
      <c r="F7" s="193"/>
      <c r="G7" s="193"/>
      <c r="H7" s="193"/>
      <c r="I7" s="836"/>
      <c r="J7" s="851"/>
      <c r="K7" s="184"/>
      <c r="L7" s="184"/>
      <c r="M7" s="184"/>
      <c r="N7" s="851"/>
    </row>
    <row r="8" spans="1:14" s="509" customFormat="1" ht="15" customHeight="1" thickBot="1">
      <c r="A8" s="1130"/>
      <c r="B8" s="197"/>
      <c r="C8" s="193"/>
      <c r="D8" s="193"/>
      <c r="E8" s="836"/>
      <c r="F8" s="193"/>
      <c r="G8" s="193"/>
      <c r="H8" s="193"/>
      <c r="I8" s="837"/>
      <c r="J8" s="851"/>
      <c r="K8" s="184"/>
      <c r="L8" s="184"/>
      <c r="M8" s="184"/>
      <c r="N8" s="851"/>
    </row>
    <row r="9" spans="1:14" s="509" customFormat="1" ht="30" customHeight="1">
      <c r="A9" s="1130"/>
      <c r="B9" s="2120"/>
      <c r="C9" s="2704" t="s">
        <v>137</v>
      </c>
      <c r="D9" s="2705"/>
      <c r="E9" s="836"/>
      <c r="F9" s="193"/>
      <c r="G9" s="292"/>
      <c r="H9" s="292"/>
      <c r="I9" s="837"/>
      <c r="J9" s="851"/>
      <c r="K9" s="184"/>
      <c r="L9" s="184"/>
      <c r="M9" s="184"/>
      <c r="N9" s="851"/>
    </row>
    <row r="10" spans="1:14" s="509" customFormat="1" ht="54.95" customHeight="1">
      <c r="A10" s="1130"/>
      <c r="B10" s="2121"/>
      <c r="C10" s="2119" t="s">
        <v>220</v>
      </c>
      <c r="D10" s="2119" t="s">
        <v>221</v>
      </c>
      <c r="E10" s="836"/>
      <c r="F10" s="193"/>
      <c r="G10" s="292"/>
      <c r="H10" s="292"/>
      <c r="I10" s="837"/>
      <c r="J10" s="851"/>
      <c r="K10" s="184"/>
      <c r="L10" s="184"/>
      <c r="M10" s="184"/>
      <c r="N10" s="851"/>
    </row>
    <row r="11" spans="1:14" s="509" customFormat="1" ht="24.95" customHeight="1">
      <c r="A11" s="1130"/>
      <c r="B11" s="2121"/>
      <c r="C11" s="369" t="s">
        <v>16</v>
      </c>
      <c r="D11" s="369" t="s">
        <v>16</v>
      </c>
      <c r="E11" s="836"/>
      <c r="F11" s="193"/>
      <c r="G11" s="292"/>
      <c r="H11" s="292"/>
      <c r="I11" s="837"/>
      <c r="J11" s="851"/>
      <c r="K11" s="184"/>
      <c r="L11" s="184"/>
      <c r="M11" s="184"/>
      <c r="N11" s="851"/>
    </row>
    <row r="12" spans="1:14" s="509" customFormat="1" ht="24.95" customHeight="1">
      <c r="A12" s="1130"/>
      <c r="B12" s="2121"/>
      <c r="C12" s="2124" t="s">
        <v>29</v>
      </c>
      <c r="D12" s="2124" t="s">
        <v>29</v>
      </c>
      <c r="E12" s="836"/>
      <c r="F12" s="193"/>
      <c r="G12" s="1052" t="s">
        <v>346</v>
      </c>
      <c r="H12" s="292"/>
      <c r="I12" s="837"/>
      <c r="J12" s="851"/>
      <c r="K12" s="184"/>
      <c r="L12" s="184"/>
      <c r="M12" s="184"/>
      <c r="N12" s="851"/>
    </row>
    <row r="13" spans="1:14" s="509" customFormat="1" ht="24.95" customHeight="1" thickBot="1">
      <c r="A13" s="1130"/>
      <c r="B13" s="2121"/>
      <c r="C13" s="423">
        <v>1</v>
      </c>
      <c r="D13" s="423">
        <v>2</v>
      </c>
      <c r="E13" s="836"/>
      <c r="F13" s="193"/>
      <c r="G13" s="292"/>
      <c r="H13" s="292"/>
      <c r="I13" s="837"/>
      <c r="J13" s="851"/>
      <c r="K13" s="184"/>
      <c r="L13" s="184"/>
      <c r="M13" s="184"/>
      <c r="N13" s="851"/>
    </row>
    <row r="14" spans="1:14" s="509" customFormat="1" ht="30" customHeight="1" thickBot="1">
      <c r="A14" s="1130"/>
      <c r="B14" s="2123" t="s">
        <v>443</v>
      </c>
      <c r="C14" s="2135">
        <f>VLOOKUP('Background Data'!$F$2,Inst_FPs,11,FALSE)</f>
        <v>59.5</v>
      </c>
      <c r="D14" s="2135">
        <f>VLOOKUP('Background Data'!$F$2,Inst_FPs,12,FALSE)</f>
        <v>0</v>
      </c>
      <c r="E14" s="836"/>
      <c r="F14" s="193"/>
      <c r="G14" s="2133" t="s">
        <v>230</v>
      </c>
      <c r="H14" s="2134" t="str">
        <f>IF(AND($C$24&gt;0,$C$15=0),"No intake?",IF(AND($C$15&gt;0,$C$24=0),"No enrolments",IF(OR($C$15&gt;$C$24,AND($C$15=$C$24,SUM($C$19:$C$23)&gt;0)),"Intake inconsistent with enrolments?","OK")))</f>
        <v>OK</v>
      </c>
      <c r="I14" s="837"/>
      <c r="J14" s="851"/>
      <c r="K14" s="184"/>
      <c r="L14" s="184"/>
      <c r="M14" s="184"/>
      <c r="N14" s="851"/>
    </row>
    <row r="15" spans="1:14" s="509" customFormat="1" ht="30" customHeight="1" thickBot="1">
      <c r="A15" s="1130"/>
      <c r="B15" s="2136" t="s">
        <v>444</v>
      </c>
      <c r="C15" s="2137">
        <v>60.75</v>
      </c>
      <c r="D15" s="2137"/>
      <c r="E15" s="836"/>
      <c r="F15" s="193"/>
      <c r="G15" s="557" t="s">
        <v>231</v>
      </c>
      <c r="H15" s="561" t="str">
        <f>IF(AND($D$24&gt;0,$D$15=0),"No intake?",IF(AND($D$15&gt;0,$D$24=0),"No enrolments",IF(OR($D$15&gt;$D$24,AND($D$15=$D$24,SUM($D$19:$D$23)&gt;0)),"Intake inconsistent with enrolments?","OK")))</f>
        <v>OK</v>
      </c>
      <c r="I15" s="837"/>
      <c r="J15" s="851"/>
      <c r="K15" s="184"/>
      <c r="L15" s="184"/>
      <c r="M15" s="184"/>
      <c r="N15" s="851"/>
    </row>
    <row r="16" spans="1:14" s="509" customFormat="1" ht="30" customHeight="1">
      <c r="A16" s="1130"/>
      <c r="B16" s="2122" t="s">
        <v>288</v>
      </c>
      <c r="C16" s="833"/>
      <c r="D16" s="833"/>
      <c r="E16" s="836"/>
      <c r="F16" s="193"/>
      <c r="G16" s="193"/>
      <c r="H16" s="193"/>
      <c r="I16" s="837"/>
      <c r="J16" s="851"/>
      <c r="K16" s="184"/>
      <c r="L16" s="184"/>
      <c r="M16" s="184"/>
      <c r="N16" s="851"/>
    </row>
    <row r="17" spans="1:14" s="509" customFormat="1" ht="24.95" customHeight="1">
      <c r="A17" s="1130"/>
      <c r="B17" s="2122" t="s">
        <v>159</v>
      </c>
      <c r="C17" s="833"/>
      <c r="D17" s="833"/>
      <c r="E17" s="836"/>
      <c r="F17" s="193"/>
      <c r="G17" s="193"/>
      <c r="H17" s="193"/>
      <c r="I17" s="837"/>
      <c r="J17" s="851"/>
      <c r="K17" s="184"/>
      <c r="L17" s="184"/>
      <c r="M17" s="184"/>
      <c r="N17" s="851"/>
    </row>
    <row r="18" spans="1:14" s="509" customFormat="1" ht="24.95" customHeight="1">
      <c r="A18" s="1130"/>
      <c r="B18" s="2125">
        <v>1</v>
      </c>
      <c r="C18" s="2126">
        <v>60.75</v>
      </c>
      <c r="D18" s="2126"/>
      <c r="E18" s="836"/>
      <c r="F18" s="193"/>
      <c r="G18" s="193"/>
      <c r="H18" s="193"/>
      <c r="I18" s="837"/>
      <c r="J18" s="851"/>
      <c r="K18" s="184"/>
      <c r="L18" s="184"/>
      <c r="M18" s="184"/>
      <c r="N18" s="851"/>
    </row>
    <row r="19" spans="1:14" s="509" customFormat="1" ht="24.95" customHeight="1">
      <c r="A19" s="1130"/>
      <c r="B19" s="2125">
        <v>2</v>
      </c>
      <c r="C19" s="2126">
        <v>37.5</v>
      </c>
      <c r="D19" s="2126"/>
      <c r="E19" s="836"/>
      <c r="F19" s="193"/>
      <c r="G19" s="193"/>
      <c r="H19" s="193"/>
      <c r="I19" s="837"/>
      <c r="J19" s="851"/>
      <c r="K19" s="184"/>
      <c r="L19" s="184"/>
      <c r="M19" s="184"/>
      <c r="N19" s="851"/>
    </row>
    <row r="20" spans="1:14" s="509" customFormat="1" ht="24.95" customHeight="1">
      <c r="A20" s="1130"/>
      <c r="B20" s="2125">
        <v>3</v>
      </c>
      <c r="C20" s="2126">
        <v>49.5</v>
      </c>
      <c r="D20" s="2126"/>
      <c r="E20" s="836"/>
      <c r="F20" s="193"/>
      <c r="G20" s="193"/>
      <c r="H20" s="193"/>
      <c r="I20" s="837"/>
      <c r="J20" s="851"/>
      <c r="K20" s="184"/>
      <c r="L20" s="184"/>
      <c r="M20" s="184"/>
      <c r="N20" s="851"/>
    </row>
    <row r="21" spans="1:14" s="509" customFormat="1" ht="24.95" customHeight="1">
      <c r="A21" s="1130"/>
      <c r="B21" s="2125">
        <v>4</v>
      </c>
      <c r="C21" s="2126"/>
      <c r="D21" s="2126"/>
      <c r="E21" s="836"/>
      <c r="F21" s="193"/>
      <c r="G21" s="193"/>
      <c r="H21" s="193"/>
      <c r="I21" s="837"/>
      <c r="J21" s="851"/>
      <c r="K21" s="184"/>
      <c r="L21" s="184"/>
      <c r="M21" s="184"/>
      <c r="N21" s="851"/>
    </row>
    <row r="22" spans="1:14" s="509" customFormat="1" ht="24.95" customHeight="1">
      <c r="A22" s="1130"/>
      <c r="B22" s="2125">
        <v>5</v>
      </c>
      <c r="C22" s="2126"/>
      <c r="D22" s="2126"/>
      <c r="E22" s="836"/>
      <c r="F22" s="193"/>
      <c r="G22" s="193"/>
      <c r="H22" s="193"/>
      <c r="I22" s="837"/>
      <c r="J22" s="851"/>
      <c r="K22" s="184"/>
      <c r="L22" s="184"/>
      <c r="M22" s="184"/>
      <c r="N22" s="851"/>
    </row>
    <row r="23" spans="1:14" s="509" customFormat="1" ht="24.95" customHeight="1" thickBot="1">
      <c r="A23" s="1130"/>
      <c r="B23" s="2125">
        <v>6</v>
      </c>
      <c r="C23" s="2127"/>
      <c r="D23" s="2127"/>
      <c r="E23" s="836"/>
      <c r="F23" s="193"/>
      <c r="G23" s="193"/>
      <c r="H23" s="193"/>
      <c r="I23" s="837"/>
      <c r="J23" s="851"/>
      <c r="K23" s="184"/>
      <c r="L23" s="184"/>
      <c r="M23" s="184"/>
      <c r="N23" s="851"/>
    </row>
    <row r="24" spans="1:14" s="509" customFormat="1" ht="30" customHeight="1" thickBot="1">
      <c r="A24" s="1130"/>
      <c r="B24" s="2138" t="s">
        <v>2</v>
      </c>
      <c r="C24" s="565">
        <f>SUM(C18:C23)</f>
        <v>147.75</v>
      </c>
      <c r="D24" s="565">
        <f>SUM(D18:D23)</f>
        <v>0</v>
      </c>
      <c r="E24" s="836"/>
      <c r="F24" s="193"/>
      <c r="G24" s="193"/>
      <c r="H24" s="193"/>
      <c r="I24" s="837"/>
      <c r="J24" s="851"/>
      <c r="K24" s="184"/>
      <c r="L24" s="184"/>
      <c r="M24" s="184"/>
      <c r="N24" s="851"/>
    </row>
    <row r="25" spans="1:14" ht="30" customHeight="1">
      <c r="A25" s="1025"/>
      <c r="B25" s="351" t="s">
        <v>250</v>
      </c>
      <c r="C25" s="279"/>
      <c r="D25" s="279"/>
      <c r="E25" s="2132"/>
      <c r="F25" s="279"/>
      <c r="G25" s="279"/>
      <c r="H25" s="279"/>
      <c r="I25" s="838"/>
      <c r="J25" s="184"/>
      <c r="K25" s="555"/>
      <c r="L25" s="556"/>
      <c r="M25" s="184"/>
      <c r="N25" s="184"/>
    </row>
    <row r="26" spans="1:14" ht="20.100000000000001" customHeight="1">
      <c r="A26" s="1025"/>
      <c r="B26" s="351" t="s">
        <v>251</v>
      </c>
      <c r="C26" s="279"/>
      <c r="D26" s="279"/>
      <c r="E26" s="2132"/>
      <c r="F26" s="279"/>
      <c r="G26" s="279"/>
      <c r="H26" s="279"/>
      <c r="I26" s="838"/>
      <c r="J26" s="184"/>
      <c r="K26" s="555"/>
      <c r="L26" s="292"/>
      <c r="M26" s="184"/>
      <c r="N26" s="184"/>
    </row>
    <row r="27" spans="1:14" ht="20.100000000000001" customHeight="1">
      <c r="A27" s="1025"/>
      <c r="B27" s="524" t="s">
        <v>252</v>
      </c>
      <c r="C27" s="279"/>
      <c r="D27" s="279"/>
      <c r="E27" s="2132"/>
      <c r="F27" s="279"/>
      <c r="G27" s="279"/>
      <c r="H27" s="279"/>
      <c r="I27" s="838"/>
      <c r="J27" s="184"/>
      <c r="K27" s="184"/>
      <c r="L27" s="184"/>
      <c r="M27" s="184"/>
      <c r="N27" s="184"/>
    </row>
    <row r="28" spans="1:14" ht="15" customHeight="1">
      <c r="A28" s="289"/>
      <c r="B28" s="352"/>
      <c r="C28" s="286"/>
      <c r="D28" s="286"/>
      <c r="E28" s="288"/>
      <c r="F28" s="286"/>
      <c r="G28" s="286"/>
      <c r="H28" s="286"/>
      <c r="I28" s="716"/>
      <c r="J28" s="184"/>
      <c r="K28" s="184"/>
      <c r="L28" s="184"/>
      <c r="M28" s="184"/>
      <c r="N28" s="184"/>
    </row>
    <row r="29" spans="1:14" s="516" customFormat="1" ht="15.75" customHeight="1">
      <c r="K29" s="509"/>
      <c r="L29" s="509"/>
      <c r="M29" s="509"/>
    </row>
    <row r="30" spans="1:14" ht="15.75" customHeight="1">
      <c r="K30" s="508"/>
    </row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</sheetData>
  <sheetProtection password="E23E" sheet="1" objects="1" scenarios="1"/>
  <mergeCells count="1">
    <mergeCell ref="C9:D9"/>
  </mergeCells>
  <conditionalFormatting sqref="B2">
    <cfRule type="expression" dxfId="26" priority="4" stopIfTrue="1">
      <formula>#REF!=0</formula>
    </cfRule>
  </conditionalFormatting>
  <conditionalFormatting sqref="A1:I1">
    <cfRule type="expression" dxfId="25" priority="5" stopIfTrue="1">
      <formula>$C$5=0</formula>
    </cfRule>
  </conditionalFormatting>
  <conditionalFormatting sqref="H14:H15">
    <cfRule type="expression" dxfId="24" priority="2">
      <formula>H14&lt;&gt;"OK"</formula>
    </cfRule>
  </conditionalFormatting>
  <conditionalFormatting sqref="C15:D15 C18:D23">
    <cfRule type="expression" dxfId="23" priority="1">
      <formula>C$14&gt;0</formula>
    </cfRule>
  </conditionalFormatting>
  <dataValidations count="1">
    <dataValidation allowBlank="1" sqref="B29:B65495 D2:I3 C9 B14 C10:D13 C24:D24 J1:J1048576 N1:IP1048576 B5 C2:C4 C25:I65495" xr:uid="{00000000-0002-0000-0E00-000000000000}"/>
  </dataValidations>
  <pageMargins left="0.19685039370078741" right="0.19685039370078741" top="0.19685039370078741" bottom="0.39370078740157483" header="0" footer="0"/>
  <pageSetup paperSize="9" scale="7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H122"/>
  <sheetViews>
    <sheetView zoomScaleNormal="100" workbookViewId="0"/>
  </sheetViews>
  <sheetFormatPr defaultColWidth="9.140625" defaultRowHeight="15"/>
  <cols>
    <col min="1" max="1" width="2.7109375" style="507" customWidth="1"/>
    <col min="2" max="2" width="72.42578125" style="507" customWidth="1"/>
    <col min="3" max="7" width="18.7109375" style="517" customWidth="1"/>
    <col min="8" max="8" width="5.7109375" style="507" customWidth="1"/>
    <col min="9" max="16384" width="9.140625" style="507"/>
  </cols>
  <sheetData>
    <row r="1" spans="1:8" ht="39.950000000000003" customHeight="1">
      <c r="A1" s="319"/>
      <c r="B1" s="192" t="str">
        <f>IF(E4=0,"Your Institution Does Not Complete This Table","")</f>
        <v>Your Institution Does Not Complete This Table</v>
      </c>
      <c r="C1" s="3"/>
      <c r="D1" s="3"/>
      <c r="E1" s="3"/>
      <c r="F1" s="3"/>
      <c r="G1" s="3"/>
      <c r="H1" s="3"/>
    </row>
    <row r="2" spans="1:8" s="515" customFormat="1" ht="30" customHeight="1">
      <c r="A2" s="353"/>
      <c r="B2" s="273" t="s">
        <v>448</v>
      </c>
      <c r="C2" s="274"/>
      <c r="D2" s="274"/>
      <c r="E2" s="617"/>
      <c r="F2" s="617"/>
      <c r="G2" s="274"/>
      <c r="H2" s="275"/>
    </row>
    <row r="3" spans="1:8" s="515" customFormat="1" ht="15" customHeight="1" thickBot="1">
      <c r="A3" s="355"/>
      <c r="B3" s="328"/>
      <c r="C3" s="79"/>
      <c r="D3" s="79"/>
      <c r="E3" s="79"/>
      <c r="F3" s="79"/>
      <c r="G3" s="79"/>
      <c r="H3" s="277"/>
    </row>
    <row r="4" spans="1:8" ht="35.1" customHeight="1" thickBot="1">
      <c r="A4" s="356"/>
      <c r="B4" s="349" t="s">
        <v>0</v>
      </c>
      <c r="C4" s="2708" t="str">
        <f>'Background Data'!$G$2</f>
        <v>Glasgow, University of</v>
      </c>
      <c r="D4" s="2709"/>
      <c r="E4" s="832">
        <f>VLOOKUP('Background Data'!$F$2,Inst_Tables,17,FALSE)</f>
        <v>0</v>
      </c>
      <c r="F4" s="193"/>
      <c r="G4" s="193"/>
      <c r="H4" s="302"/>
    </row>
    <row r="5" spans="1:8" s="509" customFormat="1" ht="35.1" customHeight="1">
      <c r="A5" s="357"/>
      <c r="B5" s="328" t="s">
        <v>442</v>
      </c>
      <c r="C5" s="193"/>
      <c r="D5" s="193"/>
      <c r="E5" s="193"/>
      <c r="F5" s="193"/>
      <c r="G5" s="193"/>
      <c r="H5" s="278"/>
    </row>
    <row r="6" spans="1:8" s="509" customFormat="1" ht="30" customHeight="1">
      <c r="A6" s="357"/>
      <c r="B6" s="11" t="s">
        <v>547</v>
      </c>
      <c r="C6" s="193"/>
      <c r="D6" s="193"/>
      <c r="E6" s="193"/>
      <c r="F6" s="193"/>
      <c r="G6" s="193"/>
      <c r="H6" s="278"/>
    </row>
    <row r="7" spans="1:8" ht="15" customHeight="1" thickBot="1">
      <c r="A7" s="356"/>
      <c r="B7" s="358"/>
      <c r="C7" s="46"/>
      <c r="D7" s="46"/>
      <c r="E7" s="46"/>
      <c r="F7" s="46"/>
      <c r="G7" s="46"/>
      <c r="H7" s="281"/>
    </row>
    <row r="8" spans="1:8" ht="30" customHeight="1" thickBot="1">
      <c r="A8" s="356"/>
      <c r="B8" s="294"/>
      <c r="C8" s="2706" t="s">
        <v>154</v>
      </c>
      <c r="D8" s="2706"/>
      <c r="E8" s="2706"/>
      <c r="F8" s="2706"/>
      <c r="G8" s="2707"/>
      <c r="H8" s="278"/>
    </row>
    <row r="9" spans="1:8" ht="30" customHeight="1">
      <c r="A9" s="356"/>
      <c r="B9" s="75"/>
      <c r="C9" s="2712" t="s">
        <v>214</v>
      </c>
      <c r="D9" s="2713" t="s">
        <v>215</v>
      </c>
      <c r="E9" s="2710" t="s">
        <v>243</v>
      </c>
      <c r="F9" s="2710"/>
      <c r="G9" s="2711"/>
      <c r="H9" s="521"/>
    </row>
    <row r="10" spans="1:8" ht="30" customHeight="1">
      <c r="A10" s="619"/>
      <c r="B10" s="75"/>
      <c r="C10" s="2712"/>
      <c r="D10" s="2713"/>
      <c r="E10" s="623" t="s">
        <v>244</v>
      </c>
      <c r="F10" s="620" t="s">
        <v>213</v>
      </c>
      <c r="G10" s="621" t="s">
        <v>2</v>
      </c>
      <c r="H10" s="521"/>
    </row>
    <row r="11" spans="1:8" ht="24.95" customHeight="1">
      <c r="A11" s="356"/>
      <c r="B11" s="844" t="s">
        <v>137</v>
      </c>
      <c r="C11" s="823" t="s">
        <v>16</v>
      </c>
      <c r="D11" s="369" t="s">
        <v>16</v>
      </c>
      <c r="E11" s="624" t="s">
        <v>16</v>
      </c>
      <c r="F11" s="199" t="s">
        <v>16</v>
      </c>
      <c r="G11" s="300" t="s">
        <v>16</v>
      </c>
      <c r="H11" s="285"/>
    </row>
    <row r="12" spans="1:8" ht="24.95" customHeight="1">
      <c r="A12" s="356"/>
      <c r="B12" s="295"/>
      <c r="C12" s="823" t="s">
        <v>29</v>
      </c>
      <c r="D12" s="369" t="s">
        <v>29</v>
      </c>
      <c r="E12" s="293" t="s">
        <v>29</v>
      </c>
      <c r="F12" s="199" t="s">
        <v>29</v>
      </c>
      <c r="G12" s="200" t="s">
        <v>54</v>
      </c>
      <c r="H12" s="282"/>
    </row>
    <row r="13" spans="1:8" ht="24.95" customHeight="1" thickBot="1">
      <c r="A13" s="356"/>
      <c r="B13" s="296"/>
      <c r="C13" s="626">
        <v>1</v>
      </c>
      <c r="D13" s="423">
        <v>2</v>
      </c>
      <c r="E13" s="626">
        <v>3</v>
      </c>
      <c r="F13" s="627">
        <v>4</v>
      </c>
      <c r="G13" s="424">
        <v>5</v>
      </c>
      <c r="H13" s="211"/>
    </row>
    <row r="14" spans="1:8" ht="35.1" customHeight="1">
      <c r="A14" s="356"/>
      <c r="B14" s="950"/>
      <c r="C14" s="951"/>
      <c r="D14" s="952"/>
      <c r="E14" s="951"/>
      <c r="F14" s="953"/>
      <c r="G14" s="709">
        <f>SUM(E14:F14)</f>
        <v>0</v>
      </c>
      <c r="H14" s="211"/>
    </row>
    <row r="15" spans="1:8" ht="35.1" customHeight="1">
      <c r="A15" s="356"/>
      <c r="B15" s="954"/>
      <c r="C15" s="955"/>
      <c r="D15" s="956"/>
      <c r="E15" s="955"/>
      <c r="F15" s="957"/>
      <c r="G15" s="710">
        <f t="shared" ref="G15:G28" si="0">SUM(E15:F15)</f>
        <v>0</v>
      </c>
      <c r="H15" s="283"/>
    </row>
    <row r="16" spans="1:8" ht="35.1" customHeight="1">
      <c r="A16" s="356"/>
      <c r="B16" s="954"/>
      <c r="C16" s="955"/>
      <c r="D16" s="956"/>
      <c r="E16" s="955"/>
      <c r="F16" s="957"/>
      <c r="G16" s="710">
        <f t="shared" si="0"/>
        <v>0</v>
      </c>
      <c r="H16" s="283"/>
    </row>
    <row r="17" spans="1:8" ht="35.1" customHeight="1">
      <c r="A17" s="356"/>
      <c r="B17" s="954"/>
      <c r="C17" s="955"/>
      <c r="D17" s="956"/>
      <c r="E17" s="955"/>
      <c r="F17" s="957"/>
      <c r="G17" s="710">
        <f t="shared" si="0"/>
        <v>0</v>
      </c>
      <c r="H17" s="283"/>
    </row>
    <row r="18" spans="1:8" ht="35.1" customHeight="1">
      <c r="A18" s="356"/>
      <c r="B18" s="954"/>
      <c r="C18" s="951"/>
      <c r="D18" s="952"/>
      <c r="E18" s="951"/>
      <c r="F18" s="953"/>
      <c r="G18" s="710">
        <f t="shared" si="0"/>
        <v>0</v>
      </c>
      <c r="H18" s="283"/>
    </row>
    <row r="19" spans="1:8" ht="35.1" customHeight="1">
      <c r="A19" s="356"/>
      <c r="B19" s="954"/>
      <c r="C19" s="955"/>
      <c r="D19" s="956"/>
      <c r="E19" s="955"/>
      <c r="F19" s="957"/>
      <c r="G19" s="710">
        <f t="shared" si="0"/>
        <v>0</v>
      </c>
      <c r="H19" s="283"/>
    </row>
    <row r="20" spans="1:8" ht="35.1" customHeight="1">
      <c r="A20" s="356"/>
      <c r="B20" s="954"/>
      <c r="C20" s="955"/>
      <c r="D20" s="956"/>
      <c r="E20" s="955"/>
      <c r="F20" s="957"/>
      <c r="G20" s="710">
        <f t="shared" si="0"/>
        <v>0</v>
      </c>
      <c r="H20" s="283"/>
    </row>
    <row r="21" spans="1:8" ht="35.1" customHeight="1">
      <c r="A21" s="356"/>
      <c r="B21" s="954"/>
      <c r="C21" s="955"/>
      <c r="D21" s="956"/>
      <c r="E21" s="955"/>
      <c r="F21" s="957"/>
      <c r="G21" s="710">
        <f t="shared" si="0"/>
        <v>0</v>
      </c>
      <c r="H21" s="283"/>
    </row>
    <row r="22" spans="1:8" ht="35.1" customHeight="1">
      <c r="A22" s="356"/>
      <c r="B22" s="954"/>
      <c r="C22" s="955"/>
      <c r="D22" s="956"/>
      <c r="E22" s="955"/>
      <c r="F22" s="957"/>
      <c r="G22" s="710">
        <f t="shared" si="0"/>
        <v>0</v>
      </c>
      <c r="H22" s="283"/>
    </row>
    <row r="23" spans="1:8" ht="35.1" customHeight="1">
      <c r="A23" s="356"/>
      <c r="B23" s="954"/>
      <c r="C23" s="955"/>
      <c r="D23" s="956"/>
      <c r="E23" s="955"/>
      <c r="F23" s="957"/>
      <c r="G23" s="710">
        <f t="shared" si="0"/>
        <v>0</v>
      </c>
      <c r="H23" s="283"/>
    </row>
    <row r="24" spans="1:8" ht="35.1" customHeight="1">
      <c r="A24" s="356"/>
      <c r="B24" s="954"/>
      <c r="C24" s="951"/>
      <c r="D24" s="952"/>
      <c r="E24" s="951"/>
      <c r="F24" s="953"/>
      <c r="G24" s="710">
        <f t="shared" si="0"/>
        <v>0</v>
      </c>
      <c r="H24" s="283"/>
    </row>
    <row r="25" spans="1:8" ht="35.1" customHeight="1">
      <c r="A25" s="356"/>
      <c r="B25" s="954"/>
      <c r="C25" s="955"/>
      <c r="D25" s="956"/>
      <c r="E25" s="955"/>
      <c r="F25" s="957"/>
      <c r="G25" s="710">
        <f t="shared" si="0"/>
        <v>0</v>
      </c>
      <c r="H25" s="283"/>
    </row>
    <row r="26" spans="1:8" ht="35.1" customHeight="1">
      <c r="A26" s="356"/>
      <c r="B26" s="954"/>
      <c r="C26" s="955"/>
      <c r="D26" s="956"/>
      <c r="E26" s="955"/>
      <c r="F26" s="957"/>
      <c r="G26" s="710">
        <f t="shared" si="0"/>
        <v>0</v>
      </c>
      <c r="H26" s="283"/>
    </row>
    <row r="27" spans="1:8" ht="35.1" customHeight="1">
      <c r="A27" s="356"/>
      <c r="B27" s="954"/>
      <c r="C27" s="955"/>
      <c r="D27" s="956"/>
      <c r="E27" s="955"/>
      <c r="F27" s="957"/>
      <c r="G27" s="710">
        <f t="shared" si="0"/>
        <v>0</v>
      </c>
      <c r="H27" s="283"/>
    </row>
    <row r="28" spans="1:8" ht="35.1" customHeight="1" thickBot="1">
      <c r="A28" s="356"/>
      <c r="B28" s="958"/>
      <c r="C28" s="951"/>
      <c r="D28" s="959"/>
      <c r="E28" s="951"/>
      <c r="F28" s="953"/>
      <c r="G28" s="710">
        <f t="shared" si="0"/>
        <v>0</v>
      </c>
      <c r="H28" s="283"/>
    </row>
    <row r="29" spans="1:8" ht="35.1" customHeight="1">
      <c r="A29" s="356"/>
      <c r="B29" s="845" t="s">
        <v>2</v>
      </c>
      <c r="C29" s="960">
        <f>SUM(C14:C28)</f>
        <v>0</v>
      </c>
      <c r="D29" s="961">
        <f t="shared" ref="D29:G29" si="1">SUM(D14:D28)</f>
        <v>0</v>
      </c>
      <c r="E29" s="962">
        <f t="shared" si="1"/>
        <v>0</v>
      </c>
      <c r="F29" s="963">
        <f t="shared" si="1"/>
        <v>0</v>
      </c>
      <c r="G29" s="964">
        <f t="shared" si="1"/>
        <v>0</v>
      </c>
      <c r="H29" s="283"/>
    </row>
    <row r="30" spans="1:8" ht="35.1" customHeight="1">
      <c r="A30" s="356"/>
      <c r="B30" s="846" t="s">
        <v>216</v>
      </c>
      <c r="C30" s="965">
        <f>VLOOKUP('Background Data'!$F$2,Inst_FPs,5,FALSE)</f>
        <v>0</v>
      </c>
      <c r="D30" s="966">
        <f>VLOOKUP('Background Data'!$F$2,Inst_FPs,6,FALSE)</f>
        <v>0</v>
      </c>
      <c r="E30" s="968"/>
      <c r="F30" s="969"/>
      <c r="G30" s="967">
        <f>VLOOKUP('Background Data'!$F$2,Inst_FPs,7,FALSE)</f>
        <v>0</v>
      </c>
      <c r="H30" s="283"/>
    </row>
    <row r="31" spans="1:8" ht="35.1" customHeight="1" thickBot="1">
      <c r="A31" s="356"/>
      <c r="B31" s="847" t="s">
        <v>192</v>
      </c>
      <c r="C31" s="520" t="str">
        <f>IF(C30&gt;0,C29-C30,"")</f>
        <v/>
      </c>
      <c r="D31" s="366" t="str">
        <f t="shared" ref="D31:G31" si="2">IF(D30&gt;0,D29-D30,"")</f>
        <v/>
      </c>
      <c r="E31" s="970"/>
      <c r="F31" s="971"/>
      <c r="G31" s="523" t="str">
        <f t="shared" si="2"/>
        <v/>
      </c>
      <c r="H31" s="283"/>
    </row>
    <row r="32" spans="1:8" ht="15" customHeight="1">
      <c r="A32" s="289"/>
      <c r="B32" s="352"/>
      <c r="C32" s="287"/>
      <c r="D32" s="287"/>
      <c r="E32" s="618"/>
      <c r="F32" s="618"/>
      <c r="G32" s="287"/>
      <c r="H32" s="288"/>
    </row>
    <row r="33" s="516" customFormat="1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</sheetData>
  <sheetProtection password="E23E" sheet="1" objects="1" scenarios="1"/>
  <mergeCells count="5">
    <mergeCell ref="C8:G8"/>
    <mergeCell ref="C4:D4"/>
    <mergeCell ref="E9:G9"/>
    <mergeCell ref="C9:C10"/>
    <mergeCell ref="D9:D10"/>
  </mergeCells>
  <conditionalFormatting sqref="B2">
    <cfRule type="expression" dxfId="22" priority="10" stopIfTrue="1">
      <formula>#REF!=0</formula>
    </cfRule>
  </conditionalFormatting>
  <conditionalFormatting sqref="B7">
    <cfRule type="expression" dxfId="21" priority="8" stopIfTrue="1">
      <formula>#REF!=0</formula>
    </cfRule>
  </conditionalFormatting>
  <conditionalFormatting sqref="A1:H1">
    <cfRule type="expression" dxfId="20" priority="259" stopIfTrue="1">
      <formula>$E$4=0</formula>
    </cfRule>
  </conditionalFormatting>
  <conditionalFormatting sqref="B14:B28">
    <cfRule type="expression" dxfId="19" priority="4">
      <formula>$E$4=1</formula>
    </cfRule>
  </conditionalFormatting>
  <conditionalFormatting sqref="C14:C28">
    <cfRule type="expression" dxfId="18" priority="3">
      <formula>$C$30&gt;0</formula>
    </cfRule>
  </conditionalFormatting>
  <conditionalFormatting sqref="D14:D28">
    <cfRule type="expression" dxfId="17" priority="2">
      <formula>$D$30&gt;0</formula>
    </cfRule>
  </conditionalFormatting>
  <conditionalFormatting sqref="E14:F28">
    <cfRule type="expression" dxfId="16" priority="1">
      <formula>$G$30&gt;0</formula>
    </cfRule>
  </conditionalFormatting>
  <dataValidations count="4">
    <dataValidation allowBlank="1" sqref="B33:B65499 H18:H65499 C4 C2:G3 B8:B31 C8:C9 G11:G65499 C11:F13 C29:F65499 I1:IR1048576 H5:H7" xr:uid="{00000000-0002-0000-0F00-000000000000}"/>
    <dataValidation type="custom" allowBlank="1" showErrorMessage="1" errorTitle="ERROR!" error="Either_x000a_No Allocation of Funded Places_x000a_Or_x000a_Invalid Entry" sqref="C14:C28" xr:uid="{00000000-0002-0000-0F00-000001000000}">
      <formula1>AND($C$30&gt;0,C14&gt;=0)</formula1>
    </dataValidation>
    <dataValidation type="custom" allowBlank="1" showErrorMessage="1" errorTitle="ERROR!" error="Either_x000a_No Allocation of Funded Places_x000a_Or_x000a_Invalid Entry" sqref="D14:D28" xr:uid="{00000000-0002-0000-0F00-000002000000}">
      <formula1>AND($D$30&gt;0,D14&gt;=0)</formula1>
    </dataValidation>
    <dataValidation type="custom" allowBlank="1" showErrorMessage="1" errorTitle="ERROR!" error="Either_x000a_No Allocation of Funded Places_x000a_Or_x000a_Invalid Entry" sqref="E14:F28" xr:uid="{00000000-0002-0000-0F00-000003000000}">
      <formula1>AND($G$30&gt;0,E14&gt;=0)</formula1>
    </dataValidation>
  </dataValidations>
  <pageMargins left="0.19685039370078741" right="0.19685039370078741" top="0.19685039370078741" bottom="0.39370078740157483" header="0" footer="0"/>
  <pageSetup paperSize="9" scale="5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F8"/>
  <sheetViews>
    <sheetView zoomScaleNormal="100" workbookViewId="0">
      <selection activeCell="E7" sqref="E7"/>
    </sheetView>
  </sheetViews>
  <sheetFormatPr defaultColWidth="9.140625" defaultRowHeight="15"/>
  <cols>
    <col min="1" max="1" width="2.7109375" style="507" customWidth="1"/>
    <col min="2" max="2" width="85.7109375" style="507" customWidth="1"/>
    <col min="3" max="3" width="16.5703125" style="507" customWidth="1"/>
    <col min="4" max="4" width="12.140625" style="507" customWidth="1"/>
    <col min="5" max="5" width="10.7109375" style="517" customWidth="1"/>
    <col min="6" max="6" width="5.7109375" style="507" customWidth="1"/>
    <col min="7" max="16384" width="9.140625" style="507"/>
  </cols>
  <sheetData>
    <row r="1" spans="1:6" s="515" customFormat="1" ht="30" customHeight="1">
      <c r="A1" s="353"/>
      <c r="B1" s="273" t="s">
        <v>409</v>
      </c>
      <c r="C1" s="525"/>
      <c r="D1" s="525"/>
      <c r="E1" s="274"/>
      <c r="F1" s="275"/>
    </row>
    <row r="2" spans="1:6" ht="35.1" customHeight="1" thickBot="1">
      <c r="A2" s="280"/>
      <c r="B2" s="349" t="s">
        <v>0</v>
      </c>
      <c r="C2" s="349"/>
      <c r="D2" s="349"/>
      <c r="E2" s="183"/>
      <c r="F2" s="298"/>
    </row>
    <row r="3" spans="1:6" ht="30" customHeight="1" thickBot="1">
      <c r="A3" s="280"/>
      <c r="B3" s="628" t="str">
        <f>'Background Data'!$G$2</f>
        <v>Glasgow, University of</v>
      </c>
      <c r="C3" s="328"/>
      <c r="D3" s="328"/>
      <c r="E3" s="299"/>
      <c r="F3" s="298"/>
    </row>
    <row r="4" spans="1:6" s="509" customFormat="1" ht="30" customHeight="1">
      <c r="A4" s="301"/>
      <c r="B4" s="328" t="s">
        <v>408</v>
      </c>
      <c r="C4" s="328"/>
      <c r="D4" s="328"/>
      <c r="E4" s="193"/>
      <c r="F4" s="278"/>
    </row>
    <row r="5" spans="1:6" s="509" customFormat="1" ht="30" customHeight="1">
      <c r="A5" s="301"/>
      <c r="B5" s="11" t="s">
        <v>548</v>
      </c>
      <c r="C5" s="11"/>
      <c r="D5" s="11"/>
      <c r="E5" s="193"/>
      <c r="F5" s="278"/>
    </row>
    <row r="6" spans="1:6" ht="15" customHeight="1" thickBot="1">
      <c r="A6" s="280"/>
      <c r="B6" s="354"/>
      <c r="C6" s="354"/>
      <c r="D6" s="354"/>
      <c r="E6" s="297"/>
      <c r="F6" s="284"/>
    </row>
    <row r="7" spans="1:6" ht="35.1" customHeight="1" thickBot="1">
      <c r="A7" s="280"/>
      <c r="B7" s="527" t="s">
        <v>408</v>
      </c>
      <c r="C7" s="528" t="s">
        <v>25</v>
      </c>
      <c r="D7" s="528" t="s">
        <v>29</v>
      </c>
      <c r="E7" s="530">
        <v>37</v>
      </c>
      <c r="F7" s="211"/>
    </row>
    <row r="8" spans="1:6" ht="20.100000000000001" customHeight="1">
      <c r="A8" s="289"/>
      <c r="B8" s="286"/>
      <c r="C8" s="526"/>
      <c r="D8" s="526"/>
      <c r="E8" s="287"/>
      <c r="F8" s="288"/>
    </row>
  </sheetData>
  <sheetProtection password="E23E" sheet="1" objects="1" scenarios="1"/>
  <conditionalFormatting sqref="B1:D1">
    <cfRule type="expression" dxfId="15" priority="2" stopIfTrue="1">
      <formula>#REF!=0</formula>
    </cfRule>
  </conditionalFormatting>
  <conditionalFormatting sqref="B6:D6">
    <cfRule type="expression" dxfId="14" priority="1" stopIfTrue="1">
      <formula>#REF!=0</formula>
    </cfRule>
  </conditionalFormatting>
  <dataValidations count="2">
    <dataValidation allowBlank="1" sqref="B9:F65382 E1 F4:F6 F8 B3 G1:IN1048576 B7:D8 E8" xr:uid="{00000000-0002-0000-1000-000000000000}"/>
    <dataValidation type="whole" operator="greaterThanOrEqual" allowBlank="1" showErrorMessage="1" errorTitle="ERROR!" error="Invalid Entry" sqref="E7" xr:uid="{00000000-0002-0000-1000-000001000000}">
      <formula1>0</formula1>
    </dataValidation>
  </dataValidations>
  <pageMargins left="0.19685039370078741" right="0.19685039370078741" top="0.19685039370078741" bottom="0.19685039370078741" header="0" footer="0"/>
  <pageSetup paperSize="9" scale="7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99"/>
  <sheetViews>
    <sheetView topLeftCell="A37" zoomScale="90" zoomScaleNormal="90" workbookViewId="0">
      <selection activeCell="E44" sqref="E44"/>
    </sheetView>
  </sheetViews>
  <sheetFormatPr defaultColWidth="10.7109375" defaultRowHeight="18.95" customHeight="1"/>
  <cols>
    <col min="1" max="1" width="2.7109375" style="507" customWidth="1"/>
    <col min="2" max="2" width="52.42578125" style="507" customWidth="1"/>
    <col min="3" max="5" width="12.7109375" style="517" customWidth="1"/>
    <col min="6" max="6" width="13.7109375" style="517" customWidth="1"/>
    <col min="7" max="7" width="12.7109375" style="517" customWidth="1"/>
    <col min="8" max="10" width="12.7109375" style="507" customWidth="1"/>
    <col min="11" max="11" width="27.28515625" style="507" customWidth="1"/>
    <col min="12" max="16384" width="10.7109375" style="507"/>
  </cols>
  <sheetData>
    <row r="1" spans="1:12" ht="30" customHeight="1">
      <c r="A1" s="1484"/>
      <c r="B1" s="458" t="s">
        <v>449</v>
      </c>
      <c r="C1" s="1485"/>
      <c r="D1" s="1485"/>
      <c r="E1" s="1485"/>
      <c r="F1" s="1485"/>
      <c r="G1" s="1485"/>
      <c r="H1" s="2145"/>
      <c r="I1" s="2145"/>
      <c r="J1" s="2145"/>
      <c r="K1" s="1486"/>
      <c r="L1" s="184"/>
    </row>
    <row r="2" spans="1:12" ht="9.9499999999999993" customHeight="1" thickBot="1">
      <c r="A2" s="1025"/>
      <c r="B2" s="276"/>
      <c r="C2" s="370"/>
      <c r="D2" s="370"/>
      <c r="E2" s="370"/>
      <c r="F2" s="370"/>
      <c r="G2" s="370"/>
      <c r="H2" s="40"/>
      <c r="I2" s="40"/>
      <c r="J2" s="40"/>
      <c r="K2" s="1487"/>
      <c r="L2" s="184"/>
    </row>
    <row r="3" spans="1:12" ht="30" customHeight="1" thickBot="1">
      <c r="A3" s="1025"/>
      <c r="B3" s="349" t="s">
        <v>0</v>
      </c>
      <c r="C3" s="2708" t="str">
        <f>'Background Data'!$G$2</f>
        <v>Glasgow, University of</v>
      </c>
      <c r="D3" s="2716"/>
      <c r="E3" s="2709"/>
      <c r="F3" s="207"/>
      <c r="G3" s="370"/>
      <c r="H3" s="40"/>
      <c r="I3" s="40"/>
      <c r="J3" s="40"/>
      <c r="K3" s="1487"/>
      <c r="L3" s="184"/>
    </row>
    <row r="4" spans="1:12" ht="35.1" customHeight="1">
      <c r="A4" s="1025"/>
      <c r="B4" s="195" t="s">
        <v>450</v>
      </c>
      <c r="C4" s="193"/>
      <c r="D4" s="193"/>
      <c r="E4" s="193"/>
      <c r="F4" s="193"/>
      <c r="G4" s="193"/>
      <c r="H4" s="194"/>
      <c r="I4" s="194"/>
      <c r="J4" s="194"/>
      <c r="K4" s="1487"/>
      <c r="L4" s="184"/>
    </row>
    <row r="5" spans="1:12" s="518" customFormat="1" ht="30" customHeight="1">
      <c r="A5" s="1129"/>
      <c r="B5" s="11" t="s">
        <v>549</v>
      </c>
      <c r="C5" s="193"/>
      <c r="D5" s="193"/>
      <c r="E5" s="193"/>
      <c r="F5" s="193"/>
      <c r="G5" s="193"/>
      <c r="H5" s="194"/>
      <c r="I5" s="194"/>
      <c r="J5" s="194"/>
      <c r="K5" s="1487"/>
      <c r="L5" s="1482"/>
    </row>
    <row r="6" spans="1:12" s="509" customFormat="1" ht="30" customHeight="1">
      <c r="A6" s="1130"/>
      <c r="B6" s="195" t="s">
        <v>407</v>
      </c>
      <c r="C6" s="196"/>
      <c r="D6" s="196"/>
      <c r="E6" s="196"/>
      <c r="F6" s="196"/>
      <c r="G6" s="196"/>
      <c r="H6" s="40"/>
      <c r="I6" s="40"/>
      <c r="J6" s="194"/>
      <c r="K6" s="1487"/>
      <c r="L6" s="851"/>
    </row>
    <row r="7" spans="1:12" s="509" customFormat="1" ht="15" customHeight="1" thickBot="1">
      <c r="A7" s="1130"/>
      <c r="B7" s="197"/>
      <c r="C7" s="197"/>
      <c r="D7" s="197"/>
      <c r="E7" s="197"/>
      <c r="F7" s="197"/>
      <c r="G7" s="197"/>
      <c r="H7" s="40"/>
      <c r="I7" s="40"/>
      <c r="J7" s="194"/>
      <c r="K7" s="1487"/>
      <c r="L7" s="851"/>
    </row>
    <row r="8" spans="1:12" ht="80.099999999999994" customHeight="1">
      <c r="A8" s="1025"/>
      <c r="B8" s="294"/>
      <c r="C8" s="2147" t="s">
        <v>451</v>
      </c>
      <c r="D8" s="2118" t="s">
        <v>452</v>
      </c>
      <c r="E8" s="2717" t="s">
        <v>81</v>
      </c>
      <c r="F8" s="2718"/>
      <c r="G8" s="2719" t="s">
        <v>320</v>
      </c>
      <c r="H8" s="2146"/>
      <c r="I8" s="292"/>
      <c r="J8" s="194"/>
      <c r="K8" s="1487"/>
      <c r="L8" s="184"/>
    </row>
    <row r="9" spans="1:12" ht="30" customHeight="1">
      <c r="A9" s="1025"/>
      <c r="B9" s="1131"/>
      <c r="C9" s="1132" t="s">
        <v>16</v>
      </c>
      <c r="D9" s="1133" t="s">
        <v>16</v>
      </c>
      <c r="E9" s="1134" t="s">
        <v>16</v>
      </c>
      <c r="F9" s="1488" t="s">
        <v>82</v>
      </c>
      <c r="G9" s="2713"/>
      <c r="H9" s="2146"/>
      <c r="I9" s="292"/>
      <c r="J9" s="194"/>
      <c r="K9" s="1487"/>
      <c r="L9" s="184"/>
    </row>
    <row r="10" spans="1:12" ht="30" customHeight="1">
      <c r="A10" s="1025"/>
      <c r="B10" s="1131"/>
      <c r="C10" s="1476" t="s">
        <v>55</v>
      </c>
      <c r="D10" s="369" t="s">
        <v>55</v>
      </c>
      <c r="E10" s="1135" t="s">
        <v>54</v>
      </c>
      <c r="F10" s="1477" t="s">
        <v>54</v>
      </c>
      <c r="G10" s="1477" t="s">
        <v>54</v>
      </c>
      <c r="H10" s="2146"/>
      <c r="I10" s="292"/>
      <c r="J10" s="194"/>
      <c r="K10" s="1487"/>
      <c r="L10" s="184"/>
    </row>
    <row r="11" spans="1:12" ht="30" customHeight="1" thickBot="1">
      <c r="A11" s="1025"/>
      <c r="B11" s="1136"/>
      <c r="C11" s="625">
        <v>1</v>
      </c>
      <c r="D11" s="423">
        <v>2</v>
      </c>
      <c r="E11" s="1137">
        <v>3</v>
      </c>
      <c r="F11" s="1138">
        <v>4</v>
      </c>
      <c r="G11" s="424">
        <v>5</v>
      </c>
      <c r="H11" s="2146"/>
      <c r="I11" s="292"/>
      <c r="J11" s="194"/>
      <c r="K11" s="1487"/>
      <c r="L11" s="184"/>
    </row>
    <row r="12" spans="1:12" ht="35.1" customHeight="1">
      <c r="A12" s="1025"/>
      <c r="B12" s="1139" t="s">
        <v>75</v>
      </c>
      <c r="C12" s="1140"/>
      <c r="D12" s="1141"/>
      <c r="E12" s="1142"/>
      <c r="F12" s="1489"/>
      <c r="G12" s="201"/>
      <c r="H12" s="2146"/>
      <c r="I12" s="292"/>
      <c r="J12" s="194"/>
      <c r="K12" s="1487"/>
      <c r="L12" s="184"/>
    </row>
    <row r="13" spans="1:12" ht="24.95" customHeight="1">
      <c r="A13" s="1025"/>
      <c r="B13" s="1143" t="s">
        <v>31</v>
      </c>
      <c r="C13" s="1144">
        <f>VLOOKUP('Background Data'!$F$2,Inst_FPs,14,FALSE)</f>
        <v>590.1</v>
      </c>
      <c r="D13" s="1146">
        <f>'T1 Main Table'!$K38</f>
        <v>540</v>
      </c>
      <c r="E13" s="1147">
        <f t="shared" ref="E13:E18" si="0">D13-C13</f>
        <v>-50.100000000000023</v>
      </c>
      <c r="F13" s="1148">
        <f t="shared" ref="F13:F18" si="1">IF(C13&gt;0,E13/C13,"")</f>
        <v>-8.4900864260294903E-2</v>
      </c>
      <c r="G13" s="1490" t="str">
        <f>IF(F13&lt;&gt;"",IF(F13&lt;-Control_Under_Tolerance,"YES","NO"),"")</f>
        <v>YES</v>
      </c>
      <c r="H13" s="2146"/>
      <c r="I13" s="292"/>
      <c r="J13" s="194"/>
      <c r="K13" s="1487"/>
      <c r="L13" s="184"/>
    </row>
    <row r="14" spans="1:12" ht="24.95" customHeight="1">
      <c r="A14" s="1025"/>
      <c r="B14" s="1143" t="s">
        <v>454</v>
      </c>
      <c r="C14" s="1144">
        <f>VLOOKUP('Background Data'!$F$2,Inst_FPs,15,FALSE)</f>
        <v>0</v>
      </c>
      <c r="D14" s="1146">
        <f>'T1 Main Table'!$K39</f>
        <v>0</v>
      </c>
      <c r="E14" s="1147">
        <f t="shared" si="0"/>
        <v>0</v>
      </c>
      <c r="F14" s="1148" t="str">
        <f t="shared" si="1"/>
        <v/>
      </c>
      <c r="G14" s="1480" t="s">
        <v>248</v>
      </c>
      <c r="H14" s="2146"/>
      <c r="I14" s="292"/>
      <c r="J14" s="194"/>
      <c r="K14" s="1487"/>
      <c r="L14" s="184"/>
    </row>
    <row r="15" spans="1:12" ht="24.95" customHeight="1">
      <c r="A15" s="1025"/>
      <c r="B15" s="1143" t="s">
        <v>5</v>
      </c>
      <c r="C15" s="1145">
        <f>VLOOKUP('Background Data'!$F$2,Inst_FPs,16,FALSE)</f>
        <v>364.8</v>
      </c>
      <c r="D15" s="1146">
        <f>'T1 Main Table'!$K41</f>
        <v>399</v>
      </c>
      <c r="E15" s="1147">
        <f t="shared" si="0"/>
        <v>34.199999999999989</v>
      </c>
      <c r="F15" s="1148">
        <f t="shared" si="1"/>
        <v>9.3749999999999972E-2</v>
      </c>
      <c r="G15" s="1490" t="str">
        <f>IF(F15&lt;&gt;"",IF(F15&lt;-Control_Under_Tolerance,"YES","NO"),"")</f>
        <v>NO</v>
      </c>
      <c r="H15" s="2146"/>
      <c r="I15" s="292"/>
      <c r="J15" s="194"/>
      <c r="K15" s="1487"/>
      <c r="L15" s="184"/>
    </row>
    <row r="16" spans="1:12" ht="24.95" customHeight="1">
      <c r="A16" s="1025"/>
      <c r="B16" s="1143" t="s">
        <v>455</v>
      </c>
      <c r="C16" s="1149">
        <f>VLOOKUP('Background Data'!$F$2,Inst_FPs,17,FALSE)</f>
        <v>0</v>
      </c>
      <c r="D16" s="1146">
        <f>'T1 Main Table'!$K42</f>
        <v>0</v>
      </c>
      <c r="E16" s="1147">
        <f t="shared" si="0"/>
        <v>0</v>
      </c>
      <c r="F16" s="1148" t="str">
        <f t="shared" si="1"/>
        <v/>
      </c>
      <c r="G16" s="1480" t="s">
        <v>248</v>
      </c>
      <c r="H16" s="2146"/>
      <c r="I16" s="292"/>
      <c r="J16" s="194"/>
      <c r="K16" s="1487"/>
      <c r="L16" s="184"/>
    </row>
    <row r="17" spans="1:12" ht="24.95" customHeight="1">
      <c r="A17" s="1025"/>
      <c r="B17" s="1143" t="s">
        <v>32</v>
      </c>
      <c r="C17" s="1145">
        <f>VLOOKUP('Background Data'!$F$2,Inst_FPs,18,FALSE)</f>
        <v>211.4</v>
      </c>
      <c r="D17" s="1146">
        <f>'T1 Main Table'!$K40</f>
        <v>209</v>
      </c>
      <c r="E17" s="1147">
        <f t="shared" si="0"/>
        <v>-2.4000000000000057</v>
      </c>
      <c r="F17" s="1148">
        <f t="shared" si="1"/>
        <v>-1.1352885525070982E-2</v>
      </c>
      <c r="G17" s="1490" t="str">
        <f>IF(F17&lt;&gt;"",IF(F17&lt;-Control_Under_Tolerance,"YES","NO"),"")</f>
        <v>NO</v>
      </c>
      <c r="H17" s="2146"/>
      <c r="I17" s="292"/>
      <c r="J17" s="194"/>
      <c r="K17" s="1487"/>
      <c r="L17" s="184"/>
    </row>
    <row r="18" spans="1:12" ht="24.95" customHeight="1" thickBot="1">
      <c r="A18" s="1025"/>
      <c r="B18" s="1143" t="s">
        <v>6</v>
      </c>
      <c r="C18" s="1151">
        <f>VLOOKUP('Background Data'!$F$2,Inst_FPs,19,FALSE)</f>
        <v>53.3</v>
      </c>
      <c r="D18" s="1152">
        <f>'T1 Main Table'!$K43</f>
        <v>55</v>
      </c>
      <c r="E18" s="1153">
        <f t="shared" si="0"/>
        <v>1.7000000000000028</v>
      </c>
      <c r="F18" s="1491">
        <f t="shared" si="1"/>
        <v>3.1894934333958777E-2</v>
      </c>
      <c r="G18" s="1154" t="str">
        <f>IF(F18&lt;&gt;"",IF(F18&lt;-Control_Under_Tolerance,"YES","NO"),"")</f>
        <v>NO</v>
      </c>
      <c r="H18" s="2146"/>
      <c r="I18" s="292"/>
      <c r="J18" s="194"/>
      <c r="K18" s="1487"/>
      <c r="L18" s="184"/>
    </row>
    <row r="19" spans="1:12" ht="35.1" customHeight="1">
      <c r="A19" s="1025"/>
      <c r="B19" s="1155" t="s">
        <v>71</v>
      </c>
      <c r="C19" s="1157"/>
      <c r="D19" s="1158"/>
      <c r="E19" s="1159"/>
      <c r="F19" s="1160"/>
      <c r="G19" s="1161"/>
      <c r="H19" s="2146"/>
      <c r="I19" s="292"/>
      <c r="J19" s="194"/>
      <c r="K19" s="1487"/>
      <c r="L19" s="184"/>
    </row>
    <row r="20" spans="1:12" ht="24.95" customHeight="1">
      <c r="A20" s="1025"/>
      <c r="B20" s="1143" t="s">
        <v>321</v>
      </c>
      <c r="C20" s="1149">
        <f>VLOOKUP('Background Data'!$F$2,Inst_FPs,20,FALSE)</f>
        <v>0</v>
      </c>
      <c r="D20" s="1305">
        <f>'T1 Main Table'!$K15+'T1 Main Table'!$K58</f>
        <v>0</v>
      </c>
      <c r="E20" s="1492">
        <f>D20-C20</f>
        <v>0</v>
      </c>
      <c r="F20" s="1491" t="str">
        <f>IF(C20&gt;0,E20/C20,"")</f>
        <v/>
      </c>
      <c r="G20" s="1154" t="str">
        <f>IF(F20&lt;&gt;"",IF(F20&lt;-Control_Under_Tolerance,"YES","NO"),"")</f>
        <v/>
      </c>
      <c r="H20" s="2146"/>
      <c r="I20" s="292"/>
      <c r="J20" s="194"/>
      <c r="K20" s="1487"/>
      <c r="L20" s="184"/>
    </row>
    <row r="21" spans="1:12" ht="24.95" customHeight="1" thickBot="1">
      <c r="A21" s="1025"/>
      <c r="B21" s="1162" t="s">
        <v>322</v>
      </c>
      <c r="C21" s="1164">
        <f>VLOOKUP('Background Data'!$F$2,Inst_FPs,21,FALSE)</f>
        <v>149</v>
      </c>
      <c r="D21" s="1165">
        <f>'T1 Main Table'!$K59</f>
        <v>162</v>
      </c>
      <c r="E21" s="1166">
        <f>D21-C21</f>
        <v>13</v>
      </c>
      <c r="F21" s="1167">
        <f>IF(C21&gt;0,E21/C21,"")</f>
        <v>8.7248322147651006E-2</v>
      </c>
      <c r="G21" s="1168" t="str">
        <f>IF(F21&lt;&gt;"",IF(F21&lt;-Control_Under_Tolerance,"YES","NO"),"")</f>
        <v>NO</v>
      </c>
      <c r="H21" s="2146"/>
      <c r="I21" s="292"/>
      <c r="J21" s="499"/>
      <c r="K21" s="1487"/>
      <c r="L21" s="184"/>
    </row>
    <row r="22" spans="1:12" ht="35.1" customHeight="1">
      <c r="A22" s="1025"/>
      <c r="B22" s="1169" t="s">
        <v>267</v>
      </c>
      <c r="C22" s="1171"/>
      <c r="D22" s="1172"/>
      <c r="E22" s="1173"/>
      <c r="F22" s="1493"/>
      <c r="G22" s="1174"/>
      <c r="H22" s="2146"/>
      <c r="I22" s="292"/>
      <c r="J22" s="194"/>
      <c r="K22" s="1487"/>
      <c r="L22" s="184"/>
    </row>
    <row r="23" spans="1:12" ht="24.95" customHeight="1">
      <c r="A23" s="1025"/>
      <c r="B23" s="1143" t="s">
        <v>459</v>
      </c>
      <c r="C23" s="1145">
        <f>VLOOKUP('Background Data'!$F$2,Inst_FPs,24,FALSE)</f>
        <v>186.5</v>
      </c>
      <c r="D23" s="1146">
        <f>'T1 Main Table'!$K23</f>
        <v>206</v>
      </c>
      <c r="E23" s="1147">
        <f t="shared" ref="E23:E26" si="2">D23-C23</f>
        <v>19.5</v>
      </c>
      <c r="F23" s="1148">
        <f t="shared" ref="F23:F26" si="3">IF(C23&gt;0,E23/C23,"")</f>
        <v>0.10455764075067024</v>
      </c>
      <c r="G23" s="1490" t="str">
        <f t="shared" ref="G23:G26" si="4">IF(F23&lt;&gt;"",IF(F23&lt;-Control_Under_Tolerance,"YES","NO"),"")</f>
        <v>NO</v>
      </c>
      <c r="H23" s="2146"/>
      <c r="I23" s="292"/>
      <c r="J23" s="194"/>
      <c r="K23" s="1487"/>
      <c r="L23" s="184"/>
    </row>
    <row r="24" spans="1:12" ht="24.95" customHeight="1">
      <c r="A24" s="1025"/>
      <c r="B24" s="1143" t="s">
        <v>460</v>
      </c>
      <c r="C24" s="1149">
        <f>VLOOKUP('Background Data'!$F$2,Inst_FPs,25,FALSE)</f>
        <v>318.89999999999998</v>
      </c>
      <c r="D24" s="1146">
        <f>SUM('T1 Main Table'!$K27,'T1 Main Table'!$K29,'T1 Main Table'!$K56)</f>
        <v>227</v>
      </c>
      <c r="E24" s="1175">
        <f t="shared" si="2"/>
        <v>-91.899999999999977</v>
      </c>
      <c r="F24" s="1148">
        <f t="shared" si="3"/>
        <v>-0.28817811226089679</v>
      </c>
      <c r="G24" s="1490" t="str">
        <f t="shared" si="4"/>
        <v>YES</v>
      </c>
      <c r="H24" s="2146"/>
      <c r="I24" s="292"/>
      <c r="J24" s="194"/>
      <c r="K24" s="1487"/>
      <c r="L24" s="184"/>
    </row>
    <row r="25" spans="1:12" ht="24.95" customHeight="1">
      <c r="A25" s="1025"/>
      <c r="B25" s="1143" t="s">
        <v>289</v>
      </c>
      <c r="C25" s="1145">
        <f>VLOOKUP('Background Data'!$F$2,Inst_FPs,22,FALSE)</f>
        <v>582</v>
      </c>
      <c r="D25" s="1146">
        <f>'T1 Main Table'!$K48</f>
        <v>577.95000000000005</v>
      </c>
      <c r="E25" s="1147">
        <f t="shared" si="2"/>
        <v>-4.0499999999999545</v>
      </c>
      <c r="F25" s="1148">
        <f t="shared" si="3"/>
        <v>-6.9587628865978596E-3</v>
      </c>
      <c r="G25" s="1490" t="str">
        <f t="shared" si="4"/>
        <v>NO</v>
      </c>
      <c r="H25" s="2146"/>
      <c r="I25" s="292"/>
      <c r="J25" s="194"/>
      <c r="K25" s="1487"/>
      <c r="L25" s="184"/>
    </row>
    <row r="26" spans="1:12" ht="24.95" customHeight="1">
      <c r="A26" s="1025"/>
      <c r="B26" s="1143" t="s">
        <v>462</v>
      </c>
      <c r="C26" s="1145">
        <f>VLOOKUP('Background Data'!$F$2,Inst_FPs,23,FALSE)</f>
        <v>86.6</v>
      </c>
      <c r="D26" s="1146">
        <f>SUM('T1 Main Table'!$K50,'T1 Main Table'!$K51,'T1 Main Table'!$K52)</f>
        <v>76</v>
      </c>
      <c r="E26" s="1147">
        <f t="shared" si="2"/>
        <v>-10.599999999999994</v>
      </c>
      <c r="F26" s="1148">
        <f t="shared" si="3"/>
        <v>-0.12240184757505768</v>
      </c>
      <c r="G26" s="1490" t="str">
        <f t="shared" si="4"/>
        <v>YES</v>
      </c>
      <c r="H26" s="2146"/>
      <c r="I26" s="292"/>
      <c r="J26" s="194"/>
      <c r="K26" s="1487"/>
      <c r="L26" s="184"/>
    </row>
    <row r="27" spans="1:12" ht="24.95" customHeight="1">
      <c r="A27" s="1025"/>
      <c r="B27" s="1169" t="s">
        <v>324</v>
      </c>
      <c r="C27" s="1171"/>
      <c r="D27" s="1177"/>
      <c r="E27" s="1178"/>
      <c r="F27" s="1494"/>
      <c r="G27" s="1174"/>
      <c r="H27" s="2146"/>
      <c r="I27" s="292"/>
      <c r="J27" s="194"/>
      <c r="K27" s="1487"/>
      <c r="L27" s="184"/>
    </row>
    <row r="28" spans="1:12" ht="24.95" customHeight="1">
      <c r="A28" s="1025"/>
      <c r="B28" s="1143" t="s">
        <v>456</v>
      </c>
      <c r="C28" s="1145">
        <f>VLOOKUP('Background Data'!$F$2,Inst_FPs,26,FALSE)</f>
        <v>0</v>
      </c>
      <c r="D28" s="1146">
        <f>'T1 Main Table'!$K54</f>
        <v>0</v>
      </c>
      <c r="E28" s="1147">
        <f>D28-C28</f>
        <v>0</v>
      </c>
      <c r="F28" s="1148" t="str">
        <f>IF(C28&gt;0,E28/C28,"")</f>
        <v/>
      </c>
      <c r="G28" s="1480" t="s">
        <v>248</v>
      </c>
      <c r="H28" s="2146"/>
      <c r="I28" s="292"/>
      <c r="J28" s="194"/>
      <c r="K28" s="1487"/>
      <c r="L28" s="184"/>
    </row>
    <row r="29" spans="1:12" ht="24.95" customHeight="1">
      <c r="A29" s="1025"/>
      <c r="B29" s="1143" t="s">
        <v>457</v>
      </c>
      <c r="C29" s="1145">
        <f>VLOOKUP('Background Data'!$F$2,Inst_FPs,27,FALSE)</f>
        <v>0</v>
      </c>
      <c r="D29" s="1146">
        <f>'T1 Main Table'!$K55</f>
        <v>0</v>
      </c>
      <c r="E29" s="1147">
        <f>D29-C29</f>
        <v>0</v>
      </c>
      <c r="F29" s="1148" t="str">
        <f>IF(C29&gt;0,E29/C29,"")</f>
        <v/>
      </c>
      <c r="G29" s="1480" t="s">
        <v>248</v>
      </c>
      <c r="H29" s="2146"/>
      <c r="I29" s="292"/>
      <c r="J29" s="194"/>
      <c r="K29" s="1487"/>
      <c r="L29" s="184"/>
    </row>
    <row r="30" spans="1:12" ht="24.95" customHeight="1" thickBot="1">
      <c r="A30" s="1025"/>
      <c r="B30" s="1179" t="s">
        <v>458</v>
      </c>
      <c r="C30" s="1164">
        <f>VLOOKUP('Background Data'!$F$2,Inst_FPs,28,FALSE)</f>
        <v>0</v>
      </c>
      <c r="D30" s="1327">
        <f>'T1 Main Table'!$K30</f>
        <v>0</v>
      </c>
      <c r="E30" s="1180">
        <f>D30-C30</f>
        <v>0</v>
      </c>
      <c r="F30" s="1167" t="str">
        <f>IF(C30&gt;0,E30/C30,"")</f>
        <v/>
      </c>
      <c r="G30" s="1313" t="s">
        <v>248</v>
      </c>
      <c r="H30" s="2146"/>
      <c r="I30" s="292"/>
      <c r="J30" s="194"/>
      <c r="K30" s="1487"/>
      <c r="L30" s="184"/>
    </row>
    <row r="31" spans="1:12" ht="24.95" customHeight="1">
      <c r="A31" s="1306"/>
      <c r="B31" s="1304" t="s">
        <v>555</v>
      </c>
      <c r="C31" s="1304"/>
      <c r="D31" s="1304"/>
      <c r="E31" s="1304"/>
      <c r="F31" s="1304"/>
      <c r="G31" s="1304"/>
      <c r="H31" s="224"/>
      <c r="I31" s="224"/>
      <c r="J31" s="224"/>
      <c r="K31" s="1487"/>
      <c r="L31" s="184"/>
    </row>
    <row r="32" spans="1:12" ht="24.95" customHeight="1">
      <c r="A32" s="1306"/>
      <c r="B32" s="1304" t="s">
        <v>461</v>
      </c>
      <c r="C32" s="1304"/>
      <c r="D32" s="1304"/>
      <c r="E32" s="1304"/>
      <c r="F32" s="1304"/>
      <c r="G32" s="1304"/>
      <c r="H32" s="224"/>
      <c r="I32" s="224"/>
      <c r="J32" s="224"/>
      <c r="K32" s="1487"/>
      <c r="L32" s="184"/>
    </row>
    <row r="33" spans="1:12" ht="24.95" customHeight="1">
      <c r="A33" s="1306"/>
      <c r="B33" s="1304" t="s">
        <v>491</v>
      </c>
      <c r="C33" s="1304"/>
      <c r="D33" s="1304"/>
      <c r="E33" s="1304"/>
      <c r="F33" s="1304"/>
      <c r="G33" s="1304"/>
      <c r="H33" s="224"/>
      <c r="I33" s="224"/>
      <c r="J33" s="224"/>
      <c r="K33" s="1487"/>
      <c r="L33" s="184"/>
    </row>
    <row r="34" spans="1:12" ht="15" customHeight="1">
      <c r="A34" s="1082"/>
      <c r="B34" s="224"/>
      <c r="C34" s="1181"/>
      <c r="D34" s="1181"/>
      <c r="E34" s="1181"/>
      <c r="F34" s="1181"/>
      <c r="G34" s="1181"/>
      <c r="H34" s="1181"/>
      <c r="I34" s="1182"/>
      <c r="J34" s="1182"/>
      <c r="K34" s="1487"/>
      <c r="L34" s="184"/>
    </row>
    <row r="35" spans="1:12" ht="20.100000000000001" customHeight="1">
      <c r="A35" s="1025"/>
      <c r="B35" s="195" t="s">
        <v>463</v>
      </c>
      <c r="C35" s="196"/>
      <c r="D35" s="196"/>
      <c r="E35" s="196"/>
      <c r="F35" s="196"/>
      <c r="G35" s="196"/>
      <c r="H35" s="40"/>
      <c r="I35" s="194"/>
      <c r="J35" s="194"/>
      <c r="K35" s="1487"/>
      <c r="L35" s="184"/>
    </row>
    <row r="36" spans="1:12" ht="24.95" customHeight="1">
      <c r="A36" s="1025"/>
      <c r="B36" s="195" t="s">
        <v>464</v>
      </c>
      <c r="C36" s="196"/>
      <c r="D36" s="196"/>
      <c r="E36" s="196"/>
      <c r="F36" s="196"/>
      <c r="G36" s="196"/>
      <c r="H36" s="40"/>
      <c r="I36" s="194"/>
      <c r="J36" s="194"/>
      <c r="K36" s="1487"/>
      <c r="L36" s="184"/>
    </row>
    <row r="37" spans="1:12" ht="9.9499999999999993" customHeight="1" thickBot="1">
      <c r="A37" s="1025"/>
      <c r="B37" s="196"/>
      <c r="C37" s="196"/>
      <c r="D37" s="196"/>
      <c r="E37" s="196"/>
      <c r="F37" s="196"/>
      <c r="G37" s="196"/>
      <c r="H37" s="40"/>
      <c r="I37" s="194"/>
      <c r="J37" s="194"/>
      <c r="K37" s="1487"/>
      <c r="L37" s="184"/>
    </row>
    <row r="38" spans="1:12" ht="30" customHeight="1">
      <c r="A38" s="1025"/>
      <c r="B38" s="2722" t="s">
        <v>100</v>
      </c>
      <c r="C38" s="2727" t="s">
        <v>487</v>
      </c>
      <c r="D38" s="2725" t="s">
        <v>465</v>
      </c>
      <c r="E38" s="2720" t="s">
        <v>81</v>
      </c>
      <c r="F38" s="2721"/>
      <c r="G38" s="2719" t="s">
        <v>320</v>
      </c>
      <c r="H38" s="184"/>
      <c r="I38" s="184"/>
      <c r="J38" s="184"/>
      <c r="K38" s="1487"/>
      <c r="L38" s="184"/>
    </row>
    <row r="39" spans="1:12" ht="60" customHeight="1">
      <c r="A39" s="1025"/>
      <c r="B39" s="2723"/>
      <c r="C39" s="2728"/>
      <c r="D39" s="2726"/>
      <c r="E39" s="1495"/>
      <c r="F39" s="1183"/>
      <c r="G39" s="2713"/>
      <c r="H39" s="184"/>
      <c r="I39" s="184"/>
      <c r="J39" s="184"/>
      <c r="K39" s="1487"/>
      <c r="L39" s="184"/>
    </row>
    <row r="40" spans="1:12" ht="30" customHeight="1">
      <c r="A40" s="1025"/>
      <c r="B40" s="2724"/>
      <c r="C40" s="1134" t="s">
        <v>16</v>
      </c>
      <c r="D40" s="1189" t="s">
        <v>16</v>
      </c>
      <c r="E40" s="1134" t="s">
        <v>16</v>
      </c>
      <c r="F40" s="81" t="s">
        <v>82</v>
      </c>
      <c r="G40" s="2713"/>
      <c r="H40" s="184"/>
      <c r="I40" s="184"/>
      <c r="J40" s="184"/>
      <c r="K40" s="1487"/>
      <c r="L40" s="184"/>
    </row>
    <row r="41" spans="1:12" ht="30" customHeight="1">
      <c r="A41" s="1025"/>
      <c r="B41" s="1185"/>
      <c r="C41" s="1135" t="s">
        <v>55</v>
      </c>
      <c r="D41" s="2156" t="s">
        <v>55</v>
      </c>
      <c r="E41" s="1135" t="s">
        <v>54</v>
      </c>
      <c r="F41" s="1477" t="s">
        <v>54</v>
      </c>
      <c r="G41" s="369" t="s">
        <v>54</v>
      </c>
      <c r="H41" s="184"/>
      <c r="I41" s="184"/>
      <c r="J41" s="184"/>
      <c r="K41" s="1487"/>
      <c r="L41" s="184"/>
    </row>
    <row r="42" spans="1:12" ht="30" customHeight="1" thickBot="1">
      <c r="A42" s="1025"/>
      <c r="B42" s="1136"/>
      <c r="C42" s="1137">
        <v>1</v>
      </c>
      <c r="D42" s="424">
        <v>5</v>
      </c>
      <c r="E42" s="1137">
        <v>6</v>
      </c>
      <c r="F42" s="424">
        <v>7</v>
      </c>
      <c r="G42" s="423">
        <v>8</v>
      </c>
      <c r="H42" s="184"/>
      <c r="I42" s="184"/>
      <c r="J42" s="184"/>
      <c r="K42" s="1487"/>
      <c r="L42" s="184"/>
    </row>
    <row r="43" spans="1:12" ht="35.1" customHeight="1">
      <c r="A43" s="1025"/>
      <c r="B43" s="1186" t="s">
        <v>355</v>
      </c>
      <c r="C43" s="1187">
        <f>VLOOKUP('Background Data'!$F$2,Inst_FPs,10,FALSE)</f>
        <v>25</v>
      </c>
      <c r="D43" s="2200">
        <f>'T1 Main Table'!$K$61</f>
        <v>26</v>
      </c>
      <c r="E43" s="1187">
        <f>D43-C43</f>
        <v>1</v>
      </c>
      <c r="F43" s="1188">
        <f>IF(C43&gt;0,E43/C43,"")</f>
        <v>0.04</v>
      </c>
      <c r="G43" s="1133" t="s">
        <v>248</v>
      </c>
      <c r="H43" s="184"/>
      <c r="I43" s="184"/>
      <c r="J43" s="184"/>
      <c r="K43" s="1487"/>
      <c r="L43" s="184"/>
    </row>
    <row r="44" spans="1:12" ht="35.1" customHeight="1" thickBot="1">
      <c r="A44" s="1025"/>
      <c r="B44" s="1481" t="s">
        <v>356</v>
      </c>
      <c r="C44" s="1191">
        <f>SUM(VLOOKUP('Background Data'!$F$2,Inst_FPs,13,FALSE),VLOOKUP('Background Data'!$F$2,Inst_FPs,6,FALSE),VLOOKUP('Background Data'!$F$2,Inst_FPs,7,FALSE))-VLOOKUP('Background Data'!$F$2,Inst_FPs,10,FALSE)</f>
        <v>12125.699999999997</v>
      </c>
      <c r="D44" s="2201">
        <f>SUM('T1 Main Table'!$K$16,'T1 Main Table'!$K$32,'T1 Main Table'!$K$33,'T1 Main Table'!$K$62,'T1 Main Table'!$K$63)</f>
        <v>12800.434999999999</v>
      </c>
      <c r="E44" s="1191">
        <f>D44-C44</f>
        <v>674.7350000000024</v>
      </c>
      <c r="F44" s="1192">
        <f>IF(C44&gt;0,E44/C44,"")</f>
        <v>5.5645034925818924E-2</v>
      </c>
      <c r="G44" s="1313" t="str">
        <f>IF(F44&lt;-Non_control_Under_Tolerance,"YES","NO")</f>
        <v>NO</v>
      </c>
      <c r="H44" s="184"/>
      <c r="I44" s="184"/>
      <c r="J44" s="184"/>
      <c r="K44" s="1487"/>
      <c r="L44" s="184"/>
    </row>
    <row r="45" spans="1:12" ht="24.95" customHeight="1">
      <c r="A45" s="1025"/>
      <c r="B45" s="711" t="s">
        <v>488</v>
      </c>
      <c r="C45" s="202"/>
      <c r="D45" s="202"/>
      <c r="E45" s="202"/>
      <c r="F45" s="202"/>
      <c r="G45" s="202"/>
      <c r="H45" s="202"/>
      <c r="I45" s="194"/>
      <c r="J45" s="194"/>
      <c r="K45" s="1487"/>
      <c r="L45" s="184"/>
    </row>
    <row r="46" spans="1:12" s="514" customFormat="1" ht="24.95" customHeight="1">
      <c r="A46" s="1082"/>
      <c r="B46" s="711" t="s">
        <v>490</v>
      </c>
      <c r="C46" s="1181"/>
      <c r="D46" s="1181"/>
      <c r="E46" s="1181"/>
      <c r="F46" s="1181"/>
      <c r="G46" s="1181"/>
      <c r="H46" s="1181"/>
      <c r="I46" s="1182"/>
      <c r="J46" s="1182"/>
      <c r="K46" s="1496"/>
      <c r="L46" s="1483"/>
    </row>
    <row r="47" spans="1:12" s="514" customFormat="1" ht="24.95" customHeight="1">
      <c r="A47" s="1082"/>
      <c r="B47" s="711" t="s">
        <v>489</v>
      </c>
      <c r="C47" s="1181"/>
      <c r="D47" s="1181"/>
      <c r="E47" s="1181"/>
      <c r="F47" s="1181"/>
      <c r="G47" s="1181"/>
      <c r="H47" s="1181"/>
      <c r="I47" s="1182"/>
      <c r="J47" s="1182"/>
      <c r="K47" s="1496"/>
      <c r="L47" s="1483"/>
    </row>
    <row r="48" spans="1:12" ht="24.95" customHeight="1">
      <c r="A48" s="1025"/>
      <c r="B48" s="195" t="s">
        <v>466</v>
      </c>
      <c r="C48" s="202"/>
      <c r="D48" s="202"/>
      <c r="E48" s="202"/>
      <c r="F48" s="202"/>
      <c r="G48" s="202"/>
      <c r="H48" s="202"/>
      <c r="I48" s="194"/>
      <c r="J48" s="194"/>
      <c r="K48" s="1487"/>
      <c r="L48" s="184"/>
    </row>
    <row r="49" spans="1:12" ht="24.95" customHeight="1">
      <c r="A49" s="1025"/>
      <c r="B49" s="195" t="s">
        <v>335</v>
      </c>
      <c r="C49" s="196"/>
      <c r="D49" s="196"/>
      <c r="E49" s="196"/>
      <c r="F49" s="40"/>
      <c r="G49" s="40"/>
      <c r="H49" s="40"/>
      <c r="I49" s="194"/>
      <c r="J49" s="194"/>
      <c r="K49" s="1487"/>
      <c r="L49" s="184"/>
    </row>
    <row r="50" spans="1:12" ht="24.95" customHeight="1">
      <c r="A50" s="1025"/>
      <c r="B50" s="195" t="s">
        <v>336</v>
      </c>
      <c r="C50" s="196"/>
      <c r="D50" s="196"/>
      <c r="E50" s="196"/>
      <c r="F50" s="40"/>
      <c r="G50" s="40"/>
      <c r="H50" s="40"/>
      <c r="I50" s="194"/>
      <c r="J50" s="194"/>
      <c r="K50" s="1487"/>
      <c r="L50" s="184"/>
    </row>
    <row r="51" spans="1:12" ht="9.9499999999999993" customHeight="1" thickBot="1">
      <c r="A51" s="1025"/>
      <c r="B51" s="197"/>
      <c r="C51" s="197"/>
      <c r="D51" s="197"/>
      <c r="E51" s="197"/>
      <c r="F51" s="204"/>
      <c r="G51" s="204"/>
      <c r="H51" s="40"/>
      <c r="I51" s="194"/>
      <c r="J51" s="194"/>
      <c r="K51" s="1487"/>
      <c r="L51" s="184"/>
    </row>
    <row r="52" spans="1:12" ht="80.099999999999994" customHeight="1">
      <c r="A52" s="1025"/>
      <c r="B52" s="1478" t="s">
        <v>101</v>
      </c>
      <c r="C52" s="205" t="s">
        <v>467</v>
      </c>
      <c r="D52" s="1194" t="s">
        <v>358</v>
      </c>
      <c r="E52" s="2729" t="s">
        <v>218</v>
      </c>
      <c r="F52" s="2715"/>
      <c r="G52" s="1195" t="s">
        <v>327</v>
      </c>
      <c r="H52" s="203"/>
      <c r="I52" s="499"/>
      <c r="J52" s="194"/>
      <c r="K52" s="1487"/>
      <c r="L52" s="184"/>
    </row>
    <row r="53" spans="1:12" ht="30" customHeight="1">
      <c r="A53" s="1025"/>
      <c r="B53" s="1196"/>
      <c r="C53" s="1184" t="s">
        <v>16</v>
      </c>
      <c r="D53" s="1132" t="s">
        <v>16</v>
      </c>
      <c r="E53" s="1134" t="s">
        <v>16</v>
      </c>
      <c r="F53" s="1497" t="s">
        <v>82</v>
      </c>
      <c r="G53" s="1197"/>
      <c r="H53" s="185"/>
      <c r="I53" s="499"/>
      <c r="J53" s="194"/>
      <c r="K53" s="1487"/>
      <c r="L53" s="184"/>
    </row>
    <row r="54" spans="1:12" ht="30" customHeight="1">
      <c r="A54" s="1025"/>
      <c r="B54" s="1196"/>
      <c r="C54" s="1476" t="s">
        <v>55</v>
      </c>
      <c r="D54" s="1198" t="s">
        <v>55</v>
      </c>
      <c r="E54" s="1135" t="s">
        <v>54</v>
      </c>
      <c r="F54" s="1498" t="s">
        <v>54</v>
      </c>
      <c r="G54" s="1477" t="s">
        <v>54</v>
      </c>
      <c r="H54" s="185"/>
      <c r="I54" s="499"/>
      <c r="J54" s="194"/>
      <c r="K54" s="1487"/>
      <c r="L54" s="184"/>
    </row>
    <row r="55" spans="1:12" ht="30" customHeight="1" thickBot="1">
      <c r="A55" s="1025"/>
      <c r="B55" s="1199"/>
      <c r="C55" s="1200">
        <v>1</v>
      </c>
      <c r="D55" s="1201">
        <v>2</v>
      </c>
      <c r="E55" s="1202">
        <v>3</v>
      </c>
      <c r="F55" s="1499">
        <v>4</v>
      </c>
      <c r="G55" s="1203">
        <v>5</v>
      </c>
      <c r="H55" s="185"/>
      <c r="I55" s="194"/>
      <c r="J55" s="194"/>
      <c r="K55" s="1487"/>
      <c r="L55" s="184"/>
    </row>
    <row r="56" spans="1:12" ht="45" customHeight="1">
      <c r="A56" s="1025"/>
      <c r="B56" s="1204" t="s">
        <v>328</v>
      </c>
      <c r="C56" s="1205"/>
      <c r="D56" s="1206"/>
      <c r="E56" s="1207"/>
      <c r="F56" s="1208"/>
      <c r="G56" s="1209"/>
      <c r="H56" s="185"/>
      <c r="I56" s="194"/>
      <c r="J56" s="194"/>
      <c r="K56" s="1487"/>
      <c r="L56" s="184"/>
    </row>
    <row r="57" spans="1:12" ht="30" customHeight="1">
      <c r="A57" s="1025"/>
      <c r="B57" s="1143" t="s">
        <v>329</v>
      </c>
      <c r="C57" s="1500">
        <f>VLOOKUP('Background Data'!$F$2,Inst_FPs,31,FALSE)</f>
        <v>1248</v>
      </c>
      <c r="D57" s="1501">
        <f>SUM('T1 Main Table'!$Q$38,'T1 Main Table'!$Q$39,'T1 Main Table'!$Q$41,'T1 Main Table'!$Q$42)</f>
        <v>1237</v>
      </c>
      <c r="E57" s="1210">
        <f>D57-C57</f>
        <v>-11</v>
      </c>
      <c r="F57" s="1211">
        <f>IF(C57&gt;0,E57/C57,"")</f>
        <v>-8.814102564102564E-3</v>
      </c>
      <c r="G57" s="1502" t="str">
        <f>IF(F57&lt;&gt;"",IF(C57&gt;=100,IF(F57&gt;Consol_Tolerance,"Yes","No"),IF(E57&gt;Control_Consol_Tolerance_FTE,"Yes","No")),"")</f>
        <v>No</v>
      </c>
      <c r="H57" s="185"/>
      <c r="I57" s="194"/>
      <c r="J57" s="194"/>
      <c r="K57" s="1487"/>
      <c r="L57" s="184"/>
    </row>
    <row r="58" spans="1:12" ht="30" customHeight="1">
      <c r="A58" s="1025"/>
      <c r="B58" s="1143" t="s">
        <v>330</v>
      </c>
      <c r="C58" s="1500">
        <f>VLOOKUP('Background Data'!$F$2,Inst_FPs,32,FALSE)</f>
        <v>330</v>
      </c>
      <c r="D58" s="1501">
        <f>SUM('T1 Main Table'!$Q$40,'T1 Main Table'!$Q$43)</f>
        <v>330</v>
      </c>
      <c r="E58" s="1210">
        <f>D58-C58</f>
        <v>0</v>
      </c>
      <c r="F58" s="1211">
        <f>IF(C58&gt;0,E58/C58,"")</f>
        <v>0</v>
      </c>
      <c r="G58" s="1502" t="str">
        <f>IF(F58&lt;&gt;"",IF(F58&gt;Dentistry_Consol_Tolerance,"Yes","No"),"")</f>
        <v>No</v>
      </c>
      <c r="H58" s="185"/>
      <c r="I58" s="194"/>
      <c r="J58" s="194"/>
      <c r="K58" s="1487"/>
      <c r="L58" s="184"/>
    </row>
    <row r="59" spans="1:12" ht="35.1" customHeight="1">
      <c r="A59" s="1025"/>
      <c r="B59" s="1143" t="s">
        <v>331</v>
      </c>
      <c r="C59" s="185"/>
      <c r="D59" s="1503"/>
      <c r="E59" s="1212"/>
      <c r="F59" s="206"/>
      <c r="G59" s="1504"/>
      <c r="H59" s="185"/>
      <c r="I59" s="196"/>
      <c r="J59" s="194"/>
      <c r="K59" s="1487"/>
      <c r="L59" s="184"/>
    </row>
    <row r="60" spans="1:12" ht="30" customHeight="1">
      <c r="A60" s="1025"/>
      <c r="B60" s="1213" t="s">
        <v>17</v>
      </c>
      <c r="C60" s="1500">
        <f>VLOOKUP('Background Data'!$F$2,Inst_FPs,34,FALSE)</f>
        <v>770</v>
      </c>
      <c r="D60" s="1501">
        <f>SUM('T1 Main Table'!$Q$23,'T1 Main Table'!$Q$30,'T1 Main Table'!$Q$48,'T1 Main Table'!$Q$54)</f>
        <v>791.95</v>
      </c>
      <c r="E60" s="1210">
        <f>D60-C60</f>
        <v>21.950000000000045</v>
      </c>
      <c r="F60" s="1211">
        <f>IF(C60&gt;0,E60/C60,"")</f>
        <v>2.8506493506493567E-2</v>
      </c>
      <c r="G60" s="1502" t="str">
        <f>IF(F60&lt;&gt;"",IF(C60&gt;=100,IF(F60&gt;Consol_Tolerance,"Yes","No"),IF(E60&gt;Control_Consol_Tolerance_FTE,"Yes","No")),"")</f>
        <v>No</v>
      </c>
      <c r="H60" s="185"/>
      <c r="I60" s="196"/>
      <c r="J60" s="194"/>
      <c r="K60" s="1487"/>
      <c r="L60" s="184"/>
    </row>
    <row r="61" spans="1:12" ht="30" customHeight="1">
      <c r="A61" s="1025"/>
      <c r="B61" s="1213" t="s">
        <v>18</v>
      </c>
      <c r="C61" s="1500">
        <f>VLOOKUP('Background Data'!$F$2,Inst_FPs,35,FALSE)</f>
        <v>409</v>
      </c>
      <c r="D61" s="1501">
        <f>SUM('T1 Main Table'!$Q$27,'T1 Main Table'!$Q$29,'T1 Main Table'!$Q$50,'T1 Main Table'!$Q$51,'T1 Main Table'!$Q$52,'T1 Main Table'!$Q$55,'T1 Main Table'!$Q$56)</f>
        <v>310</v>
      </c>
      <c r="E61" s="1210">
        <f>D61-C61</f>
        <v>-99</v>
      </c>
      <c r="F61" s="1211">
        <f>IF(C61&gt;0,E61/C61,"")</f>
        <v>-0.24205378973105135</v>
      </c>
      <c r="G61" s="1502" t="str">
        <f>IF(F61&lt;&gt;"",IF(C61&gt;=100,IF(F61&gt;Consol_Tolerance,"Yes","No"),IF(E61&gt;Control_Consol_Tolerance_FTE,"Yes","No")),"")</f>
        <v>No</v>
      </c>
      <c r="H61" s="185"/>
      <c r="I61" s="196"/>
      <c r="J61" s="194"/>
      <c r="K61" s="1487"/>
      <c r="L61" s="184"/>
    </row>
    <row r="62" spans="1:12" ht="30" customHeight="1" thickBot="1">
      <c r="A62" s="1025"/>
      <c r="B62" s="1179" t="s">
        <v>126</v>
      </c>
      <c r="C62" s="1190">
        <f>VLOOKUP('Background Data'!$F$2,Inst_FPs,33,FALSE)</f>
        <v>158</v>
      </c>
      <c r="D62" s="1214">
        <f>SUM('T1 Main Table'!$Q$15,'T1 Main Table'!$Q$58,'T1 Main Table'!$Q$59)</f>
        <v>168</v>
      </c>
      <c r="E62" s="1191">
        <f>D62-C62</f>
        <v>10</v>
      </c>
      <c r="F62" s="1215">
        <f>IF(C62&gt;0,E62/C62,"")</f>
        <v>6.3291139240506333E-2</v>
      </c>
      <c r="G62" s="1216" t="str">
        <f>IF(F62&lt;&gt;"",IF(C62&gt;=100,IF(F62&gt;Consol_Tolerance,"Yes","No"),IF(E62&gt;Control_Consol_Tolerance_FTE,"Yes","No")),"")</f>
        <v>No</v>
      </c>
      <c r="H62" s="185"/>
      <c r="I62" s="196"/>
      <c r="J62" s="194"/>
      <c r="K62" s="1487"/>
      <c r="L62" s="184"/>
    </row>
    <row r="63" spans="1:12" ht="35.1" customHeight="1">
      <c r="A63" s="1025"/>
      <c r="B63" s="1139" t="s">
        <v>102</v>
      </c>
      <c r="C63" s="1217"/>
      <c r="D63" s="1218"/>
      <c r="E63" s="1219"/>
      <c r="F63" s="1220"/>
      <c r="G63" s="1221"/>
      <c r="H63" s="185"/>
      <c r="I63" s="196"/>
      <c r="J63" s="194"/>
      <c r="K63" s="1487"/>
      <c r="L63" s="184"/>
    </row>
    <row r="64" spans="1:12" ht="30" customHeight="1" thickBot="1">
      <c r="A64" s="1025"/>
      <c r="B64" s="1179" t="s">
        <v>122</v>
      </c>
      <c r="C64" s="1190">
        <f>VLOOKUP('Background Data'!$F$2,Inst_FPs,30,FALSE)</f>
        <v>11125</v>
      </c>
      <c r="D64" s="1214">
        <f>SUM('T1 Main Table'!$E$61,'T1 Main Table'!$E$62,'T1 Main Table'!$E$63)</f>
        <v>11441.651</v>
      </c>
      <c r="E64" s="1191">
        <f>D64-C64</f>
        <v>316.65099999999984</v>
      </c>
      <c r="F64" s="1215">
        <f>IF(C64&gt;0,E64/C64,"")</f>
        <v>2.846301123595504E-2</v>
      </c>
      <c r="G64" s="1216" t="str">
        <f>IF(F64&lt;&gt;"",IF(F64&gt;Consol_Tolerance,"Yes","No"),"")</f>
        <v>No</v>
      </c>
      <c r="H64" s="185"/>
      <c r="I64" s="196"/>
      <c r="J64" s="194"/>
      <c r="K64" s="1487"/>
      <c r="L64" s="184"/>
    </row>
    <row r="65" spans="1:12" ht="18.95" customHeight="1">
      <c r="A65" s="289"/>
      <c r="B65" s="371"/>
      <c r="C65" s="372"/>
      <c r="D65" s="372"/>
      <c r="E65" s="372"/>
      <c r="F65" s="372"/>
      <c r="G65" s="372"/>
      <c r="H65" s="1222"/>
      <c r="I65" s="1222"/>
      <c r="J65" s="1307"/>
      <c r="K65" s="1496"/>
      <c r="L65" s="184"/>
    </row>
    <row r="66" spans="1:12" ht="24.95" customHeight="1">
      <c r="A66" s="1035"/>
      <c r="B66" s="1506" t="s">
        <v>468</v>
      </c>
      <c r="C66" s="1507"/>
      <c r="D66" s="1507"/>
      <c r="E66" s="1507"/>
      <c r="F66" s="1507"/>
      <c r="G66" s="1508"/>
      <c r="H66" s="1508"/>
      <c r="I66" s="1509"/>
      <c r="J66" s="1510"/>
      <c r="K66" s="1511"/>
      <c r="L66" s="184"/>
    </row>
    <row r="67" spans="1:12" ht="9.9499999999999993" customHeight="1" thickBot="1">
      <c r="A67" s="1025"/>
      <c r="B67" s="196"/>
      <c r="C67" s="196"/>
      <c r="D67" s="196"/>
      <c r="E67" s="196"/>
      <c r="F67" s="40"/>
      <c r="G67" s="1181"/>
      <c r="H67" s="1181"/>
      <c r="I67" s="1223"/>
      <c r="J67" s="1223"/>
      <c r="K67" s="1496"/>
      <c r="L67" s="184"/>
    </row>
    <row r="68" spans="1:12" ht="99.95" customHeight="1">
      <c r="A68" s="1025"/>
      <c r="B68" s="1478" t="s">
        <v>101</v>
      </c>
      <c r="C68" s="205" t="s">
        <v>469</v>
      </c>
      <c r="D68" s="198" t="s">
        <v>332</v>
      </c>
      <c r="E68" s="2714" t="s">
        <v>333</v>
      </c>
      <c r="F68" s="2715"/>
      <c r="G68" s="1181"/>
      <c r="H68" s="1181"/>
      <c r="I68" s="1224"/>
      <c r="J68" s="1223"/>
      <c r="K68" s="1496"/>
      <c r="L68" s="184"/>
    </row>
    <row r="69" spans="1:12" ht="30" customHeight="1">
      <c r="A69" s="1025"/>
      <c r="B69" s="1196"/>
      <c r="C69" s="1184" t="s">
        <v>16</v>
      </c>
      <c r="D69" s="1497" t="s">
        <v>16</v>
      </c>
      <c r="E69" s="1505" t="s">
        <v>16</v>
      </c>
      <c r="F69" s="1189" t="s">
        <v>82</v>
      </c>
      <c r="G69" s="1181"/>
      <c r="H69" s="1181"/>
      <c r="I69" s="1224"/>
      <c r="J69" s="1223"/>
      <c r="K69" s="1496"/>
      <c r="L69" s="184"/>
    </row>
    <row r="70" spans="1:12" ht="30" customHeight="1">
      <c r="A70" s="1025"/>
      <c r="B70" s="1196"/>
      <c r="C70" s="1476" t="s">
        <v>55</v>
      </c>
      <c r="D70" s="1498" t="s">
        <v>55</v>
      </c>
      <c r="E70" s="1135" t="s">
        <v>54</v>
      </c>
      <c r="F70" s="1477" t="s">
        <v>54</v>
      </c>
      <c r="G70" s="1181"/>
      <c r="H70" s="1181"/>
      <c r="I70" s="1224"/>
      <c r="J70" s="1223"/>
      <c r="K70" s="1496"/>
      <c r="L70" s="184"/>
    </row>
    <row r="71" spans="1:12" ht="30" customHeight="1" thickBot="1">
      <c r="A71" s="1025"/>
      <c r="B71" s="1199"/>
      <c r="C71" s="1200">
        <v>1</v>
      </c>
      <c r="D71" s="1499">
        <v>2</v>
      </c>
      <c r="E71" s="1202">
        <v>3</v>
      </c>
      <c r="F71" s="1203">
        <v>4</v>
      </c>
      <c r="G71" s="1193"/>
      <c r="H71" s="1181"/>
      <c r="I71" s="1223"/>
      <c r="J71" s="1223"/>
      <c r="K71" s="1496"/>
      <c r="L71" s="184"/>
    </row>
    <row r="72" spans="1:12" ht="35.1" customHeight="1">
      <c r="A72" s="1025"/>
      <c r="B72" s="1225" t="s">
        <v>75</v>
      </c>
      <c r="C72" s="1226"/>
      <c r="D72" s="1227"/>
      <c r="E72" s="1228"/>
      <c r="F72" s="1227"/>
      <c r="G72" s="1229"/>
      <c r="H72" s="1193"/>
      <c r="I72" s="1182"/>
      <c r="J72" s="194"/>
      <c r="K72" s="1487"/>
      <c r="L72" s="184"/>
    </row>
    <row r="73" spans="1:12" ht="24.95" customHeight="1">
      <c r="A73" s="1025"/>
      <c r="B73" s="1143" t="s">
        <v>362</v>
      </c>
      <c r="C73" s="1144">
        <f>VLOOKUP('Background Data'!$F$2,Inst_FPs,36,FALSE)</f>
        <v>250</v>
      </c>
      <c r="D73" s="1230">
        <f>'T3 Medicine, Dentistry'!$H$17+'T3 Medicine, Dentistry'!$I$17</f>
        <v>262</v>
      </c>
      <c r="E73" s="1231">
        <f>D73-C73</f>
        <v>12</v>
      </c>
      <c r="F73" s="1232">
        <f>IF(C73&gt;0,E73/C73,"")</f>
        <v>4.8000000000000001E-2</v>
      </c>
      <c r="G73" s="1233"/>
      <c r="H73" s="1234"/>
      <c r="I73" s="1181"/>
      <c r="J73" s="194"/>
      <c r="K73" s="1487"/>
      <c r="L73" s="184"/>
    </row>
    <row r="74" spans="1:12" ht="24.95" customHeight="1">
      <c r="A74" s="1025"/>
      <c r="B74" s="1143" t="s">
        <v>268</v>
      </c>
      <c r="C74" s="1144">
        <f>VLOOKUP('Background Data'!$F$2,Inst_FPs,37,FALSE)</f>
        <v>0</v>
      </c>
      <c r="D74" s="1230">
        <f>'T3 Medicine, Dentistry'!$H$18+'T3 Medicine, Dentistry'!$I$18</f>
        <v>0</v>
      </c>
      <c r="E74" s="1231">
        <f>D74-C74</f>
        <v>0</v>
      </c>
      <c r="F74" s="1232" t="str">
        <f>IF(C74&gt;0,E74/C74,"")</f>
        <v/>
      </c>
      <c r="G74" s="1233"/>
      <c r="H74" s="1234"/>
      <c r="I74" s="1181"/>
      <c r="J74" s="194"/>
      <c r="K74" s="1487"/>
      <c r="L74" s="184"/>
    </row>
    <row r="75" spans="1:12" ht="24.95" customHeight="1" thickBot="1">
      <c r="A75" s="1025"/>
      <c r="B75" s="1143" t="s">
        <v>127</v>
      </c>
      <c r="C75" s="1150">
        <f>VLOOKUP('Background Data'!$F$2,Inst_FPs,38,FALSE)</f>
        <v>67</v>
      </c>
      <c r="D75" s="1235">
        <f>SUM('T3 Medicine, Dentistry'!$C$55,'T3 Medicine, Dentistry'!$E$55)</f>
        <v>66</v>
      </c>
      <c r="E75" s="1231">
        <f>D75-C75</f>
        <v>-1</v>
      </c>
      <c r="F75" s="1232">
        <f>IF(C75&gt;0,E75/C75,"")</f>
        <v>-1.4925373134328358E-2</v>
      </c>
      <c r="G75" s="1233"/>
      <c r="H75" s="1234"/>
      <c r="I75" s="1181"/>
      <c r="J75" s="194"/>
      <c r="K75" s="1487"/>
      <c r="L75" s="184"/>
    </row>
    <row r="76" spans="1:12" ht="35.1" customHeight="1">
      <c r="A76" s="1025"/>
      <c r="B76" s="1155" t="s">
        <v>71</v>
      </c>
      <c r="C76" s="1156"/>
      <c r="D76" s="1236"/>
      <c r="E76" s="1237"/>
      <c r="F76" s="1236"/>
      <c r="G76" s="1233"/>
      <c r="H76" s="1234"/>
      <c r="I76" s="1182"/>
      <c r="J76" s="194"/>
      <c r="K76" s="1487"/>
      <c r="L76" s="184"/>
    </row>
    <row r="77" spans="1:12" ht="24.95" customHeight="1">
      <c r="A77" s="1025"/>
      <c r="B77" s="1143" t="s">
        <v>321</v>
      </c>
      <c r="C77" s="2204">
        <f>VLOOKUP('Background Data'!$F$2,Inst_FPs,39,FALSE)</f>
        <v>0</v>
      </c>
      <c r="D77" s="2205">
        <f>'T4a Nurse and Midwry Three Year'!$P$49</f>
        <v>0</v>
      </c>
      <c r="E77" s="2206">
        <f t="shared" ref="E77:E78" si="5">D77-C77</f>
        <v>0</v>
      </c>
      <c r="F77" s="2207" t="str">
        <f t="shared" ref="F77:F78" si="6">IF(C77&gt;0,E77/C77,"")</f>
        <v/>
      </c>
      <c r="G77" s="1233"/>
      <c r="H77" s="1234"/>
      <c r="I77" s="1181"/>
      <c r="J77" s="194"/>
      <c r="K77" s="1487"/>
      <c r="L77" s="184"/>
    </row>
    <row r="78" spans="1:12" ht="24.95" customHeight="1" thickBot="1">
      <c r="A78" s="1025"/>
      <c r="B78" s="1162" t="s">
        <v>322</v>
      </c>
      <c r="C78" s="2208">
        <f>VLOOKUP('Background Data'!$F$2,Inst_FPs,40,FALSE)</f>
        <v>52</v>
      </c>
      <c r="D78" s="2209">
        <f>'T4b Nurse Four Year'!$E$12</f>
        <v>61</v>
      </c>
      <c r="E78" s="2210">
        <f t="shared" si="5"/>
        <v>9</v>
      </c>
      <c r="F78" s="2211">
        <f t="shared" si="6"/>
        <v>0.17307692307692307</v>
      </c>
      <c r="G78" s="1233"/>
      <c r="H78" s="1234"/>
      <c r="I78" s="1181"/>
      <c r="J78" s="499"/>
      <c r="K78" s="1487"/>
      <c r="L78" s="184"/>
    </row>
    <row r="79" spans="1:12" ht="35.1" customHeight="1">
      <c r="A79" s="1025"/>
      <c r="B79" s="1169" t="s">
        <v>267</v>
      </c>
      <c r="C79" s="1170"/>
      <c r="D79" s="1239"/>
      <c r="E79" s="2202"/>
      <c r="F79" s="2203"/>
      <c r="G79" s="1233"/>
      <c r="H79" s="1234"/>
      <c r="I79" s="1182"/>
      <c r="J79" s="194"/>
      <c r="K79" s="1487"/>
      <c r="L79" s="184"/>
    </row>
    <row r="80" spans="1:12" ht="24.95" customHeight="1">
      <c r="A80" s="1025"/>
      <c r="B80" s="1143" t="s">
        <v>323</v>
      </c>
      <c r="C80" s="1144">
        <f>VLOOKUP('Background Data'!$F$2,Inst_FPs,45,FALSE)</f>
        <v>187</v>
      </c>
      <c r="D80" s="1230">
        <f>'T2a ITE'!$G$27</f>
        <v>206</v>
      </c>
      <c r="E80" s="1231">
        <f t="shared" ref="E80:E83" si="7">D80-C80</f>
        <v>19</v>
      </c>
      <c r="F80" s="1232">
        <f t="shared" ref="F80:F83" si="8">IF(C80&gt;0,E80/C80,"")</f>
        <v>0.10160427807486631</v>
      </c>
      <c r="G80" s="1233"/>
      <c r="H80" s="1234"/>
      <c r="I80" s="1181"/>
      <c r="J80" s="194"/>
      <c r="K80" s="1487"/>
      <c r="L80" s="184"/>
    </row>
    <row r="81" spans="1:12" ht="24.95" customHeight="1">
      <c r="A81" s="1025"/>
      <c r="B81" s="1143" t="s">
        <v>492</v>
      </c>
      <c r="C81" s="1144">
        <f>VLOOKUP('Background Data'!$F$2,Inst_FPs,46,FALSE)</f>
        <v>264</v>
      </c>
      <c r="D81" s="1230">
        <f>'T2a ITE'!$G$41+'T2a ITE'!$G$70</f>
        <v>229</v>
      </c>
      <c r="E81" s="1231">
        <f t="shared" si="7"/>
        <v>-35</v>
      </c>
      <c r="F81" s="1232">
        <f t="shared" si="8"/>
        <v>-0.13257575757575757</v>
      </c>
      <c r="G81" s="1233"/>
      <c r="H81" s="1234"/>
      <c r="I81" s="1181"/>
      <c r="J81" s="194"/>
      <c r="K81" s="1487"/>
      <c r="L81" s="184"/>
    </row>
    <row r="82" spans="1:12" ht="24.95" customHeight="1">
      <c r="A82" s="1025"/>
      <c r="B82" s="1143" t="s">
        <v>289</v>
      </c>
      <c r="C82" s="1144">
        <f>VLOOKUP('Background Data'!$F$2,Inst_FPs,41,FALSE)</f>
        <v>134</v>
      </c>
      <c r="D82" s="1230">
        <f>'T2a ITE'!$G$46</f>
        <v>141</v>
      </c>
      <c r="E82" s="1231">
        <f t="shared" si="7"/>
        <v>7</v>
      </c>
      <c r="F82" s="1232">
        <f t="shared" si="8"/>
        <v>5.2238805970149252E-2</v>
      </c>
      <c r="G82" s="1233"/>
      <c r="H82" s="1234"/>
      <c r="I82" s="1181"/>
      <c r="J82" s="194"/>
      <c r="K82" s="1487"/>
      <c r="L82" s="184"/>
    </row>
    <row r="83" spans="1:12" ht="24.95" customHeight="1">
      <c r="A83" s="1025"/>
      <c r="B83" s="1143" t="s">
        <v>313</v>
      </c>
      <c r="C83" s="1144">
        <f>SUM(VLOOKUP('Background Data'!$F$2,Inst_FPs,42,FALSE),VLOOKUP('Background Data'!$F$2,Inst_FPs,43,FALSE),VLOOKUP('Background Data'!$F$2,Inst_FPs,44,FALSE))</f>
        <v>33</v>
      </c>
      <c r="D83" s="1240">
        <f>SUM('T2a ITE'!$G$49,'T2a ITE'!$G$50,'T2a ITE'!$G$51)</f>
        <v>26</v>
      </c>
      <c r="E83" s="1231">
        <f t="shared" si="7"/>
        <v>-7</v>
      </c>
      <c r="F83" s="1232">
        <f t="shared" si="8"/>
        <v>-0.21212121212121213</v>
      </c>
      <c r="G83" s="1233"/>
      <c r="H83" s="1234"/>
      <c r="I83" s="1181"/>
      <c r="J83" s="194"/>
      <c r="K83" s="1487"/>
      <c r="L83" s="184"/>
    </row>
    <row r="84" spans="1:12" ht="24.95" customHeight="1">
      <c r="A84" s="1025"/>
      <c r="B84" s="1169" t="s">
        <v>324</v>
      </c>
      <c r="C84" s="1176"/>
      <c r="D84" s="1241"/>
      <c r="E84" s="1242"/>
      <c r="F84" s="1243"/>
      <c r="G84" s="1233"/>
      <c r="H84" s="1234"/>
      <c r="I84" s="1182"/>
      <c r="J84" s="194"/>
      <c r="K84" s="1487"/>
      <c r="L84" s="184"/>
    </row>
    <row r="85" spans="1:12" ht="24.95" customHeight="1">
      <c r="A85" s="1025"/>
      <c r="B85" s="1143" t="s">
        <v>325</v>
      </c>
      <c r="C85" s="1144">
        <f>VLOOKUP('Background Data'!$F$2,Inst_FPs,47,FALSE)</f>
        <v>20</v>
      </c>
      <c r="D85" s="1240">
        <f>'T2a ITE'!$G$59</f>
        <v>0</v>
      </c>
      <c r="E85" s="1231">
        <f t="shared" ref="E85:E87" si="9">D85-C85</f>
        <v>-20</v>
      </c>
      <c r="F85" s="1232">
        <f t="shared" ref="F85:F87" si="10">IF(C85&gt;0,E85/C85,"")</f>
        <v>-1</v>
      </c>
      <c r="G85" s="1233"/>
      <c r="H85" s="1234"/>
      <c r="I85" s="1181"/>
      <c r="J85" s="194"/>
      <c r="K85" s="1487"/>
      <c r="L85" s="184"/>
    </row>
    <row r="86" spans="1:12" ht="24.95" customHeight="1">
      <c r="A86" s="1025"/>
      <c r="B86" s="1143" t="s">
        <v>326</v>
      </c>
      <c r="C86" s="1144">
        <f>VLOOKUP('Background Data'!$F$2,Inst_FPs,48,FALSE)</f>
        <v>0</v>
      </c>
      <c r="D86" s="1240">
        <f>'T2a ITE'!$G$60</f>
        <v>0</v>
      </c>
      <c r="E86" s="1231">
        <f t="shared" si="9"/>
        <v>0</v>
      </c>
      <c r="F86" s="1232" t="str">
        <f t="shared" si="10"/>
        <v/>
      </c>
      <c r="G86" s="1233"/>
      <c r="H86" s="1234"/>
      <c r="I86" s="1181"/>
      <c r="J86" s="194"/>
      <c r="K86" s="1487"/>
      <c r="L86" s="184"/>
    </row>
    <row r="87" spans="1:12" ht="24.95" customHeight="1" thickBot="1">
      <c r="A87" s="1025"/>
      <c r="B87" s="1179" t="s">
        <v>401</v>
      </c>
      <c r="C87" s="1163">
        <f>VLOOKUP('Background Data'!$F$2,Inst_FPs,49,FALSE)</f>
        <v>0</v>
      </c>
      <c r="D87" s="1238">
        <f>'T2a ITE'!$G$73</f>
        <v>0</v>
      </c>
      <c r="E87" s="1244">
        <f t="shared" si="9"/>
        <v>0</v>
      </c>
      <c r="F87" s="1245" t="str">
        <f t="shared" si="10"/>
        <v/>
      </c>
      <c r="G87" s="1233"/>
      <c r="H87" s="1234"/>
      <c r="I87" s="1181"/>
      <c r="J87" s="194"/>
      <c r="K87" s="1487"/>
      <c r="L87" s="184"/>
    </row>
    <row r="88" spans="1:12" ht="24.95" customHeight="1">
      <c r="A88" s="1025"/>
      <c r="B88" s="40" t="s">
        <v>533</v>
      </c>
      <c r="C88" s="2426"/>
      <c r="D88" s="2426"/>
      <c r="E88" s="2426"/>
      <c r="F88" s="2427"/>
      <c r="G88" s="1234"/>
      <c r="H88" s="1234"/>
      <c r="I88" s="1181"/>
      <c r="J88" s="194"/>
      <c r="K88" s="1487"/>
      <c r="L88" s="184"/>
    </row>
    <row r="89" spans="1:12" ht="24.95" customHeight="1">
      <c r="A89" s="2418"/>
      <c r="B89" s="1514" t="s">
        <v>363</v>
      </c>
      <c r="C89" s="1514"/>
      <c r="D89" s="1514"/>
      <c r="E89" s="1514"/>
      <c r="F89" s="1514"/>
      <c r="G89" s="1514"/>
      <c r="H89" s="1514"/>
      <c r="I89" s="1514"/>
      <c r="J89" s="1514"/>
      <c r="K89" s="2425"/>
      <c r="L89" s="184"/>
    </row>
    <row r="90" spans="1:12" s="506" customFormat="1" ht="18.95" customHeight="1">
      <c r="A90" s="183"/>
      <c r="B90" s="183"/>
      <c r="C90" s="1512"/>
      <c r="D90" s="1512"/>
      <c r="E90" s="1512"/>
      <c r="F90" s="1512"/>
      <c r="G90" s="1512"/>
      <c r="H90" s="183"/>
      <c r="I90" s="183"/>
      <c r="J90" s="183"/>
      <c r="K90" s="183"/>
      <c r="L90" s="183"/>
    </row>
    <row r="91" spans="1:12" s="506" customFormat="1" ht="18.95" customHeight="1">
      <c r="C91" s="1513"/>
      <c r="D91" s="1513"/>
      <c r="E91" s="1513"/>
      <c r="F91" s="1513"/>
      <c r="G91" s="1513"/>
    </row>
    <row r="92" spans="1:12" s="506" customFormat="1" ht="24.95" hidden="1" customHeight="1">
      <c r="A92" s="1310"/>
      <c r="B92" s="1308" t="s">
        <v>97</v>
      </c>
      <c r="C92" s="1309"/>
      <c r="D92" s="1309"/>
      <c r="E92" s="1513"/>
      <c r="F92" s="1513"/>
      <c r="G92" s="1513"/>
      <c r="H92" s="812"/>
      <c r="I92" s="812"/>
      <c r="J92" s="812"/>
      <c r="K92" s="812"/>
    </row>
    <row r="93" spans="1:12" s="506" customFormat="1" ht="24.95" hidden="1" customHeight="1">
      <c r="A93" s="1310"/>
      <c r="B93" s="1310" t="s">
        <v>98</v>
      </c>
      <c r="C93" s="1311">
        <v>0.03</v>
      </c>
      <c r="D93" s="1309"/>
      <c r="E93" s="1513"/>
      <c r="F93" s="1513"/>
      <c r="G93" s="1513"/>
      <c r="H93" s="812"/>
      <c r="I93" s="812"/>
      <c r="J93" s="812"/>
      <c r="K93" s="812"/>
    </row>
    <row r="94" spans="1:12" s="506" customFormat="1" ht="24.95" hidden="1" customHeight="1">
      <c r="A94" s="1310"/>
      <c r="B94" s="1310" t="s">
        <v>99</v>
      </c>
      <c r="C94" s="1311">
        <v>0.02</v>
      </c>
      <c r="D94" s="1309"/>
      <c r="E94" s="1513"/>
      <c r="F94" s="1513"/>
      <c r="G94" s="1513"/>
      <c r="H94" s="812"/>
      <c r="I94" s="812"/>
      <c r="J94" s="812"/>
      <c r="K94" s="812"/>
    </row>
    <row r="95" spans="1:12" s="506" customFormat="1" ht="24.95" hidden="1" customHeight="1">
      <c r="A95" s="1310"/>
      <c r="B95" s="1310" t="s">
        <v>359</v>
      </c>
      <c r="C95" s="1311">
        <v>0.05</v>
      </c>
      <c r="D95" s="1309"/>
      <c r="E95" s="1513"/>
      <c r="F95" s="1513"/>
      <c r="G95" s="1513"/>
      <c r="H95" s="812"/>
      <c r="I95" s="812"/>
      <c r="J95" s="812"/>
      <c r="K95" s="812"/>
    </row>
    <row r="96" spans="1:12" s="506" customFormat="1" ht="24.95" hidden="1" customHeight="1">
      <c r="A96" s="1310"/>
      <c r="B96" s="1310" t="s">
        <v>123</v>
      </c>
      <c r="C96" s="1311">
        <v>0.1</v>
      </c>
      <c r="D96" s="1309"/>
      <c r="E96" s="1513"/>
      <c r="F96" s="1513"/>
      <c r="G96" s="1513"/>
      <c r="H96" s="812"/>
      <c r="I96" s="812"/>
      <c r="J96" s="812"/>
      <c r="K96" s="812"/>
    </row>
    <row r="97" spans="1:11" s="506" customFormat="1" ht="24.95" hidden="1" customHeight="1">
      <c r="A97" s="1310"/>
      <c r="B97" s="1310" t="s">
        <v>360</v>
      </c>
      <c r="C97" s="1312">
        <v>10</v>
      </c>
      <c r="D97" s="1309"/>
      <c r="E97" s="1513"/>
      <c r="F97" s="1513"/>
      <c r="G97" s="1513"/>
      <c r="H97" s="812"/>
      <c r="I97" s="812"/>
      <c r="J97" s="812"/>
      <c r="K97" s="812"/>
    </row>
    <row r="98" spans="1:11" s="506" customFormat="1" ht="18.95" customHeight="1">
      <c r="C98" s="1513"/>
      <c r="D98" s="1513"/>
      <c r="E98" s="1513"/>
      <c r="F98" s="1513"/>
      <c r="G98" s="1513"/>
    </row>
    <row r="99" spans="1:11" s="506" customFormat="1" ht="18.95" customHeight="1">
      <c r="C99" s="1513"/>
      <c r="D99" s="1513"/>
      <c r="E99" s="1513"/>
      <c r="F99" s="1513"/>
      <c r="G99" s="1513"/>
    </row>
  </sheetData>
  <sheetProtection password="E23E" sheet="1" objects="1" scenarios="1"/>
  <mergeCells count="10">
    <mergeCell ref="B38:B40"/>
    <mergeCell ref="D38:D39"/>
    <mergeCell ref="C38:C39"/>
    <mergeCell ref="G8:G9"/>
    <mergeCell ref="E52:F52"/>
    <mergeCell ref="E68:F68"/>
    <mergeCell ref="C3:E3"/>
    <mergeCell ref="E8:F8"/>
    <mergeCell ref="G38:G40"/>
    <mergeCell ref="E38:F38"/>
  </mergeCells>
  <conditionalFormatting sqref="G56:G57">
    <cfRule type="cellIs" dxfId="13" priority="14" operator="equal">
      <formula>"YES"</formula>
    </cfRule>
  </conditionalFormatting>
  <conditionalFormatting sqref="G20 G23:G26 G13 G56:G57 I73:I75 G17:G18 G15">
    <cfRule type="cellIs" dxfId="12" priority="13" operator="equal">
      <formula>"YES"</formula>
    </cfRule>
  </conditionalFormatting>
  <conditionalFormatting sqref="G44">
    <cfRule type="cellIs" dxfId="11" priority="12" operator="equal">
      <formula>"YES"</formula>
    </cfRule>
  </conditionalFormatting>
  <conditionalFormatting sqref="G64 G60:G62">
    <cfRule type="cellIs" dxfId="10" priority="11" operator="equal">
      <formula>"YES"</formula>
    </cfRule>
  </conditionalFormatting>
  <conditionalFormatting sqref="G64 G60:G62">
    <cfRule type="cellIs" dxfId="9" priority="10" operator="equal">
      <formula>"YES"</formula>
    </cfRule>
  </conditionalFormatting>
  <conditionalFormatting sqref="B1:B2">
    <cfRule type="expression" dxfId="8" priority="9" stopIfTrue="1">
      <formula>#REF!=0</formula>
    </cfRule>
  </conditionalFormatting>
  <conditionalFormatting sqref="G21">
    <cfRule type="cellIs" dxfId="7" priority="8" operator="equal">
      <formula>"YES"</formula>
    </cfRule>
  </conditionalFormatting>
  <conditionalFormatting sqref="I77 I80:I83">
    <cfRule type="cellIs" dxfId="6" priority="6" operator="equal">
      <formula>"YES"</formula>
    </cfRule>
  </conditionalFormatting>
  <conditionalFormatting sqref="I85:I88">
    <cfRule type="cellIs" dxfId="5" priority="4" operator="equal">
      <formula>"YES"</formula>
    </cfRule>
  </conditionalFormatting>
  <conditionalFormatting sqref="I78">
    <cfRule type="cellIs" dxfId="4" priority="5" operator="equal">
      <formula>"YES"</formula>
    </cfRule>
  </conditionalFormatting>
  <conditionalFormatting sqref="G58">
    <cfRule type="cellIs" dxfId="3" priority="3" operator="equal">
      <formula>"YES"</formula>
    </cfRule>
  </conditionalFormatting>
  <conditionalFormatting sqref="G58">
    <cfRule type="cellIs" dxfId="2" priority="2" operator="equal">
      <formula>"YES"</formula>
    </cfRule>
  </conditionalFormatting>
  <dataValidations count="1">
    <dataValidation allowBlank="1" sqref="G54:G55 C52:E54 B52 G8 H4:I5 B44:C44 G52 D55:F55 E62:G62 F53:F54 B56 C55:C56 C64:G64 B57:C57 G10:G30 D60:G61 C3 C45:H48 B34:H34 B75:FD88 C9:F30 I34:J37 B38:B39 C38:D38 D40:F44 E38:E39 C58 G38 C40:C43 B58:B65 C60:C62 C68:E70 B68 G68 F69:F70 D56:G58 I67:I74 J67:J71 H72:H74 G70:G74 B72:B74 I66:J66 J45:J65 I45:I58 J4:J15 B8:E8 K4:FF5 K8:N15 K34:FF34 K6:FC7 J72:FD74 B45:B47 B12:B30 O8:FD30 J16:N30 G41:G44 C71:F74" xr:uid="{00000000-0002-0000-1100-000000000000}"/>
  </dataValidations>
  <pageMargins left="0.19685039370078741" right="0.19685039370078741" top="0.19685039370078741" bottom="0.39370078740157483" header="0" footer="0"/>
  <pageSetup paperSize="9" scale="55" fitToHeight="3" orientation="landscape" r:id="rId1"/>
  <headerFooter alignWithMargins="0"/>
  <rowBreaks count="2" manualBreakCount="2">
    <brk id="34" max="9" man="1"/>
    <brk id="6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"/>
  <sheetViews>
    <sheetView workbookViewId="0"/>
  </sheetViews>
  <sheetFormatPr defaultRowHeight="15"/>
  <cols>
    <col min="1" max="16384" width="9.140625" style="2518"/>
  </cols>
  <sheetData/>
  <sheetProtection password="E23E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workbookViewId="0">
      <selection activeCell="C37" sqref="C37"/>
    </sheetView>
  </sheetViews>
  <sheetFormatPr defaultRowHeight="15"/>
  <cols>
    <col min="1" max="16384" width="9.140625" style="2518"/>
  </cols>
  <sheetData/>
  <sheetProtection password="E23E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29"/>
  <sheetViews>
    <sheetView topLeftCell="A10" zoomScale="90" zoomScaleNormal="90" workbookViewId="0">
      <selection activeCell="F18" sqref="F18"/>
    </sheetView>
  </sheetViews>
  <sheetFormatPr defaultRowHeight="12.75"/>
  <cols>
    <col min="1" max="1" width="3.5703125" style="1003" customWidth="1"/>
    <col min="2" max="2" width="49.5703125" style="1003" customWidth="1"/>
    <col min="3" max="11" width="13.7109375" style="1003" customWidth="1"/>
    <col min="12" max="12" width="5.7109375" style="1003" customWidth="1"/>
    <col min="13" max="16384" width="9.140625" style="1003"/>
  </cols>
  <sheetData>
    <row r="1" spans="1:12" s="991" customFormat="1" ht="9.9499999999999993" customHeight="1">
      <c r="A1" s="972"/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4"/>
    </row>
    <row r="2" spans="1:12" s="991" customFormat="1" ht="24.95" customHeight="1">
      <c r="A2" s="975"/>
      <c r="B2" s="990" t="s">
        <v>515</v>
      </c>
      <c r="C2" s="976"/>
      <c r="D2" s="976"/>
      <c r="E2" s="976"/>
      <c r="F2" s="976"/>
      <c r="G2" s="976"/>
      <c r="H2" s="976"/>
      <c r="I2" s="976"/>
      <c r="J2" s="976"/>
      <c r="K2" s="976"/>
      <c r="L2" s="977"/>
    </row>
    <row r="3" spans="1:12" s="991" customFormat="1" ht="9.9499999999999993" customHeight="1" thickBot="1">
      <c r="A3" s="975"/>
      <c r="B3" s="978"/>
      <c r="C3" s="979"/>
      <c r="D3" s="979"/>
      <c r="E3" s="979"/>
      <c r="F3" s="979"/>
      <c r="G3" s="976"/>
      <c r="H3" s="976"/>
      <c r="I3" s="976"/>
      <c r="J3" s="976"/>
      <c r="K3" s="976"/>
      <c r="L3" s="977"/>
    </row>
    <row r="4" spans="1:12" s="991" customFormat="1" ht="30" customHeight="1" thickBot="1">
      <c r="A4" s="975"/>
      <c r="B4" s="978" t="s">
        <v>86</v>
      </c>
      <c r="C4" s="2732" t="str">
        <f>'Background Data'!$G$2</f>
        <v>Glasgow, University of</v>
      </c>
      <c r="D4" s="2733"/>
      <c r="E4" s="2734"/>
      <c r="F4" s="976"/>
      <c r="G4" s="976"/>
      <c r="H4" s="976"/>
      <c r="I4" s="976"/>
      <c r="J4" s="976"/>
      <c r="K4" s="976"/>
      <c r="L4" s="977"/>
    </row>
    <row r="5" spans="1:12" s="991" customFormat="1" ht="30" customHeight="1">
      <c r="A5" s="975"/>
      <c r="B5" s="980" t="s">
        <v>520</v>
      </c>
      <c r="C5" s="976"/>
      <c r="D5" s="976"/>
      <c r="E5" s="976"/>
      <c r="F5" s="976"/>
      <c r="G5" s="976"/>
      <c r="H5" s="976"/>
      <c r="I5" s="976"/>
      <c r="J5" s="976"/>
      <c r="K5" s="976"/>
      <c r="L5" s="977"/>
    </row>
    <row r="6" spans="1:12" s="991" customFormat="1" ht="21.95" customHeight="1">
      <c r="A6" s="975"/>
      <c r="B6" s="11" t="s">
        <v>550</v>
      </c>
      <c r="C6" s="976"/>
      <c r="D6" s="976"/>
      <c r="E6" s="976"/>
      <c r="F6" s="976"/>
      <c r="G6" s="976"/>
      <c r="H6" s="976"/>
      <c r="I6" s="976"/>
      <c r="J6" s="976"/>
      <c r="K6" s="976"/>
      <c r="L6" s="977"/>
    </row>
    <row r="7" spans="1:12" s="991" customFormat="1" ht="9.9499999999999993" customHeight="1" thickBot="1">
      <c r="A7" s="975"/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7"/>
    </row>
    <row r="8" spans="1:12" s="991" customFormat="1" ht="30" customHeight="1">
      <c r="A8" s="975"/>
      <c r="B8" s="981"/>
      <c r="C8" s="2735" t="s">
        <v>41</v>
      </c>
      <c r="D8" s="2730"/>
      <c r="E8" s="2730"/>
      <c r="F8" s="2736" t="s">
        <v>30</v>
      </c>
      <c r="G8" s="2730"/>
      <c r="H8" s="2731"/>
      <c r="I8" s="2730" t="s">
        <v>2</v>
      </c>
      <c r="J8" s="2730"/>
      <c r="K8" s="2731"/>
      <c r="L8" s="977"/>
    </row>
    <row r="9" spans="1:12" s="991" customFormat="1" ht="30" customHeight="1">
      <c r="A9" s="975"/>
      <c r="B9" s="992" t="s">
        <v>298</v>
      </c>
      <c r="C9" s="982" t="s">
        <v>259</v>
      </c>
      <c r="D9" s="983" t="s">
        <v>1</v>
      </c>
      <c r="E9" s="982" t="s">
        <v>2</v>
      </c>
      <c r="F9" s="996" t="s">
        <v>259</v>
      </c>
      <c r="G9" s="983" t="s">
        <v>1</v>
      </c>
      <c r="H9" s="984" t="s">
        <v>2</v>
      </c>
      <c r="I9" s="995" t="s">
        <v>259</v>
      </c>
      <c r="J9" s="983" t="s">
        <v>1</v>
      </c>
      <c r="K9" s="984" t="s">
        <v>2</v>
      </c>
      <c r="L9" s="977"/>
    </row>
    <row r="10" spans="1:12" s="991" customFormat="1" ht="30" customHeight="1">
      <c r="A10" s="975"/>
      <c r="B10" s="985"/>
      <c r="C10" s="997">
        <v>1</v>
      </c>
      <c r="D10" s="997">
        <v>2</v>
      </c>
      <c r="E10" s="998">
        <v>3</v>
      </c>
      <c r="F10" s="999">
        <v>4</v>
      </c>
      <c r="G10" s="997">
        <v>5</v>
      </c>
      <c r="H10" s="1000">
        <v>6</v>
      </c>
      <c r="I10" s="1001">
        <v>7</v>
      </c>
      <c r="J10" s="997">
        <v>8</v>
      </c>
      <c r="K10" s="1000">
        <v>9</v>
      </c>
      <c r="L10" s="977"/>
    </row>
    <row r="11" spans="1:12" s="991" customFormat="1" ht="30" customHeight="1" thickBot="1">
      <c r="A11" s="975"/>
      <c r="B11" s="1314"/>
      <c r="C11" s="1315" t="s">
        <v>29</v>
      </c>
      <c r="D11" s="1315" t="s">
        <v>29</v>
      </c>
      <c r="E11" s="1316" t="s">
        <v>54</v>
      </c>
      <c r="F11" s="1317" t="s">
        <v>29</v>
      </c>
      <c r="G11" s="1315" t="s">
        <v>29</v>
      </c>
      <c r="H11" s="1318" t="s">
        <v>54</v>
      </c>
      <c r="I11" s="1319" t="s">
        <v>54</v>
      </c>
      <c r="J11" s="1315" t="s">
        <v>54</v>
      </c>
      <c r="K11" s="1318" t="s">
        <v>54</v>
      </c>
      <c r="L11" s="977"/>
    </row>
    <row r="12" spans="1:12" s="991" customFormat="1" ht="30" customHeight="1">
      <c r="A12" s="975"/>
      <c r="B12" s="1320" t="s">
        <v>299</v>
      </c>
      <c r="C12" s="1321"/>
      <c r="D12" s="1321"/>
      <c r="E12" s="1322"/>
      <c r="F12" s="1323"/>
      <c r="G12" s="1321"/>
      <c r="H12" s="1324"/>
      <c r="I12" s="1325"/>
      <c r="J12" s="1321"/>
      <c r="K12" s="1324"/>
      <c r="L12" s="977"/>
    </row>
    <row r="13" spans="1:12" s="991" customFormat="1" ht="30" customHeight="1">
      <c r="A13" s="975"/>
      <c r="B13" s="986" t="s">
        <v>260</v>
      </c>
      <c r="C13" s="1004">
        <v>399</v>
      </c>
      <c r="D13" s="1004"/>
      <c r="E13" s="1005">
        <f>SUM(C13:D13)</f>
        <v>399</v>
      </c>
      <c r="F13" s="1006">
        <v>26</v>
      </c>
      <c r="G13" s="1004"/>
      <c r="H13" s="1007">
        <f>SUM(F13:G13)</f>
        <v>26</v>
      </c>
      <c r="I13" s="1008">
        <f>SUM(C13,F13)</f>
        <v>425</v>
      </c>
      <c r="J13" s="1009">
        <f t="shared" ref="J13:J14" si="0">SUM(D13,G13)</f>
        <v>0</v>
      </c>
      <c r="K13" s="1007">
        <f>SUM(I13:J13)</f>
        <v>425</v>
      </c>
      <c r="L13" s="977"/>
    </row>
    <row r="14" spans="1:12" s="991" customFormat="1" ht="30" customHeight="1">
      <c r="A14" s="975"/>
      <c r="B14" s="986" t="s">
        <v>261</v>
      </c>
      <c r="C14" s="1004">
        <v>458</v>
      </c>
      <c r="D14" s="1004"/>
      <c r="E14" s="1005">
        <f>SUM(C14:D14)</f>
        <v>458</v>
      </c>
      <c r="F14" s="1006">
        <v>22</v>
      </c>
      <c r="G14" s="1004"/>
      <c r="H14" s="1007">
        <f>SUM(F14:G14)</f>
        <v>22</v>
      </c>
      <c r="I14" s="1008">
        <f t="shared" ref="I14" si="1">SUM(C14,F14)</f>
        <v>480</v>
      </c>
      <c r="J14" s="1009">
        <f t="shared" si="0"/>
        <v>0</v>
      </c>
      <c r="K14" s="1007">
        <f>SUM(I14:J14)</f>
        <v>480</v>
      </c>
      <c r="L14" s="977"/>
    </row>
    <row r="15" spans="1:12" s="991" customFormat="1" ht="30" customHeight="1" thickBot="1">
      <c r="A15" s="975"/>
      <c r="B15" s="994" t="s">
        <v>262</v>
      </c>
      <c r="C15" s="1010">
        <f>SUM(C13:C14)</f>
        <v>857</v>
      </c>
      <c r="D15" s="1010">
        <f>SUM(D13:D14)</f>
        <v>0</v>
      </c>
      <c r="E15" s="1011">
        <f>SUM(E13:E14)</f>
        <v>857</v>
      </c>
      <c r="F15" s="1012">
        <f t="shared" ref="F15:J15" si="2">SUM(F13:F14)</f>
        <v>48</v>
      </c>
      <c r="G15" s="1010">
        <f t="shared" si="2"/>
        <v>0</v>
      </c>
      <c r="H15" s="1013">
        <f>SUM(H13:H14)</f>
        <v>48</v>
      </c>
      <c r="I15" s="1014">
        <f t="shared" si="2"/>
        <v>905</v>
      </c>
      <c r="J15" s="1010">
        <f t="shared" si="2"/>
        <v>0</v>
      </c>
      <c r="K15" s="1013">
        <f>SUM(K13:K14)</f>
        <v>905</v>
      </c>
      <c r="L15" s="977"/>
    </row>
    <row r="16" spans="1:12" s="991" customFormat="1" ht="35.1" customHeight="1" thickBot="1">
      <c r="A16" s="975"/>
      <c r="B16" s="2523" t="s">
        <v>300</v>
      </c>
      <c r="C16" s="2524">
        <v>2935</v>
      </c>
      <c r="D16" s="2524"/>
      <c r="E16" s="2525">
        <f>SUM(C16:D16)</f>
        <v>2935</v>
      </c>
      <c r="F16" s="2526">
        <v>109</v>
      </c>
      <c r="G16" s="2524"/>
      <c r="H16" s="2527">
        <f>SUM(F16:G16)</f>
        <v>109</v>
      </c>
      <c r="I16" s="2528">
        <f>SUM(C16,F16)</f>
        <v>3044</v>
      </c>
      <c r="J16" s="2529">
        <f>SUM(D16,G16)</f>
        <v>0</v>
      </c>
      <c r="K16" s="2527">
        <f>SUM(I16:J16)</f>
        <v>3044</v>
      </c>
      <c r="L16" s="977"/>
    </row>
    <row r="17" spans="1:12" s="991" customFormat="1" ht="30" customHeight="1">
      <c r="A17" s="975"/>
      <c r="B17" s="993" t="s">
        <v>301</v>
      </c>
      <c r="C17" s="1015"/>
      <c r="D17" s="1015"/>
      <c r="E17" s="1016"/>
      <c r="F17" s="1017"/>
      <c r="G17" s="1015"/>
      <c r="H17" s="1018"/>
      <c r="I17" s="1019"/>
      <c r="J17" s="1015"/>
      <c r="K17" s="1018"/>
      <c r="L17" s="977"/>
    </row>
    <row r="18" spans="1:12" s="991" customFormat="1" ht="30" customHeight="1">
      <c r="A18" s="975"/>
      <c r="B18" s="986" t="s">
        <v>260</v>
      </c>
      <c r="C18" s="1004">
        <v>23</v>
      </c>
      <c r="D18" s="1004"/>
      <c r="E18" s="1005">
        <f>SUM(C18:D18)</f>
        <v>23</v>
      </c>
      <c r="F18" s="1006"/>
      <c r="G18" s="1004"/>
      <c r="H18" s="1007">
        <f>SUM(F18:G18)</f>
        <v>0</v>
      </c>
      <c r="I18" s="1008">
        <f>SUM(C18,F18)</f>
        <v>23</v>
      </c>
      <c r="J18" s="1009">
        <f t="shared" ref="J18:J19" si="3">SUM(D18,G18)</f>
        <v>0</v>
      </c>
      <c r="K18" s="1007">
        <f>SUM(I18:J18)</f>
        <v>23</v>
      </c>
      <c r="L18" s="977"/>
    </row>
    <row r="19" spans="1:12" s="991" customFormat="1" ht="30" customHeight="1">
      <c r="A19" s="975"/>
      <c r="B19" s="986" t="s">
        <v>261</v>
      </c>
      <c r="C19" s="1004">
        <v>1</v>
      </c>
      <c r="D19" s="1004"/>
      <c r="E19" s="1005">
        <f>SUM(C19:D19)</f>
        <v>1</v>
      </c>
      <c r="F19" s="1006"/>
      <c r="G19" s="1004"/>
      <c r="H19" s="1007">
        <f>SUM(F19:G19)</f>
        <v>0</v>
      </c>
      <c r="I19" s="1008">
        <f t="shared" ref="I19" si="4">SUM(C19,F19)</f>
        <v>1</v>
      </c>
      <c r="J19" s="1009">
        <f t="shared" si="3"/>
        <v>0</v>
      </c>
      <c r="K19" s="1007">
        <f>SUM(I19:J19)</f>
        <v>1</v>
      </c>
      <c r="L19" s="977"/>
    </row>
    <row r="20" spans="1:12" s="991" customFormat="1" ht="30" customHeight="1" thickBot="1">
      <c r="A20" s="975"/>
      <c r="B20" s="994" t="s">
        <v>262</v>
      </c>
      <c r="C20" s="1010">
        <f>SUM(C18:C19)</f>
        <v>24</v>
      </c>
      <c r="D20" s="1010">
        <f t="shared" ref="D20:J20" si="5">SUM(D18:D19)</f>
        <v>0</v>
      </c>
      <c r="E20" s="1011">
        <f t="shared" si="5"/>
        <v>24</v>
      </c>
      <c r="F20" s="1012">
        <f t="shared" si="5"/>
        <v>0</v>
      </c>
      <c r="G20" s="1010">
        <f t="shared" si="5"/>
        <v>0</v>
      </c>
      <c r="H20" s="1013">
        <f t="shared" si="5"/>
        <v>0</v>
      </c>
      <c r="I20" s="1014">
        <f t="shared" si="5"/>
        <v>24</v>
      </c>
      <c r="J20" s="1010">
        <f t="shared" si="5"/>
        <v>0</v>
      </c>
      <c r="K20" s="1013">
        <f>SUM(K18:K19)</f>
        <v>24</v>
      </c>
      <c r="L20" s="977"/>
    </row>
    <row r="21" spans="1:12" s="991" customFormat="1" ht="35.1" customHeight="1" thickBot="1">
      <c r="A21" s="975"/>
      <c r="B21" s="2523" t="s">
        <v>300</v>
      </c>
      <c r="C21" s="2524">
        <v>26</v>
      </c>
      <c r="D21" s="2524"/>
      <c r="E21" s="2525">
        <f>SUM(C21:D21)</f>
        <v>26</v>
      </c>
      <c r="F21" s="2526"/>
      <c r="G21" s="2524"/>
      <c r="H21" s="2527">
        <f>SUM(F21:G21)</f>
        <v>0</v>
      </c>
      <c r="I21" s="2528">
        <f>SUM(C21,F21)</f>
        <v>26</v>
      </c>
      <c r="J21" s="2529">
        <f>SUM(D21,G21)</f>
        <v>0</v>
      </c>
      <c r="K21" s="2527">
        <f>SUM(I21:J21)</f>
        <v>26</v>
      </c>
      <c r="L21" s="977"/>
    </row>
    <row r="22" spans="1:12" s="991" customFormat="1" ht="30" customHeight="1">
      <c r="A22" s="975"/>
      <c r="B22" s="1002" t="s">
        <v>351</v>
      </c>
      <c r="C22" s="1015"/>
      <c r="D22" s="1015"/>
      <c r="E22" s="1016"/>
      <c r="F22" s="1017"/>
      <c r="G22" s="1015"/>
      <c r="H22" s="1018"/>
      <c r="I22" s="1019"/>
      <c r="J22" s="1015"/>
      <c r="K22" s="1018"/>
      <c r="L22" s="977"/>
    </row>
    <row r="23" spans="1:12" s="991" customFormat="1" ht="30" customHeight="1">
      <c r="A23" s="975"/>
      <c r="B23" s="986" t="s">
        <v>260</v>
      </c>
      <c r="C23" s="1009">
        <f>SUM(C13,C18)</f>
        <v>422</v>
      </c>
      <c r="D23" s="1009">
        <f t="shared" ref="D23:D24" si="6">SUM(D13,D18)</f>
        <v>0</v>
      </c>
      <c r="E23" s="1005">
        <f>SUM(C23:D23)</f>
        <v>422</v>
      </c>
      <c r="F23" s="1020">
        <f t="shared" ref="F23:G23" si="7">SUM(F13,F18)</f>
        <v>26</v>
      </c>
      <c r="G23" s="1009">
        <f t="shared" si="7"/>
        <v>0</v>
      </c>
      <c r="H23" s="1007">
        <f>SUM(F23:G23)</f>
        <v>26</v>
      </c>
      <c r="I23" s="1008">
        <f>SUM(C23,F23)</f>
        <v>448</v>
      </c>
      <c r="J23" s="1009">
        <f>SUM(D23,G23)</f>
        <v>0</v>
      </c>
      <c r="K23" s="1007">
        <f>SUM(I23:J23)</f>
        <v>448</v>
      </c>
      <c r="L23" s="977"/>
    </row>
    <row r="24" spans="1:12" s="991" customFormat="1" ht="30" customHeight="1">
      <c r="A24" s="975"/>
      <c r="B24" s="986" t="s">
        <v>261</v>
      </c>
      <c r="C24" s="1009">
        <f t="shared" ref="C24" si="8">SUM(C14,C19)</f>
        <v>459</v>
      </c>
      <c r="D24" s="1009">
        <f t="shared" si="6"/>
        <v>0</v>
      </c>
      <c r="E24" s="1005">
        <f>SUM(C24:D24)</f>
        <v>459</v>
      </c>
      <c r="F24" s="1020">
        <f t="shared" ref="F24:G24" si="9">SUM(F14,F19)</f>
        <v>22</v>
      </c>
      <c r="G24" s="1009">
        <f t="shared" si="9"/>
        <v>0</v>
      </c>
      <c r="H24" s="1007">
        <f>SUM(F24:G24)</f>
        <v>22</v>
      </c>
      <c r="I24" s="1008">
        <f t="shared" ref="I24" si="10">SUM(C24,F24)</f>
        <v>481</v>
      </c>
      <c r="J24" s="1009">
        <f t="shared" ref="J24" si="11">SUM(D24,G24)</f>
        <v>0</v>
      </c>
      <c r="K24" s="1007">
        <f>SUM(I24:J24)</f>
        <v>481</v>
      </c>
      <c r="L24" s="977"/>
    </row>
    <row r="25" spans="1:12" s="991" customFormat="1" ht="30" customHeight="1">
      <c r="A25" s="975"/>
      <c r="B25" s="994" t="s">
        <v>262</v>
      </c>
      <c r="C25" s="1010">
        <f>SUM(C23:C24)</f>
        <v>881</v>
      </c>
      <c r="D25" s="1010">
        <f t="shared" ref="D25:G25" si="12">SUM(D23:D24)</f>
        <v>0</v>
      </c>
      <c r="E25" s="1326">
        <f>SUM(E23:E24)</f>
        <v>881</v>
      </c>
      <c r="F25" s="1012">
        <f t="shared" si="12"/>
        <v>48</v>
      </c>
      <c r="G25" s="1010">
        <f t="shared" si="12"/>
        <v>0</v>
      </c>
      <c r="H25" s="1013">
        <f>SUM(H23:H24)</f>
        <v>48</v>
      </c>
      <c r="I25" s="1014">
        <f>SUM(I23:I24)</f>
        <v>929</v>
      </c>
      <c r="J25" s="1010">
        <f>SUM(J23:J24)</f>
        <v>0</v>
      </c>
      <c r="K25" s="1013">
        <f>SUM(K23:K24)</f>
        <v>929</v>
      </c>
      <c r="L25" s="977"/>
    </row>
    <row r="26" spans="1:12" s="991" customFormat="1" ht="35.1" customHeight="1" thickBot="1">
      <c r="A26" s="975"/>
      <c r="B26" s="1438" t="s">
        <v>300</v>
      </c>
      <c r="C26" s="1443">
        <f>SUM(C16,C21)</f>
        <v>2961</v>
      </c>
      <c r="D26" s="1443">
        <f t="shared" ref="D26" si="13">SUM(D16,D21)</f>
        <v>0</v>
      </c>
      <c r="E26" s="1439">
        <f>SUM(C26:D26)</f>
        <v>2961</v>
      </c>
      <c r="F26" s="1444">
        <f t="shared" ref="F26:G26" si="14">SUM(F16,F21)</f>
        <v>109</v>
      </c>
      <c r="G26" s="1443">
        <f t="shared" si="14"/>
        <v>0</v>
      </c>
      <c r="H26" s="1440">
        <f>SUM(F26:G26)</f>
        <v>109</v>
      </c>
      <c r="I26" s="1441">
        <f>SUM(C26,F26)</f>
        <v>3070</v>
      </c>
      <c r="J26" s="1442">
        <f>SUM(D26,G26)</f>
        <v>0</v>
      </c>
      <c r="K26" s="1440">
        <f>SUM(I26:J26)</f>
        <v>3070</v>
      </c>
      <c r="L26" s="977"/>
    </row>
    <row r="27" spans="1:12" s="991" customFormat="1" ht="24.95" customHeight="1">
      <c r="A27" s="975"/>
      <c r="B27" s="1445" t="s">
        <v>350</v>
      </c>
      <c r="C27" s="976"/>
      <c r="D27" s="976"/>
      <c r="E27" s="976"/>
      <c r="F27" s="976"/>
      <c r="G27" s="976"/>
      <c r="H27" s="976"/>
      <c r="I27" s="976"/>
      <c r="J27" s="976"/>
      <c r="K27" s="976"/>
      <c r="L27" s="977"/>
    </row>
    <row r="28" spans="1:12" s="991" customFormat="1" ht="24.95" customHeight="1">
      <c r="A28" s="975"/>
      <c r="B28" s="2428" t="s">
        <v>534</v>
      </c>
      <c r="C28" s="976"/>
      <c r="D28" s="976"/>
      <c r="E28" s="976"/>
      <c r="F28" s="976"/>
      <c r="G28" s="976"/>
      <c r="H28" s="976"/>
      <c r="I28" s="976"/>
      <c r="J28" s="976"/>
      <c r="K28" s="976"/>
      <c r="L28" s="977"/>
    </row>
    <row r="29" spans="1:12" s="991" customFormat="1" ht="15.75" thickBot="1">
      <c r="A29" s="987"/>
      <c r="B29" s="988"/>
      <c r="C29" s="988"/>
      <c r="D29" s="988"/>
      <c r="E29" s="988"/>
      <c r="F29" s="988"/>
      <c r="G29" s="988"/>
      <c r="H29" s="988"/>
      <c r="I29" s="988"/>
      <c r="J29" s="988"/>
      <c r="K29" s="988"/>
      <c r="L29" s="989"/>
    </row>
  </sheetData>
  <sheetProtection password="E23E" sheet="1" objects="1" scenarios="1"/>
  <mergeCells count="4">
    <mergeCell ref="I8:K8"/>
    <mergeCell ref="C4:E4"/>
    <mergeCell ref="C8:E8"/>
    <mergeCell ref="F8:H8"/>
  </mergeCells>
  <pageMargins left="0.19685039370078741" right="0.19685039370078741" top="0.19685039370078741" bottom="0.39370078740157483" header="0" footer="0"/>
  <pageSetup paperSize="9" scale="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24"/>
  <sheetViews>
    <sheetView workbookViewId="0">
      <selection activeCell="C16" sqref="C16"/>
    </sheetView>
  </sheetViews>
  <sheetFormatPr defaultRowHeight="15"/>
  <cols>
    <col min="1" max="1" width="2.85546875" style="2419" customWidth="1"/>
    <col min="2" max="2" width="67.85546875" style="2419" customWidth="1"/>
    <col min="3" max="5" width="14.7109375" style="2419" customWidth="1"/>
    <col min="6" max="16384" width="9.140625" style="2419"/>
  </cols>
  <sheetData>
    <row r="1" spans="1:7" s="2514" customFormat="1" ht="39.950000000000003" customHeight="1">
      <c r="A1" s="183"/>
      <c r="B1" s="2513" t="str">
        <f>IF(F4=0,"Your Institution Does Not Complete This Table","")</f>
        <v/>
      </c>
      <c r="C1" s="40"/>
      <c r="D1" s="40"/>
      <c r="E1" s="40"/>
      <c r="F1" s="40"/>
      <c r="G1" s="2383"/>
    </row>
    <row r="2" spans="1:7" ht="24.95" customHeight="1">
      <c r="A2" s="2507"/>
      <c r="B2" s="2508" t="s">
        <v>515</v>
      </c>
      <c r="C2" s="2509"/>
      <c r="D2" s="2509"/>
      <c r="E2" s="2509"/>
      <c r="F2" s="2510"/>
      <c r="G2" s="2381"/>
    </row>
    <row r="3" spans="1:7" s="2420" customFormat="1" ht="9.9499999999999993" customHeight="1" thickBot="1">
      <c r="A3" s="2385"/>
      <c r="B3" s="2386"/>
      <c r="C3" s="2387"/>
      <c r="D3" s="2387"/>
      <c r="E3" s="2387"/>
      <c r="F3" s="2388"/>
      <c r="G3" s="2389"/>
    </row>
    <row r="4" spans="1:7" ht="30" customHeight="1" thickBot="1">
      <c r="A4" s="2382"/>
      <c r="B4" s="978" t="s">
        <v>86</v>
      </c>
      <c r="C4" s="2732" t="str">
        <f>'Background Data'!$G$2</f>
        <v>Glasgow, University of</v>
      </c>
      <c r="D4" s="2733"/>
      <c r="E4" s="2734"/>
      <c r="F4" s="2410">
        <f>VLOOKUP('Background Data'!$F$2,Inst_Tables,32,FALSE)</f>
        <v>1</v>
      </c>
      <c r="G4" s="2381"/>
    </row>
    <row r="5" spans="1:7" ht="24.95" customHeight="1">
      <c r="A5" s="2382"/>
      <c r="B5" s="980" t="s">
        <v>525</v>
      </c>
      <c r="C5" s="2383"/>
      <c r="D5" s="2383"/>
      <c r="E5" s="2383"/>
      <c r="F5" s="2384"/>
      <c r="G5" s="2381"/>
    </row>
    <row r="6" spans="1:7" ht="24.95" customHeight="1">
      <c r="A6" s="2382"/>
      <c r="B6" s="11" t="s">
        <v>551</v>
      </c>
      <c r="C6" s="2383"/>
      <c r="D6" s="2383"/>
      <c r="E6" s="2383"/>
      <c r="F6" s="2384"/>
      <c r="G6" s="2381"/>
    </row>
    <row r="7" spans="1:7" ht="15.75" thickBot="1">
      <c r="A7" s="2382"/>
      <c r="B7" s="2383"/>
      <c r="C7" s="2383"/>
      <c r="D7" s="2383"/>
      <c r="E7" s="2383"/>
      <c r="F7" s="2384"/>
      <c r="G7" s="2381"/>
    </row>
    <row r="8" spans="1:7" ht="30" customHeight="1" thickBot="1">
      <c r="A8" s="2382"/>
      <c r="B8" s="2390"/>
      <c r="C8" s="2391" t="s">
        <v>2</v>
      </c>
      <c r="D8" s="2737" t="s">
        <v>510</v>
      </c>
      <c r="E8" s="2738"/>
      <c r="F8" s="2384"/>
      <c r="G8" s="2381"/>
    </row>
    <row r="9" spans="1:7" ht="69.95" customHeight="1">
      <c r="A9" s="2382"/>
      <c r="B9" s="2392" t="s">
        <v>513</v>
      </c>
      <c r="C9" s="2393"/>
      <c r="D9" s="2394" t="s">
        <v>511</v>
      </c>
      <c r="E9" s="2395" t="s">
        <v>512</v>
      </c>
      <c r="F9" s="2384"/>
      <c r="G9" s="2381"/>
    </row>
    <row r="10" spans="1:7" ht="24.95" customHeight="1" thickBot="1">
      <c r="A10" s="2382"/>
      <c r="B10" s="2396"/>
      <c r="C10" s="2397">
        <v>1</v>
      </c>
      <c r="D10" s="2398">
        <v>2</v>
      </c>
      <c r="E10" s="2397">
        <v>3</v>
      </c>
      <c r="F10" s="2384"/>
      <c r="G10" s="2381"/>
    </row>
    <row r="11" spans="1:7" ht="30" customHeight="1">
      <c r="A11" s="2382"/>
      <c r="B11" s="2399" t="s">
        <v>508</v>
      </c>
      <c r="C11" s="2400"/>
      <c r="D11" s="2401"/>
      <c r="E11" s="2400"/>
      <c r="F11" s="2384"/>
      <c r="G11" s="2381"/>
    </row>
    <row r="12" spans="1:7" ht="30" customHeight="1">
      <c r="A12" s="2382"/>
      <c r="B12" s="2402" t="s">
        <v>509</v>
      </c>
      <c r="C12" s="2377">
        <v>3051</v>
      </c>
      <c r="D12" s="2377">
        <v>2862</v>
      </c>
      <c r="E12" s="2378">
        <v>189</v>
      </c>
      <c r="F12" s="2384"/>
      <c r="G12" s="2381"/>
    </row>
    <row r="13" spans="1:7" ht="30" customHeight="1">
      <c r="A13" s="2382"/>
      <c r="B13" s="2402" t="s">
        <v>522</v>
      </c>
      <c r="C13" s="2378">
        <v>3051</v>
      </c>
      <c r="D13" s="2377">
        <v>2862</v>
      </c>
      <c r="E13" s="2378">
        <v>189</v>
      </c>
      <c r="F13" s="2384"/>
      <c r="G13" s="2381"/>
    </row>
    <row r="14" spans="1:7" ht="30" customHeight="1">
      <c r="A14" s="2382"/>
      <c r="B14" s="2402" t="s">
        <v>521</v>
      </c>
      <c r="C14" s="2378">
        <v>1860</v>
      </c>
      <c r="D14" s="2377">
        <v>1744</v>
      </c>
      <c r="E14" s="2378">
        <v>116</v>
      </c>
      <c r="F14" s="2384"/>
      <c r="G14" s="2381"/>
    </row>
    <row r="15" spans="1:7" ht="30" customHeight="1" thickBot="1">
      <c r="A15" s="2382"/>
      <c r="B15" s="2402" t="s">
        <v>523</v>
      </c>
      <c r="C15" s="2379">
        <v>690</v>
      </c>
      <c r="D15" s="2380">
        <v>652</v>
      </c>
      <c r="E15" s="2379">
        <v>38</v>
      </c>
      <c r="F15" s="2384"/>
      <c r="G15" s="2381"/>
    </row>
    <row r="16" spans="1:7" ht="30" customHeight="1" thickBot="1">
      <c r="A16" s="2382"/>
      <c r="B16" s="2519" t="s">
        <v>556</v>
      </c>
      <c r="C16" s="2520"/>
      <c r="D16" s="2521"/>
      <c r="E16" s="2522"/>
      <c r="F16" s="2384"/>
      <c r="G16" s="2381"/>
    </row>
    <row r="17" spans="1:7" ht="30" customHeight="1">
      <c r="A17" s="2382"/>
      <c r="B17" s="2399" t="s">
        <v>514</v>
      </c>
      <c r="C17" s="2403"/>
      <c r="D17" s="2404"/>
      <c r="E17" s="2403"/>
      <c r="F17" s="2384"/>
      <c r="G17" s="2381"/>
    </row>
    <row r="18" spans="1:7" ht="30" customHeight="1">
      <c r="A18" s="2382"/>
      <c r="B18" s="2402" t="s">
        <v>509</v>
      </c>
      <c r="C18" s="2378">
        <v>3051</v>
      </c>
      <c r="D18" s="2377">
        <v>2862</v>
      </c>
      <c r="E18" s="2378">
        <v>189</v>
      </c>
      <c r="F18" s="2384"/>
      <c r="G18" s="2381"/>
    </row>
    <row r="19" spans="1:7" ht="30" customHeight="1">
      <c r="A19" s="2382"/>
      <c r="B19" s="2402" t="s">
        <v>522</v>
      </c>
      <c r="C19" s="2378">
        <v>3051</v>
      </c>
      <c r="D19" s="2377">
        <v>2862</v>
      </c>
      <c r="E19" s="2378">
        <v>189</v>
      </c>
      <c r="F19" s="2384"/>
      <c r="G19" s="2381"/>
    </row>
    <row r="20" spans="1:7" ht="30" customHeight="1">
      <c r="A20" s="2382"/>
      <c r="B20" s="2402" t="s">
        <v>521</v>
      </c>
      <c r="C20" s="2378">
        <v>1860</v>
      </c>
      <c r="D20" s="2377">
        <v>1744</v>
      </c>
      <c r="E20" s="2378">
        <v>116</v>
      </c>
      <c r="F20" s="2384"/>
      <c r="G20" s="2381"/>
    </row>
    <row r="21" spans="1:7" ht="30" customHeight="1" thickBot="1">
      <c r="A21" s="2382"/>
      <c r="B21" s="2402" t="s">
        <v>523</v>
      </c>
      <c r="C21" s="2379">
        <v>690</v>
      </c>
      <c r="D21" s="2380">
        <v>652</v>
      </c>
      <c r="E21" s="2379">
        <v>38</v>
      </c>
      <c r="F21" s="2384"/>
      <c r="G21" s="2381"/>
    </row>
    <row r="22" spans="1:7" ht="30" customHeight="1" thickBot="1">
      <c r="A22" s="2382"/>
      <c r="B22" s="2519" t="s">
        <v>557</v>
      </c>
      <c r="C22" s="2520"/>
      <c r="D22" s="2521"/>
      <c r="E22" s="2522"/>
      <c r="F22" s="2384"/>
      <c r="G22" s="2381"/>
    </row>
    <row r="23" spans="1:7">
      <c r="A23" s="2511"/>
      <c r="B23" s="2405"/>
      <c r="C23" s="2405"/>
      <c r="D23" s="2405"/>
      <c r="E23" s="2405"/>
      <c r="F23" s="2512"/>
      <c r="G23" s="2381"/>
    </row>
    <row r="24" spans="1:7">
      <c r="A24" s="2381"/>
      <c r="B24" s="2381"/>
      <c r="C24" s="2381"/>
      <c r="D24" s="2381"/>
      <c r="E24" s="2381"/>
      <c r="F24" s="2381"/>
      <c r="G24" s="2381"/>
    </row>
  </sheetData>
  <sheetProtection password="E23E" sheet="1" objects="1" scenarios="1"/>
  <mergeCells count="2">
    <mergeCell ref="D8:E8"/>
    <mergeCell ref="C4:E4"/>
  </mergeCells>
  <conditionalFormatting sqref="A1:F1">
    <cfRule type="expression" dxfId="1" priority="2" stopIfTrue="1">
      <formula>$F$4=0</formula>
    </cfRule>
  </conditionalFormatting>
  <conditionalFormatting sqref="C18:E22 C12:E16">
    <cfRule type="expression" dxfId="0" priority="1">
      <formula>$F$4=0</formula>
    </cfRule>
  </conditionalFormatting>
  <pageMargins left="0.19685039370078741" right="0.19685039370078741" top="0.19685039370078741" bottom="0.39370078740157483" header="0" footer="0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M185"/>
  <sheetViews>
    <sheetView zoomScale="80" zoomScaleNormal="80" workbookViewId="0">
      <selection activeCell="F2" sqref="F2"/>
    </sheetView>
  </sheetViews>
  <sheetFormatPr defaultColWidth="9.140625" defaultRowHeight="15" customHeight="1"/>
  <cols>
    <col min="1" max="1" width="7.7109375" style="1540" customWidth="1"/>
    <col min="2" max="2" width="45.7109375" style="1540" customWidth="1"/>
    <col min="3" max="8" width="12.7109375" style="1540" customWidth="1"/>
    <col min="9" max="9" width="13.140625" style="1540" customWidth="1"/>
    <col min="10" max="32" width="12.7109375" style="1540" customWidth="1"/>
    <col min="33" max="33" width="50.7109375" style="1540" customWidth="1"/>
    <col min="34" max="34" width="8.7109375" style="1540" customWidth="1"/>
    <col min="35" max="35" width="55.7109375" style="1540" customWidth="1"/>
    <col min="36" max="76" width="12.7109375" style="1540" customWidth="1"/>
    <col min="77" max="77" width="13.7109375" style="1540" customWidth="1"/>
    <col min="78" max="82" width="12.7109375" style="1540" customWidth="1"/>
    <col min="83" max="83" width="50.7109375" style="1540" customWidth="1"/>
    <col min="84" max="84" width="8.7109375" style="1717" customWidth="1"/>
    <col min="85" max="85" width="57.7109375" style="1717" customWidth="1"/>
    <col min="86" max="147" width="12.7109375" style="1717" customWidth="1"/>
    <col min="148" max="148" width="13.7109375" style="1717" customWidth="1"/>
    <col min="149" max="149" width="50.7109375" style="1540" customWidth="1"/>
    <col min="150" max="150" width="9.140625" style="1540" customWidth="1"/>
    <col min="151" max="151" width="57.7109375" style="1540" customWidth="1"/>
    <col min="152" max="213" width="12.7109375" style="1540" customWidth="1"/>
    <col min="214" max="214" width="13.7109375" style="1540" customWidth="1"/>
    <col min="215" max="215" width="50.7109375" style="1540" customWidth="1"/>
    <col min="216" max="216" width="55.7109375" style="1540" customWidth="1"/>
    <col min="217" max="217" width="45.7109375" style="1540" customWidth="1"/>
    <col min="218" max="218" width="12.7109375" style="1540" customWidth="1"/>
    <col min="219" max="436" width="9.140625" style="1540" customWidth="1"/>
    <col min="437" max="16384" width="9.140625" style="1540"/>
  </cols>
  <sheetData>
    <row r="1" spans="1:81" s="426" customFormat="1">
      <c r="J1" s="444"/>
      <c r="K1" s="444"/>
      <c r="L1" s="444"/>
      <c r="AG1" s="2168"/>
      <c r="AH1" s="2168"/>
      <c r="BZ1" s="1527"/>
      <c r="CA1" s="1527"/>
      <c r="CB1" s="1527"/>
      <c r="CC1" s="1527"/>
    </row>
    <row r="2" spans="1:81" s="426" customFormat="1" ht="30" customHeight="1">
      <c r="A2" s="425" t="s">
        <v>93</v>
      </c>
      <c r="F2" s="2472">
        <v>8</v>
      </c>
      <c r="G2" s="380" t="str">
        <f>VLOOKUP(F2,Inst_Tables,2,FALSE)</f>
        <v>Glasgow, University of</v>
      </c>
      <c r="J2" s="444"/>
      <c r="K2" s="2168"/>
      <c r="AG2" s="2169"/>
      <c r="AH2" s="2168"/>
    </row>
    <row r="3" spans="1:81" s="426" customFormat="1" ht="18" customHeight="1">
      <c r="J3" s="444"/>
      <c r="K3" s="444"/>
      <c r="L3" s="444"/>
      <c r="AG3" s="2169"/>
      <c r="AH3" s="2168"/>
    </row>
    <row r="4" spans="1:81" s="426" customFormat="1" ht="20.100000000000001" customHeight="1">
      <c r="A4" s="427" t="s">
        <v>357</v>
      </c>
      <c r="C4" s="384"/>
      <c r="D4" s="430"/>
      <c r="E4" s="430"/>
      <c r="F4" s="428"/>
      <c r="G4" s="429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2169"/>
      <c r="AH4" s="2168"/>
      <c r="AI4" s="431"/>
      <c r="AJ4" s="431"/>
      <c r="AK4" s="431"/>
      <c r="AL4" s="431"/>
      <c r="AM4" s="431"/>
      <c r="AN4" s="431"/>
      <c r="AO4" s="431"/>
      <c r="AP4" s="431"/>
      <c r="BH4" s="444"/>
    </row>
    <row r="5" spans="1:81" s="426" customFormat="1" ht="15.75" thickBot="1">
      <c r="B5" s="1"/>
      <c r="C5" s="430"/>
      <c r="E5" s="432"/>
      <c r="F5" s="430"/>
      <c r="G5" s="432"/>
      <c r="H5" s="432"/>
      <c r="I5" s="432"/>
      <c r="J5" s="430"/>
      <c r="K5" s="430"/>
      <c r="N5" s="432"/>
      <c r="O5" s="433"/>
      <c r="P5" s="430"/>
      <c r="AG5" s="2168"/>
      <c r="AH5" s="2168"/>
    </row>
    <row r="6" spans="1:81" s="426" customFormat="1" ht="45" customHeight="1">
      <c r="A6" s="2799" t="s">
        <v>86</v>
      </c>
      <c r="B6" s="2800"/>
      <c r="C6" s="2741" t="s">
        <v>294</v>
      </c>
      <c r="D6" s="2742"/>
      <c r="E6" s="2743"/>
      <c r="F6" s="2801" t="s">
        <v>516</v>
      </c>
      <c r="G6" s="2756"/>
      <c r="H6" s="2756"/>
      <c r="I6" s="2756"/>
      <c r="J6" s="2756"/>
      <c r="K6" s="2756"/>
      <c r="L6" s="2756"/>
      <c r="M6" s="2756"/>
      <c r="N6" s="2756"/>
      <c r="O6" s="2756"/>
      <c r="P6" s="2756"/>
      <c r="Q6" s="2757"/>
      <c r="R6" s="2755" t="s">
        <v>473</v>
      </c>
      <c r="S6" s="2756"/>
      <c r="T6" s="2756"/>
      <c r="U6" s="2756"/>
      <c r="V6" s="2756"/>
      <c r="W6" s="2756"/>
      <c r="X6" s="2756"/>
      <c r="Y6" s="2756"/>
      <c r="Z6" s="2756"/>
      <c r="AA6" s="2756"/>
      <c r="AB6" s="2756"/>
      <c r="AC6" s="2756"/>
      <c r="AD6" s="2756"/>
      <c r="AE6" s="2757"/>
      <c r="AF6" s="2739" t="s">
        <v>517</v>
      </c>
    </row>
    <row r="7" spans="1:81" s="426" customFormat="1" ht="35.1" customHeight="1">
      <c r="A7" s="778" t="s">
        <v>140</v>
      </c>
      <c r="B7" s="2157" t="s">
        <v>103</v>
      </c>
      <c r="C7" s="2158" t="s">
        <v>41</v>
      </c>
      <c r="D7" s="2159" t="s">
        <v>30</v>
      </c>
      <c r="E7" s="2160" t="s">
        <v>202</v>
      </c>
      <c r="F7" s="913" t="s">
        <v>119</v>
      </c>
      <c r="G7" s="913" t="s">
        <v>120</v>
      </c>
      <c r="H7" s="913" t="s">
        <v>121</v>
      </c>
      <c r="I7" s="913" t="s">
        <v>164</v>
      </c>
      <c r="J7" s="913" t="s">
        <v>253</v>
      </c>
      <c r="K7" s="913" t="s">
        <v>254</v>
      </c>
      <c r="L7" s="914">
        <v>3</v>
      </c>
      <c r="M7" s="914" t="s">
        <v>156</v>
      </c>
      <c r="N7" s="914" t="s">
        <v>157</v>
      </c>
      <c r="O7" s="775" t="s">
        <v>141</v>
      </c>
      <c r="P7" s="775" t="s">
        <v>143</v>
      </c>
      <c r="Q7" s="575" t="s">
        <v>293</v>
      </c>
      <c r="R7" s="2744" t="s">
        <v>474</v>
      </c>
      <c r="S7" s="2746" t="s">
        <v>475</v>
      </c>
      <c r="T7" s="2744" t="s">
        <v>476</v>
      </c>
      <c r="U7" s="2746" t="s">
        <v>477</v>
      </c>
      <c r="V7" s="2744" t="s">
        <v>505</v>
      </c>
      <c r="W7" s="2753" t="s">
        <v>506</v>
      </c>
      <c r="X7" s="2434" t="s">
        <v>89</v>
      </c>
      <c r="Y7" s="2744" t="s">
        <v>478</v>
      </c>
      <c r="Z7" s="2170" t="s">
        <v>479</v>
      </c>
      <c r="AA7" s="2744" t="s">
        <v>482</v>
      </c>
      <c r="AB7" s="2744" t="s">
        <v>480</v>
      </c>
      <c r="AC7" s="2744" t="s">
        <v>481</v>
      </c>
      <c r="AD7" s="2744" t="s">
        <v>483</v>
      </c>
      <c r="AE7" s="2751" t="s">
        <v>484</v>
      </c>
      <c r="AF7" s="2740"/>
    </row>
    <row r="8" spans="1:81" s="426" customFormat="1" ht="69.95" customHeight="1">
      <c r="A8" s="801"/>
      <c r="B8" s="799"/>
      <c r="C8" s="2161"/>
      <c r="D8" s="2162"/>
      <c r="E8" s="2163"/>
      <c r="F8" s="915" t="s">
        <v>226</v>
      </c>
      <c r="G8" s="916" t="s">
        <v>285</v>
      </c>
      <c r="H8" s="916" t="s">
        <v>284</v>
      </c>
      <c r="I8" s="916" t="s">
        <v>485</v>
      </c>
      <c r="J8" s="916" t="s">
        <v>486</v>
      </c>
      <c r="K8" s="915" t="s">
        <v>227</v>
      </c>
      <c r="L8" s="917" t="s">
        <v>395</v>
      </c>
      <c r="M8" s="917" t="s">
        <v>396</v>
      </c>
      <c r="N8" s="917" t="s">
        <v>397</v>
      </c>
      <c r="O8" s="911" t="s">
        <v>295</v>
      </c>
      <c r="P8" s="800" t="s">
        <v>229</v>
      </c>
      <c r="Q8" s="918" t="s">
        <v>228</v>
      </c>
      <c r="R8" s="2745"/>
      <c r="S8" s="2747"/>
      <c r="T8" s="2745"/>
      <c r="U8" s="2747"/>
      <c r="V8" s="2745"/>
      <c r="W8" s="2754"/>
      <c r="X8" s="2171"/>
      <c r="Y8" s="2745"/>
      <c r="Z8" s="2171"/>
      <c r="AA8" s="2745"/>
      <c r="AB8" s="2745"/>
      <c r="AC8" s="2745"/>
      <c r="AD8" s="2745"/>
      <c r="AE8" s="2752"/>
      <c r="AF8" s="2406"/>
    </row>
    <row r="9" spans="1:81" s="426" customFormat="1" ht="30" customHeight="1">
      <c r="A9" s="806">
        <v>1</v>
      </c>
      <c r="B9" s="805">
        <v>2</v>
      </c>
      <c r="C9" s="804">
        <v>3</v>
      </c>
      <c r="D9" s="803">
        <v>4</v>
      </c>
      <c r="E9" s="802">
        <v>5</v>
      </c>
      <c r="F9" s="804">
        <v>6</v>
      </c>
      <c r="G9" s="804">
        <v>7</v>
      </c>
      <c r="H9" s="804">
        <v>8</v>
      </c>
      <c r="I9" s="804">
        <v>9</v>
      </c>
      <c r="J9" s="804">
        <v>10</v>
      </c>
      <c r="K9" s="804">
        <v>11</v>
      </c>
      <c r="L9" s="804">
        <v>12</v>
      </c>
      <c r="M9" s="804">
        <v>13</v>
      </c>
      <c r="N9" s="804">
        <v>14</v>
      </c>
      <c r="O9" s="912">
        <v>15</v>
      </c>
      <c r="P9" s="912">
        <v>16</v>
      </c>
      <c r="Q9" s="802">
        <v>17</v>
      </c>
      <c r="R9" s="804">
        <v>18</v>
      </c>
      <c r="S9" s="803">
        <v>19</v>
      </c>
      <c r="T9" s="804">
        <v>20</v>
      </c>
      <c r="U9" s="803">
        <v>21</v>
      </c>
      <c r="V9" s="804">
        <v>22</v>
      </c>
      <c r="W9" s="804">
        <v>23</v>
      </c>
      <c r="X9" s="804">
        <v>24</v>
      </c>
      <c r="Y9" s="804">
        <v>25</v>
      </c>
      <c r="Z9" s="804">
        <v>26</v>
      </c>
      <c r="AA9" s="804">
        <v>27</v>
      </c>
      <c r="AB9" s="804">
        <v>28</v>
      </c>
      <c r="AC9" s="804">
        <v>29</v>
      </c>
      <c r="AD9" s="804">
        <v>30</v>
      </c>
      <c r="AE9" s="802">
        <v>31</v>
      </c>
      <c r="AF9" s="2407">
        <v>32</v>
      </c>
    </row>
    <row r="10" spans="1:81" s="426" customFormat="1" ht="24.95" customHeight="1">
      <c r="A10" s="434">
        <v>1</v>
      </c>
      <c r="B10" s="435" t="s">
        <v>42</v>
      </c>
      <c r="C10" s="2164">
        <v>3</v>
      </c>
      <c r="D10" s="2165">
        <v>4</v>
      </c>
      <c r="E10" s="2166">
        <v>45</v>
      </c>
      <c r="F10" s="919">
        <f t="shared" ref="F10:F28" si="0">IF(SUM(R10:AE10)&gt;0,1,0)</f>
        <v>1</v>
      </c>
      <c r="G10" s="919">
        <f t="shared" ref="G10:G28" si="1">IF(SUM(S10,U10,W10,AB10,AC10,AD10,AE10)&gt;0,1,0)</f>
        <v>1</v>
      </c>
      <c r="H10" s="919">
        <f>IF(SUM(T10:U10)&gt;0,1,0)</f>
        <v>1</v>
      </c>
      <c r="I10" s="920">
        <f>IF(SUM(AC10,AD10)&gt;0,1,0)</f>
        <v>0</v>
      </c>
      <c r="J10" s="2198">
        <v>1</v>
      </c>
      <c r="K10" s="2198">
        <v>0</v>
      </c>
      <c r="L10" s="919">
        <v>1</v>
      </c>
      <c r="M10" s="919">
        <f>IF(BT41&gt;0,1,0)</f>
        <v>0</v>
      </c>
      <c r="N10" s="919">
        <f>IF(BU41&gt;0,1,0)</f>
        <v>0</v>
      </c>
      <c r="O10" s="920">
        <f>IF(AJ41&gt;0,1,0)</f>
        <v>1</v>
      </c>
      <c r="P10" s="920">
        <f>IF(SUM(AR41:AS41)&gt;0,1,0)</f>
        <v>1</v>
      </c>
      <c r="Q10" s="921">
        <f>IF(SUM(AL41:AN41)&gt;0,1,0)</f>
        <v>0</v>
      </c>
      <c r="R10" s="2172">
        <f t="shared" ref="R10:R28" si="2">IF(BE41&gt;0,1,0)</f>
        <v>1</v>
      </c>
      <c r="S10" s="2172">
        <v>1</v>
      </c>
      <c r="T10" s="2172">
        <v>1</v>
      </c>
      <c r="U10" s="2300">
        <v>1</v>
      </c>
      <c r="V10" s="2172">
        <f t="shared" ref="V10:V28" si="3">IF(A10&lt;&gt;$A$21,IF(BC41&gt;0,1,0),0)</f>
        <v>1</v>
      </c>
      <c r="W10" s="2269"/>
      <c r="X10" s="2172">
        <v>1</v>
      </c>
      <c r="Y10" s="2172"/>
      <c r="Z10" s="2172"/>
      <c r="AA10" s="2172">
        <v>1</v>
      </c>
      <c r="AB10" s="2172">
        <f>IF(BG41&gt;0,1,0)</f>
        <v>0</v>
      </c>
      <c r="AC10" s="2172">
        <f>IF(BH41&gt;0,1,0)</f>
        <v>0</v>
      </c>
      <c r="AD10" s="2172"/>
      <c r="AE10" s="2173">
        <f t="shared" ref="AE10:AE28" si="4">IF(BI41&gt;0,1,0)</f>
        <v>0</v>
      </c>
      <c r="AF10" s="2409">
        <v>1</v>
      </c>
      <c r="AH10" s="534"/>
      <c r="AI10" s="534"/>
      <c r="AJ10" s="534"/>
      <c r="AK10" s="534"/>
      <c r="AL10" s="534"/>
    </row>
    <row r="11" spans="1:81" s="426" customFormat="1" ht="20.100000000000001" customHeight="1">
      <c r="A11" s="434">
        <v>2</v>
      </c>
      <c r="B11" s="435" t="s">
        <v>43</v>
      </c>
      <c r="C11" s="2164">
        <f>C10+2</f>
        <v>5</v>
      </c>
      <c r="D11" s="2165">
        <f>D10+2</f>
        <v>6</v>
      </c>
      <c r="E11" s="2166">
        <v>46</v>
      </c>
      <c r="F11" s="919">
        <f t="shared" si="0"/>
        <v>0</v>
      </c>
      <c r="G11" s="919">
        <f t="shared" si="1"/>
        <v>0</v>
      </c>
      <c r="H11" s="919">
        <f t="shared" ref="H11:H28" si="5">IF(SUM(T11:U11)&gt;0,1,0)</f>
        <v>0</v>
      </c>
      <c r="I11" s="920">
        <f t="shared" ref="I11:I28" si="6">IF(SUM(AC11,AD11)&gt;0,1,0)</f>
        <v>0</v>
      </c>
      <c r="J11" s="2198">
        <v>0</v>
      </c>
      <c r="K11" s="2198">
        <v>0</v>
      </c>
      <c r="L11" s="919">
        <v>0</v>
      </c>
      <c r="M11" s="919">
        <f t="shared" ref="M11:N11" si="7">IF(BT42&gt;0,1,0)</f>
        <v>0</v>
      </c>
      <c r="N11" s="919">
        <f t="shared" si="7"/>
        <v>1</v>
      </c>
      <c r="O11" s="920">
        <f t="shared" ref="O11:O28" si="8">IF(AJ42&gt;0,1,0)</f>
        <v>0</v>
      </c>
      <c r="P11" s="920">
        <f t="shared" ref="P11:P28" si="9">IF(SUM(AR42:AS42)&gt;0,1,0)</f>
        <v>0</v>
      </c>
      <c r="Q11" s="921">
        <f t="shared" ref="Q11:Q28" si="10">IF(SUM(AL42:AN42)&gt;0,1,0)</f>
        <v>0</v>
      </c>
      <c r="R11" s="2172">
        <f t="shared" si="2"/>
        <v>0</v>
      </c>
      <c r="S11" s="2172"/>
      <c r="T11" s="2172"/>
      <c r="U11" s="2300"/>
      <c r="V11" s="2172">
        <f t="shared" si="3"/>
        <v>0</v>
      </c>
      <c r="W11" s="2269"/>
      <c r="X11" s="2172"/>
      <c r="Y11" s="2172"/>
      <c r="Z11" s="2172"/>
      <c r="AA11" s="2172"/>
      <c r="AB11" s="2172">
        <f t="shared" ref="AB11:AC11" si="11">IF(BG42&gt;0,1,0)</f>
        <v>0</v>
      </c>
      <c r="AC11" s="2172">
        <f t="shared" si="11"/>
        <v>0</v>
      </c>
      <c r="AD11" s="2172"/>
      <c r="AE11" s="2173">
        <f t="shared" si="4"/>
        <v>0</v>
      </c>
      <c r="AF11" s="2409">
        <v>1</v>
      </c>
    </row>
    <row r="12" spans="1:81" s="426" customFormat="1" ht="20.100000000000001" customHeight="1">
      <c r="A12" s="434">
        <v>3</v>
      </c>
      <c r="B12" s="435" t="s">
        <v>44</v>
      </c>
      <c r="C12" s="2164">
        <f t="shared" ref="C12:D12" si="12">C11+2</f>
        <v>7</v>
      </c>
      <c r="D12" s="2165">
        <f t="shared" si="12"/>
        <v>8</v>
      </c>
      <c r="E12" s="2166">
        <v>47</v>
      </c>
      <c r="F12" s="919">
        <f t="shared" si="0"/>
        <v>1</v>
      </c>
      <c r="G12" s="919">
        <f t="shared" si="1"/>
        <v>1</v>
      </c>
      <c r="H12" s="919">
        <f t="shared" si="5"/>
        <v>1</v>
      </c>
      <c r="I12" s="920">
        <f t="shared" si="6"/>
        <v>0</v>
      </c>
      <c r="J12" s="2198">
        <v>1</v>
      </c>
      <c r="K12" s="2198">
        <v>0</v>
      </c>
      <c r="L12" s="919">
        <v>2</v>
      </c>
      <c r="M12" s="919">
        <f t="shared" ref="M12:N12" si="13">IF(BT43&gt;0,1,0)</f>
        <v>1</v>
      </c>
      <c r="N12" s="919">
        <f t="shared" si="13"/>
        <v>0</v>
      </c>
      <c r="O12" s="920">
        <f t="shared" si="8"/>
        <v>0</v>
      </c>
      <c r="P12" s="920">
        <f t="shared" si="9"/>
        <v>1</v>
      </c>
      <c r="Q12" s="921">
        <f t="shared" si="10"/>
        <v>0</v>
      </c>
      <c r="R12" s="2172">
        <f t="shared" si="2"/>
        <v>1</v>
      </c>
      <c r="S12" s="2172">
        <v>1</v>
      </c>
      <c r="T12" s="2172">
        <v>1</v>
      </c>
      <c r="U12" s="2300">
        <v>1</v>
      </c>
      <c r="V12" s="2172">
        <f t="shared" si="3"/>
        <v>1</v>
      </c>
      <c r="W12" s="2269"/>
      <c r="X12" s="2172"/>
      <c r="Y12" s="2172"/>
      <c r="Z12" s="2172"/>
      <c r="AA12" s="2172"/>
      <c r="AB12" s="2172">
        <f t="shared" ref="AB12:AC12" si="14">IF(BG43&gt;0,1,0)</f>
        <v>0</v>
      </c>
      <c r="AC12" s="2172">
        <f t="shared" si="14"/>
        <v>0</v>
      </c>
      <c r="AD12" s="2172"/>
      <c r="AE12" s="2173">
        <f t="shared" si="4"/>
        <v>0</v>
      </c>
      <c r="AF12" s="2409">
        <v>1</v>
      </c>
    </row>
    <row r="13" spans="1:81" s="426" customFormat="1" ht="20.100000000000001" customHeight="1">
      <c r="A13" s="434">
        <v>4</v>
      </c>
      <c r="B13" s="435" t="s">
        <v>59</v>
      </c>
      <c r="C13" s="2164">
        <f t="shared" ref="C13:D13" si="15">C12+2</f>
        <v>9</v>
      </c>
      <c r="D13" s="2165">
        <f t="shared" si="15"/>
        <v>10</v>
      </c>
      <c r="E13" s="2166">
        <v>48</v>
      </c>
      <c r="F13" s="919">
        <f t="shared" si="0"/>
        <v>1</v>
      </c>
      <c r="G13" s="919">
        <f t="shared" si="1"/>
        <v>1</v>
      </c>
      <c r="H13" s="919">
        <f t="shared" si="5"/>
        <v>1</v>
      </c>
      <c r="I13" s="920">
        <f t="shared" si="6"/>
        <v>0</v>
      </c>
      <c r="J13" s="2198">
        <v>0</v>
      </c>
      <c r="K13" s="2198">
        <v>0</v>
      </c>
      <c r="L13" s="919">
        <v>0</v>
      </c>
      <c r="M13" s="919">
        <f t="shared" ref="M13:N13" si="16">IF(BT44&gt;0,1,0)</f>
        <v>1</v>
      </c>
      <c r="N13" s="919">
        <f t="shared" si="16"/>
        <v>0</v>
      </c>
      <c r="O13" s="920">
        <f t="shared" si="8"/>
        <v>1</v>
      </c>
      <c r="P13" s="920">
        <f t="shared" si="9"/>
        <v>0</v>
      </c>
      <c r="Q13" s="921">
        <f t="shared" si="10"/>
        <v>0</v>
      </c>
      <c r="R13" s="2172">
        <f t="shared" si="2"/>
        <v>0</v>
      </c>
      <c r="S13" s="2172"/>
      <c r="T13" s="2172"/>
      <c r="U13" s="2300">
        <v>1</v>
      </c>
      <c r="V13" s="2172">
        <f t="shared" si="3"/>
        <v>0</v>
      </c>
      <c r="W13" s="2269"/>
      <c r="X13" s="2172"/>
      <c r="Y13" s="2172"/>
      <c r="Z13" s="2172"/>
      <c r="AA13" s="2172"/>
      <c r="AB13" s="2172">
        <f t="shared" ref="AB13:AC13" si="17">IF(BG44&gt;0,1,0)</f>
        <v>0</v>
      </c>
      <c r="AC13" s="2172">
        <f t="shared" si="17"/>
        <v>0</v>
      </c>
      <c r="AD13" s="2172"/>
      <c r="AE13" s="2173">
        <f t="shared" si="4"/>
        <v>0</v>
      </c>
      <c r="AF13" s="2409">
        <v>1</v>
      </c>
    </row>
    <row r="14" spans="1:81" s="426" customFormat="1" ht="20.100000000000001" customHeight="1">
      <c r="A14" s="434">
        <v>5</v>
      </c>
      <c r="B14" s="435" t="s">
        <v>45</v>
      </c>
      <c r="C14" s="2164">
        <f t="shared" ref="C14:D14" si="18">C13+2</f>
        <v>11</v>
      </c>
      <c r="D14" s="2165">
        <f t="shared" si="18"/>
        <v>12</v>
      </c>
      <c r="E14" s="2166">
        <v>49</v>
      </c>
      <c r="F14" s="919">
        <f t="shared" si="0"/>
        <v>1</v>
      </c>
      <c r="G14" s="919">
        <f t="shared" si="1"/>
        <v>1</v>
      </c>
      <c r="H14" s="919">
        <f t="shared" si="5"/>
        <v>1</v>
      </c>
      <c r="I14" s="920">
        <f t="shared" si="6"/>
        <v>1</v>
      </c>
      <c r="J14" s="2198">
        <v>0</v>
      </c>
      <c r="K14" s="2198">
        <v>0</v>
      </c>
      <c r="L14" s="919">
        <v>3</v>
      </c>
      <c r="M14" s="919">
        <f t="shared" ref="M14:N14" si="19">IF(BT45&gt;0,1,0)</f>
        <v>0</v>
      </c>
      <c r="N14" s="919">
        <f t="shared" si="19"/>
        <v>1</v>
      </c>
      <c r="O14" s="920">
        <f t="shared" si="8"/>
        <v>1</v>
      </c>
      <c r="P14" s="920">
        <f t="shared" si="9"/>
        <v>1</v>
      </c>
      <c r="Q14" s="921">
        <f t="shared" si="10"/>
        <v>1</v>
      </c>
      <c r="R14" s="2172">
        <f t="shared" si="2"/>
        <v>1</v>
      </c>
      <c r="S14" s="2172"/>
      <c r="T14" s="2172">
        <v>1</v>
      </c>
      <c r="U14" s="2300"/>
      <c r="V14" s="2172">
        <f t="shared" si="3"/>
        <v>1</v>
      </c>
      <c r="W14" s="2269"/>
      <c r="X14" s="2172"/>
      <c r="Y14" s="2172">
        <v>1</v>
      </c>
      <c r="Z14" s="2172"/>
      <c r="AA14" s="2172"/>
      <c r="AB14" s="2172">
        <f t="shared" ref="AB14:AC14" si="20">IF(BG45&gt;0,1,0)</f>
        <v>0</v>
      </c>
      <c r="AC14" s="2172">
        <f t="shared" si="20"/>
        <v>0</v>
      </c>
      <c r="AD14" s="2172">
        <v>1</v>
      </c>
      <c r="AE14" s="2173">
        <f t="shared" si="4"/>
        <v>1</v>
      </c>
      <c r="AF14" s="2409">
        <v>1</v>
      </c>
    </row>
    <row r="15" spans="1:81" s="426" customFormat="1" ht="24.95" customHeight="1">
      <c r="A15" s="434">
        <v>6</v>
      </c>
      <c r="B15" s="435" t="s">
        <v>46</v>
      </c>
      <c r="C15" s="2164">
        <f t="shared" ref="C15:D15" si="21">C14+2</f>
        <v>13</v>
      </c>
      <c r="D15" s="2165">
        <f t="shared" si="21"/>
        <v>14</v>
      </c>
      <c r="E15" s="2166">
        <v>50</v>
      </c>
      <c r="F15" s="919">
        <f t="shared" si="0"/>
        <v>0</v>
      </c>
      <c r="G15" s="919">
        <f t="shared" si="1"/>
        <v>0</v>
      </c>
      <c r="H15" s="919">
        <f t="shared" si="5"/>
        <v>0</v>
      </c>
      <c r="I15" s="920">
        <f t="shared" si="6"/>
        <v>0</v>
      </c>
      <c r="J15" s="2198">
        <v>0</v>
      </c>
      <c r="K15" s="2198">
        <v>0</v>
      </c>
      <c r="L15" s="919">
        <v>0</v>
      </c>
      <c r="M15" s="919">
        <f t="shared" ref="M15:N15" si="22">IF(BT46&gt;0,1,0)</f>
        <v>1</v>
      </c>
      <c r="N15" s="919">
        <f t="shared" si="22"/>
        <v>1</v>
      </c>
      <c r="O15" s="920">
        <f t="shared" si="8"/>
        <v>1</v>
      </c>
      <c r="P15" s="920">
        <f t="shared" si="9"/>
        <v>0</v>
      </c>
      <c r="Q15" s="921">
        <f t="shared" si="10"/>
        <v>0</v>
      </c>
      <c r="R15" s="2172">
        <f t="shared" si="2"/>
        <v>0</v>
      </c>
      <c r="S15" s="2172"/>
      <c r="T15" s="2172"/>
      <c r="U15" s="2300"/>
      <c r="V15" s="2172">
        <f t="shared" si="3"/>
        <v>0</v>
      </c>
      <c r="W15" s="2269"/>
      <c r="X15" s="2172"/>
      <c r="Y15" s="2172"/>
      <c r="Z15" s="2172"/>
      <c r="AA15" s="2172"/>
      <c r="AB15" s="2172">
        <f t="shared" ref="AB15:AC15" si="23">IF(BG46&gt;0,1,0)</f>
        <v>0</v>
      </c>
      <c r="AC15" s="2172">
        <f t="shared" si="23"/>
        <v>0</v>
      </c>
      <c r="AD15" s="2172"/>
      <c r="AE15" s="2173">
        <f t="shared" si="4"/>
        <v>0</v>
      </c>
      <c r="AF15" s="2409">
        <v>1</v>
      </c>
    </row>
    <row r="16" spans="1:81" s="426" customFormat="1" ht="20.100000000000001" customHeight="1">
      <c r="A16" s="434">
        <v>7</v>
      </c>
      <c r="B16" s="435" t="s">
        <v>47</v>
      </c>
      <c r="C16" s="2164">
        <f t="shared" ref="C16:D16" si="24">C15+2</f>
        <v>15</v>
      </c>
      <c r="D16" s="2165">
        <f t="shared" si="24"/>
        <v>16</v>
      </c>
      <c r="E16" s="2166">
        <v>51</v>
      </c>
      <c r="F16" s="919">
        <f t="shared" si="0"/>
        <v>0</v>
      </c>
      <c r="G16" s="919">
        <f t="shared" si="1"/>
        <v>0</v>
      </c>
      <c r="H16" s="919">
        <f t="shared" si="5"/>
        <v>0</v>
      </c>
      <c r="I16" s="920">
        <f t="shared" si="6"/>
        <v>0</v>
      </c>
      <c r="J16" s="2198">
        <v>0</v>
      </c>
      <c r="K16" s="2198">
        <v>0</v>
      </c>
      <c r="L16" s="919">
        <v>0</v>
      </c>
      <c r="M16" s="919">
        <f t="shared" ref="M16:N16" si="25">IF(BT47&gt;0,1,0)</f>
        <v>0</v>
      </c>
      <c r="N16" s="919">
        <f t="shared" si="25"/>
        <v>0</v>
      </c>
      <c r="O16" s="920">
        <f t="shared" si="8"/>
        <v>0</v>
      </c>
      <c r="P16" s="920">
        <f t="shared" si="9"/>
        <v>0</v>
      </c>
      <c r="Q16" s="921">
        <f t="shared" si="10"/>
        <v>0</v>
      </c>
      <c r="R16" s="2172">
        <f t="shared" si="2"/>
        <v>0</v>
      </c>
      <c r="S16" s="2172"/>
      <c r="T16" s="2172"/>
      <c r="U16" s="2300"/>
      <c r="V16" s="2172">
        <f t="shared" si="3"/>
        <v>0</v>
      </c>
      <c r="W16" s="2269"/>
      <c r="X16" s="2172"/>
      <c r="Y16" s="2172"/>
      <c r="Z16" s="2172"/>
      <c r="AA16" s="2172"/>
      <c r="AB16" s="2172">
        <f t="shared" ref="AB16:AC16" si="26">IF(BG47&gt;0,1,0)</f>
        <v>0</v>
      </c>
      <c r="AC16" s="2172">
        <f t="shared" si="26"/>
        <v>0</v>
      </c>
      <c r="AD16" s="2172"/>
      <c r="AE16" s="2173">
        <f t="shared" si="4"/>
        <v>0</v>
      </c>
      <c r="AF16" s="2409">
        <v>1</v>
      </c>
    </row>
    <row r="17" spans="1:148" s="426" customFormat="1" ht="20.100000000000001" customHeight="1">
      <c r="A17" s="434">
        <v>8</v>
      </c>
      <c r="B17" s="435" t="s">
        <v>48</v>
      </c>
      <c r="C17" s="2164">
        <f t="shared" ref="C17:D17" si="27">C16+2</f>
        <v>17</v>
      </c>
      <c r="D17" s="2165">
        <f t="shared" si="27"/>
        <v>18</v>
      </c>
      <c r="E17" s="2166">
        <v>52</v>
      </c>
      <c r="F17" s="919">
        <f t="shared" si="0"/>
        <v>1</v>
      </c>
      <c r="G17" s="919">
        <f t="shared" si="1"/>
        <v>1</v>
      </c>
      <c r="H17" s="919">
        <f t="shared" si="5"/>
        <v>1</v>
      </c>
      <c r="I17" s="920">
        <f t="shared" si="6"/>
        <v>1</v>
      </c>
      <c r="J17" s="2198">
        <v>0</v>
      </c>
      <c r="K17" s="2198">
        <v>1</v>
      </c>
      <c r="L17" s="919">
        <v>4</v>
      </c>
      <c r="M17" s="919">
        <f t="shared" ref="M17:N17" si="28">IF(BT48&gt;0,1,0)</f>
        <v>0</v>
      </c>
      <c r="N17" s="919">
        <f t="shared" si="28"/>
        <v>1</v>
      </c>
      <c r="O17" s="920">
        <f t="shared" si="8"/>
        <v>1</v>
      </c>
      <c r="P17" s="920">
        <f t="shared" si="9"/>
        <v>1</v>
      </c>
      <c r="Q17" s="921">
        <f t="shared" si="10"/>
        <v>0</v>
      </c>
      <c r="R17" s="2172">
        <f t="shared" si="2"/>
        <v>1</v>
      </c>
      <c r="S17" s="2172">
        <v>1</v>
      </c>
      <c r="T17" s="2172">
        <v>1</v>
      </c>
      <c r="U17" s="2300"/>
      <c r="V17" s="2172">
        <f t="shared" si="3"/>
        <v>1</v>
      </c>
      <c r="W17" s="2269"/>
      <c r="X17" s="2172"/>
      <c r="Y17" s="2172"/>
      <c r="Z17" s="2172">
        <v>1</v>
      </c>
      <c r="AA17" s="2172">
        <v>1</v>
      </c>
      <c r="AB17" s="2172">
        <f t="shared" ref="AB17:AC17" si="29">IF(BG48&gt;0,1,0)</f>
        <v>0</v>
      </c>
      <c r="AC17" s="2172">
        <f t="shared" si="29"/>
        <v>0</v>
      </c>
      <c r="AD17" s="2172">
        <v>1</v>
      </c>
      <c r="AE17" s="2173">
        <f t="shared" si="4"/>
        <v>0</v>
      </c>
      <c r="AF17" s="2409">
        <v>1</v>
      </c>
    </row>
    <row r="18" spans="1:148" s="426" customFormat="1" ht="20.100000000000001" customHeight="1">
      <c r="A18" s="434">
        <v>9</v>
      </c>
      <c r="B18" s="435" t="s">
        <v>49</v>
      </c>
      <c r="C18" s="2164">
        <f t="shared" ref="C18:D18" si="30">C17+2</f>
        <v>19</v>
      </c>
      <c r="D18" s="2165">
        <f t="shared" si="30"/>
        <v>20</v>
      </c>
      <c r="E18" s="2166">
        <v>53</v>
      </c>
      <c r="F18" s="919">
        <f t="shared" si="0"/>
        <v>0</v>
      </c>
      <c r="G18" s="919">
        <f t="shared" si="1"/>
        <v>0</v>
      </c>
      <c r="H18" s="919">
        <f t="shared" si="5"/>
        <v>0</v>
      </c>
      <c r="I18" s="920">
        <f t="shared" si="6"/>
        <v>0</v>
      </c>
      <c r="J18" s="2198">
        <v>0</v>
      </c>
      <c r="K18" s="2198">
        <v>0</v>
      </c>
      <c r="L18" s="919">
        <v>0</v>
      </c>
      <c r="M18" s="919">
        <f t="shared" ref="M18:N18" si="31">IF(BT49&gt;0,1,0)</f>
        <v>0</v>
      </c>
      <c r="N18" s="919">
        <f t="shared" si="31"/>
        <v>0</v>
      </c>
      <c r="O18" s="920">
        <f t="shared" si="8"/>
        <v>1</v>
      </c>
      <c r="P18" s="920">
        <f t="shared" si="9"/>
        <v>0</v>
      </c>
      <c r="Q18" s="921">
        <f t="shared" si="10"/>
        <v>0</v>
      </c>
      <c r="R18" s="2172">
        <f t="shared" si="2"/>
        <v>0</v>
      </c>
      <c r="S18" s="2172"/>
      <c r="T18" s="2172"/>
      <c r="U18" s="2300"/>
      <c r="V18" s="2172">
        <f t="shared" si="3"/>
        <v>0</v>
      </c>
      <c r="W18" s="2269"/>
      <c r="X18" s="2172"/>
      <c r="Y18" s="2172"/>
      <c r="Z18" s="2172"/>
      <c r="AA18" s="2172"/>
      <c r="AB18" s="2172">
        <f t="shared" ref="AB18:AC18" si="32">IF(BG49&gt;0,1,0)</f>
        <v>0</v>
      </c>
      <c r="AC18" s="2172">
        <f t="shared" si="32"/>
        <v>0</v>
      </c>
      <c r="AD18" s="2172"/>
      <c r="AE18" s="2173">
        <f t="shared" si="4"/>
        <v>0</v>
      </c>
      <c r="AF18" s="2409">
        <v>1</v>
      </c>
    </row>
    <row r="19" spans="1:148" s="426" customFormat="1" ht="20.100000000000001" customHeight="1">
      <c r="A19" s="434">
        <v>10</v>
      </c>
      <c r="B19" s="435" t="s">
        <v>83</v>
      </c>
      <c r="C19" s="2164">
        <f t="shared" ref="C19:D19" si="33">C18+2</f>
        <v>21</v>
      </c>
      <c r="D19" s="2165">
        <f t="shared" si="33"/>
        <v>22</v>
      </c>
      <c r="E19" s="2166">
        <v>54</v>
      </c>
      <c r="F19" s="919">
        <f t="shared" si="0"/>
        <v>1</v>
      </c>
      <c r="G19" s="919">
        <f t="shared" si="1"/>
        <v>1</v>
      </c>
      <c r="H19" s="919">
        <f t="shared" si="5"/>
        <v>1</v>
      </c>
      <c r="I19" s="920">
        <f t="shared" si="6"/>
        <v>1</v>
      </c>
      <c r="J19" s="2198">
        <v>0</v>
      </c>
      <c r="K19" s="2198">
        <v>0</v>
      </c>
      <c r="L19" s="919">
        <v>0</v>
      </c>
      <c r="M19" s="919">
        <f t="shared" ref="M19:N19" si="34">IF(BT50&gt;0,1,0)</f>
        <v>1</v>
      </c>
      <c r="N19" s="919">
        <f t="shared" si="34"/>
        <v>0</v>
      </c>
      <c r="O19" s="920">
        <f t="shared" si="8"/>
        <v>0</v>
      </c>
      <c r="P19" s="920">
        <f t="shared" si="9"/>
        <v>1</v>
      </c>
      <c r="Q19" s="921">
        <f t="shared" si="10"/>
        <v>1</v>
      </c>
      <c r="R19" s="2172">
        <f t="shared" si="2"/>
        <v>1</v>
      </c>
      <c r="S19" s="2172"/>
      <c r="T19" s="2172">
        <v>1</v>
      </c>
      <c r="U19" s="2300"/>
      <c r="V19" s="2172">
        <f t="shared" si="3"/>
        <v>0</v>
      </c>
      <c r="W19" s="2269"/>
      <c r="X19" s="2172"/>
      <c r="Y19" s="2172"/>
      <c r="Z19" s="2172"/>
      <c r="AA19" s="2172"/>
      <c r="AB19" s="2172">
        <f t="shared" ref="AB19:AC19" si="35">IF(BG50&gt;0,1,0)</f>
        <v>1</v>
      </c>
      <c r="AC19" s="2172">
        <f t="shared" si="35"/>
        <v>1</v>
      </c>
      <c r="AD19" s="2172">
        <v>1</v>
      </c>
      <c r="AE19" s="2173">
        <f t="shared" si="4"/>
        <v>0</v>
      </c>
      <c r="AF19" s="2409">
        <v>1</v>
      </c>
    </row>
    <row r="20" spans="1:148" s="426" customFormat="1" ht="24.95" customHeight="1">
      <c r="A20" s="434">
        <v>11</v>
      </c>
      <c r="B20" s="435" t="s">
        <v>84</v>
      </c>
      <c r="C20" s="2164">
        <f t="shared" ref="C20:D20" si="36">C19+2</f>
        <v>23</v>
      </c>
      <c r="D20" s="2165">
        <f t="shared" si="36"/>
        <v>24</v>
      </c>
      <c r="E20" s="2166">
        <v>55</v>
      </c>
      <c r="F20" s="919">
        <f t="shared" si="0"/>
        <v>0</v>
      </c>
      <c r="G20" s="919">
        <f t="shared" si="1"/>
        <v>0</v>
      </c>
      <c r="H20" s="919">
        <f t="shared" si="5"/>
        <v>0</v>
      </c>
      <c r="I20" s="920">
        <f t="shared" si="6"/>
        <v>0</v>
      </c>
      <c r="J20" s="2198">
        <v>0</v>
      </c>
      <c r="K20" s="2198">
        <v>0</v>
      </c>
      <c r="L20" s="919">
        <v>0</v>
      </c>
      <c r="M20" s="919">
        <f t="shared" ref="M20:N20" si="37">IF(BT51&gt;0,1,0)</f>
        <v>1</v>
      </c>
      <c r="N20" s="919">
        <f t="shared" si="37"/>
        <v>0</v>
      </c>
      <c r="O20" s="920">
        <f t="shared" si="8"/>
        <v>0</v>
      </c>
      <c r="P20" s="920">
        <f t="shared" si="9"/>
        <v>0</v>
      </c>
      <c r="Q20" s="921">
        <f t="shared" si="10"/>
        <v>0</v>
      </c>
      <c r="R20" s="2172">
        <f t="shared" si="2"/>
        <v>0</v>
      </c>
      <c r="S20" s="2172"/>
      <c r="T20" s="2172"/>
      <c r="U20" s="2300"/>
      <c r="V20" s="2172">
        <f t="shared" si="3"/>
        <v>0</v>
      </c>
      <c r="W20" s="2269"/>
      <c r="X20" s="2172"/>
      <c r="Y20" s="2172"/>
      <c r="Z20" s="2172"/>
      <c r="AA20" s="2172"/>
      <c r="AB20" s="2172">
        <f t="shared" ref="AB20:AC20" si="38">IF(BG51&gt;0,1,0)</f>
        <v>0</v>
      </c>
      <c r="AC20" s="2172">
        <f t="shared" si="38"/>
        <v>0</v>
      </c>
      <c r="AD20" s="2172"/>
      <c r="AE20" s="2173">
        <f t="shared" si="4"/>
        <v>0</v>
      </c>
      <c r="AF20" s="2409">
        <v>0</v>
      </c>
    </row>
    <row r="21" spans="1:148" s="426" customFormat="1" ht="20.100000000000001" customHeight="1">
      <c r="A21" s="434">
        <v>12</v>
      </c>
      <c r="B21" s="435" t="s">
        <v>56</v>
      </c>
      <c r="C21" s="2164">
        <f t="shared" ref="C21:D21" si="39">C20+2</f>
        <v>25</v>
      </c>
      <c r="D21" s="2165">
        <f t="shared" si="39"/>
        <v>26</v>
      </c>
      <c r="E21" s="2166">
        <v>56</v>
      </c>
      <c r="F21" s="919">
        <f t="shared" si="0"/>
        <v>1</v>
      </c>
      <c r="G21" s="919">
        <f t="shared" si="1"/>
        <v>1</v>
      </c>
      <c r="H21" s="919">
        <f t="shared" si="5"/>
        <v>1</v>
      </c>
      <c r="I21" s="920">
        <f t="shared" si="6"/>
        <v>0</v>
      </c>
      <c r="J21" s="2198">
        <v>0</v>
      </c>
      <c r="K21" s="2198">
        <v>0</v>
      </c>
      <c r="L21" s="919">
        <v>0</v>
      </c>
      <c r="M21" s="919">
        <f t="shared" ref="M21:N21" si="40">IF(BT52&gt;0,1,0)</f>
        <v>0</v>
      </c>
      <c r="N21" s="919">
        <f t="shared" si="40"/>
        <v>1</v>
      </c>
      <c r="O21" s="920">
        <f t="shared" si="8"/>
        <v>0</v>
      </c>
      <c r="P21" s="920">
        <f t="shared" si="9"/>
        <v>0</v>
      </c>
      <c r="Q21" s="921">
        <f t="shared" si="10"/>
        <v>0</v>
      </c>
      <c r="R21" s="2172">
        <f t="shared" si="2"/>
        <v>0</v>
      </c>
      <c r="S21" s="2172"/>
      <c r="T21" s="2172"/>
      <c r="U21" s="2172">
        <v>1</v>
      </c>
      <c r="V21" s="2172">
        <f t="shared" si="3"/>
        <v>0</v>
      </c>
      <c r="W21" s="2269">
        <v>1</v>
      </c>
      <c r="X21" s="2172"/>
      <c r="Y21" s="2172"/>
      <c r="Z21" s="2172"/>
      <c r="AA21" s="2172"/>
      <c r="AB21" s="2172">
        <f t="shared" ref="AB21:AC21" si="41">IF(BG52&gt;0,1,0)</f>
        <v>0</v>
      </c>
      <c r="AC21" s="2172">
        <f t="shared" si="41"/>
        <v>0</v>
      </c>
      <c r="AD21" s="2172"/>
      <c r="AE21" s="2173">
        <f t="shared" si="4"/>
        <v>0</v>
      </c>
      <c r="AF21" s="2409">
        <v>1</v>
      </c>
    </row>
    <row r="22" spans="1:148" s="426" customFormat="1" ht="20.100000000000001" customHeight="1">
      <c r="A22" s="434">
        <v>13</v>
      </c>
      <c r="B22" s="435" t="s">
        <v>50</v>
      </c>
      <c r="C22" s="2164">
        <f t="shared" ref="C22:D22" si="42">C21+2</f>
        <v>27</v>
      </c>
      <c r="D22" s="2165">
        <f t="shared" si="42"/>
        <v>28</v>
      </c>
      <c r="E22" s="2166">
        <v>57</v>
      </c>
      <c r="F22" s="919">
        <f t="shared" si="0"/>
        <v>0</v>
      </c>
      <c r="G22" s="919">
        <f t="shared" si="1"/>
        <v>0</v>
      </c>
      <c r="H22" s="919">
        <f t="shared" si="5"/>
        <v>0</v>
      </c>
      <c r="I22" s="920">
        <f t="shared" si="6"/>
        <v>0</v>
      </c>
      <c r="J22" s="2198">
        <v>0</v>
      </c>
      <c r="K22" s="2198">
        <v>0</v>
      </c>
      <c r="L22" s="919">
        <v>0</v>
      </c>
      <c r="M22" s="919">
        <f t="shared" ref="M22:N22" si="43">IF(BT53&gt;0,1,0)</f>
        <v>1</v>
      </c>
      <c r="N22" s="919">
        <f t="shared" si="43"/>
        <v>1</v>
      </c>
      <c r="O22" s="920">
        <f t="shared" si="8"/>
        <v>1</v>
      </c>
      <c r="P22" s="920">
        <f t="shared" si="9"/>
        <v>0</v>
      </c>
      <c r="Q22" s="921">
        <f t="shared" si="10"/>
        <v>0</v>
      </c>
      <c r="R22" s="2172">
        <f t="shared" si="2"/>
        <v>0</v>
      </c>
      <c r="S22" s="2172"/>
      <c r="T22" s="2172"/>
      <c r="U22" s="2300"/>
      <c r="V22" s="2172">
        <f t="shared" si="3"/>
        <v>0</v>
      </c>
      <c r="W22" s="2269"/>
      <c r="X22" s="2172"/>
      <c r="Y22" s="2172"/>
      <c r="Z22" s="2172"/>
      <c r="AA22" s="2172"/>
      <c r="AB22" s="2172">
        <f t="shared" ref="AB22:AC22" si="44">IF(BG53&gt;0,1,0)</f>
        <v>0</v>
      </c>
      <c r="AC22" s="2172">
        <f t="shared" si="44"/>
        <v>0</v>
      </c>
      <c r="AD22" s="2172"/>
      <c r="AE22" s="2173">
        <f t="shared" si="4"/>
        <v>0</v>
      </c>
      <c r="AF22" s="2409">
        <v>1</v>
      </c>
    </row>
    <row r="23" spans="1:148" s="426" customFormat="1" ht="20.100000000000001" customHeight="1">
      <c r="A23" s="434">
        <v>14</v>
      </c>
      <c r="B23" s="385" t="s">
        <v>85</v>
      </c>
      <c r="C23" s="2164">
        <f t="shared" ref="C23:D23" si="45">C22+2</f>
        <v>29</v>
      </c>
      <c r="D23" s="2165">
        <f t="shared" si="45"/>
        <v>30</v>
      </c>
      <c r="E23" s="2166">
        <v>58</v>
      </c>
      <c r="F23" s="919">
        <f t="shared" si="0"/>
        <v>1</v>
      </c>
      <c r="G23" s="919">
        <f t="shared" si="1"/>
        <v>0</v>
      </c>
      <c r="H23" s="919">
        <f t="shared" si="5"/>
        <v>1</v>
      </c>
      <c r="I23" s="920">
        <f t="shared" si="6"/>
        <v>0</v>
      </c>
      <c r="J23" s="2198">
        <v>0</v>
      </c>
      <c r="K23" s="2198">
        <v>0</v>
      </c>
      <c r="L23" s="919">
        <v>0</v>
      </c>
      <c r="M23" s="919">
        <f t="shared" ref="M23:N23" si="46">IF(BT54&gt;0,1,0)</f>
        <v>0</v>
      </c>
      <c r="N23" s="919">
        <f t="shared" si="46"/>
        <v>0</v>
      </c>
      <c r="O23" s="920">
        <f t="shared" si="8"/>
        <v>1</v>
      </c>
      <c r="P23" s="920">
        <f t="shared" si="9"/>
        <v>0</v>
      </c>
      <c r="Q23" s="921">
        <f t="shared" si="10"/>
        <v>0</v>
      </c>
      <c r="R23" s="2172">
        <f t="shared" si="2"/>
        <v>0</v>
      </c>
      <c r="S23" s="2172"/>
      <c r="T23" s="2172">
        <v>1</v>
      </c>
      <c r="U23" s="2300"/>
      <c r="V23" s="2172">
        <f t="shared" si="3"/>
        <v>0</v>
      </c>
      <c r="W23" s="2269"/>
      <c r="X23" s="2172">
        <v>1</v>
      </c>
      <c r="Y23" s="2172"/>
      <c r="Z23" s="2172"/>
      <c r="AA23" s="2172"/>
      <c r="AB23" s="2172">
        <f t="shared" ref="AB23:AC23" si="47">IF(BG54&gt;0,1,0)</f>
        <v>0</v>
      </c>
      <c r="AC23" s="2172">
        <f t="shared" si="47"/>
        <v>0</v>
      </c>
      <c r="AD23" s="2172"/>
      <c r="AE23" s="2173">
        <f t="shared" si="4"/>
        <v>0</v>
      </c>
      <c r="AF23" s="2409">
        <v>1</v>
      </c>
    </row>
    <row r="24" spans="1:148" s="426" customFormat="1" ht="20.100000000000001" customHeight="1">
      <c r="A24" s="434">
        <v>15</v>
      </c>
      <c r="B24" s="435" t="s">
        <v>132</v>
      </c>
      <c r="C24" s="2164">
        <f t="shared" ref="C24:D24" si="48">C23+2</f>
        <v>31</v>
      </c>
      <c r="D24" s="2165">
        <f t="shared" si="48"/>
        <v>32</v>
      </c>
      <c r="E24" s="2166">
        <v>59</v>
      </c>
      <c r="F24" s="919">
        <f t="shared" si="0"/>
        <v>0</v>
      </c>
      <c r="G24" s="919">
        <f t="shared" si="1"/>
        <v>0</v>
      </c>
      <c r="H24" s="919">
        <f t="shared" si="5"/>
        <v>0</v>
      </c>
      <c r="I24" s="920">
        <f t="shared" si="6"/>
        <v>0</v>
      </c>
      <c r="J24" s="2198">
        <v>0</v>
      </c>
      <c r="K24" s="2198">
        <v>0</v>
      </c>
      <c r="L24" s="919">
        <v>0</v>
      </c>
      <c r="M24" s="919">
        <f t="shared" ref="M24:N24" si="49">IF(BT55&gt;0,1,0)</f>
        <v>0</v>
      </c>
      <c r="N24" s="919">
        <f t="shared" si="49"/>
        <v>0</v>
      </c>
      <c r="O24" s="920">
        <f t="shared" si="8"/>
        <v>1</v>
      </c>
      <c r="P24" s="920">
        <f t="shared" si="9"/>
        <v>0</v>
      </c>
      <c r="Q24" s="921">
        <f t="shared" si="10"/>
        <v>1</v>
      </c>
      <c r="R24" s="2172">
        <f t="shared" si="2"/>
        <v>0</v>
      </c>
      <c r="S24" s="2172"/>
      <c r="T24" s="2172"/>
      <c r="U24" s="2300"/>
      <c r="V24" s="2172">
        <f t="shared" si="3"/>
        <v>0</v>
      </c>
      <c r="W24" s="2269"/>
      <c r="X24" s="2172"/>
      <c r="Y24" s="2172"/>
      <c r="Z24" s="2172"/>
      <c r="AA24" s="2172"/>
      <c r="AB24" s="2172">
        <f t="shared" ref="AB24:AC24" si="50">IF(BG55&gt;0,1,0)</f>
        <v>0</v>
      </c>
      <c r="AC24" s="2172">
        <f t="shared" si="50"/>
        <v>0</v>
      </c>
      <c r="AD24" s="2172"/>
      <c r="AE24" s="2173">
        <f t="shared" si="4"/>
        <v>0</v>
      </c>
      <c r="AF24" s="2409">
        <v>1</v>
      </c>
    </row>
    <row r="25" spans="1:148" s="426" customFormat="1" ht="24.95" customHeight="1">
      <c r="A25" s="434">
        <v>16</v>
      </c>
      <c r="B25" s="435" t="s">
        <v>51</v>
      </c>
      <c r="C25" s="2164">
        <f t="shared" ref="C25:D25" si="51">C24+2</f>
        <v>33</v>
      </c>
      <c r="D25" s="2165">
        <f t="shared" si="51"/>
        <v>34</v>
      </c>
      <c r="E25" s="2166">
        <v>60</v>
      </c>
      <c r="F25" s="919">
        <f t="shared" si="0"/>
        <v>0</v>
      </c>
      <c r="G25" s="919">
        <f t="shared" si="1"/>
        <v>0</v>
      </c>
      <c r="H25" s="919">
        <f t="shared" si="5"/>
        <v>0</v>
      </c>
      <c r="I25" s="920">
        <f t="shared" si="6"/>
        <v>0</v>
      </c>
      <c r="J25" s="2198">
        <v>0</v>
      </c>
      <c r="K25" s="2198">
        <v>0</v>
      </c>
      <c r="L25" s="919">
        <v>5</v>
      </c>
      <c r="M25" s="919">
        <f t="shared" ref="M25:N25" si="52">IF(BT56&gt;0,1,0)</f>
        <v>0</v>
      </c>
      <c r="N25" s="919">
        <f t="shared" si="52"/>
        <v>0</v>
      </c>
      <c r="O25" s="920">
        <f t="shared" si="8"/>
        <v>0</v>
      </c>
      <c r="P25" s="920">
        <f t="shared" si="9"/>
        <v>0</v>
      </c>
      <c r="Q25" s="921">
        <f t="shared" si="10"/>
        <v>0</v>
      </c>
      <c r="R25" s="2172">
        <f t="shared" si="2"/>
        <v>0</v>
      </c>
      <c r="S25" s="2172"/>
      <c r="T25" s="2172"/>
      <c r="U25" s="2300"/>
      <c r="V25" s="2172">
        <f t="shared" si="3"/>
        <v>0</v>
      </c>
      <c r="W25" s="2269"/>
      <c r="X25" s="2172"/>
      <c r="Y25" s="2172"/>
      <c r="Z25" s="2172"/>
      <c r="AA25" s="2172"/>
      <c r="AB25" s="2172">
        <f t="shared" ref="AB25:AC25" si="53">IF(BG56&gt;0,1,0)</f>
        <v>0</v>
      </c>
      <c r="AC25" s="2172">
        <f t="shared" si="53"/>
        <v>0</v>
      </c>
      <c r="AD25" s="2172"/>
      <c r="AE25" s="2173">
        <f t="shared" si="4"/>
        <v>0</v>
      </c>
      <c r="AF25" s="2409">
        <v>1</v>
      </c>
    </row>
    <row r="26" spans="1:148" s="426" customFormat="1" ht="20.100000000000001" customHeight="1">
      <c r="A26" s="434">
        <v>17</v>
      </c>
      <c r="B26" s="435" t="s">
        <v>52</v>
      </c>
      <c r="C26" s="2164">
        <f t="shared" ref="C26:D26" si="54">C25+2</f>
        <v>35</v>
      </c>
      <c r="D26" s="2165">
        <f t="shared" si="54"/>
        <v>36</v>
      </c>
      <c r="E26" s="2166">
        <v>61</v>
      </c>
      <c r="F26" s="919">
        <f t="shared" si="0"/>
        <v>1</v>
      </c>
      <c r="G26" s="919">
        <f t="shared" si="1"/>
        <v>1</v>
      </c>
      <c r="H26" s="919">
        <f t="shared" si="5"/>
        <v>0</v>
      </c>
      <c r="I26" s="920">
        <f t="shared" si="6"/>
        <v>1</v>
      </c>
      <c r="J26" s="2198">
        <v>1</v>
      </c>
      <c r="K26" s="2198">
        <v>0</v>
      </c>
      <c r="L26" s="919">
        <v>0</v>
      </c>
      <c r="M26" s="919">
        <f t="shared" ref="M26:N26" si="55">IF(BT57&gt;0,1,0)</f>
        <v>1</v>
      </c>
      <c r="N26" s="919">
        <f t="shared" si="55"/>
        <v>1</v>
      </c>
      <c r="O26" s="920">
        <f t="shared" si="8"/>
        <v>1</v>
      </c>
      <c r="P26" s="920">
        <f t="shared" si="9"/>
        <v>0</v>
      </c>
      <c r="Q26" s="921">
        <f t="shared" si="10"/>
        <v>0</v>
      </c>
      <c r="R26" s="2172">
        <f t="shared" si="2"/>
        <v>0</v>
      </c>
      <c r="S26" s="2172"/>
      <c r="T26" s="2172"/>
      <c r="U26" s="2300"/>
      <c r="V26" s="2172">
        <f t="shared" si="3"/>
        <v>1</v>
      </c>
      <c r="W26" s="2269"/>
      <c r="X26" s="2172"/>
      <c r="Y26" s="2172"/>
      <c r="Z26" s="2172"/>
      <c r="AA26" s="2172">
        <v>1</v>
      </c>
      <c r="AB26" s="2172">
        <f t="shared" ref="AB26:AC26" si="56">IF(BG57&gt;0,1,0)</f>
        <v>1</v>
      </c>
      <c r="AC26" s="2172">
        <f t="shared" si="56"/>
        <v>0</v>
      </c>
      <c r="AD26" s="2172">
        <v>1</v>
      </c>
      <c r="AE26" s="2173">
        <f t="shared" si="4"/>
        <v>0</v>
      </c>
      <c r="AF26" s="2409">
        <v>1</v>
      </c>
    </row>
    <row r="27" spans="1:148" s="426" customFormat="1" ht="20.100000000000001" customHeight="1">
      <c r="A27" s="434">
        <v>18</v>
      </c>
      <c r="B27" s="435" t="s">
        <v>53</v>
      </c>
      <c r="C27" s="2164">
        <f t="shared" ref="C27:D27" si="57">C26+2</f>
        <v>37</v>
      </c>
      <c r="D27" s="2165">
        <f t="shared" si="57"/>
        <v>38</v>
      </c>
      <c r="E27" s="2166">
        <v>62</v>
      </c>
      <c r="F27" s="919">
        <f t="shared" si="0"/>
        <v>1</v>
      </c>
      <c r="G27" s="919">
        <f t="shared" si="1"/>
        <v>1</v>
      </c>
      <c r="H27" s="919">
        <f t="shared" si="5"/>
        <v>1</v>
      </c>
      <c r="I27" s="920">
        <f t="shared" si="6"/>
        <v>1</v>
      </c>
      <c r="J27" s="2198">
        <v>0</v>
      </c>
      <c r="K27" s="2198">
        <v>0</v>
      </c>
      <c r="L27" s="919">
        <v>0</v>
      </c>
      <c r="M27" s="919">
        <f t="shared" ref="M27:N27" si="58">IF(BT58&gt;0,1,0)</f>
        <v>0</v>
      </c>
      <c r="N27" s="919">
        <f t="shared" si="58"/>
        <v>0</v>
      </c>
      <c r="O27" s="920">
        <f t="shared" si="8"/>
        <v>0</v>
      </c>
      <c r="P27" s="920">
        <f t="shared" si="9"/>
        <v>1</v>
      </c>
      <c r="Q27" s="921">
        <f t="shared" si="10"/>
        <v>0</v>
      </c>
      <c r="R27" s="2172">
        <f t="shared" si="2"/>
        <v>1</v>
      </c>
      <c r="S27" s="2172"/>
      <c r="T27" s="2172">
        <v>1</v>
      </c>
      <c r="U27" s="2300">
        <v>1</v>
      </c>
      <c r="V27" s="2172">
        <f t="shared" si="3"/>
        <v>1</v>
      </c>
      <c r="W27" s="2269"/>
      <c r="X27" s="2172"/>
      <c r="Y27" s="2172"/>
      <c r="Z27" s="2172"/>
      <c r="AA27" s="2172">
        <v>1</v>
      </c>
      <c r="AB27" s="2172">
        <f t="shared" ref="AB27:AC27" si="59">IF(BG58&gt;0,1,0)</f>
        <v>0</v>
      </c>
      <c r="AC27" s="2172">
        <f t="shared" si="59"/>
        <v>0</v>
      </c>
      <c r="AD27" s="2172">
        <v>1</v>
      </c>
      <c r="AE27" s="2173">
        <f t="shared" si="4"/>
        <v>0</v>
      </c>
      <c r="AF27" s="2409">
        <v>1</v>
      </c>
    </row>
    <row r="28" spans="1:148" s="426" customFormat="1" ht="20.100000000000001" customHeight="1">
      <c r="A28" s="434">
        <v>19</v>
      </c>
      <c r="B28" s="435" t="s">
        <v>57</v>
      </c>
      <c r="C28" s="2164">
        <f t="shared" ref="C28:D28" si="60">C27+2</f>
        <v>39</v>
      </c>
      <c r="D28" s="2165">
        <f t="shared" si="60"/>
        <v>40</v>
      </c>
      <c r="E28" s="2166">
        <v>63</v>
      </c>
      <c r="F28" s="919">
        <f t="shared" si="0"/>
        <v>1</v>
      </c>
      <c r="G28" s="919">
        <f t="shared" si="1"/>
        <v>1</v>
      </c>
      <c r="H28" s="919">
        <f t="shared" si="5"/>
        <v>1</v>
      </c>
      <c r="I28" s="920">
        <f t="shared" si="6"/>
        <v>1</v>
      </c>
      <c r="J28" s="2198">
        <v>0</v>
      </c>
      <c r="K28" s="2198">
        <v>0</v>
      </c>
      <c r="L28" s="919">
        <v>0</v>
      </c>
      <c r="M28" s="919">
        <f t="shared" ref="M28:N28" si="61">IF(BT59&gt;0,1,0)</f>
        <v>1</v>
      </c>
      <c r="N28" s="919">
        <f t="shared" si="61"/>
        <v>0</v>
      </c>
      <c r="O28" s="920">
        <f t="shared" si="8"/>
        <v>1</v>
      </c>
      <c r="P28" s="920">
        <f t="shared" si="9"/>
        <v>1</v>
      </c>
      <c r="Q28" s="921">
        <f t="shared" si="10"/>
        <v>0</v>
      </c>
      <c r="R28" s="2172">
        <f t="shared" si="2"/>
        <v>1</v>
      </c>
      <c r="S28" s="2172"/>
      <c r="T28" s="2172">
        <v>1</v>
      </c>
      <c r="U28" s="2300"/>
      <c r="V28" s="2172">
        <f t="shared" si="3"/>
        <v>1</v>
      </c>
      <c r="W28" s="2269"/>
      <c r="X28" s="2172"/>
      <c r="Y28" s="2172"/>
      <c r="Z28" s="2172"/>
      <c r="AA28" s="2172"/>
      <c r="AB28" s="2172">
        <f t="shared" ref="AB28:AC28" si="62">IF(BG59&gt;0,1,0)</f>
        <v>0</v>
      </c>
      <c r="AC28" s="2172">
        <f t="shared" si="62"/>
        <v>0</v>
      </c>
      <c r="AD28" s="2172">
        <v>1</v>
      </c>
      <c r="AE28" s="2173">
        <f t="shared" si="4"/>
        <v>0</v>
      </c>
      <c r="AF28" s="2409">
        <v>1</v>
      </c>
    </row>
    <row r="29" spans="1:148" s="426" customFormat="1" ht="24.95" customHeight="1" thickBot="1">
      <c r="A29" s="436">
        <v>21</v>
      </c>
      <c r="B29" s="437" t="s">
        <v>150</v>
      </c>
      <c r="C29" s="2167">
        <f>C28+4</f>
        <v>43</v>
      </c>
      <c r="D29" s="441">
        <f>D28+4</f>
        <v>44</v>
      </c>
      <c r="E29" s="535">
        <v>65</v>
      </c>
      <c r="F29" s="519"/>
      <c r="G29" s="438"/>
      <c r="H29" s="438"/>
      <c r="I29" s="439"/>
      <c r="J29" s="439"/>
      <c r="K29" s="439"/>
      <c r="L29" s="438"/>
      <c r="M29" s="438"/>
      <c r="N29" s="438"/>
      <c r="O29" s="440"/>
      <c r="P29" s="440"/>
      <c r="Q29" s="522"/>
      <c r="R29" s="2174"/>
      <c r="S29" s="2174"/>
      <c r="T29" s="2174"/>
      <c r="U29" s="2301"/>
      <c r="V29" s="2174"/>
      <c r="W29" s="2270"/>
      <c r="X29" s="2174"/>
      <c r="Y29" s="2174"/>
      <c r="Z29" s="2174"/>
      <c r="AA29" s="2174"/>
      <c r="AB29" s="2174"/>
      <c r="AC29" s="2174"/>
      <c r="AD29" s="2174"/>
      <c r="AE29" s="2175"/>
      <c r="AF29" s="2408"/>
    </row>
    <row r="32" spans="1:148" ht="24.95" customHeight="1">
      <c r="AH32" s="1535" t="s">
        <v>372</v>
      </c>
      <c r="AI32" s="1536"/>
      <c r="AJ32" s="1536"/>
      <c r="AK32" s="1536"/>
      <c r="AL32" s="1536"/>
      <c r="AM32" s="1536"/>
      <c r="AN32" s="1537"/>
      <c r="AO32" s="1537"/>
      <c r="AP32" s="1538"/>
      <c r="AQ32" s="1539"/>
      <c r="AR32" s="1538"/>
      <c r="AS32" s="1539"/>
      <c r="AT32" s="1539"/>
      <c r="AU32" s="1539"/>
      <c r="AV32" s="1539"/>
      <c r="AW32" s="1539"/>
      <c r="AX32" s="1539"/>
      <c r="AY32" s="1539"/>
      <c r="AZ32" s="1539"/>
      <c r="BA32" s="1539"/>
      <c r="BB32" s="1539"/>
      <c r="BC32" s="1539"/>
      <c r="BD32" s="1539"/>
      <c r="BE32" s="1539"/>
      <c r="BF32" s="1539"/>
      <c r="BG32" s="1539"/>
      <c r="BH32" s="1539"/>
      <c r="BI32" s="1539"/>
      <c r="BJ32" s="1539"/>
      <c r="BK32" s="1539"/>
      <c r="BL32" s="1539"/>
      <c r="BM32" s="1539"/>
      <c r="BN32" s="1539"/>
      <c r="BO32" s="1539"/>
      <c r="BP32" s="1539"/>
      <c r="BQ32" s="2435"/>
      <c r="BR32" s="2435"/>
      <c r="BS32" s="2435"/>
      <c r="BT32" s="2435"/>
      <c r="BU32" s="2435"/>
      <c r="BV32" s="2435"/>
      <c r="BW32" s="2435"/>
      <c r="BX32" s="2435"/>
      <c r="BY32" s="2435"/>
      <c r="BZ32" s="2435"/>
      <c r="CA32" s="2435"/>
      <c r="CB32" s="2435"/>
      <c r="CC32" s="2435"/>
      <c r="CD32" s="2435"/>
      <c r="CE32" s="2435"/>
      <c r="CF32" s="1538"/>
      <c r="CG32" s="1538"/>
      <c r="CH32" s="1538"/>
      <c r="CI32" s="1538"/>
      <c r="CJ32" s="1538"/>
      <c r="CK32" s="1538"/>
      <c r="CL32" s="1538"/>
      <c r="CM32" s="1538"/>
      <c r="CN32" s="1538"/>
      <c r="CO32" s="1538"/>
      <c r="CP32" s="1538"/>
      <c r="CQ32" s="1538"/>
      <c r="CR32" s="1538"/>
      <c r="CS32" s="1538"/>
      <c r="CT32" s="1538"/>
      <c r="CU32" s="1538"/>
      <c r="CV32" s="1538"/>
      <c r="CW32" s="1538"/>
      <c r="CX32" s="1538"/>
      <c r="CY32" s="1540"/>
      <c r="CZ32" s="1540"/>
      <c r="DA32" s="1540"/>
      <c r="DB32" s="1540"/>
      <c r="DC32" s="1540"/>
      <c r="DD32" s="1540"/>
      <c r="DE32" s="1540"/>
      <c r="DF32" s="1540"/>
      <c r="DG32" s="1540"/>
      <c r="DH32" s="1540"/>
      <c r="DI32" s="1540"/>
      <c r="DJ32" s="1540"/>
      <c r="DK32" s="1540"/>
      <c r="DL32" s="1540"/>
      <c r="DM32" s="1540"/>
      <c r="DN32" s="1540"/>
      <c r="DO32" s="1540"/>
      <c r="DP32" s="1540"/>
      <c r="DQ32" s="1540"/>
      <c r="DR32" s="1540"/>
      <c r="DS32" s="1540"/>
      <c r="DT32" s="1540"/>
      <c r="DU32" s="1540"/>
      <c r="DV32" s="1540"/>
      <c r="DW32" s="1540"/>
      <c r="DX32" s="1540"/>
      <c r="DY32" s="1540"/>
      <c r="DZ32" s="1540"/>
      <c r="EA32" s="1540"/>
      <c r="EB32" s="1540"/>
      <c r="EC32" s="1540"/>
      <c r="ED32" s="1540"/>
      <c r="EE32" s="1540"/>
      <c r="EF32" s="1540"/>
      <c r="EG32" s="1540"/>
      <c r="EH32" s="1540"/>
      <c r="EI32" s="1540"/>
      <c r="EJ32" s="1540"/>
      <c r="EK32" s="1540"/>
      <c r="EL32" s="1540"/>
      <c r="EM32" s="1540"/>
      <c r="EN32" s="1540"/>
      <c r="EO32" s="1540"/>
      <c r="EP32" s="1540"/>
      <c r="EQ32" s="1540"/>
      <c r="ER32" s="1540"/>
    </row>
    <row r="33" spans="34:102" s="1546" customFormat="1" ht="24.95" customHeight="1">
      <c r="AH33" s="1541" t="s">
        <v>373</v>
      </c>
      <c r="AI33" s="1542"/>
      <c r="AJ33" s="1543"/>
      <c r="AK33" s="1543"/>
      <c r="AL33" s="1543"/>
      <c r="AM33" s="1543"/>
      <c r="AN33" s="1543"/>
      <c r="AO33" s="1543"/>
      <c r="AP33" s="1543"/>
      <c r="AQ33" s="1543"/>
      <c r="AR33" s="1543"/>
      <c r="AS33" s="1543"/>
      <c r="AT33" s="1543"/>
      <c r="AU33" s="1543"/>
      <c r="AV33" s="1543"/>
      <c r="AW33" s="1543"/>
      <c r="AX33" s="1543"/>
      <c r="AY33" s="1543"/>
      <c r="AZ33" s="1543"/>
      <c r="BA33" s="1543"/>
      <c r="BB33" s="1543"/>
      <c r="BC33" s="1543"/>
      <c r="BD33" s="1543"/>
      <c r="BE33" s="1543"/>
      <c r="BF33" s="1543"/>
      <c r="BG33" s="1543"/>
      <c r="BH33" s="1543"/>
      <c r="BI33" s="1543"/>
      <c r="BJ33" s="1543"/>
      <c r="BK33" s="1543"/>
      <c r="BL33" s="1543"/>
      <c r="BM33" s="1543"/>
      <c r="BN33" s="1543"/>
      <c r="BO33" s="1543"/>
      <c r="BP33" s="1543"/>
      <c r="BQ33" s="1543"/>
      <c r="BR33" s="1543"/>
      <c r="BS33" s="1543"/>
      <c r="BT33" s="1543"/>
      <c r="BU33" s="1543"/>
      <c r="BV33" s="1543"/>
      <c r="BW33" s="1544"/>
      <c r="BX33" s="1544"/>
      <c r="BY33" s="1544"/>
      <c r="BZ33" s="1544"/>
      <c r="CA33" s="1544"/>
      <c r="CB33" s="1542"/>
      <c r="CC33" s="1542"/>
      <c r="CD33" s="1545"/>
      <c r="CE33" s="2436"/>
      <c r="CF33" s="2436"/>
      <c r="CG33" s="2436"/>
      <c r="CH33" s="2436"/>
      <c r="CI33" s="2436"/>
      <c r="CJ33" s="2436"/>
      <c r="CK33" s="2436"/>
      <c r="CL33" s="2436"/>
      <c r="CM33" s="2436"/>
      <c r="CN33" s="2436"/>
      <c r="CO33" s="2436"/>
      <c r="CP33" s="2436"/>
      <c r="CQ33" s="2436"/>
      <c r="CR33" s="2436"/>
      <c r="CS33" s="2436"/>
      <c r="CT33" s="2436"/>
      <c r="CU33" s="2436"/>
      <c r="CV33" s="1543"/>
      <c r="CW33" s="1543"/>
      <c r="CX33" s="1543"/>
    </row>
    <row r="34" spans="34:102" s="1550" customFormat="1" ht="9.9499999999999993" customHeight="1" thickBot="1">
      <c r="AH34" s="1547"/>
      <c r="AI34" s="1547"/>
      <c r="AJ34" s="1547"/>
      <c r="AK34" s="1547"/>
      <c r="AL34" s="1547"/>
      <c r="AM34" s="1547"/>
      <c r="AN34" s="1547"/>
      <c r="AO34" s="1547"/>
      <c r="AP34" s="1547"/>
      <c r="AQ34" s="1547"/>
      <c r="AR34" s="1547"/>
      <c r="AS34" s="1547"/>
      <c r="AT34" s="1547"/>
      <c r="AU34" s="1547"/>
      <c r="AV34" s="1547"/>
      <c r="AW34" s="1547"/>
      <c r="AX34" s="1547"/>
      <c r="AY34" s="1547"/>
      <c r="AZ34" s="1547"/>
      <c r="BA34" s="1547"/>
      <c r="BB34" s="1547"/>
      <c r="BC34" s="1547"/>
      <c r="BD34" s="1547"/>
      <c r="BE34" s="1547"/>
      <c r="BF34" s="1547"/>
      <c r="BG34" s="1547"/>
      <c r="BH34" s="1547"/>
      <c r="BI34" s="1547"/>
      <c r="BJ34" s="1547"/>
      <c r="BK34" s="1548"/>
      <c r="BL34" s="1548"/>
      <c r="BM34" s="1547"/>
      <c r="BN34" s="1547"/>
      <c r="BO34" s="1547"/>
      <c r="BP34" s="1547"/>
      <c r="BQ34" s="1547"/>
      <c r="BR34" s="1547"/>
      <c r="BS34" s="1547"/>
      <c r="BT34" s="1547"/>
      <c r="BU34" s="1547"/>
      <c r="BV34" s="1547"/>
      <c r="BW34" s="1548"/>
      <c r="BX34" s="1548"/>
      <c r="BY34" s="1548"/>
      <c r="BZ34" s="1548"/>
      <c r="CA34" s="1548"/>
      <c r="CB34" s="1547"/>
      <c r="CC34" s="1547"/>
      <c r="CD34" s="1547"/>
      <c r="CE34" s="1549"/>
      <c r="CF34" s="1549"/>
      <c r="CG34" s="1549"/>
      <c r="CH34" s="1549"/>
      <c r="CI34" s="1549"/>
      <c r="CJ34" s="1549"/>
      <c r="CK34" s="1549"/>
      <c r="CL34" s="1549"/>
      <c r="CM34" s="1549"/>
      <c r="CN34" s="1549"/>
      <c r="CO34" s="1549"/>
      <c r="CP34" s="1549"/>
      <c r="CQ34" s="1549"/>
      <c r="CR34" s="1549"/>
      <c r="CS34" s="1549"/>
      <c r="CT34" s="1549"/>
      <c r="CU34" s="1549"/>
      <c r="CV34" s="1549"/>
      <c r="CW34" s="1549"/>
      <c r="CX34" s="1549"/>
    </row>
    <row r="35" spans="34:102" s="1550" customFormat="1" ht="30" customHeight="1">
      <c r="AH35" s="1551"/>
      <c r="AI35" s="1552"/>
      <c r="AJ35" s="2748" t="s">
        <v>374</v>
      </c>
      <c r="AK35" s="2749"/>
      <c r="AL35" s="2749"/>
      <c r="AM35" s="2749"/>
      <c r="AN35" s="2749"/>
      <c r="AO35" s="2749"/>
      <c r="AP35" s="2749"/>
      <c r="AQ35" s="2749"/>
      <c r="AR35" s="2749"/>
      <c r="AS35" s="2749"/>
      <c r="AT35" s="2749"/>
      <c r="AU35" s="2749"/>
      <c r="AV35" s="2749"/>
      <c r="AW35" s="2749"/>
      <c r="AX35" s="2749"/>
      <c r="AY35" s="2749"/>
      <c r="AZ35" s="2749"/>
      <c r="BA35" s="2749"/>
      <c r="BB35" s="2749"/>
      <c r="BC35" s="2749"/>
      <c r="BD35" s="2749"/>
      <c r="BE35" s="2749"/>
      <c r="BF35" s="2749"/>
      <c r="BG35" s="2749"/>
      <c r="BH35" s="2749"/>
      <c r="BI35" s="2749"/>
      <c r="BJ35" s="2750"/>
      <c r="BK35" s="2748" t="s">
        <v>375</v>
      </c>
      <c r="BL35" s="2749"/>
      <c r="BM35" s="2749"/>
      <c r="BN35" s="2749"/>
      <c r="BO35" s="2749"/>
      <c r="BP35" s="2750"/>
      <c r="BQ35" s="2748" t="s">
        <v>264</v>
      </c>
      <c r="BR35" s="2749"/>
      <c r="BS35" s="2749"/>
      <c r="BT35" s="2749"/>
      <c r="BU35" s="2749"/>
      <c r="BV35" s="2749"/>
      <c r="BW35" s="2749"/>
      <c r="BX35" s="2749"/>
      <c r="BY35" s="2749"/>
      <c r="BZ35" s="2749"/>
      <c r="CA35" s="2749"/>
      <c r="CB35" s="2749"/>
      <c r="CC35" s="2749"/>
      <c r="CD35" s="2750"/>
      <c r="CE35" s="1553"/>
      <c r="CF35" s="1554"/>
      <c r="CG35" s="1554"/>
      <c r="CH35" s="1554"/>
      <c r="CI35" s="1554"/>
      <c r="CJ35" s="1554"/>
      <c r="CK35" s="1554"/>
      <c r="CL35" s="1554"/>
      <c r="CM35" s="1554"/>
      <c r="CN35" s="1549"/>
      <c r="CO35" s="1549"/>
      <c r="CP35" s="1549"/>
      <c r="CQ35" s="1549"/>
      <c r="CR35" s="1549"/>
      <c r="CS35" s="1549"/>
      <c r="CT35" s="1549"/>
      <c r="CU35" s="1549"/>
      <c r="CV35" s="1549"/>
      <c r="CW35" s="1549"/>
      <c r="CX35" s="1549"/>
    </row>
    <row r="36" spans="34:102" s="1550" customFormat="1" ht="45" customHeight="1">
      <c r="AH36" s="1555"/>
      <c r="AI36" s="1556"/>
      <c r="AJ36" s="2758" t="s">
        <v>376</v>
      </c>
      <c r="AK36" s="2759"/>
      <c r="AL36" s="2760" t="s">
        <v>210</v>
      </c>
      <c r="AM36" s="2761"/>
      <c r="AN36" s="2762"/>
      <c r="AO36" s="2763" t="s">
        <v>377</v>
      </c>
      <c r="AP36" s="2764"/>
      <c r="AQ36" s="2764"/>
      <c r="AR36" s="2764"/>
      <c r="AS36" s="2764"/>
      <c r="AT36" s="2765"/>
      <c r="AU36" s="2758" t="s">
        <v>378</v>
      </c>
      <c r="AV36" s="2766"/>
      <c r="AW36" s="2766"/>
      <c r="AX36" s="2766"/>
      <c r="AY36" s="2766"/>
      <c r="AZ36" s="2766"/>
      <c r="BA36" s="2766"/>
      <c r="BB36" s="2766"/>
      <c r="BC36" s="2766"/>
      <c r="BD36" s="2766"/>
      <c r="BE36" s="2766"/>
      <c r="BF36" s="2766"/>
      <c r="BG36" s="2766"/>
      <c r="BH36" s="2766"/>
      <c r="BI36" s="2766"/>
      <c r="BJ36" s="2759"/>
      <c r="BK36" s="2767" t="s">
        <v>379</v>
      </c>
      <c r="BL36" s="2769" t="s">
        <v>380</v>
      </c>
      <c r="BM36" s="2764"/>
      <c r="BN36" s="2764"/>
      <c r="BO36" s="2764"/>
      <c r="BP36" s="2765"/>
      <c r="BQ36" s="2429" t="s">
        <v>361</v>
      </c>
      <c r="BR36" s="1557" t="s">
        <v>268</v>
      </c>
      <c r="BS36" s="1558" t="s">
        <v>127</v>
      </c>
      <c r="BT36" s="2770" t="s">
        <v>266</v>
      </c>
      <c r="BU36" s="2771"/>
      <c r="BV36" s="2772" t="s">
        <v>267</v>
      </c>
      <c r="BW36" s="2766"/>
      <c r="BX36" s="2766"/>
      <c r="BY36" s="2766"/>
      <c r="BZ36" s="2766"/>
      <c r="CA36" s="2766"/>
      <c r="CB36" s="2766"/>
      <c r="CC36" s="2766"/>
      <c r="CD36" s="2759"/>
      <c r="CE36" s="1553"/>
      <c r="CF36" s="1559"/>
      <c r="CG36" s="1553"/>
      <c r="CH36" s="1553"/>
      <c r="CI36" s="1553"/>
      <c r="CJ36" s="1553"/>
      <c r="CK36" s="1553"/>
      <c r="CL36" s="1553"/>
      <c r="CM36" s="1553"/>
      <c r="CN36" s="1553"/>
      <c r="CO36" s="1553"/>
      <c r="CP36" s="1553"/>
      <c r="CQ36" s="1559"/>
      <c r="CR36" s="1559"/>
      <c r="CS36" s="1559"/>
      <c r="CT36" s="1559"/>
      <c r="CU36" s="409"/>
      <c r="CV36" s="409"/>
      <c r="CW36" s="1549"/>
      <c r="CX36" s="1549"/>
    </row>
    <row r="37" spans="34:102" s="1550" customFormat="1" ht="45" customHeight="1">
      <c r="AH37" s="2779" t="s">
        <v>86</v>
      </c>
      <c r="AI37" s="2780"/>
      <c r="AJ37" s="2781" t="s">
        <v>265</v>
      </c>
      <c r="AK37" s="1560" t="s">
        <v>222</v>
      </c>
      <c r="AL37" s="1561" t="s">
        <v>211</v>
      </c>
      <c r="AM37" s="1562" t="s">
        <v>212</v>
      </c>
      <c r="AN37" s="1563" t="s">
        <v>245</v>
      </c>
      <c r="AO37" s="2783" t="s">
        <v>206</v>
      </c>
      <c r="AP37" s="2785" t="s">
        <v>207</v>
      </c>
      <c r="AQ37" s="2787" t="s">
        <v>381</v>
      </c>
      <c r="AR37" s="2788"/>
      <c r="AS37" s="2789"/>
      <c r="AT37" s="1564" t="s">
        <v>2</v>
      </c>
      <c r="AU37" s="442" t="s">
        <v>87</v>
      </c>
      <c r="AV37" s="2431" t="s">
        <v>382</v>
      </c>
      <c r="AW37" s="381" t="s">
        <v>148</v>
      </c>
      <c r="AX37" s="2431" t="s">
        <v>383</v>
      </c>
      <c r="AY37" s="2430" t="s">
        <v>88</v>
      </c>
      <c r="AZ37" s="2430" t="s">
        <v>149</v>
      </c>
      <c r="BA37" s="2773" t="s">
        <v>384</v>
      </c>
      <c r="BB37" s="2773" t="s">
        <v>385</v>
      </c>
      <c r="BC37" s="2430" t="s">
        <v>270</v>
      </c>
      <c r="BD37" s="2430" t="s">
        <v>386</v>
      </c>
      <c r="BE37" s="2430" t="s">
        <v>90</v>
      </c>
      <c r="BF37" s="2430" t="s">
        <v>387</v>
      </c>
      <c r="BG37" s="2430" t="s">
        <v>271</v>
      </c>
      <c r="BH37" s="2430" t="s">
        <v>272</v>
      </c>
      <c r="BI37" s="2148" t="s">
        <v>453</v>
      </c>
      <c r="BJ37" s="1565" t="s">
        <v>2</v>
      </c>
      <c r="BK37" s="2768"/>
      <c r="BL37" s="1566" t="s">
        <v>95</v>
      </c>
      <c r="BM37" s="2432" t="s">
        <v>96</v>
      </c>
      <c r="BN37" s="2775" t="s">
        <v>131</v>
      </c>
      <c r="BO37" s="2775" t="s">
        <v>129</v>
      </c>
      <c r="BP37" s="2777" t="s">
        <v>130</v>
      </c>
      <c r="BQ37" s="1567"/>
      <c r="BR37" s="1568"/>
      <c r="BS37" s="1569"/>
      <c r="BT37" s="1570" t="s">
        <v>34</v>
      </c>
      <c r="BU37" s="1570" t="s">
        <v>273</v>
      </c>
      <c r="BV37" s="1562" t="s">
        <v>270</v>
      </c>
      <c r="BW37" s="1571" t="s">
        <v>89</v>
      </c>
      <c r="BX37" s="1572" t="s">
        <v>274</v>
      </c>
      <c r="BY37" s="1572" t="s">
        <v>275</v>
      </c>
      <c r="BZ37" s="1572" t="s">
        <v>90</v>
      </c>
      <c r="CA37" s="1572" t="s">
        <v>388</v>
      </c>
      <c r="CB37" s="2222" t="s">
        <v>389</v>
      </c>
      <c r="CC37" s="2223" t="s">
        <v>390</v>
      </c>
      <c r="CD37" s="2802" t="s">
        <v>493</v>
      </c>
      <c r="CE37" s="1553"/>
      <c r="CF37" s="1559"/>
      <c r="CG37" s="1553"/>
      <c r="CH37" s="1553"/>
      <c r="CI37" s="1553"/>
      <c r="CJ37" s="1553"/>
      <c r="CK37" s="1553"/>
      <c r="CL37" s="1553"/>
      <c r="CM37" s="1553"/>
      <c r="CN37" s="1553"/>
      <c r="CO37" s="1553"/>
      <c r="CP37" s="1553"/>
      <c r="CQ37" s="1559"/>
      <c r="CR37" s="1559"/>
      <c r="CS37" s="1559"/>
      <c r="CT37" s="1559"/>
      <c r="CU37" s="409"/>
      <c r="CV37" s="409"/>
      <c r="CW37" s="409"/>
      <c r="CX37" s="409"/>
    </row>
    <row r="38" spans="34:102" s="1550" customFormat="1" ht="54.95" customHeight="1">
      <c r="AH38" s="1573"/>
      <c r="AI38" s="1574"/>
      <c r="AJ38" s="2782"/>
      <c r="AK38" s="1575"/>
      <c r="AL38" s="1561"/>
      <c r="AM38" s="1572"/>
      <c r="AN38" s="1563"/>
      <c r="AO38" s="2784"/>
      <c r="AP38" s="2786"/>
      <c r="AQ38" s="2437" t="s">
        <v>269</v>
      </c>
      <c r="AR38" s="1652" t="s">
        <v>220</v>
      </c>
      <c r="AS38" s="1652" t="s">
        <v>221</v>
      </c>
      <c r="AT38" s="1564"/>
      <c r="AU38" s="442"/>
      <c r="AV38" s="2431"/>
      <c r="AW38" s="381"/>
      <c r="AX38" s="2431"/>
      <c r="AY38" s="2431"/>
      <c r="AZ38" s="2431"/>
      <c r="BA38" s="2774"/>
      <c r="BB38" s="2774"/>
      <c r="BC38" s="2431"/>
      <c r="BD38" s="2431"/>
      <c r="BE38" s="2431"/>
      <c r="BF38" s="2431"/>
      <c r="BG38" s="2431"/>
      <c r="BH38" s="2431"/>
      <c r="BI38" s="2431"/>
      <c r="BJ38" s="1576"/>
      <c r="BK38" s="2768"/>
      <c r="BL38" s="2431"/>
      <c r="BM38" s="2431"/>
      <c r="BN38" s="2776"/>
      <c r="BO38" s="2776"/>
      <c r="BP38" s="2778"/>
      <c r="BQ38" s="536"/>
      <c r="BR38" s="2431"/>
      <c r="BS38" s="2431"/>
      <c r="BT38" s="2431"/>
      <c r="BU38" s="2431"/>
      <c r="BV38" s="2431"/>
      <c r="BW38" s="1577"/>
      <c r="BX38" s="1578"/>
      <c r="BY38" s="2433"/>
      <c r="BZ38" s="2433"/>
      <c r="CA38" s="2433"/>
      <c r="CB38" s="2224"/>
      <c r="CC38" s="2225"/>
      <c r="CD38" s="2803"/>
      <c r="CE38" s="1553"/>
      <c r="CF38" s="1559"/>
      <c r="CG38" s="1553"/>
      <c r="CH38" s="1553"/>
      <c r="CI38" s="1553"/>
      <c r="CJ38" s="1553"/>
      <c r="CK38" s="1553"/>
      <c r="CL38" s="1553"/>
      <c r="CM38" s="1553"/>
      <c r="CN38" s="1553"/>
      <c r="CO38" s="1553"/>
      <c r="CP38" s="1553"/>
      <c r="CQ38" s="1559"/>
      <c r="CR38" s="1559"/>
      <c r="CS38" s="1559"/>
      <c r="CT38" s="1559"/>
      <c r="CU38" s="409"/>
      <c r="CV38" s="409"/>
      <c r="CW38" s="409"/>
      <c r="CX38" s="409"/>
    </row>
    <row r="39" spans="34:102" s="1550" customFormat="1" ht="24.95" customHeight="1">
      <c r="AH39" s="1579" t="s">
        <v>263</v>
      </c>
      <c r="AI39" s="1580" t="s">
        <v>103</v>
      </c>
      <c r="AJ39" s="779" t="s">
        <v>16</v>
      </c>
      <c r="AK39" s="1581" t="s">
        <v>16</v>
      </c>
      <c r="AL39" s="443" t="s">
        <v>16</v>
      </c>
      <c r="AM39" s="1582" t="s">
        <v>16</v>
      </c>
      <c r="AN39" s="1581" t="s">
        <v>16</v>
      </c>
      <c r="AO39" s="443" t="s">
        <v>16</v>
      </c>
      <c r="AP39" s="1582" t="s">
        <v>16</v>
      </c>
      <c r="AQ39" s="1582" t="s">
        <v>16</v>
      </c>
      <c r="AR39" s="1582" t="s">
        <v>16</v>
      </c>
      <c r="AS39" s="1582" t="s">
        <v>16</v>
      </c>
      <c r="AT39" s="1581" t="s">
        <v>16</v>
      </c>
      <c r="AU39" s="382" t="s">
        <v>16</v>
      </c>
      <c r="AV39" s="1583" t="s">
        <v>16</v>
      </c>
      <c r="AW39" s="1584" t="s">
        <v>16</v>
      </c>
      <c r="AX39" s="1583" t="s">
        <v>16</v>
      </c>
      <c r="AY39" s="1583" t="s">
        <v>16</v>
      </c>
      <c r="AZ39" s="1583" t="s">
        <v>16</v>
      </c>
      <c r="BA39" s="1583" t="s">
        <v>16</v>
      </c>
      <c r="BB39" s="1583" t="s">
        <v>16</v>
      </c>
      <c r="BC39" s="1583" t="s">
        <v>16</v>
      </c>
      <c r="BD39" s="1583" t="s">
        <v>16</v>
      </c>
      <c r="BE39" s="1583" t="s">
        <v>16</v>
      </c>
      <c r="BF39" s="1583" t="s">
        <v>16</v>
      </c>
      <c r="BG39" s="1583" t="s">
        <v>16</v>
      </c>
      <c r="BH39" s="1583" t="s">
        <v>16</v>
      </c>
      <c r="BI39" s="1583" t="s">
        <v>16</v>
      </c>
      <c r="BJ39" s="1585" t="s">
        <v>16</v>
      </c>
      <c r="BK39" s="1586" t="s">
        <v>16</v>
      </c>
      <c r="BL39" s="1583" t="s">
        <v>16</v>
      </c>
      <c r="BM39" s="1583" t="s">
        <v>16</v>
      </c>
      <c r="BN39" s="1583" t="s">
        <v>16</v>
      </c>
      <c r="BO39" s="1583" t="s">
        <v>16</v>
      </c>
      <c r="BP39" s="1585" t="s">
        <v>16</v>
      </c>
      <c r="BQ39" s="776" t="s">
        <v>16</v>
      </c>
      <c r="BR39" s="1583" t="s">
        <v>16</v>
      </c>
      <c r="BS39" s="1583" t="s">
        <v>16</v>
      </c>
      <c r="BT39" s="1583" t="s">
        <v>16</v>
      </c>
      <c r="BU39" s="1584" t="s">
        <v>16</v>
      </c>
      <c r="BV39" s="1587" t="s">
        <v>16</v>
      </c>
      <c r="BW39" s="1588" t="s">
        <v>16</v>
      </c>
      <c r="BX39" s="1588" t="s">
        <v>16</v>
      </c>
      <c r="BY39" s="1587" t="s">
        <v>16</v>
      </c>
      <c r="BZ39" s="1587" t="s">
        <v>16</v>
      </c>
      <c r="CA39" s="1587" t="s">
        <v>16</v>
      </c>
      <c r="CB39" s="2226" t="s">
        <v>276</v>
      </c>
      <c r="CC39" s="2227" t="s">
        <v>16</v>
      </c>
      <c r="CD39" s="2228" t="s">
        <v>16</v>
      </c>
      <c r="CE39" s="1553"/>
      <c r="CF39" s="1559"/>
      <c r="CG39" s="1553"/>
      <c r="CH39" s="1553"/>
      <c r="CI39" s="1553"/>
      <c r="CJ39" s="1553"/>
      <c r="CK39" s="1553"/>
      <c r="CL39" s="1553"/>
      <c r="CM39" s="1553"/>
      <c r="CN39" s="1553"/>
      <c r="CO39" s="1553"/>
      <c r="CP39" s="1553"/>
      <c r="CQ39" s="1559"/>
      <c r="CR39" s="796"/>
      <c r="CS39" s="796"/>
      <c r="CT39" s="796"/>
      <c r="CU39" s="796"/>
      <c r="CV39" s="796"/>
      <c r="CW39" s="1559"/>
      <c r="CX39" s="1559"/>
    </row>
    <row r="40" spans="34:102" s="1550" customFormat="1" ht="24.75" customHeight="1">
      <c r="AH40" s="1589">
        <v>1</v>
      </c>
      <c r="AI40" s="1590">
        <v>2</v>
      </c>
      <c r="AJ40" s="1591">
        <v>3</v>
      </c>
      <c r="AK40" s="1592">
        <v>4</v>
      </c>
      <c r="AL40" s="1593">
        <v>5</v>
      </c>
      <c r="AM40" s="780">
        <v>6</v>
      </c>
      <c r="AN40" s="781">
        <v>7</v>
      </c>
      <c r="AO40" s="1593">
        <v>8</v>
      </c>
      <c r="AP40" s="780">
        <v>9</v>
      </c>
      <c r="AQ40" s="780">
        <v>10</v>
      </c>
      <c r="AR40" s="780">
        <v>11</v>
      </c>
      <c r="AS40" s="1594">
        <v>12</v>
      </c>
      <c r="AT40" s="781">
        <v>13</v>
      </c>
      <c r="AU40" s="1593">
        <v>14</v>
      </c>
      <c r="AV40" s="780">
        <v>15</v>
      </c>
      <c r="AW40" s="780">
        <v>16</v>
      </c>
      <c r="AX40" s="1594">
        <v>17</v>
      </c>
      <c r="AY40" s="780">
        <v>18</v>
      </c>
      <c r="AZ40" s="780">
        <v>19</v>
      </c>
      <c r="BA40" s="1594">
        <v>20</v>
      </c>
      <c r="BB40" s="780">
        <v>21</v>
      </c>
      <c r="BC40" s="780">
        <v>22</v>
      </c>
      <c r="BD40" s="1594">
        <v>23</v>
      </c>
      <c r="BE40" s="780">
        <v>24</v>
      </c>
      <c r="BF40" s="780">
        <v>25</v>
      </c>
      <c r="BG40" s="1594">
        <v>26</v>
      </c>
      <c r="BH40" s="780">
        <v>27</v>
      </c>
      <c r="BI40" s="780">
        <v>28</v>
      </c>
      <c r="BJ40" s="781">
        <v>29</v>
      </c>
      <c r="BK40" s="783">
        <v>30</v>
      </c>
      <c r="BL40" s="780">
        <v>31</v>
      </c>
      <c r="BM40" s="782">
        <v>32</v>
      </c>
      <c r="BN40" s="780">
        <v>33</v>
      </c>
      <c r="BO40" s="780">
        <v>34</v>
      </c>
      <c r="BP40" s="781">
        <v>35</v>
      </c>
      <c r="BQ40" s="798">
        <v>36</v>
      </c>
      <c r="BR40" s="780">
        <v>37</v>
      </c>
      <c r="BS40" s="782">
        <v>38</v>
      </c>
      <c r="BT40" s="780">
        <v>39</v>
      </c>
      <c r="BU40" s="780">
        <v>40</v>
      </c>
      <c r="BV40" s="1594">
        <v>41</v>
      </c>
      <c r="BW40" s="1595">
        <v>42</v>
      </c>
      <c r="BX40" s="1595">
        <v>43</v>
      </c>
      <c r="BY40" s="1594">
        <v>44</v>
      </c>
      <c r="BZ40" s="780">
        <v>45</v>
      </c>
      <c r="CA40" s="780">
        <v>46</v>
      </c>
      <c r="CB40" s="2229">
        <v>47</v>
      </c>
      <c r="CC40" s="2230">
        <v>48</v>
      </c>
      <c r="CD40" s="2231">
        <v>49</v>
      </c>
      <c r="CE40" s="1553"/>
      <c r="CF40" s="1559"/>
      <c r="CG40" s="1553"/>
      <c r="CH40" s="1553"/>
      <c r="CI40" s="1553"/>
      <c r="CJ40" s="1553"/>
      <c r="CK40" s="1553"/>
      <c r="CL40" s="1553"/>
      <c r="CM40" s="1553"/>
      <c r="CN40" s="1553"/>
      <c r="CO40" s="1553"/>
      <c r="CP40" s="1559"/>
      <c r="CQ40" s="1559"/>
      <c r="CR40" s="2438"/>
      <c r="CS40" s="2438"/>
      <c r="CT40" s="2438"/>
      <c r="CU40" s="2438"/>
      <c r="CV40" s="2438"/>
      <c r="CW40" s="1559"/>
      <c r="CX40" s="1559"/>
    </row>
    <row r="41" spans="34:102" s="1550" customFormat="1" ht="24.95" customHeight="1">
      <c r="AH41" s="1596">
        <v>1</v>
      </c>
      <c r="AI41" s="1597" t="s">
        <v>42</v>
      </c>
      <c r="AJ41" s="1598">
        <v>4.8999999999999986</v>
      </c>
      <c r="AK41" s="2439">
        <v>0</v>
      </c>
      <c r="AL41" s="1599">
        <v>0</v>
      </c>
      <c r="AM41" s="1600">
        <v>0</v>
      </c>
      <c r="AN41" s="1601">
        <v>0</v>
      </c>
      <c r="AO41" s="2440">
        <v>6539.4999999999991</v>
      </c>
      <c r="AP41" s="2441">
        <v>0</v>
      </c>
      <c r="AQ41" s="2441">
        <v>25</v>
      </c>
      <c r="AR41" s="2441">
        <v>56</v>
      </c>
      <c r="AS41" s="2441">
        <v>0</v>
      </c>
      <c r="AT41" s="1602">
        <f>SUM(AO41:AS41)</f>
        <v>6620.4999999999991</v>
      </c>
      <c r="AU41" s="2442">
        <v>400.3</v>
      </c>
      <c r="AV41" s="2441">
        <v>0</v>
      </c>
      <c r="AW41" s="2441">
        <v>294.3</v>
      </c>
      <c r="AX41" s="2441">
        <v>0</v>
      </c>
      <c r="AY41" s="2441">
        <v>63</v>
      </c>
      <c r="AZ41" s="2441">
        <v>0</v>
      </c>
      <c r="BA41" s="2441">
        <v>0</v>
      </c>
      <c r="BB41" s="2441">
        <v>0</v>
      </c>
      <c r="BC41" s="2441">
        <v>425.2</v>
      </c>
      <c r="BD41" s="2441">
        <v>63.2</v>
      </c>
      <c r="BE41" s="2441">
        <v>225.3</v>
      </c>
      <c r="BF41" s="2441">
        <v>182.1</v>
      </c>
      <c r="BG41" s="2441">
        <v>0</v>
      </c>
      <c r="BH41" s="2441">
        <v>0</v>
      </c>
      <c r="BI41" s="2441">
        <v>0</v>
      </c>
      <c r="BJ41" s="2443">
        <v>1653.3999999999999</v>
      </c>
      <c r="BK41" s="2444">
        <v>6276</v>
      </c>
      <c r="BL41" s="2445">
        <v>851</v>
      </c>
      <c r="BM41" s="1603">
        <v>80</v>
      </c>
      <c r="BN41" s="1604">
        <v>0</v>
      </c>
      <c r="BO41" s="1605">
        <v>655</v>
      </c>
      <c r="BP41" s="1606">
        <v>250</v>
      </c>
      <c r="BQ41" s="2446">
        <v>192</v>
      </c>
      <c r="BR41" s="2447"/>
      <c r="BS41" s="2447">
        <v>20</v>
      </c>
      <c r="BT41" s="2447"/>
      <c r="BU41" s="2447"/>
      <c r="BV41" s="1603">
        <v>113</v>
      </c>
      <c r="BW41" s="2445">
        <v>25</v>
      </c>
      <c r="BX41" s="2445">
        <v>0</v>
      </c>
      <c r="BY41" s="1603">
        <v>0</v>
      </c>
      <c r="BZ41" s="1605">
        <v>226</v>
      </c>
      <c r="CA41" s="1605">
        <v>184</v>
      </c>
      <c r="CB41" s="1607">
        <v>0</v>
      </c>
      <c r="CC41" s="2214">
        <v>0</v>
      </c>
      <c r="CD41" s="2215">
        <v>0</v>
      </c>
      <c r="CE41" s="1553"/>
      <c r="CF41" s="2448"/>
      <c r="CG41" s="1553"/>
      <c r="CH41" s="1553"/>
      <c r="CI41" s="1553"/>
      <c r="CJ41" s="1553"/>
      <c r="CK41" s="1553"/>
      <c r="CL41" s="1553"/>
      <c r="CM41" s="1553"/>
      <c r="CN41" s="1553"/>
      <c r="CO41" s="1553"/>
      <c r="CP41" s="1553"/>
      <c r="CQ41" s="796"/>
      <c r="CR41" s="796"/>
      <c r="CS41" s="2449"/>
      <c r="CT41" s="2449"/>
      <c r="CU41" s="2449"/>
      <c r="CV41" s="2449"/>
      <c r="CW41" s="2449"/>
      <c r="CX41" s="2449"/>
    </row>
    <row r="42" spans="34:102" s="1550" customFormat="1" ht="20.100000000000001" customHeight="1">
      <c r="AH42" s="1608">
        <v>2</v>
      </c>
      <c r="AI42" s="1609" t="s">
        <v>43</v>
      </c>
      <c r="AJ42" s="1598">
        <v>0</v>
      </c>
      <c r="AK42" s="784">
        <v>0</v>
      </c>
      <c r="AL42" s="1599">
        <v>0</v>
      </c>
      <c r="AM42" s="1610">
        <v>0</v>
      </c>
      <c r="AN42" s="1611">
        <v>0</v>
      </c>
      <c r="AO42" s="2450">
        <v>3137.3</v>
      </c>
      <c r="AP42" s="1614">
        <v>0</v>
      </c>
      <c r="AQ42" s="1610">
        <v>0</v>
      </c>
      <c r="AR42" s="1610">
        <v>0</v>
      </c>
      <c r="AS42" s="1610">
        <v>0</v>
      </c>
      <c r="AT42" s="1612">
        <f t="shared" ref="AT42:AT59" si="63">SUM(AO42:AS42)</f>
        <v>3137.3</v>
      </c>
      <c r="AU42" s="2451">
        <v>0</v>
      </c>
      <c r="AV42" s="2452">
        <v>0</v>
      </c>
      <c r="AW42" s="2452">
        <v>0</v>
      </c>
      <c r="AX42" s="2452">
        <v>0</v>
      </c>
      <c r="AY42" s="2452">
        <v>0</v>
      </c>
      <c r="AZ42" s="2452">
        <v>0</v>
      </c>
      <c r="BA42" s="2452">
        <v>0</v>
      </c>
      <c r="BB42" s="2452">
        <v>137</v>
      </c>
      <c r="BC42" s="2452">
        <v>0</v>
      </c>
      <c r="BD42" s="2452">
        <v>0</v>
      </c>
      <c r="BE42" s="2452">
        <v>0</v>
      </c>
      <c r="BF42" s="1613">
        <v>0</v>
      </c>
      <c r="BG42" s="784">
        <v>0</v>
      </c>
      <c r="BH42" s="1610">
        <v>0</v>
      </c>
      <c r="BI42" s="1614">
        <v>0</v>
      </c>
      <c r="BJ42" s="2212">
        <v>137</v>
      </c>
      <c r="BK42" s="1615">
        <v>3370</v>
      </c>
      <c r="BL42" s="1616">
        <v>0</v>
      </c>
      <c r="BM42" s="1616">
        <v>0</v>
      </c>
      <c r="BN42" s="1616">
        <v>139</v>
      </c>
      <c r="BO42" s="1616">
        <v>0</v>
      </c>
      <c r="BP42" s="1617">
        <v>0</v>
      </c>
      <c r="BQ42" s="1618"/>
      <c r="BR42" s="1616"/>
      <c r="BS42" s="1616"/>
      <c r="BT42" s="1616">
        <v>0</v>
      </c>
      <c r="BU42" s="1616">
        <v>55</v>
      </c>
      <c r="BV42" s="1568"/>
      <c r="BW42" s="1568"/>
      <c r="BX42" s="1568"/>
      <c r="BY42" s="1568"/>
      <c r="BZ42" s="1568"/>
      <c r="CA42" s="1568"/>
      <c r="CB42" s="1568"/>
      <c r="CC42" s="2216"/>
      <c r="CD42" s="2217"/>
      <c r="CF42" s="1559"/>
      <c r="CG42" s="1553"/>
      <c r="CH42" s="1553"/>
      <c r="CI42" s="1553"/>
      <c r="CJ42" s="1553"/>
      <c r="CK42" s="1553"/>
      <c r="CL42" s="1553"/>
      <c r="CM42" s="1553"/>
      <c r="CN42" s="1553"/>
      <c r="CO42" s="1553"/>
      <c r="CP42" s="1553"/>
      <c r="CQ42" s="796"/>
      <c r="CR42" s="796"/>
      <c r="CS42" s="2449"/>
      <c r="CT42" s="2449"/>
      <c r="CU42" s="2449"/>
      <c r="CV42" s="2449"/>
      <c r="CW42" s="2449"/>
      <c r="CX42" s="2449"/>
    </row>
    <row r="43" spans="34:102" s="1550" customFormat="1" ht="20.100000000000001" customHeight="1">
      <c r="AH43" s="1608">
        <v>3</v>
      </c>
      <c r="AI43" s="1609" t="s">
        <v>44</v>
      </c>
      <c r="AJ43" s="1598">
        <v>0</v>
      </c>
      <c r="AK43" s="784">
        <v>0</v>
      </c>
      <c r="AL43" s="1599">
        <v>0</v>
      </c>
      <c r="AM43" s="1610">
        <v>0</v>
      </c>
      <c r="AN43" s="1611">
        <v>0</v>
      </c>
      <c r="AO43" s="2450">
        <v>5923.2</v>
      </c>
      <c r="AP43" s="1614">
        <v>0</v>
      </c>
      <c r="AQ43" s="1610">
        <v>0</v>
      </c>
      <c r="AR43" s="1610">
        <v>79.3</v>
      </c>
      <c r="AS43" s="1610">
        <v>0</v>
      </c>
      <c r="AT43" s="1612">
        <f t="shared" si="63"/>
        <v>6002.5</v>
      </c>
      <c r="AU43" s="2451">
        <v>325.5</v>
      </c>
      <c r="AV43" s="2452">
        <v>0</v>
      </c>
      <c r="AW43" s="2452">
        <v>238.4</v>
      </c>
      <c r="AX43" s="2452">
        <v>0</v>
      </c>
      <c r="AY43" s="2452">
        <v>135.80000000000001</v>
      </c>
      <c r="AZ43" s="2452">
        <v>34.299999999999997</v>
      </c>
      <c r="BA43" s="2452">
        <v>1160</v>
      </c>
      <c r="BB43" s="2452">
        <v>0</v>
      </c>
      <c r="BC43" s="2452">
        <v>270</v>
      </c>
      <c r="BD43" s="2452">
        <v>0</v>
      </c>
      <c r="BE43" s="2452">
        <v>193.6</v>
      </c>
      <c r="BF43" s="1613">
        <v>116</v>
      </c>
      <c r="BG43" s="784">
        <v>0</v>
      </c>
      <c r="BH43" s="1610">
        <v>0</v>
      </c>
      <c r="BI43" s="1614">
        <v>0</v>
      </c>
      <c r="BJ43" s="2212">
        <v>2473.6</v>
      </c>
      <c r="BK43" s="1615">
        <v>5515</v>
      </c>
      <c r="BL43" s="1616">
        <v>702</v>
      </c>
      <c r="BM43" s="1604">
        <v>238</v>
      </c>
      <c r="BN43" s="1604">
        <v>1296</v>
      </c>
      <c r="BO43" s="1604">
        <v>478</v>
      </c>
      <c r="BP43" s="1617">
        <v>116</v>
      </c>
      <c r="BQ43" s="1618">
        <v>144</v>
      </c>
      <c r="BR43" s="1616"/>
      <c r="BS43" s="1604">
        <v>48</v>
      </c>
      <c r="BT43" s="1604">
        <v>482</v>
      </c>
      <c r="BU43" s="1604">
        <v>0</v>
      </c>
      <c r="BV43" s="1619">
        <v>65</v>
      </c>
      <c r="BW43" s="2453">
        <v>0</v>
      </c>
      <c r="BX43" s="1604">
        <v>0</v>
      </c>
      <c r="BY43" s="1619">
        <v>0</v>
      </c>
      <c r="BZ43" s="1604">
        <v>194</v>
      </c>
      <c r="CA43" s="1604">
        <v>116</v>
      </c>
      <c r="CB43" s="1620">
        <v>0</v>
      </c>
      <c r="CC43" s="2218">
        <v>0</v>
      </c>
      <c r="CD43" s="2219">
        <v>0</v>
      </c>
      <c r="CE43" s="1553"/>
      <c r="CF43" s="2448"/>
      <c r="CG43" s="1553"/>
      <c r="CH43" s="1553"/>
      <c r="CI43" s="1553"/>
      <c r="CJ43" s="1553"/>
      <c r="CK43" s="1553"/>
      <c r="CL43" s="1553"/>
      <c r="CM43" s="1553"/>
      <c r="CN43" s="1553"/>
      <c r="CO43" s="1553"/>
      <c r="CP43" s="1553"/>
      <c r="CQ43" s="796"/>
      <c r="CR43" s="796"/>
      <c r="CS43" s="2449"/>
      <c r="CT43" s="2449"/>
      <c r="CU43" s="2449"/>
      <c r="CV43" s="2449"/>
      <c r="CW43" s="2449"/>
      <c r="CX43" s="2449"/>
    </row>
    <row r="44" spans="34:102" s="1550" customFormat="1" ht="20.100000000000001" customHeight="1">
      <c r="AH44" s="1608">
        <v>4</v>
      </c>
      <c r="AI44" s="1609" t="s">
        <v>59</v>
      </c>
      <c r="AJ44" s="1598">
        <v>1.2999999999999989</v>
      </c>
      <c r="AK44" s="784">
        <v>20</v>
      </c>
      <c r="AL44" s="1599">
        <v>0</v>
      </c>
      <c r="AM44" s="1610">
        <v>0</v>
      </c>
      <c r="AN44" s="1611">
        <v>0</v>
      </c>
      <c r="AO44" s="2450">
        <v>7417.6</v>
      </c>
      <c r="AP44" s="1614">
        <v>0</v>
      </c>
      <c r="AQ44" s="1610">
        <v>0</v>
      </c>
      <c r="AR44" s="1610">
        <v>0</v>
      </c>
      <c r="AS44" s="1610">
        <v>0</v>
      </c>
      <c r="AT44" s="1612">
        <f t="shared" si="63"/>
        <v>7417.6</v>
      </c>
      <c r="AU44" s="2451">
        <v>0</v>
      </c>
      <c r="AV44" s="2452">
        <v>0</v>
      </c>
      <c r="AW44" s="2452">
        <v>0</v>
      </c>
      <c r="AX44" s="2452">
        <v>0</v>
      </c>
      <c r="AY44" s="2452">
        <v>0</v>
      </c>
      <c r="AZ44" s="2452">
        <v>0</v>
      </c>
      <c r="BA44" s="2452">
        <v>1704</v>
      </c>
      <c r="BB44" s="2452">
        <v>0</v>
      </c>
      <c r="BC44" s="2452">
        <v>0</v>
      </c>
      <c r="BD44" s="2452">
        <v>0</v>
      </c>
      <c r="BE44" s="2452">
        <v>0</v>
      </c>
      <c r="BF44" s="1613">
        <v>50</v>
      </c>
      <c r="BG44" s="788">
        <v>0</v>
      </c>
      <c r="BH44" s="1610">
        <v>0</v>
      </c>
      <c r="BI44" s="1613">
        <v>0</v>
      </c>
      <c r="BJ44" s="2213">
        <v>1754</v>
      </c>
      <c r="BK44" s="1621">
        <v>6204</v>
      </c>
      <c r="BL44" s="1616">
        <v>0</v>
      </c>
      <c r="BM44" s="1604">
        <v>0</v>
      </c>
      <c r="BN44" s="1604">
        <v>1861</v>
      </c>
      <c r="BO44" s="1604">
        <v>0</v>
      </c>
      <c r="BP44" s="1617">
        <v>50</v>
      </c>
      <c r="BQ44" s="1622"/>
      <c r="BR44" s="1616"/>
      <c r="BS44" s="1604"/>
      <c r="BT44" s="1604">
        <v>712</v>
      </c>
      <c r="BU44" s="1604">
        <v>0</v>
      </c>
      <c r="BV44" s="1619">
        <v>0</v>
      </c>
      <c r="BW44" s="2453">
        <v>0</v>
      </c>
      <c r="BX44" s="1604">
        <v>0</v>
      </c>
      <c r="BY44" s="1619">
        <v>0</v>
      </c>
      <c r="BZ44" s="1604">
        <v>0</v>
      </c>
      <c r="CA44" s="1604">
        <v>50</v>
      </c>
      <c r="CB44" s="1620">
        <v>0</v>
      </c>
      <c r="CC44" s="2218">
        <v>0</v>
      </c>
      <c r="CD44" s="2219">
        <v>0</v>
      </c>
      <c r="CE44" s="1553"/>
      <c r="CF44" s="2448"/>
      <c r="CG44" s="1553"/>
      <c r="CH44" s="1553"/>
      <c r="CI44" s="1553"/>
      <c r="CJ44" s="1553"/>
      <c r="CK44" s="1553"/>
      <c r="CL44" s="1553"/>
      <c r="CM44" s="1553"/>
      <c r="CN44" s="1553"/>
      <c r="CO44" s="1553"/>
      <c r="CP44" s="1553"/>
      <c r="CQ44" s="796"/>
      <c r="CR44" s="796"/>
      <c r="CS44" s="2449"/>
      <c r="CT44" s="2449"/>
      <c r="CU44" s="2449"/>
      <c r="CV44" s="2449"/>
      <c r="CW44" s="2449"/>
      <c r="CX44" s="2449"/>
    </row>
    <row r="45" spans="34:102" s="1550" customFormat="1" ht="20.100000000000001" customHeight="1">
      <c r="AH45" s="1608">
        <v>5</v>
      </c>
      <c r="AI45" s="1609" t="s">
        <v>45</v>
      </c>
      <c r="AJ45" s="1598">
        <v>19.299999999999994</v>
      </c>
      <c r="AK45" s="784">
        <v>75</v>
      </c>
      <c r="AL45" s="1599">
        <v>0</v>
      </c>
      <c r="AM45" s="1610">
        <v>80</v>
      </c>
      <c r="AN45" s="1611">
        <v>0</v>
      </c>
      <c r="AO45" s="2450">
        <v>8854.1999999999989</v>
      </c>
      <c r="AP45" s="1614">
        <v>0</v>
      </c>
      <c r="AQ45" s="1610">
        <v>0</v>
      </c>
      <c r="AR45" s="1610">
        <v>63.1</v>
      </c>
      <c r="AS45" s="1610">
        <v>0</v>
      </c>
      <c r="AT45" s="1612">
        <f t="shared" si="63"/>
        <v>8917.2999999999993</v>
      </c>
      <c r="AU45" s="2451">
        <v>346.5</v>
      </c>
      <c r="AV45" s="2452">
        <v>0</v>
      </c>
      <c r="AW45" s="2452">
        <v>237</v>
      </c>
      <c r="AX45" s="2452">
        <v>0</v>
      </c>
      <c r="AY45" s="2452">
        <v>0</v>
      </c>
      <c r="AZ45" s="2452">
        <v>0</v>
      </c>
      <c r="BA45" s="2452">
        <v>0</v>
      </c>
      <c r="BB45" s="2452">
        <v>134</v>
      </c>
      <c r="BC45" s="2452">
        <v>193.5</v>
      </c>
      <c r="BD45" s="2452">
        <v>370</v>
      </c>
      <c r="BE45" s="2452">
        <v>115</v>
      </c>
      <c r="BF45" s="1613">
        <v>233.5</v>
      </c>
      <c r="BG45" s="784">
        <v>0</v>
      </c>
      <c r="BH45" s="1610">
        <v>0</v>
      </c>
      <c r="BI45" s="1613">
        <v>54.8</v>
      </c>
      <c r="BJ45" s="2212">
        <v>1684.3</v>
      </c>
      <c r="BK45" s="1615">
        <v>8417</v>
      </c>
      <c r="BL45" s="1604">
        <v>1009</v>
      </c>
      <c r="BM45" s="1616">
        <v>0</v>
      </c>
      <c r="BN45" s="1616">
        <v>159</v>
      </c>
      <c r="BO45" s="1616">
        <v>379</v>
      </c>
      <c r="BP45" s="1617">
        <v>613</v>
      </c>
      <c r="BQ45" s="1618">
        <v>200</v>
      </c>
      <c r="BR45" s="1604"/>
      <c r="BS45" s="1616"/>
      <c r="BT45" s="1616">
        <v>0</v>
      </c>
      <c r="BU45" s="1616">
        <v>55</v>
      </c>
      <c r="BV45" s="1619">
        <v>10</v>
      </c>
      <c r="BW45" s="2453">
        <v>0</v>
      </c>
      <c r="BX45" s="1604">
        <v>100</v>
      </c>
      <c r="BY45" s="1619">
        <v>0</v>
      </c>
      <c r="BZ45" s="1604">
        <v>120</v>
      </c>
      <c r="CA45" s="1604">
        <v>237</v>
      </c>
      <c r="CB45" s="1620">
        <v>0</v>
      </c>
      <c r="CC45" s="2218">
        <v>0</v>
      </c>
      <c r="CD45" s="2219">
        <v>35</v>
      </c>
      <c r="CE45" s="1553"/>
      <c r="CF45" s="2448"/>
      <c r="CG45" s="1553"/>
      <c r="CH45" s="1553"/>
      <c r="CI45" s="1553"/>
      <c r="CJ45" s="1553"/>
      <c r="CK45" s="1553"/>
      <c r="CL45" s="1553"/>
      <c r="CM45" s="1553"/>
      <c r="CN45" s="1553"/>
      <c r="CO45" s="1553"/>
      <c r="CP45" s="1553"/>
      <c r="CQ45" s="796"/>
      <c r="CR45" s="796"/>
      <c r="CS45" s="2449"/>
      <c r="CT45" s="2449"/>
      <c r="CU45" s="2449"/>
      <c r="CV45" s="2449"/>
      <c r="CW45" s="2449"/>
      <c r="CX45" s="2449"/>
    </row>
    <row r="46" spans="34:102" s="1550" customFormat="1" ht="24.95" customHeight="1">
      <c r="AH46" s="1608">
        <v>6</v>
      </c>
      <c r="AI46" s="1609" t="s">
        <v>46</v>
      </c>
      <c r="AJ46" s="1598">
        <v>8.5</v>
      </c>
      <c r="AK46" s="784">
        <v>0</v>
      </c>
      <c r="AL46" s="1599">
        <v>0</v>
      </c>
      <c r="AM46" s="1610">
        <v>0</v>
      </c>
      <c r="AN46" s="1611">
        <v>0</v>
      </c>
      <c r="AO46" s="2450">
        <v>9628.2999999999993</v>
      </c>
      <c r="AP46" s="1614">
        <v>0</v>
      </c>
      <c r="AQ46" s="1610">
        <v>0</v>
      </c>
      <c r="AR46" s="1610">
        <v>0</v>
      </c>
      <c r="AS46" s="1610">
        <v>0</v>
      </c>
      <c r="AT46" s="1612">
        <f t="shared" si="63"/>
        <v>9628.2999999999993</v>
      </c>
      <c r="AU46" s="2451">
        <v>0</v>
      </c>
      <c r="AV46" s="2452">
        <v>0</v>
      </c>
      <c r="AW46" s="2452">
        <v>0</v>
      </c>
      <c r="AX46" s="2452">
        <v>0</v>
      </c>
      <c r="AY46" s="2452">
        <v>0</v>
      </c>
      <c r="AZ46" s="2452">
        <v>0</v>
      </c>
      <c r="BA46" s="2452">
        <v>1600</v>
      </c>
      <c r="BB46" s="2452">
        <v>198</v>
      </c>
      <c r="BC46" s="2452">
        <v>0</v>
      </c>
      <c r="BD46" s="2452">
        <v>0</v>
      </c>
      <c r="BE46" s="2452">
        <v>0</v>
      </c>
      <c r="BF46" s="1613">
        <v>0</v>
      </c>
      <c r="BG46" s="788">
        <v>0</v>
      </c>
      <c r="BH46" s="1610">
        <v>0</v>
      </c>
      <c r="BI46" s="1613">
        <v>0</v>
      </c>
      <c r="BJ46" s="2213">
        <v>1798</v>
      </c>
      <c r="BK46" s="1621">
        <v>8561</v>
      </c>
      <c r="BL46" s="1616">
        <v>0</v>
      </c>
      <c r="BM46" s="1604">
        <v>0</v>
      </c>
      <c r="BN46" s="1604">
        <v>1819</v>
      </c>
      <c r="BO46" s="1604">
        <v>0</v>
      </c>
      <c r="BP46" s="1617">
        <v>0</v>
      </c>
      <c r="BQ46" s="1622"/>
      <c r="BR46" s="1616"/>
      <c r="BS46" s="1604"/>
      <c r="BT46" s="1604">
        <v>627</v>
      </c>
      <c r="BU46" s="1604">
        <v>65</v>
      </c>
      <c r="BV46" s="1568"/>
      <c r="BW46" s="1568"/>
      <c r="BX46" s="1568"/>
      <c r="BY46" s="1568"/>
      <c r="BZ46" s="1568"/>
      <c r="CA46" s="1568"/>
      <c r="CB46" s="1568"/>
      <c r="CC46" s="2216"/>
      <c r="CD46" s="2217"/>
      <c r="CF46" s="1559"/>
      <c r="CG46" s="1553"/>
      <c r="CH46" s="1553"/>
      <c r="CI46" s="1553"/>
      <c r="CJ46" s="1553"/>
      <c r="CK46" s="1553"/>
      <c r="CL46" s="1553"/>
      <c r="CM46" s="1553"/>
      <c r="CN46" s="1553"/>
      <c r="CO46" s="1553"/>
      <c r="CP46" s="1553"/>
      <c r="CQ46" s="796"/>
      <c r="CR46" s="796"/>
      <c r="CS46" s="2449"/>
      <c r="CT46" s="2449"/>
      <c r="CU46" s="2449"/>
      <c r="CV46" s="2449"/>
      <c r="CW46" s="2449"/>
      <c r="CX46" s="2449"/>
    </row>
    <row r="47" spans="34:102" s="1550" customFormat="1" ht="20.100000000000001" customHeight="1">
      <c r="AH47" s="1608">
        <v>7</v>
      </c>
      <c r="AI47" s="1609" t="s">
        <v>47</v>
      </c>
      <c r="AJ47" s="1598">
        <v>0</v>
      </c>
      <c r="AK47" s="784">
        <v>0</v>
      </c>
      <c r="AL47" s="1599">
        <v>0</v>
      </c>
      <c r="AM47" s="1610">
        <v>0</v>
      </c>
      <c r="AN47" s="1611">
        <v>0</v>
      </c>
      <c r="AO47" s="2450">
        <v>1190.9999999999998</v>
      </c>
      <c r="AP47" s="1614">
        <v>0</v>
      </c>
      <c r="AQ47" s="1610">
        <v>0</v>
      </c>
      <c r="AR47" s="1610">
        <v>0</v>
      </c>
      <c r="AS47" s="1610">
        <v>0</v>
      </c>
      <c r="AT47" s="1612">
        <f t="shared" si="63"/>
        <v>1190.9999999999998</v>
      </c>
      <c r="AU47" s="2451">
        <v>0</v>
      </c>
      <c r="AV47" s="2452">
        <v>0</v>
      </c>
      <c r="AW47" s="2452">
        <v>0</v>
      </c>
      <c r="AX47" s="2452">
        <v>0</v>
      </c>
      <c r="AY47" s="2452">
        <v>0</v>
      </c>
      <c r="AZ47" s="2452">
        <v>0</v>
      </c>
      <c r="BA47" s="2452">
        <v>0</v>
      </c>
      <c r="BB47" s="2452">
        <v>0</v>
      </c>
      <c r="BC47" s="2452">
        <v>0</v>
      </c>
      <c r="BD47" s="2452">
        <v>0</v>
      </c>
      <c r="BE47" s="2452">
        <v>0</v>
      </c>
      <c r="BF47" s="1613">
        <v>0</v>
      </c>
      <c r="BG47" s="788">
        <v>0</v>
      </c>
      <c r="BH47" s="1610">
        <v>0</v>
      </c>
      <c r="BI47" s="1613">
        <v>0</v>
      </c>
      <c r="BJ47" s="2213">
        <v>0</v>
      </c>
      <c r="BK47" s="1621">
        <v>1077</v>
      </c>
      <c r="BL47" s="1604">
        <v>0</v>
      </c>
      <c r="BM47" s="1604">
        <v>0</v>
      </c>
      <c r="BN47" s="1604">
        <v>0</v>
      </c>
      <c r="BO47" s="1604">
        <v>0</v>
      </c>
      <c r="BP47" s="1617">
        <v>0</v>
      </c>
      <c r="BQ47" s="1622"/>
      <c r="BR47" s="1604"/>
      <c r="BS47" s="1604"/>
      <c r="BT47" s="1604"/>
      <c r="BU47" s="1604"/>
      <c r="BV47" s="1568"/>
      <c r="BW47" s="1568"/>
      <c r="BX47" s="1568"/>
      <c r="BY47" s="1568"/>
      <c r="BZ47" s="1568"/>
      <c r="CA47" s="1568"/>
      <c r="CB47" s="1568"/>
      <c r="CC47" s="2216"/>
      <c r="CD47" s="2217"/>
      <c r="CF47" s="1559"/>
      <c r="CG47" s="1553"/>
      <c r="CH47" s="1553"/>
      <c r="CI47" s="1553"/>
      <c r="CJ47" s="1553"/>
      <c r="CK47" s="1553"/>
      <c r="CL47" s="1553"/>
      <c r="CM47" s="1553"/>
      <c r="CN47" s="1553"/>
      <c r="CO47" s="1553"/>
      <c r="CP47" s="1553"/>
      <c r="CQ47" s="796"/>
      <c r="CR47" s="796"/>
      <c r="CS47" s="2449"/>
      <c r="CT47" s="2449"/>
      <c r="CU47" s="2449"/>
      <c r="CV47" s="2449"/>
      <c r="CW47" s="2449"/>
      <c r="CX47" s="2449"/>
    </row>
    <row r="48" spans="34:102" s="1550" customFormat="1" ht="20.100000000000001" customHeight="1">
      <c r="AH48" s="1608">
        <v>8</v>
      </c>
      <c r="AI48" s="1609" t="s">
        <v>48</v>
      </c>
      <c r="AJ48" s="1598">
        <v>2.5</v>
      </c>
      <c r="AK48" s="784">
        <v>35</v>
      </c>
      <c r="AL48" s="1599">
        <v>0</v>
      </c>
      <c r="AM48" s="1610">
        <v>0</v>
      </c>
      <c r="AN48" s="1611">
        <v>0</v>
      </c>
      <c r="AO48" s="2450">
        <v>12066.199999999997</v>
      </c>
      <c r="AP48" s="1614">
        <v>0</v>
      </c>
      <c r="AQ48" s="1610">
        <v>25</v>
      </c>
      <c r="AR48" s="1610">
        <v>59.5</v>
      </c>
      <c r="AS48" s="1610">
        <v>0</v>
      </c>
      <c r="AT48" s="1612">
        <f t="shared" si="63"/>
        <v>12150.699999999997</v>
      </c>
      <c r="AU48" s="2451">
        <v>590.1</v>
      </c>
      <c r="AV48" s="2452">
        <v>0</v>
      </c>
      <c r="AW48" s="2452">
        <v>364.8</v>
      </c>
      <c r="AX48" s="2452">
        <v>0</v>
      </c>
      <c r="AY48" s="2452">
        <v>211.4</v>
      </c>
      <c r="AZ48" s="2452">
        <v>53.3</v>
      </c>
      <c r="BA48" s="2452">
        <v>0</v>
      </c>
      <c r="BB48" s="2452">
        <v>149</v>
      </c>
      <c r="BC48" s="2452">
        <v>582</v>
      </c>
      <c r="BD48" s="2452">
        <v>86.6</v>
      </c>
      <c r="BE48" s="2452">
        <v>186.5</v>
      </c>
      <c r="BF48" s="1613">
        <v>318.89999999999998</v>
      </c>
      <c r="BG48" s="784">
        <v>0</v>
      </c>
      <c r="BH48" s="1610">
        <v>0</v>
      </c>
      <c r="BI48" s="1613">
        <v>0</v>
      </c>
      <c r="BJ48" s="2212">
        <v>2542.6</v>
      </c>
      <c r="BK48" s="1615">
        <v>11125</v>
      </c>
      <c r="BL48" s="1604">
        <v>1248</v>
      </c>
      <c r="BM48" s="1604">
        <v>330</v>
      </c>
      <c r="BN48" s="1604">
        <v>158</v>
      </c>
      <c r="BO48" s="1604">
        <v>770</v>
      </c>
      <c r="BP48" s="1617">
        <v>409</v>
      </c>
      <c r="BQ48" s="1618">
        <v>250</v>
      </c>
      <c r="BR48" s="1604"/>
      <c r="BS48" s="1604">
        <v>67</v>
      </c>
      <c r="BT48" s="1604">
        <v>0</v>
      </c>
      <c r="BU48" s="1604">
        <v>52</v>
      </c>
      <c r="BV48" s="1619">
        <v>134</v>
      </c>
      <c r="BW48" s="2453">
        <v>0</v>
      </c>
      <c r="BX48" s="1604">
        <v>0</v>
      </c>
      <c r="BY48" s="1619">
        <v>33</v>
      </c>
      <c r="BZ48" s="1604">
        <v>187</v>
      </c>
      <c r="CA48" s="1604">
        <v>264</v>
      </c>
      <c r="CB48" s="1620">
        <v>20</v>
      </c>
      <c r="CC48" s="2218">
        <v>0</v>
      </c>
      <c r="CD48" s="2219">
        <v>0</v>
      </c>
      <c r="CE48" s="1553"/>
      <c r="CF48" s="2448"/>
      <c r="CG48" s="1553"/>
      <c r="CH48" s="1553"/>
      <c r="CI48" s="1553"/>
      <c r="CJ48" s="1553"/>
      <c r="CK48" s="1553"/>
      <c r="CL48" s="1553"/>
      <c r="CM48" s="1553"/>
      <c r="CN48" s="1553"/>
      <c r="CO48" s="1553"/>
      <c r="CP48" s="1553"/>
      <c r="CQ48" s="796"/>
      <c r="CR48" s="796"/>
      <c r="CS48" s="2449"/>
      <c r="CT48" s="2449"/>
      <c r="CU48" s="2449"/>
      <c r="CV48" s="2449"/>
      <c r="CW48" s="2449"/>
      <c r="CX48" s="2449"/>
    </row>
    <row r="49" spans="34:148" s="1550" customFormat="1" ht="20.100000000000001" customHeight="1">
      <c r="AH49" s="1608">
        <v>9</v>
      </c>
      <c r="AI49" s="1609" t="s">
        <v>49</v>
      </c>
      <c r="AJ49" s="1598">
        <v>3</v>
      </c>
      <c r="AK49" s="784">
        <v>0</v>
      </c>
      <c r="AL49" s="1599">
        <v>0</v>
      </c>
      <c r="AM49" s="1610">
        <v>0</v>
      </c>
      <c r="AN49" s="1611">
        <v>0</v>
      </c>
      <c r="AO49" s="2450">
        <v>4911.9999999999991</v>
      </c>
      <c r="AP49" s="1614">
        <v>0</v>
      </c>
      <c r="AQ49" s="1610">
        <v>0</v>
      </c>
      <c r="AR49" s="1610">
        <v>0</v>
      </c>
      <c r="AS49" s="1610">
        <v>0</v>
      </c>
      <c r="AT49" s="1612">
        <f t="shared" si="63"/>
        <v>4911.9999999999991</v>
      </c>
      <c r="AU49" s="2451">
        <v>0</v>
      </c>
      <c r="AV49" s="2452">
        <v>0</v>
      </c>
      <c r="AW49" s="2452">
        <v>0</v>
      </c>
      <c r="AX49" s="2452">
        <v>0</v>
      </c>
      <c r="AY49" s="2452">
        <v>0</v>
      </c>
      <c r="AZ49" s="2452">
        <v>0</v>
      </c>
      <c r="BA49" s="2452">
        <v>0</v>
      </c>
      <c r="BB49" s="2452">
        <v>0</v>
      </c>
      <c r="BC49" s="2452">
        <v>0</v>
      </c>
      <c r="BD49" s="2452">
        <v>0</v>
      </c>
      <c r="BE49" s="2452">
        <v>0</v>
      </c>
      <c r="BF49" s="1613">
        <v>0</v>
      </c>
      <c r="BG49" s="788">
        <v>0</v>
      </c>
      <c r="BH49" s="1610">
        <v>0</v>
      </c>
      <c r="BI49" s="1613">
        <v>0</v>
      </c>
      <c r="BJ49" s="2213">
        <v>0</v>
      </c>
      <c r="BK49" s="1621">
        <v>4504</v>
      </c>
      <c r="BL49" s="1619">
        <v>0</v>
      </c>
      <c r="BM49" s="1604">
        <v>0</v>
      </c>
      <c r="BN49" s="1604">
        <v>0</v>
      </c>
      <c r="BO49" s="1604">
        <v>0</v>
      </c>
      <c r="BP49" s="1623">
        <v>0</v>
      </c>
      <c r="BQ49" s="1622"/>
      <c r="BR49" s="1619"/>
      <c r="BS49" s="1604"/>
      <c r="BT49" s="1604"/>
      <c r="BU49" s="1604"/>
      <c r="BV49" s="1568"/>
      <c r="BW49" s="1568"/>
      <c r="BX49" s="1568"/>
      <c r="BY49" s="1568"/>
      <c r="BZ49" s="1568"/>
      <c r="CA49" s="1568"/>
      <c r="CB49" s="1568"/>
      <c r="CC49" s="2216"/>
      <c r="CD49" s="2217"/>
      <c r="CF49" s="1559"/>
      <c r="CG49" s="1553"/>
      <c r="CH49" s="1553"/>
      <c r="CI49" s="1553"/>
      <c r="CJ49" s="1553"/>
      <c r="CK49" s="1553"/>
      <c r="CL49" s="1553"/>
      <c r="CM49" s="1553"/>
      <c r="CN49" s="1553"/>
      <c r="CO49" s="1553"/>
      <c r="CP49" s="1553"/>
      <c r="CQ49" s="796"/>
      <c r="CR49" s="796"/>
      <c r="CS49" s="2449"/>
      <c r="CT49" s="2449"/>
      <c r="CU49" s="2449"/>
      <c r="CV49" s="2449"/>
      <c r="CW49" s="2449"/>
      <c r="CX49" s="2449"/>
    </row>
    <row r="50" spans="34:148" s="1550" customFormat="1" ht="20.100000000000001" customHeight="1">
      <c r="AH50" s="1608">
        <v>10</v>
      </c>
      <c r="AI50" s="1609" t="s">
        <v>83</v>
      </c>
      <c r="AJ50" s="1598">
        <v>0</v>
      </c>
      <c r="AK50" s="784">
        <v>0</v>
      </c>
      <c r="AL50" s="1599">
        <v>44.9</v>
      </c>
      <c r="AM50" s="1610">
        <v>25</v>
      </c>
      <c r="AN50" s="1611">
        <v>510</v>
      </c>
      <c r="AO50" s="2450">
        <v>5683.2</v>
      </c>
      <c r="AP50" s="1614">
        <v>0</v>
      </c>
      <c r="AQ50" s="1610">
        <v>0</v>
      </c>
      <c r="AR50" s="1610">
        <v>122.7</v>
      </c>
      <c r="AS50" s="1610">
        <v>77</v>
      </c>
      <c r="AT50" s="1612">
        <f t="shared" si="63"/>
        <v>5882.9</v>
      </c>
      <c r="AU50" s="2451">
        <v>0</v>
      </c>
      <c r="AV50" s="2452">
        <v>0</v>
      </c>
      <c r="AW50" s="2452">
        <v>0</v>
      </c>
      <c r="AX50" s="2452">
        <v>0</v>
      </c>
      <c r="AY50" s="2452">
        <v>0</v>
      </c>
      <c r="AZ50" s="2452">
        <v>0</v>
      </c>
      <c r="BA50" s="2452">
        <v>403</v>
      </c>
      <c r="BB50" s="2452">
        <v>0</v>
      </c>
      <c r="BC50" s="2452">
        <v>0</v>
      </c>
      <c r="BD50" s="2452">
        <v>0</v>
      </c>
      <c r="BE50" s="2452">
        <v>90</v>
      </c>
      <c r="BF50" s="1613">
        <v>98.7</v>
      </c>
      <c r="BG50" s="788">
        <v>6.7</v>
      </c>
      <c r="BH50" s="1613">
        <v>2.8</v>
      </c>
      <c r="BI50" s="1613">
        <v>0</v>
      </c>
      <c r="BJ50" s="2213">
        <v>601.20000000000005</v>
      </c>
      <c r="BK50" s="1621">
        <v>5945</v>
      </c>
      <c r="BL50" s="1604">
        <v>0</v>
      </c>
      <c r="BM50" s="1604">
        <v>0</v>
      </c>
      <c r="BN50" s="1604">
        <v>404</v>
      </c>
      <c r="BO50" s="1604">
        <v>97</v>
      </c>
      <c r="BP50" s="1617">
        <v>102</v>
      </c>
      <c r="BQ50" s="1622"/>
      <c r="BR50" s="1604"/>
      <c r="BS50" s="1604"/>
      <c r="BT50" s="1604">
        <v>150</v>
      </c>
      <c r="BU50" s="1604">
        <v>0</v>
      </c>
      <c r="BV50" s="1619">
        <v>0</v>
      </c>
      <c r="BW50" s="2453">
        <v>0</v>
      </c>
      <c r="BX50" s="1604">
        <v>0</v>
      </c>
      <c r="BY50" s="1619">
        <v>0</v>
      </c>
      <c r="BZ50" s="1604">
        <v>90</v>
      </c>
      <c r="CA50" s="1604">
        <v>78</v>
      </c>
      <c r="CB50" s="1620">
        <v>4</v>
      </c>
      <c r="CC50" s="2218">
        <v>1</v>
      </c>
      <c r="CD50" s="2219">
        <v>0</v>
      </c>
      <c r="CE50" s="1553"/>
      <c r="CF50" s="2448"/>
      <c r="CG50" s="1553"/>
      <c r="CH50" s="1553"/>
      <c r="CI50" s="1553"/>
      <c r="CJ50" s="1553"/>
      <c r="CK50" s="1553"/>
      <c r="CL50" s="1553"/>
      <c r="CM50" s="1553"/>
      <c r="CN50" s="1553"/>
      <c r="CO50" s="1553"/>
      <c r="CP50" s="1553"/>
      <c r="CQ50" s="796"/>
      <c r="CR50" s="796"/>
      <c r="CS50" s="2449"/>
      <c r="CT50" s="2449"/>
      <c r="CU50" s="2449"/>
      <c r="CV50" s="2449"/>
      <c r="CW50" s="2449"/>
      <c r="CX50" s="2449"/>
    </row>
    <row r="51" spans="34:148" s="1550" customFormat="1" ht="24.95" customHeight="1">
      <c r="AH51" s="1608">
        <v>11</v>
      </c>
      <c r="AI51" s="1609" t="s">
        <v>84</v>
      </c>
      <c r="AJ51" s="1598">
        <v>0</v>
      </c>
      <c r="AK51" s="784">
        <v>0</v>
      </c>
      <c r="AL51" s="1599">
        <v>0</v>
      </c>
      <c r="AM51" s="1610">
        <v>0</v>
      </c>
      <c r="AN51" s="1611">
        <v>0</v>
      </c>
      <c r="AO51" s="2450">
        <v>4136.8999999999996</v>
      </c>
      <c r="AP51" s="1614">
        <v>0</v>
      </c>
      <c r="AQ51" s="1610">
        <v>0</v>
      </c>
      <c r="AR51" s="1610">
        <v>0</v>
      </c>
      <c r="AS51" s="1610">
        <v>0</v>
      </c>
      <c r="AT51" s="1612">
        <f t="shared" si="63"/>
        <v>4136.8999999999996</v>
      </c>
      <c r="AU51" s="2451">
        <v>0</v>
      </c>
      <c r="AV51" s="2452">
        <v>0</v>
      </c>
      <c r="AW51" s="2452">
        <v>0</v>
      </c>
      <c r="AX51" s="2452">
        <v>0</v>
      </c>
      <c r="AY51" s="2452">
        <v>0</v>
      </c>
      <c r="AZ51" s="2452">
        <v>0</v>
      </c>
      <c r="BA51" s="2452">
        <v>0</v>
      </c>
      <c r="BB51" s="2452">
        <v>0</v>
      </c>
      <c r="BC51" s="2452">
        <v>0</v>
      </c>
      <c r="BD51" s="2452">
        <v>0</v>
      </c>
      <c r="BE51" s="2452">
        <v>0</v>
      </c>
      <c r="BF51" s="1613">
        <v>0</v>
      </c>
      <c r="BG51" s="788">
        <v>0</v>
      </c>
      <c r="BH51" s="1610">
        <v>0</v>
      </c>
      <c r="BI51" s="1613">
        <v>0</v>
      </c>
      <c r="BJ51" s="2213">
        <v>0</v>
      </c>
      <c r="BK51" s="1621">
        <v>0</v>
      </c>
      <c r="BL51" s="1604">
        <v>0</v>
      </c>
      <c r="BM51" s="1604">
        <v>0</v>
      </c>
      <c r="BN51" s="1604">
        <v>0</v>
      </c>
      <c r="BO51" s="1604">
        <v>0</v>
      </c>
      <c r="BP51" s="1617">
        <v>0</v>
      </c>
      <c r="BQ51" s="1622"/>
      <c r="BR51" s="1604"/>
      <c r="BS51" s="1604"/>
      <c r="BT51" s="1604">
        <v>93</v>
      </c>
      <c r="BU51" s="1604">
        <v>0</v>
      </c>
      <c r="BV51" s="1568"/>
      <c r="BW51" s="1568"/>
      <c r="BX51" s="1568"/>
      <c r="BY51" s="1568"/>
      <c r="BZ51" s="1568"/>
      <c r="CA51" s="1568"/>
      <c r="CB51" s="1568"/>
      <c r="CC51" s="2216"/>
      <c r="CD51" s="2217"/>
      <c r="CF51" s="1559"/>
      <c r="CG51" s="1553"/>
      <c r="CH51" s="1553"/>
      <c r="CI51" s="1553"/>
      <c r="CJ51" s="1553"/>
      <c r="CK51" s="1553"/>
      <c r="CL51" s="1553"/>
      <c r="CM51" s="1553"/>
      <c r="CN51" s="1553"/>
      <c r="CO51" s="1553"/>
      <c r="CP51" s="1553"/>
      <c r="CQ51" s="796"/>
      <c r="CR51" s="796"/>
      <c r="CS51" s="2449"/>
      <c r="CT51" s="2449"/>
      <c r="CU51" s="2449"/>
      <c r="CV51" s="2449"/>
      <c r="CW51" s="2449"/>
      <c r="CX51" s="2449"/>
    </row>
    <row r="52" spans="34:148" s="1550" customFormat="1" ht="20.100000000000001" customHeight="1">
      <c r="AH52" s="1608">
        <v>12</v>
      </c>
      <c r="AI52" s="1609" t="s">
        <v>56</v>
      </c>
      <c r="AJ52" s="1598">
        <v>0</v>
      </c>
      <c r="AK52" s="784">
        <v>0</v>
      </c>
      <c r="AL52" s="1599">
        <v>0</v>
      </c>
      <c r="AM52" s="1610">
        <v>0</v>
      </c>
      <c r="AN52" s="1611">
        <v>0</v>
      </c>
      <c r="AO52" s="2450">
        <v>2288.5</v>
      </c>
      <c r="AP52" s="1614">
        <v>0</v>
      </c>
      <c r="AQ52" s="1610">
        <v>0</v>
      </c>
      <c r="AR52" s="1610">
        <v>0</v>
      </c>
      <c r="AS52" s="1610">
        <v>0</v>
      </c>
      <c r="AT52" s="1612">
        <f t="shared" si="63"/>
        <v>2288.5</v>
      </c>
      <c r="AU52" s="2451">
        <v>0</v>
      </c>
      <c r="AV52" s="2452">
        <v>0</v>
      </c>
      <c r="AW52" s="2452">
        <v>0</v>
      </c>
      <c r="AX52" s="2452">
        <v>0</v>
      </c>
      <c r="AY52" s="2452">
        <v>0</v>
      </c>
      <c r="AZ52" s="2452">
        <v>0</v>
      </c>
      <c r="BA52" s="2452">
        <v>0</v>
      </c>
      <c r="BB52" s="2452">
        <v>177</v>
      </c>
      <c r="BC52" s="2452">
        <v>120</v>
      </c>
      <c r="BD52" s="2452">
        <v>0</v>
      </c>
      <c r="BE52" s="2452">
        <v>0</v>
      </c>
      <c r="BF52" s="1613">
        <v>20</v>
      </c>
      <c r="BG52" s="788">
        <v>0</v>
      </c>
      <c r="BH52" s="1610">
        <v>0</v>
      </c>
      <c r="BI52" s="1613">
        <v>0</v>
      </c>
      <c r="BJ52" s="2213">
        <v>317</v>
      </c>
      <c r="BK52" s="1621">
        <v>2378</v>
      </c>
      <c r="BL52" s="1604">
        <v>0</v>
      </c>
      <c r="BM52" s="1604">
        <v>0</v>
      </c>
      <c r="BN52" s="1604">
        <v>186</v>
      </c>
      <c r="BO52" s="1604">
        <v>120</v>
      </c>
      <c r="BP52" s="1617">
        <v>20</v>
      </c>
      <c r="BQ52" s="1622"/>
      <c r="BR52" s="1604"/>
      <c r="BS52" s="1604"/>
      <c r="BT52" s="1604">
        <v>0</v>
      </c>
      <c r="BU52" s="1604">
        <v>60</v>
      </c>
      <c r="BV52" s="1619">
        <v>120</v>
      </c>
      <c r="BW52" s="2453">
        <v>0</v>
      </c>
      <c r="BX52" s="1604">
        <v>0</v>
      </c>
      <c r="BY52" s="1619">
        <v>0</v>
      </c>
      <c r="BZ52" s="1604">
        <v>0</v>
      </c>
      <c r="CA52" s="1604">
        <v>20</v>
      </c>
      <c r="CB52" s="1620">
        <v>0</v>
      </c>
      <c r="CC52" s="2218">
        <v>0</v>
      </c>
      <c r="CD52" s="2219">
        <v>0</v>
      </c>
      <c r="CE52" s="1553"/>
      <c r="CF52" s="2448"/>
      <c r="CG52" s="1553"/>
      <c r="CH52" s="1553"/>
      <c r="CI52" s="1553"/>
      <c r="CJ52" s="1553"/>
      <c r="CK52" s="1553"/>
      <c r="CL52" s="1553"/>
      <c r="CM52" s="1553"/>
      <c r="CN52" s="1553"/>
      <c r="CO52" s="1553"/>
      <c r="CP52" s="1553"/>
      <c r="CQ52" s="796"/>
      <c r="CR52" s="796"/>
      <c r="CS52" s="2449"/>
      <c r="CT52" s="2449"/>
      <c r="CU52" s="2449"/>
      <c r="CV52" s="2449"/>
      <c r="CW52" s="2449"/>
      <c r="CX52" s="2449"/>
    </row>
    <row r="53" spans="34:148" s="1550" customFormat="1" ht="20.100000000000001" customHeight="1">
      <c r="AH53" s="1608">
        <v>13</v>
      </c>
      <c r="AI53" s="1609" t="s">
        <v>50</v>
      </c>
      <c r="AJ53" s="1598">
        <v>0.30000000000000071</v>
      </c>
      <c r="AK53" s="784">
        <v>0</v>
      </c>
      <c r="AL53" s="1599">
        <v>0</v>
      </c>
      <c r="AM53" s="1610">
        <v>0</v>
      </c>
      <c r="AN53" s="1611">
        <v>0</v>
      </c>
      <c r="AO53" s="2450">
        <v>6266.2999999999993</v>
      </c>
      <c r="AP53" s="1614">
        <v>0</v>
      </c>
      <c r="AQ53" s="1610">
        <v>0</v>
      </c>
      <c r="AR53" s="1610">
        <v>0</v>
      </c>
      <c r="AS53" s="1610">
        <v>0</v>
      </c>
      <c r="AT53" s="1612">
        <f t="shared" si="63"/>
        <v>6266.2999999999993</v>
      </c>
      <c r="AU53" s="2451">
        <v>0</v>
      </c>
      <c r="AV53" s="2452">
        <v>0</v>
      </c>
      <c r="AW53" s="2452">
        <v>0</v>
      </c>
      <c r="AX53" s="2452">
        <v>0</v>
      </c>
      <c r="AY53" s="2452">
        <v>0</v>
      </c>
      <c r="AZ53" s="2452">
        <v>0</v>
      </c>
      <c r="BA53" s="2452">
        <v>920</v>
      </c>
      <c r="BB53" s="2452">
        <v>115</v>
      </c>
      <c r="BC53" s="2452">
        <v>0</v>
      </c>
      <c r="BD53" s="2452">
        <v>0</v>
      </c>
      <c r="BE53" s="2452">
        <v>0</v>
      </c>
      <c r="BF53" s="1613">
        <v>0</v>
      </c>
      <c r="BG53" s="788">
        <v>0</v>
      </c>
      <c r="BH53" s="1610">
        <v>0</v>
      </c>
      <c r="BI53" s="1613">
        <v>0</v>
      </c>
      <c r="BJ53" s="2213">
        <v>1035</v>
      </c>
      <c r="BK53" s="1621">
        <v>5731</v>
      </c>
      <c r="BL53" s="1616">
        <v>0</v>
      </c>
      <c r="BM53" s="1604">
        <v>0</v>
      </c>
      <c r="BN53" s="1604">
        <v>1047</v>
      </c>
      <c r="BO53" s="1604">
        <v>0</v>
      </c>
      <c r="BP53" s="1617">
        <v>0</v>
      </c>
      <c r="BQ53" s="1622"/>
      <c r="BR53" s="1616"/>
      <c r="BS53" s="1604"/>
      <c r="BT53" s="1604">
        <v>395</v>
      </c>
      <c r="BU53" s="1604">
        <v>35</v>
      </c>
      <c r="BV53" s="1619"/>
      <c r="BW53" s="2453"/>
      <c r="BX53" s="1604"/>
      <c r="BY53" s="1619"/>
      <c r="BZ53" s="1604"/>
      <c r="CA53" s="1604"/>
      <c r="CB53" s="1620"/>
      <c r="CC53" s="2218"/>
      <c r="CD53" s="2219"/>
      <c r="CE53" s="1553"/>
      <c r="CF53" s="1559"/>
      <c r="CG53" s="1553"/>
      <c r="CH53" s="1553"/>
      <c r="CI53" s="1553"/>
      <c r="CJ53" s="1553"/>
      <c r="CK53" s="1553"/>
      <c r="CL53" s="1553"/>
      <c r="CM53" s="1553"/>
      <c r="CN53" s="1553"/>
      <c r="CO53" s="1553"/>
      <c r="CP53" s="1553"/>
      <c r="CQ53" s="796"/>
      <c r="CR53" s="796"/>
      <c r="CS53" s="2449"/>
      <c r="CT53" s="2449"/>
      <c r="CU53" s="2449"/>
      <c r="CV53" s="2449"/>
      <c r="CW53" s="2449"/>
      <c r="CX53" s="2449"/>
    </row>
    <row r="54" spans="34:148" s="1550" customFormat="1" ht="20.100000000000001" customHeight="1">
      <c r="AH54" s="1608">
        <v>14</v>
      </c>
      <c r="AI54" s="785" t="s">
        <v>85</v>
      </c>
      <c r="AJ54" s="1598">
        <v>13.3</v>
      </c>
      <c r="AK54" s="784">
        <v>0</v>
      </c>
      <c r="AL54" s="1599">
        <v>0</v>
      </c>
      <c r="AM54" s="1610">
        <v>0</v>
      </c>
      <c r="AN54" s="1611">
        <v>0</v>
      </c>
      <c r="AO54" s="2450">
        <v>561.29999999999995</v>
      </c>
      <c r="AP54" s="1614">
        <v>8</v>
      </c>
      <c r="AQ54" s="1610">
        <v>0</v>
      </c>
      <c r="AR54" s="1610">
        <v>0</v>
      </c>
      <c r="AS54" s="1610">
        <v>0</v>
      </c>
      <c r="AT54" s="1612">
        <f t="shared" si="63"/>
        <v>569.29999999999995</v>
      </c>
      <c r="AU54" s="2451">
        <v>0</v>
      </c>
      <c r="AV54" s="2452">
        <v>0</v>
      </c>
      <c r="AW54" s="2452">
        <v>0</v>
      </c>
      <c r="AX54" s="2452">
        <v>0</v>
      </c>
      <c r="AY54" s="2452">
        <v>0</v>
      </c>
      <c r="AZ54" s="2452">
        <v>0</v>
      </c>
      <c r="BA54" s="2452">
        <v>0</v>
      </c>
      <c r="BB54" s="2452">
        <v>0</v>
      </c>
      <c r="BC54" s="2452">
        <v>0</v>
      </c>
      <c r="BD54" s="2452">
        <v>102.5</v>
      </c>
      <c r="BE54" s="2452">
        <v>0</v>
      </c>
      <c r="BF54" s="1613">
        <v>23</v>
      </c>
      <c r="BG54" s="788">
        <v>0</v>
      </c>
      <c r="BH54" s="1610">
        <v>0</v>
      </c>
      <c r="BI54" s="1613">
        <v>0</v>
      </c>
      <c r="BJ54" s="2213">
        <v>125.5</v>
      </c>
      <c r="BK54" s="1621">
        <v>486</v>
      </c>
      <c r="BL54" s="1604">
        <v>0</v>
      </c>
      <c r="BM54" s="1604">
        <v>0</v>
      </c>
      <c r="BN54" s="1604">
        <v>0</v>
      </c>
      <c r="BO54" s="1604">
        <v>0</v>
      </c>
      <c r="BP54" s="1617">
        <v>126</v>
      </c>
      <c r="BQ54" s="1622"/>
      <c r="BR54" s="1604"/>
      <c r="BS54" s="1604"/>
      <c r="BT54" s="1604"/>
      <c r="BU54" s="1604"/>
      <c r="BV54" s="1619">
        <v>0</v>
      </c>
      <c r="BW54" s="2453">
        <v>32</v>
      </c>
      <c r="BX54" s="1604">
        <v>0</v>
      </c>
      <c r="BY54" s="1619">
        <v>0</v>
      </c>
      <c r="BZ54" s="1604">
        <v>0</v>
      </c>
      <c r="CA54" s="1604">
        <v>23</v>
      </c>
      <c r="CB54" s="1620">
        <v>0</v>
      </c>
      <c r="CC54" s="2218">
        <v>0</v>
      </c>
      <c r="CD54" s="2219">
        <v>0</v>
      </c>
      <c r="CE54" s="1553"/>
      <c r="CF54" s="2448"/>
      <c r="CG54" s="1553"/>
      <c r="CH54" s="1553"/>
      <c r="CI54" s="1553"/>
      <c r="CJ54" s="1553"/>
      <c r="CK54" s="1553"/>
      <c r="CL54" s="1553"/>
      <c r="CM54" s="1553"/>
      <c r="CN54" s="1553"/>
      <c r="CO54" s="1553"/>
      <c r="CP54" s="1553"/>
      <c r="CQ54" s="796"/>
      <c r="CR54" s="796"/>
      <c r="CS54" s="2449"/>
      <c r="CT54" s="2449"/>
      <c r="CU54" s="2449"/>
      <c r="CV54" s="2449"/>
      <c r="CW54" s="2449"/>
      <c r="CX54" s="2449"/>
    </row>
    <row r="55" spans="34:148" s="1550" customFormat="1" ht="20.100000000000001" customHeight="1">
      <c r="AH55" s="1608">
        <v>15</v>
      </c>
      <c r="AI55" s="1609" t="s">
        <v>132</v>
      </c>
      <c r="AJ55" s="1598">
        <v>5.5</v>
      </c>
      <c r="AK55" s="784">
        <v>0</v>
      </c>
      <c r="AL55" s="1599">
        <v>0</v>
      </c>
      <c r="AM55" s="1610">
        <v>0</v>
      </c>
      <c r="AN55" s="1611">
        <v>25</v>
      </c>
      <c r="AO55" s="2450">
        <v>1440.4999999999998</v>
      </c>
      <c r="AP55" s="1614">
        <v>0</v>
      </c>
      <c r="AQ55" s="1610">
        <v>0</v>
      </c>
      <c r="AR55" s="1610">
        <v>0</v>
      </c>
      <c r="AS55" s="1610">
        <v>0</v>
      </c>
      <c r="AT55" s="1612">
        <f t="shared" si="63"/>
        <v>1440.4999999999998</v>
      </c>
      <c r="AU55" s="2451">
        <v>0</v>
      </c>
      <c r="AV55" s="2452">
        <v>0</v>
      </c>
      <c r="AW55" s="2452">
        <v>0</v>
      </c>
      <c r="AX55" s="2452">
        <v>0</v>
      </c>
      <c r="AY55" s="2452">
        <v>0</v>
      </c>
      <c r="AZ55" s="2452">
        <v>0</v>
      </c>
      <c r="BA55" s="2452">
        <v>0</v>
      </c>
      <c r="BB55" s="2452">
        <v>0</v>
      </c>
      <c r="BC55" s="2452">
        <v>0</v>
      </c>
      <c r="BD55" s="2452">
        <v>0</v>
      </c>
      <c r="BE55" s="2452">
        <v>0</v>
      </c>
      <c r="BF55" s="1613">
        <v>0</v>
      </c>
      <c r="BG55" s="788">
        <v>0</v>
      </c>
      <c r="BH55" s="1610">
        <v>0</v>
      </c>
      <c r="BI55" s="1613">
        <v>0</v>
      </c>
      <c r="BJ55" s="2213">
        <v>0</v>
      </c>
      <c r="BK55" s="1621">
        <v>1412</v>
      </c>
      <c r="BL55" s="1604">
        <v>0</v>
      </c>
      <c r="BM55" s="1604">
        <v>0</v>
      </c>
      <c r="BN55" s="1604">
        <v>0</v>
      </c>
      <c r="BO55" s="1604">
        <v>0</v>
      </c>
      <c r="BP55" s="1617">
        <v>0</v>
      </c>
      <c r="BQ55" s="1622"/>
      <c r="BR55" s="1604"/>
      <c r="BS55" s="1604"/>
      <c r="BT55" s="1604"/>
      <c r="BU55" s="1604"/>
      <c r="BV55" s="1619"/>
      <c r="BW55" s="2453"/>
      <c r="BX55" s="1604"/>
      <c r="BY55" s="1619"/>
      <c r="BZ55" s="1604"/>
      <c r="CA55" s="1604"/>
      <c r="CB55" s="1620"/>
      <c r="CC55" s="2218"/>
      <c r="CD55" s="2219"/>
      <c r="CE55" s="1553"/>
      <c r="CF55" s="1559"/>
      <c r="CG55" s="1553"/>
      <c r="CH55" s="1553"/>
      <c r="CI55" s="1553"/>
      <c r="CJ55" s="1553"/>
      <c r="CK55" s="1553"/>
      <c r="CL55" s="1553"/>
      <c r="CM55" s="1553"/>
      <c r="CN55" s="1553"/>
      <c r="CO55" s="1553"/>
      <c r="CP55" s="1553"/>
      <c r="CQ55" s="796"/>
      <c r="CR55" s="796"/>
      <c r="CS55" s="2449"/>
      <c r="CT55" s="2449"/>
      <c r="CU55" s="2449"/>
      <c r="CV55" s="2449"/>
      <c r="CW55" s="2449"/>
      <c r="CX55" s="2449"/>
    </row>
    <row r="56" spans="34:148" s="1550" customFormat="1" ht="24.95" customHeight="1">
      <c r="AH56" s="1608">
        <v>16</v>
      </c>
      <c r="AI56" s="1609" t="s">
        <v>51</v>
      </c>
      <c r="AJ56" s="1598">
        <v>0</v>
      </c>
      <c r="AK56" s="784">
        <v>0</v>
      </c>
      <c r="AL56" s="1599">
        <v>0</v>
      </c>
      <c r="AM56" s="1610">
        <v>0</v>
      </c>
      <c r="AN56" s="1611">
        <v>0</v>
      </c>
      <c r="AO56" s="2450">
        <v>2648.0000000000005</v>
      </c>
      <c r="AP56" s="1614">
        <v>0</v>
      </c>
      <c r="AQ56" s="1610">
        <v>0</v>
      </c>
      <c r="AR56" s="1610">
        <v>0</v>
      </c>
      <c r="AS56" s="1610">
        <v>0</v>
      </c>
      <c r="AT56" s="1612">
        <f t="shared" si="63"/>
        <v>2648.0000000000005</v>
      </c>
      <c r="AU56" s="2451">
        <v>0</v>
      </c>
      <c r="AV56" s="2452">
        <v>40</v>
      </c>
      <c r="AW56" s="2452">
        <v>187.5</v>
      </c>
      <c r="AX56" s="2452">
        <v>55</v>
      </c>
      <c r="AY56" s="2452">
        <v>0</v>
      </c>
      <c r="AZ56" s="2452">
        <v>0</v>
      </c>
      <c r="BA56" s="2452">
        <v>0</v>
      </c>
      <c r="BB56" s="2452">
        <v>0</v>
      </c>
      <c r="BC56" s="2452">
        <v>0</v>
      </c>
      <c r="BD56" s="2452">
        <v>0</v>
      </c>
      <c r="BE56" s="2452">
        <v>0</v>
      </c>
      <c r="BF56" s="1613">
        <v>0</v>
      </c>
      <c r="BG56" s="788">
        <v>0</v>
      </c>
      <c r="BH56" s="1610">
        <v>0</v>
      </c>
      <c r="BI56" s="1613">
        <v>0</v>
      </c>
      <c r="BJ56" s="2213">
        <v>282.5</v>
      </c>
      <c r="BK56" s="1621">
        <v>2590</v>
      </c>
      <c r="BL56" s="1604">
        <v>402</v>
      </c>
      <c r="BM56" s="1604">
        <v>0</v>
      </c>
      <c r="BN56" s="1604">
        <v>0</v>
      </c>
      <c r="BO56" s="1604">
        <v>0</v>
      </c>
      <c r="BP56" s="1617">
        <v>0</v>
      </c>
      <c r="BQ56" s="1622">
        <v>108</v>
      </c>
      <c r="BR56" s="1604">
        <v>55</v>
      </c>
      <c r="BS56" s="1604"/>
      <c r="BT56" s="1604"/>
      <c r="BU56" s="1604"/>
      <c r="BV56" s="1619"/>
      <c r="BW56" s="2453"/>
      <c r="BX56" s="1604"/>
      <c r="BY56" s="1619"/>
      <c r="BZ56" s="1604"/>
      <c r="CA56" s="1604"/>
      <c r="CB56" s="1620"/>
      <c r="CC56" s="2218"/>
      <c r="CD56" s="2219"/>
      <c r="CE56" s="1553"/>
      <c r="CF56" s="1559"/>
      <c r="CG56" s="1553"/>
      <c r="CH56" s="1553"/>
      <c r="CI56" s="1553"/>
      <c r="CJ56" s="1553"/>
      <c r="CK56" s="1553"/>
      <c r="CL56" s="1553"/>
      <c r="CM56" s="1553"/>
      <c r="CN56" s="1553"/>
      <c r="CO56" s="1553"/>
      <c r="CP56" s="1553"/>
      <c r="CQ56" s="796"/>
      <c r="CR56" s="796"/>
      <c r="CS56" s="2449"/>
      <c r="CT56" s="2449"/>
      <c r="CU56" s="2449"/>
      <c r="CV56" s="2449"/>
      <c r="CW56" s="2449"/>
      <c r="CX56" s="2449"/>
    </row>
    <row r="57" spans="34:148" s="1550" customFormat="1" ht="20.100000000000001" customHeight="1">
      <c r="AH57" s="1608">
        <v>17</v>
      </c>
      <c r="AI57" s="1609" t="s">
        <v>52</v>
      </c>
      <c r="AJ57" s="1598">
        <v>4</v>
      </c>
      <c r="AK57" s="784">
        <v>25</v>
      </c>
      <c r="AL57" s="1599">
        <v>0</v>
      </c>
      <c r="AM57" s="1610">
        <v>0</v>
      </c>
      <c r="AN57" s="1611">
        <v>0</v>
      </c>
      <c r="AO57" s="2450">
        <v>5639.2</v>
      </c>
      <c r="AP57" s="1614">
        <v>0</v>
      </c>
      <c r="AQ57" s="1610">
        <v>0</v>
      </c>
      <c r="AR57" s="1610">
        <v>0</v>
      </c>
      <c r="AS57" s="1610">
        <v>0</v>
      </c>
      <c r="AT57" s="1612">
        <f t="shared" si="63"/>
        <v>5639.2</v>
      </c>
      <c r="AU57" s="2451">
        <v>0</v>
      </c>
      <c r="AV57" s="2452">
        <v>0</v>
      </c>
      <c r="AW57" s="2452">
        <v>0</v>
      </c>
      <c r="AX57" s="2452">
        <v>0</v>
      </c>
      <c r="AY57" s="2452">
        <v>0</v>
      </c>
      <c r="AZ57" s="2452">
        <v>0</v>
      </c>
      <c r="BA57" s="2452">
        <v>678</v>
      </c>
      <c r="BB57" s="2452">
        <v>0</v>
      </c>
      <c r="BC57" s="2452">
        <v>142.80000000000001</v>
      </c>
      <c r="BD57" s="2452">
        <v>0</v>
      </c>
      <c r="BE57" s="2452">
        <v>0</v>
      </c>
      <c r="BF57" s="1613">
        <v>81.099999999999994</v>
      </c>
      <c r="BG57" s="788">
        <v>111</v>
      </c>
      <c r="BH57" s="1610">
        <v>0</v>
      </c>
      <c r="BI57" s="1613">
        <v>0</v>
      </c>
      <c r="BJ57" s="2212">
        <v>1012.9</v>
      </c>
      <c r="BK57" s="1615">
        <v>5292</v>
      </c>
      <c r="BL57" s="1604">
        <v>0</v>
      </c>
      <c r="BM57" s="1604">
        <v>0</v>
      </c>
      <c r="BN57" s="1604">
        <v>770</v>
      </c>
      <c r="BO57" s="1604">
        <v>267</v>
      </c>
      <c r="BP57" s="1617">
        <v>81</v>
      </c>
      <c r="BQ57" s="1618"/>
      <c r="BR57" s="1604"/>
      <c r="BS57" s="1604"/>
      <c r="BT57" s="1604">
        <v>254</v>
      </c>
      <c r="BU57" s="1604">
        <v>60</v>
      </c>
      <c r="BV57" s="1604">
        <v>44</v>
      </c>
      <c r="BW57" s="2453">
        <v>0</v>
      </c>
      <c r="BX57" s="1604">
        <v>0</v>
      </c>
      <c r="BY57" s="1619">
        <v>0</v>
      </c>
      <c r="BZ57" s="1604">
        <v>0</v>
      </c>
      <c r="CA57" s="1604">
        <v>60</v>
      </c>
      <c r="CB57" s="1620">
        <v>45</v>
      </c>
      <c r="CC57" s="2218">
        <v>115</v>
      </c>
      <c r="CD57" s="2219">
        <v>0</v>
      </c>
      <c r="CE57" s="1553"/>
      <c r="CF57" s="2448"/>
      <c r="CG57" s="1553"/>
      <c r="CH57" s="1553"/>
      <c r="CI57" s="1553"/>
      <c r="CJ57" s="1553"/>
      <c r="CK57" s="1553"/>
      <c r="CL57" s="1553"/>
      <c r="CM57" s="1553"/>
      <c r="CN57" s="1553"/>
      <c r="CO57" s="1553"/>
      <c r="CP57" s="1553"/>
      <c r="CQ57" s="796"/>
      <c r="CR57" s="796"/>
      <c r="CS57" s="2449"/>
      <c r="CT57" s="2449"/>
      <c r="CU57" s="2449"/>
      <c r="CV57" s="2449"/>
      <c r="CW57" s="2449"/>
      <c r="CX57" s="2449"/>
    </row>
    <row r="58" spans="34:148" s="1550" customFormat="1" ht="20.100000000000001" customHeight="1">
      <c r="AH58" s="1608">
        <v>18</v>
      </c>
      <c r="AI58" s="1609" t="s">
        <v>53</v>
      </c>
      <c r="AJ58" s="1598">
        <v>0</v>
      </c>
      <c r="AK58" s="784">
        <v>50</v>
      </c>
      <c r="AL58" s="1599">
        <v>0</v>
      </c>
      <c r="AM58" s="1610">
        <v>0</v>
      </c>
      <c r="AN58" s="1611">
        <v>0</v>
      </c>
      <c r="AO58" s="2450">
        <v>11226.7</v>
      </c>
      <c r="AP58" s="1614">
        <v>0</v>
      </c>
      <c r="AQ58" s="1610">
        <v>0</v>
      </c>
      <c r="AR58" s="1610">
        <v>59.5</v>
      </c>
      <c r="AS58" s="1610">
        <v>0</v>
      </c>
      <c r="AT58" s="1612">
        <f t="shared" si="63"/>
        <v>11286.2</v>
      </c>
      <c r="AU58" s="2451">
        <v>0</v>
      </c>
      <c r="AV58" s="2452">
        <v>0</v>
      </c>
      <c r="AW58" s="2452">
        <v>0</v>
      </c>
      <c r="AX58" s="2452">
        <v>0</v>
      </c>
      <c r="AY58" s="2452">
        <v>0</v>
      </c>
      <c r="AZ58" s="2452">
        <v>0</v>
      </c>
      <c r="BA58" s="2452">
        <v>0</v>
      </c>
      <c r="BB58" s="2452">
        <v>0</v>
      </c>
      <c r="BC58" s="2452">
        <v>499.9</v>
      </c>
      <c r="BD58" s="2452">
        <v>0</v>
      </c>
      <c r="BE58" s="2452">
        <v>288.2</v>
      </c>
      <c r="BF58" s="1613">
        <v>607.1</v>
      </c>
      <c r="BG58" s="1624">
        <v>0</v>
      </c>
      <c r="BH58" s="1610">
        <v>0</v>
      </c>
      <c r="BI58" s="1610">
        <v>0</v>
      </c>
      <c r="BJ58" s="1612">
        <v>1395.1999999999998</v>
      </c>
      <c r="BK58" s="1625">
        <v>10368</v>
      </c>
      <c r="BL58" s="1619">
        <v>0</v>
      </c>
      <c r="BM58" s="1619">
        <v>0</v>
      </c>
      <c r="BN58" s="1619">
        <v>0</v>
      </c>
      <c r="BO58" s="1619">
        <v>801</v>
      </c>
      <c r="BP58" s="1626">
        <v>615</v>
      </c>
      <c r="BQ58" s="1627"/>
      <c r="BR58" s="1619"/>
      <c r="BS58" s="1619"/>
      <c r="BT58" s="1619"/>
      <c r="BU58" s="1619"/>
      <c r="BV58" s="1619">
        <v>152</v>
      </c>
      <c r="BW58" s="2453">
        <v>0</v>
      </c>
      <c r="BX58" s="1604">
        <v>0</v>
      </c>
      <c r="BY58" s="1619">
        <v>0</v>
      </c>
      <c r="BZ58" s="1604">
        <v>294</v>
      </c>
      <c r="CA58" s="1604">
        <v>615</v>
      </c>
      <c r="CB58" s="1620">
        <v>0</v>
      </c>
      <c r="CC58" s="2218">
        <v>30</v>
      </c>
      <c r="CD58" s="2219">
        <v>0</v>
      </c>
      <c r="CE58" s="1553"/>
      <c r="CF58" s="2448"/>
      <c r="CG58" s="1553"/>
      <c r="CH58" s="1553"/>
      <c r="CI58" s="1553"/>
      <c r="CJ58" s="1553"/>
      <c r="CK58" s="1553"/>
      <c r="CL58" s="1553"/>
      <c r="CM58" s="1553"/>
      <c r="CN58" s="1553"/>
      <c r="CO58" s="1553"/>
      <c r="CP58" s="1553"/>
      <c r="CQ58" s="796"/>
      <c r="CR58" s="796"/>
      <c r="CS58" s="2449"/>
      <c r="CT58" s="2449"/>
      <c r="CU58" s="2449"/>
      <c r="CV58" s="2449"/>
      <c r="CW58" s="2449"/>
      <c r="CX58" s="2449"/>
    </row>
    <row r="59" spans="34:148" s="1550" customFormat="1" ht="20.100000000000001" customHeight="1">
      <c r="AH59" s="1608">
        <v>19</v>
      </c>
      <c r="AI59" s="1609" t="s">
        <v>57</v>
      </c>
      <c r="AJ59" s="1598">
        <v>3.6999999999999984</v>
      </c>
      <c r="AK59" s="784">
        <v>0</v>
      </c>
      <c r="AL59" s="1599">
        <v>0</v>
      </c>
      <c r="AM59" s="1610">
        <v>0</v>
      </c>
      <c r="AN59" s="1611">
        <v>0</v>
      </c>
      <c r="AO59" s="2450">
        <v>8422.1</v>
      </c>
      <c r="AP59" s="1614">
        <v>0</v>
      </c>
      <c r="AQ59" s="1610">
        <v>0</v>
      </c>
      <c r="AR59" s="1610">
        <v>46.9</v>
      </c>
      <c r="AS59" s="1610">
        <v>0</v>
      </c>
      <c r="AT59" s="1612">
        <f t="shared" si="63"/>
        <v>8469</v>
      </c>
      <c r="AU59" s="2451">
        <v>0</v>
      </c>
      <c r="AV59" s="2452">
        <v>0</v>
      </c>
      <c r="AW59" s="2452">
        <v>0</v>
      </c>
      <c r="AX59" s="2452">
        <v>0</v>
      </c>
      <c r="AY59" s="2452">
        <v>0</v>
      </c>
      <c r="AZ59" s="2452">
        <v>0</v>
      </c>
      <c r="BA59" s="2452">
        <v>2307</v>
      </c>
      <c r="BB59" s="2452">
        <v>0</v>
      </c>
      <c r="BC59" s="2452">
        <v>280.8</v>
      </c>
      <c r="BD59" s="2452">
        <v>0</v>
      </c>
      <c r="BE59" s="2452">
        <v>118.8</v>
      </c>
      <c r="BF59" s="1613">
        <v>167.2</v>
      </c>
      <c r="BG59" s="788">
        <v>0</v>
      </c>
      <c r="BH59" s="1610">
        <v>0</v>
      </c>
      <c r="BI59" s="1613">
        <v>0</v>
      </c>
      <c r="BJ59" s="2212">
        <v>2873.8</v>
      </c>
      <c r="BK59" s="1615">
        <v>8101</v>
      </c>
      <c r="BL59" s="1616">
        <v>0</v>
      </c>
      <c r="BM59" s="1604">
        <v>0</v>
      </c>
      <c r="BN59" s="1604">
        <v>2331</v>
      </c>
      <c r="BO59" s="1604">
        <v>400</v>
      </c>
      <c r="BP59" s="1617">
        <v>168</v>
      </c>
      <c r="BQ59" s="1618"/>
      <c r="BR59" s="1616"/>
      <c r="BS59" s="1604"/>
      <c r="BT59" s="1604">
        <v>891</v>
      </c>
      <c r="BU59" s="1604">
        <v>0</v>
      </c>
      <c r="BV59" s="1619">
        <v>72</v>
      </c>
      <c r="BW59" s="2453">
        <v>0</v>
      </c>
      <c r="BX59" s="1604">
        <v>0</v>
      </c>
      <c r="BY59" s="1619">
        <v>0</v>
      </c>
      <c r="BZ59" s="1604">
        <v>119</v>
      </c>
      <c r="CA59" s="1604">
        <v>153</v>
      </c>
      <c r="CB59" s="1620">
        <v>0</v>
      </c>
      <c r="CC59" s="2218">
        <v>0</v>
      </c>
      <c r="CD59" s="2219">
        <v>0</v>
      </c>
      <c r="CE59" s="1553"/>
      <c r="CF59" s="2448"/>
      <c r="CG59" s="1553"/>
      <c r="CH59" s="1553"/>
      <c r="CI59" s="1553"/>
      <c r="CJ59" s="1553"/>
      <c r="CK59" s="1553"/>
      <c r="CL59" s="1553"/>
      <c r="CM59" s="1553"/>
      <c r="CN59" s="1553"/>
      <c r="CO59" s="1553"/>
      <c r="CP59" s="1553"/>
      <c r="CQ59" s="796"/>
      <c r="CR59" s="796"/>
      <c r="CS59" s="2449"/>
      <c r="CT59" s="2449"/>
      <c r="CU59" s="2449"/>
      <c r="CV59" s="2449"/>
      <c r="CW59" s="2449"/>
      <c r="CX59" s="2449"/>
    </row>
    <row r="60" spans="34:148" s="1550" customFormat="1" ht="30" customHeight="1" thickBot="1">
      <c r="AH60" s="1628"/>
      <c r="AI60" s="1629" t="s">
        <v>2</v>
      </c>
      <c r="AJ60" s="1630">
        <v>66.3</v>
      </c>
      <c r="AK60" s="1630">
        <v>205</v>
      </c>
      <c r="AL60" s="1631">
        <v>44.9</v>
      </c>
      <c r="AM60" s="1632">
        <v>105</v>
      </c>
      <c r="AN60" s="1633">
        <v>535</v>
      </c>
      <c r="AO60" s="1634">
        <f>SUM(AO41:AO59)</f>
        <v>107981.99999999999</v>
      </c>
      <c r="AP60" s="1635">
        <f t="shared" ref="AP60:AR60" si="64">SUM(AP41:AP59)</f>
        <v>8</v>
      </c>
      <c r="AQ60" s="1635">
        <f t="shared" si="64"/>
        <v>50</v>
      </c>
      <c r="AR60" s="1635">
        <f t="shared" si="64"/>
        <v>486.99999999999994</v>
      </c>
      <c r="AS60" s="1635">
        <f>SUM(AS41:AS59)</f>
        <v>77</v>
      </c>
      <c r="AT60" s="1636">
        <f>SUM(AT41:AT59)</f>
        <v>108603.99999999999</v>
      </c>
      <c r="AU60" s="1634">
        <v>1662.4</v>
      </c>
      <c r="AV60" s="1635">
        <v>40</v>
      </c>
      <c r="AW60" s="1635">
        <v>1322</v>
      </c>
      <c r="AX60" s="1635">
        <v>55</v>
      </c>
      <c r="AY60" s="1635">
        <v>410.20000000000005</v>
      </c>
      <c r="AZ60" s="1635">
        <v>87.6</v>
      </c>
      <c r="BA60" s="1635">
        <v>8772</v>
      </c>
      <c r="BB60" s="1635">
        <v>910</v>
      </c>
      <c r="BC60" s="1635">
        <v>2514.2000000000003</v>
      </c>
      <c r="BD60" s="1635">
        <v>622.29999999999995</v>
      </c>
      <c r="BE60" s="1635">
        <v>1217.3999999999999</v>
      </c>
      <c r="BF60" s="1635">
        <v>1897.6000000000001</v>
      </c>
      <c r="BG60" s="1637">
        <v>117.7</v>
      </c>
      <c r="BH60" s="1635">
        <v>2.8</v>
      </c>
      <c r="BI60" s="1635">
        <v>54.8</v>
      </c>
      <c r="BJ60" s="1636">
        <v>19686</v>
      </c>
      <c r="BK60" s="1638">
        <v>97352</v>
      </c>
      <c r="BL60" s="1639">
        <v>4212</v>
      </c>
      <c r="BM60" s="1639">
        <v>648</v>
      </c>
      <c r="BN60" s="1640">
        <v>10170</v>
      </c>
      <c r="BO60" s="1641">
        <v>3967</v>
      </c>
      <c r="BP60" s="1642">
        <v>2550</v>
      </c>
      <c r="BQ60" s="1643">
        <v>894</v>
      </c>
      <c r="BR60" s="1639">
        <v>55</v>
      </c>
      <c r="BS60" s="1639">
        <v>135</v>
      </c>
      <c r="BT60" s="1639">
        <v>3604</v>
      </c>
      <c r="BU60" s="1639">
        <v>382</v>
      </c>
      <c r="BV60" s="1639">
        <v>710</v>
      </c>
      <c r="BW60" s="1639">
        <v>57</v>
      </c>
      <c r="BX60" s="1639">
        <v>100</v>
      </c>
      <c r="BY60" s="1639">
        <v>33</v>
      </c>
      <c r="BZ60" s="1639">
        <v>1230</v>
      </c>
      <c r="CA60" s="1639">
        <v>1800</v>
      </c>
      <c r="CB60" s="1639">
        <v>69</v>
      </c>
      <c r="CC60" s="2220">
        <v>146</v>
      </c>
      <c r="CD60" s="2221">
        <v>35</v>
      </c>
      <c r="CE60" s="1553"/>
      <c r="CF60" s="1559"/>
      <c r="CG60" s="1553"/>
      <c r="CH60" s="1553"/>
      <c r="CI60" s="1553"/>
      <c r="CJ60" s="1553"/>
      <c r="CK60" s="1553"/>
      <c r="CL60" s="1553"/>
      <c r="CM60" s="1553"/>
      <c r="CN60" s="1553"/>
      <c r="CO60" s="1553"/>
      <c r="CP60" s="1553"/>
      <c r="CQ60" s="796"/>
      <c r="CR60" s="796"/>
      <c r="CS60" s="2449"/>
      <c r="CT60" s="2449"/>
      <c r="CU60" s="2449"/>
      <c r="CV60" s="2449"/>
      <c r="CW60" s="2449"/>
      <c r="CX60" s="2449"/>
    </row>
    <row r="61" spans="34:148">
      <c r="AH61" s="1538"/>
      <c r="AI61" s="1538"/>
      <c r="AJ61" s="1538"/>
      <c r="AK61" s="1538"/>
      <c r="AL61" s="1538"/>
      <c r="AM61" s="1538"/>
      <c r="AN61" s="1538"/>
      <c r="AO61" s="1538"/>
      <c r="AP61" s="1538"/>
      <c r="AQ61" s="1538"/>
      <c r="AR61" s="1538"/>
      <c r="AS61" s="1538"/>
      <c r="AT61" s="1538"/>
      <c r="AU61" s="1538"/>
      <c r="AV61" s="1538"/>
      <c r="AW61" s="1538"/>
      <c r="AX61" s="1538"/>
      <c r="AY61" s="1538"/>
      <c r="AZ61" s="1538"/>
      <c r="BA61" s="1538"/>
      <c r="BB61" s="1538"/>
      <c r="BC61" s="1538"/>
      <c r="BD61" s="1538"/>
      <c r="BE61" s="1538"/>
      <c r="BF61" s="1538"/>
      <c r="BG61" s="1538"/>
      <c r="BH61" s="1538"/>
      <c r="BI61" s="1538"/>
      <c r="BJ61" s="1538"/>
      <c r="BK61" s="1538"/>
      <c r="BL61" s="1538"/>
      <c r="BM61" s="1538"/>
      <c r="BN61" s="1538"/>
      <c r="BO61" s="1538"/>
      <c r="BP61" s="1538"/>
      <c r="BQ61" s="1538"/>
      <c r="BR61" s="1538"/>
      <c r="BS61" s="1538"/>
      <c r="BT61" s="1538"/>
      <c r="BU61" s="1538"/>
      <c r="BV61" s="1538"/>
      <c r="BW61" s="1538"/>
      <c r="BX61" s="1538"/>
      <c r="BY61" s="1538"/>
      <c r="BZ61" s="1538"/>
      <c r="CA61" s="1538"/>
      <c r="CB61" s="1538"/>
      <c r="CC61" s="1538"/>
      <c r="CD61" s="1538"/>
      <c r="CE61" s="1538"/>
      <c r="CF61" s="1538"/>
      <c r="CG61" s="1538"/>
      <c r="CH61" s="1538"/>
      <c r="CI61" s="1538"/>
      <c r="CJ61" s="1538"/>
      <c r="CK61" s="1538"/>
      <c r="CL61" s="1538"/>
      <c r="CM61" s="1538"/>
      <c r="CN61" s="1538"/>
      <c r="CO61" s="1538"/>
      <c r="CP61" s="1538"/>
      <c r="CQ61" s="1538"/>
      <c r="CR61" s="1538"/>
      <c r="CS61" s="1538"/>
      <c r="CT61" s="1538"/>
      <c r="CU61" s="1538"/>
      <c r="CV61" s="1538"/>
      <c r="CW61" s="1538"/>
      <c r="CX61" s="1538"/>
      <c r="CY61" s="1540"/>
      <c r="CZ61" s="1540"/>
      <c r="DA61" s="1540"/>
      <c r="DB61" s="1540"/>
      <c r="DC61" s="1540"/>
      <c r="DD61" s="1540"/>
      <c r="DE61" s="1540"/>
      <c r="DF61" s="1540"/>
      <c r="DG61" s="1540"/>
      <c r="DH61" s="1540"/>
      <c r="DI61" s="1540"/>
      <c r="DJ61" s="1540"/>
      <c r="DK61" s="1540"/>
      <c r="DL61" s="1540"/>
      <c r="DM61" s="1540"/>
      <c r="DN61" s="1540"/>
      <c r="DO61" s="1540"/>
      <c r="DP61" s="1540"/>
      <c r="DQ61" s="1540"/>
      <c r="DR61" s="1540"/>
      <c r="DS61" s="1540"/>
      <c r="DT61" s="1540"/>
      <c r="DU61" s="1540"/>
      <c r="DV61" s="1540"/>
      <c r="DW61" s="1540"/>
      <c r="DX61" s="1540"/>
      <c r="DY61" s="1540"/>
      <c r="DZ61" s="1540"/>
      <c r="EA61" s="1540"/>
      <c r="EB61" s="1540"/>
      <c r="EC61" s="1540"/>
      <c r="ED61" s="1540"/>
      <c r="EE61" s="1540"/>
      <c r="EF61" s="1540"/>
      <c r="EG61" s="1540"/>
      <c r="EH61" s="1540"/>
      <c r="EI61" s="1540"/>
      <c r="EJ61" s="1540"/>
      <c r="EK61" s="1540"/>
      <c r="EL61" s="1540"/>
      <c r="EM61" s="1540"/>
      <c r="EN61" s="1540"/>
      <c r="EO61" s="1540"/>
      <c r="EP61" s="1540"/>
      <c r="EQ61" s="1540"/>
      <c r="ER61" s="1540"/>
    </row>
    <row r="62" spans="34:148">
      <c r="AH62" s="1538"/>
      <c r="AI62" s="1538"/>
      <c r="AJ62" s="1538"/>
      <c r="AK62" s="1538"/>
      <c r="AL62" s="1538"/>
      <c r="AM62" s="1538"/>
      <c r="AN62" s="1538"/>
      <c r="AO62" s="1538"/>
      <c r="AP62" s="1538"/>
      <c r="AQ62" s="1538"/>
      <c r="AR62" s="1538"/>
      <c r="AS62" s="1538"/>
      <c r="AT62" s="1538"/>
      <c r="AU62" s="1538"/>
      <c r="AV62" s="1538"/>
      <c r="AW62" s="1538"/>
      <c r="AX62" s="1538"/>
      <c r="AY62" s="1538"/>
      <c r="AZ62" s="1538"/>
      <c r="BA62" s="1538"/>
      <c r="BB62" s="1538"/>
      <c r="BC62" s="1538"/>
      <c r="BD62" s="1538"/>
      <c r="BE62" s="1538"/>
      <c r="BF62" s="1538"/>
      <c r="BG62" s="1538"/>
      <c r="BH62" s="1538"/>
      <c r="BI62" s="1538"/>
      <c r="BJ62" s="1538"/>
      <c r="BK62" s="1538"/>
      <c r="BL62" s="1538"/>
      <c r="BM62" s="1538"/>
      <c r="BN62" s="1538"/>
      <c r="BO62" s="1538"/>
      <c r="BP62" s="1538"/>
      <c r="BQ62" s="1538"/>
      <c r="BR62" s="1538"/>
      <c r="BS62" s="1538"/>
      <c r="BT62" s="1538"/>
      <c r="BU62" s="1538"/>
      <c r="BV62" s="1538"/>
      <c r="BW62" s="1538"/>
      <c r="BX62" s="1538"/>
      <c r="BY62" s="1538"/>
      <c r="BZ62" s="1538"/>
      <c r="CA62" s="1538"/>
      <c r="CB62" s="1538"/>
      <c r="CC62" s="1538"/>
      <c r="CD62" s="1538"/>
      <c r="CE62" s="1538"/>
      <c r="CF62" s="1538"/>
      <c r="CG62" s="1538"/>
      <c r="CH62" s="1538"/>
      <c r="CI62" s="1538"/>
      <c r="CJ62" s="1538"/>
      <c r="CK62" s="1538"/>
      <c r="CL62" s="1538"/>
      <c r="CM62" s="1538"/>
      <c r="CN62" s="1538"/>
      <c r="CO62" s="1538"/>
      <c r="CP62" s="1538"/>
      <c r="CQ62" s="1538"/>
      <c r="CR62" s="1538"/>
      <c r="CS62" s="1538"/>
      <c r="CT62" s="1538"/>
      <c r="CU62" s="1538"/>
      <c r="CV62" s="1538"/>
      <c r="CW62" s="1538"/>
      <c r="CX62" s="1538"/>
      <c r="CY62" s="1540"/>
      <c r="CZ62" s="1540"/>
      <c r="DA62" s="1540"/>
      <c r="DB62" s="1540"/>
      <c r="DC62" s="1540"/>
      <c r="DD62" s="1540"/>
      <c r="DE62" s="1540"/>
      <c r="DF62" s="1540"/>
      <c r="DG62" s="1540"/>
      <c r="DH62" s="1540"/>
      <c r="DI62" s="1540"/>
      <c r="DJ62" s="1540"/>
      <c r="DK62" s="1540"/>
      <c r="DL62" s="1540"/>
      <c r="DM62" s="1540"/>
      <c r="DN62" s="1540"/>
      <c r="DO62" s="1540"/>
      <c r="DP62" s="1540"/>
      <c r="DQ62" s="1540"/>
      <c r="DR62" s="1540"/>
      <c r="DS62" s="1540"/>
      <c r="DT62" s="1540"/>
      <c r="DU62" s="1540"/>
      <c r="DV62" s="1540"/>
      <c r="DW62" s="1540"/>
      <c r="DX62" s="1540"/>
      <c r="DY62" s="1540"/>
      <c r="DZ62" s="1540"/>
      <c r="EA62" s="1540"/>
      <c r="EB62" s="1540"/>
      <c r="EC62" s="1540"/>
      <c r="ED62" s="1540"/>
      <c r="EE62" s="1540"/>
      <c r="EF62" s="1540"/>
      <c r="EG62" s="1540"/>
      <c r="EH62" s="1540"/>
      <c r="EI62" s="1540"/>
      <c r="EJ62" s="1540"/>
      <c r="EK62" s="1540"/>
      <c r="EL62" s="1540"/>
      <c r="EM62" s="1540"/>
      <c r="EN62" s="1540"/>
      <c r="EO62" s="1540"/>
      <c r="EP62" s="1540"/>
      <c r="EQ62" s="1540"/>
      <c r="ER62" s="1540"/>
    </row>
    <row r="63" spans="34:148" s="1644" customFormat="1" ht="20.100000000000001" customHeight="1">
      <c r="CF63" s="1645" t="s">
        <v>391</v>
      </c>
      <c r="CG63" s="1646"/>
      <c r="CH63" s="1646"/>
      <c r="CI63" s="1646"/>
      <c r="CJ63" s="1646"/>
      <c r="CK63" s="1646"/>
      <c r="CL63" s="1646"/>
      <c r="CM63" s="1646"/>
      <c r="CN63" s="1646"/>
      <c r="CO63" s="1646"/>
      <c r="CP63" s="1646"/>
      <c r="CQ63" s="1646"/>
      <c r="CR63" s="1646"/>
      <c r="CS63" s="1646"/>
      <c r="CT63" s="1646"/>
      <c r="CU63" s="1646"/>
      <c r="CV63" s="1646"/>
      <c r="CW63" s="1646"/>
      <c r="CX63" s="1646"/>
      <c r="CY63" s="1646"/>
      <c r="CZ63" s="1646"/>
      <c r="DA63" s="1646"/>
      <c r="DB63" s="1646"/>
      <c r="DC63" s="1646"/>
      <c r="DD63" s="1646"/>
      <c r="DE63" s="1646"/>
      <c r="DF63" s="1646"/>
      <c r="DG63" s="1646"/>
      <c r="DH63" s="1646"/>
      <c r="DI63" s="1646"/>
      <c r="DJ63" s="1646"/>
      <c r="DK63" s="1646"/>
      <c r="DL63" s="1646"/>
      <c r="DM63" s="1646"/>
      <c r="DN63" s="1646"/>
      <c r="DO63" s="1646"/>
      <c r="DP63" s="1646"/>
      <c r="DQ63" s="1646"/>
      <c r="DR63" s="1646"/>
      <c r="DS63" s="1646"/>
      <c r="DT63" s="1646"/>
      <c r="DU63" s="1646"/>
      <c r="DV63" s="1646"/>
      <c r="DW63" s="1646"/>
      <c r="DX63" s="1646"/>
      <c r="DY63" s="1646"/>
      <c r="DZ63" s="1646"/>
      <c r="EA63" s="1646"/>
      <c r="EB63" s="1646"/>
      <c r="EC63" s="1646"/>
      <c r="ED63" s="1646"/>
      <c r="EE63" s="1646"/>
      <c r="EF63" s="1646"/>
      <c r="EG63" s="1646"/>
      <c r="EH63" s="1646"/>
      <c r="EI63" s="1646"/>
      <c r="EJ63" s="1646"/>
      <c r="EK63" s="1646"/>
      <c r="EL63" s="1646"/>
      <c r="EM63" s="1646"/>
      <c r="EN63" s="1646"/>
      <c r="EO63" s="1646"/>
      <c r="EP63" s="1646"/>
      <c r="EQ63" s="1646"/>
      <c r="ER63" s="1646"/>
    </row>
    <row r="64" spans="34:148" ht="9.9499999999999993" customHeight="1" thickBot="1">
      <c r="CF64" s="1536"/>
      <c r="CG64" s="1536"/>
      <c r="CH64" s="1536"/>
      <c r="CI64" s="1536"/>
      <c r="CJ64" s="1536"/>
      <c r="CK64" s="1536"/>
      <c r="CL64" s="1536"/>
      <c r="CM64" s="1536"/>
      <c r="CN64" s="1536"/>
      <c r="CO64" s="1536"/>
      <c r="CP64" s="1536"/>
      <c r="CQ64" s="1536"/>
      <c r="CR64" s="1536"/>
      <c r="CS64" s="1536"/>
      <c r="CT64" s="1536"/>
      <c r="CU64" s="1536"/>
      <c r="CV64" s="1536"/>
      <c r="CW64" s="1536"/>
      <c r="CX64" s="1536"/>
      <c r="CY64" s="1536"/>
      <c r="CZ64" s="1536"/>
      <c r="DA64" s="1536"/>
      <c r="DB64" s="1536"/>
      <c r="DC64" s="1536"/>
      <c r="DD64" s="1536"/>
      <c r="DE64" s="1536"/>
      <c r="DF64" s="1536"/>
      <c r="DG64" s="1536"/>
      <c r="DH64" s="1536"/>
      <c r="DI64" s="1536"/>
      <c r="DJ64" s="1536"/>
      <c r="DK64" s="1536"/>
      <c r="DL64" s="1536"/>
      <c r="DM64" s="1536"/>
      <c r="DN64" s="1536"/>
      <c r="DO64" s="1536"/>
      <c r="DP64" s="1536"/>
      <c r="DQ64" s="1536"/>
      <c r="DR64" s="1536"/>
      <c r="DS64" s="1536"/>
      <c r="DT64" s="1536"/>
      <c r="DU64" s="1536"/>
      <c r="DV64" s="1536"/>
      <c r="DW64" s="1536"/>
      <c r="DX64" s="1536"/>
      <c r="DY64" s="1536"/>
      <c r="DZ64" s="1536"/>
      <c r="EA64" s="1536"/>
      <c r="EB64" s="1536"/>
      <c r="EC64" s="1536"/>
      <c r="ED64" s="1536"/>
      <c r="EE64" s="1536"/>
      <c r="EF64" s="1536"/>
      <c r="EG64" s="1536"/>
      <c r="EH64" s="1536"/>
      <c r="EI64" s="1536"/>
      <c r="EJ64" s="1536"/>
      <c r="EK64" s="1536"/>
      <c r="EL64" s="1536"/>
      <c r="EM64" s="1536"/>
      <c r="EN64" s="1536"/>
      <c r="EO64" s="1536"/>
      <c r="EP64" s="1536"/>
      <c r="EQ64" s="1536"/>
      <c r="ER64" s="1536"/>
    </row>
    <row r="65" spans="84:148" ht="39.950000000000003" customHeight="1">
      <c r="CF65" s="1647"/>
      <c r="CG65" s="1648"/>
      <c r="CH65" s="2790" t="s">
        <v>67</v>
      </c>
      <c r="CI65" s="2791"/>
      <c r="CJ65" s="2791"/>
      <c r="CK65" s="2791"/>
      <c r="CL65" s="2791"/>
      <c r="CM65" s="2791"/>
      <c r="CN65" s="2791"/>
      <c r="CO65" s="2791"/>
      <c r="CP65" s="2791"/>
      <c r="CQ65" s="2791"/>
      <c r="CR65" s="2791"/>
      <c r="CS65" s="2791"/>
      <c r="CT65" s="2791"/>
      <c r="CU65" s="2791"/>
      <c r="CV65" s="2791"/>
      <c r="CW65" s="2791"/>
      <c r="CX65" s="2791"/>
      <c r="CY65" s="2791"/>
      <c r="CZ65" s="2791"/>
      <c r="DA65" s="2791"/>
      <c r="DB65" s="2791"/>
      <c r="DC65" s="2791"/>
      <c r="DD65" s="2791"/>
      <c r="DE65" s="2791"/>
      <c r="DF65" s="2791"/>
      <c r="DG65" s="2791"/>
      <c r="DH65" s="2791"/>
      <c r="DI65" s="2791"/>
      <c r="DJ65" s="2791"/>
      <c r="DK65" s="2791"/>
      <c r="DL65" s="2791"/>
      <c r="DM65" s="2791"/>
      <c r="DN65" s="2791"/>
      <c r="DO65" s="2791"/>
      <c r="DP65" s="2791"/>
      <c r="DQ65" s="2791"/>
      <c r="DR65" s="2791"/>
      <c r="DS65" s="2791"/>
      <c r="DT65" s="2791"/>
      <c r="DU65" s="2791"/>
      <c r="DV65" s="2791"/>
      <c r="DW65" s="2792"/>
      <c r="DX65" s="2790" t="s">
        <v>277</v>
      </c>
      <c r="DY65" s="2791"/>
      <c r="DZ65" s="2791"/>
      <c r="EA65" s="2791"/>
      <c r="EB65" s="2791"/>
      <c r="EC65" s="2791"/>
      <c r="ED65" s="2791"/>
      <c r="EE65" s="2791"/>
      <c r="EF65" s="2791"/>
      <c r="EG65" s="2791"/>
      <c r="EH65" s="2791"/>
      <c r="EI65" s="2791"/>
      <c r="EJ65" s="2791"/>
      <c r="EK65" s="2791"/>
      <c r="EL65" s="2791"/>
      <c r="EM65" s="2791"/>
      <c r="EN65" s="2791"/>
      <c r="EO65" s="2791"/>
      <c r="EP65" s="2791"/>
      <c r="EQ65" s="2791"/>
      <c r="ER65" s="2792"/>
    </row>
    <row r="66" spans="84:148" ht="69.95" customHeight="1">
      <c r="CF66" s="1649"/>
      <c r="CG66" s="1650"/>
      <c r="CH66" s="2793" t="s">
        <v>104</v>
      </c>
      <c r="CI66" s="2794"/>
      <c r="CJ66" s="2793" t="s">
        <v>105</v>
      </c>
      <c r="CK66" s="2794"/>
      <c r="CL66" s="2793" t="s">
        <v>106</v>
      </c>
      <c r="CM66" s="2794"/>
      <c r="CN66" s="2793" t="s">
        <v>114</v>
      </c>
      <c r="CO66" s="2794"/>
      <c r="CP66" s="2793" t="s">
        <v>113</v>
      </c>
      <c r="CQ66" s="2794"/>
      <c r="CR66" s="2793" t="s">
        <v>112</v>
      </c>
      <c r="CS66" s="2794"/>
      <c r="CT66" s="2795" t="s">
        <v>47</v>
      </c>
      <c r="CU66" s="2796"/>
      <c r="CV66" s="2795" t="s">
        <v>48</v>
      </c>
      <c r="CW66" s="2796"/>
      <c r="CX66" s="2793" t="s">
        <v>115</v>
      </c>
      <c r="CY66" s="2794"/>
      <c r="CZ66" s="2793" t="s">
        <v>278</v>
      </c>
      <c r="DA66" s="2794"/>
      <c r="DB66" s="2793" t="s">
        <v>116</v>
      </c>
      <c r="DC66" s="2794"/>
      <c r="DD66" s="2793" t="s">
        <v>279</v>
      </c>
      <c r="DE66" s="2794"/>
      <c r="DF66" s="2793" t="s">
        <v>111</v>
      </c>
      <c r="DG66" s="2794"/>
      <c r="DH66" s="2797" t="s">
        <v>280</v>
      </c>
      <c r="DI66" s="2798"/>
      <c r="DJ66" s="2795" t="s">
        <v>132</v>
      </c>
      <c r="DK66" s="2796"/>
      <c r="DL66" s="2793" t="s">
        <v>110</v>
      </c>
      <c r="DM66" s="2794"/>
      <c r="DN66" s="2793" t="s">
        <v>109</v>
      </c>
      <c r="DO66" s="2794"/>
      <c r="DP66" s="2793" t="s">
        <v>108</v>
      </c>
      <c r="DQ66" s="2794"/>
      <c r="DR66" s="2793" t="s">
        <v>107</v>
      </c>
      <c r="DS66" s="2794"/>
      <c r="DT66" s="2795" t="s">
        <v>2</v>
      </c>
      <c r="DU66" s="2796"/>
      <c r="DV66" s="2793" t="s">
        <v>117</v>
      </c>
      <c r="DW66" s="2794"/>
      <c r="DX66" s="1651" t="s">
        <v>104</v>
      </c>
      <c r="DY66" s="1652" t="s">
        <v>281</v>
      </c>
      <c r="DZ66" s="1652" t="s">
        <v>106</v>
      </c>
      <c r="EA66" s="1652" t="s">
        <v>282</v>
      </c>
      <c r="EB66" s="1652" t="s">
        <v>113</v>
      </c>
      <c r="EC66" s="1652" t="s">
        <v>208</v>
      </c>
      <c r="ED66" s="1652" t="s">
        <v>196</v>
      </c>
      <c r="EE66" s="1652" t="s">
        <v>197</v>
      </c>
      <c r="EF66" s="1652" t="s">
        <v>115</v>
      </c>
      <c r="EG66" s="1652" t="s">
        <v>283</v>
      </c>
      <c r="EH66" s="1652" t="s">
        <v>198</v>
      </c>
      <c r="EI66" s="1652" t="s">
        <v>199</v>
      </c>
      <c r="EJ66" s="1652" t="s">
        <v>200</v>
      </c>
      <c r="EK66" s="1653" t="s">
        <v>392</v>
      </c>
      <c r="EL66" s="1652" t="s">
        <v>132</v>
      </c>
      <c r="EM66" s="1652" t="s">
        <v>110</v>
      </c>
      <c r="EN66" s="1652" t="s">
        <v>109</v>
      </c>
      <c r="EO66" s="1652" t="s">
        <v>108</v>
      </c>
      <c r="EP66" s="1654" t="s">
        <v>201</v>
      </c>
      <c r="EQ66" s="1655" t="s">
        <v>2</v>
      </c>
      <c r="ER66" s="1656" t="s">
        <v>117</v>
      </c>
    </row>
    <row r="67" spans="84:148" ht="24.95" customHeight="1">
      <c r="CF67" s="1649"/>
      <c r="CG67" s="1657" t="s">
        <v>118</v>
      </c>
      <c r="CH67" s="1658" t="s">
        <v>41</v>
      </c>
      <c r="CI67" s="1659" t="s">
        <v>30</v>
      </c>
      <c r="CJ67" s="1660" t="s">
        <v>41</v>
      </c>
      <c r="CK67" s="1661" t="s">
        <v>30</v>
      </c>
      <c r="CL67" s="1662" t="s">
        <v>41</v>
      </c>
      <c r="CM67" s="1659" t="s">
        <v>30</v>
      </c>
      <c r="CN67" s="1660" t="s">
        <v>41</v>
      </c>
      <c r="CO67" s="1661" t="s">
        <v>30</v>
      </c>
      <c r="CP67" s="1662" t="s">
        <v>41</v>
      </c>
      <c r="CQ67" s="1659" t="s">
        <v>30</v>
      </c>
      <c r="CR67" s="1660" t="s">
        <v>41</v>
      </c>
      <c r="CS67" s="1661" t="s">
        <v>30</v>
      </c>
      <c r="CT67" s="1662" t="s">
        <v>41</v>
      </c>
      <c r="CU67" s="1659" t="s">
        <v>30</v>
      </c>
      <c r="CV67" s="1660" t="s">
        <v>41</v>
      </c>
      <c r="CW67" s="1661" t="s">
        <v>30</v>
      </c>
      <c r="CX67" s="1662" t="s">
        <v>41</v>
      </c>
      <c r="CY67" s="1659" t="s">
        <v>30</v>
      </c>
      <c r="CZ67" s="1660" t="s">
        <v>41</v>
      </c>
      <c r="DA67" s="1661" t="s">
        <v>30</v>
      </c>
      <c r="DB67" s="1662" t="s">
        <v>41</v>
      </c>
      <c r="DC67" s="1659" t="s">
        <v>30</v>
      </c>
      <c r="DD67" s="1660" t="s">
        <v>41</v>
      </c>
      <c r="DE67" s="1661" t="s">
        <v>30</v>
      </c>
      <c r="DF67" s="1662" t="s">
        <v>41</v>
      </c>
      <c r="DG67" s="1659" t="s">
        <v>30</v>
      </c>
      <c r="DH67" s="1660" t="s">
        <v>41</v>
      </c>
      <c r="DI67" s="1661" t="s">
        <v>30</v>
      </c>
      <c r="DJ67" s="1662" t="s">
        <v>41</v>
      </c>
      <c r="DK67" s="1659" t="s">
        <v>30</v>
      </c>
      <c r="DL67" s="1660" t="s">
        <v>41</v>
      </c>
      <c r="DM67" s="1661" t="s">
        <v>30</v>
      </c>
      <c r="DN67" s="1662" t="s">
        <v>41</v>
      </c>
      <c r="DO67" s="1659" t="s">
        <v>30</v>
      </c>
      <c r="DP67" s="1660" t="s">
        <v>41</v>
      </c>
      <c r="DQ67" s="1661" t="s">
        <v>30</v>
      </c>
      <c r="DR67" s="1662" t="s">
        <v>41</v>
      </c>
      <c r="DS67" s="1659" t="s">
        <v>30</v>
      </c>
      <c r="DT67" s="1660" t="s">
        <v>41</v>
      </c>
      <c r="DU67" s="1661" t="s">
        <v>30</v>
      </c>
      <c r="DV67" s="1662" t="s">
        <v>41</v>
      </c>
      <c r="DW67" s="1659" t="s">
        <v>30</v>
      </c>
      <c r="DX67" s="1663"/>
      <c r="DY67" s="1664"/>
      <c r="DZ67" s="1664"/>
      <c r="EA67" s="1664"/>
      <c r="EB67" s="1664"/>
      <c r="EC67" s="1664"/>
      <c r="ED67" s="1664"/>
      <c r="EE67" s="1664"/>
      <c r="EF67" s="1664"/>
      <c r="EG67" s="1664"/>
      <c r="EH67" s="1664"/>
      <c r="EI67" s="1664"/>
      <c r="EJ67" s="1664"/>
      <c r="EK67" s="1664"/>
      <c r="EL67" s="1664"/>
      <c r="EM67" s="1664"/>
      <c r="EN67" s="1664"/>
      <c r="EO67" s="1664"/>
      <c r="EP67" s="1665"/>
      <c r="EQ67" s="1666"/>
      <c r="ER67" s="1656"/>
    </row>
    <row r="68" spans="84:148" ht="24.95" customHeight="1">
      <c r="CF68" s="1667"/>
      <c r="CG68" s="1668"/>
      <c r="CH68" s="1658" t="s">
        <v>16</v>
      </c>
      <c r="CI68" s="1669" t="s">
        <v>16</v>
      </c>
      <c r="CJ68" s="1670" t="s">
        <v>16</v>
      </c>
      <c r="CK68" s="1671" t="s">
        <v>16</v>
      </c>
      <c r="CL68" s="1672" t="s">
        <v>16</v>
      </c>
      <c r="CM68" s="1673" t="s">
        <v>16</v>
      </c>
      <c r="CN68" s="1670" t="s">
        <v>16</v>
      </c>
      <c r="CO68" s="1674" t="s">
        <v>16</v>
      </c>
      <c r="CP68" s="1672" t="s">
        <v>16</v>
      </c>
      <c r="CQ68" s="1673" t="s">
        <v>16</v>
      </c>
      <c r="CR68" s="1670" t="s">
        <v>16</v>
      </c>
      <c r="CS68" s="1674" t="s">
        <v>16</v>
      </c>
      <c r="CT68" s="1672" t="s">
        <v>16</v>
      </c>
      <c r="CU68" s="1669" t="s">
        <v>16</v>
      </c>
      <c r="CV68" s="1670" t="s">
        <v>16</v>
      </c>
      <c r="CW68" s="1674" t="s">
        <v>16</v>
      </c>
      <c r="CX68" s="1672" t="s">
        <v>16</v>
      </c>
      <c r="CY68" s="1673" t="s">
        <v>16</v>
      </c>
      <c r="CZ68" s="1670" t="s">
        <v>16</v>
      </c>
      <c r="DA68" s="1674" t="s">
        <v>16</v>
      </c>
      <c r="DB68" s="1672" t="s">
        <v>16</v>
      </c>
      <c r="DC68" s="1669" t="s">
        <v>16</v>
      </c>
      <c r="DD68" s="1670" t="s">
        <v>16</v>
      </c>
      <c r="DE68" s="1671" t="s">
        <v>16</v>
      </c>
      <c r="DF68" s="1672" t="s">
        <v>16</v>
      </c>
      <c r="DG68" s="1669" t="s">
        <v>16</v>
      </c>
      <c r="DH68" s="1670" t="s">
        <v>16</v>
      </c>
      <c r="DI68" s="1671" t="s">
        <v>16</v>
      </c>
      <c r="DJ68" s="1672" t="s">
        <v>16</v>
      </c>
      <c r="DK68" s="1669" t="s">
        <v>16</v>
      </c>
      <c r="DL68" s="1670" t="s">
        <v>16</v>
      </c>
      <c r="DM68" s="1671" t="s">
        <v>16</v>
      </c>
      <c r="DN68" s="1672" t="s">
        <v>16</v>
      </c>
      <c r="DO68" s="1669" t="s">
        <v>16</v>
      </c>
      <c r="DP68" s="1670" t="s">
        <v>16</v>
      </c>
      <c r="DQ68" s="1671" t="s">
        <v>16</v>
      </c>
      <c r="DR68" s="1658" t="s">
        <v>16</v>
      </c>
      <c r="DS68" s="1669" t="s">
        <v>16</v>
      </c>
      <c r="DT68" s="1674" t="s">
        <v>16</v>
      </c>
      <c r="DU68" s="1671" t="s">
        <v>16</v>
      </c>
      <c r="DV68" s="1672" t="s">
        <v>16</v>
      </c>
      <c r="DW68" s="1669" t="s">
        <v>16</v>
      </c>
      <c r="DX68" s="1672" t="s">
        <v>16</v>
      </c>
      <c r="DY68" s="1675" t="s">
        <v>16</v>
      </c>
      <c r="DZ68" s="1675" t="s">
        <v>16</v>
      </c>
      <c r="EA68" s="1675" t="s">
        <v>16</v>
      </c>
      <c r="EB68" s="1675" t="s">
        <v>16</v>
      </c>
      <c r="EC68" s="1675" t="s">
        <v>16</v>
      </c>
      <c r="ED68" s="1675" t="s">
        <v>16</v>
      </c>
      <c r="EE68" s="1675" t="s">
        <v>16</v>
      </c>
      <c r="EF68" s="1675" t="s">
        <v>16</v>
      </c>
      <c r="EG68" s="1675" t="s">
        <v>16</v>
      </c>
      <c r="EH68" s="1675" t="s">
        <v>16</v>
      </c>
      <c r="EI68" s="1675" t="s">
        <v>16</v>
      </c>
      <c r="EJ68" s="1675" t="s">
        <v>16</v>
      </c>
      <c r="EK68" s="1675" t="s">
        <v>16</v>
      </c>
      <c r="EL68" s="1675" t="s">
        <v>16</v>
      </c>
      <c r="EM68" s="1675" t="s">
        <v>16</v>
      </c>
      <c r="EN68" s="1675" t="s">
        <v>16</v>
      </c>
      <c r="EO68" s="1675" t="s">
        <v>16</v>
      </c>
      <c r="EP68" s="1671" t="s">
        <v>16</v>
      </c>
      <c r="EQ68" s="1676" t="s">
        <v>16</v>
      </c>
      <c r="ER68" s="1676" t="s">
        <v>16</v>
      </c>
    </row>
    <row r="69" spans="84:148" ht="24.95" customHeight="1">
      <c r="CF69" s="1677">
        <v>1</v>
      </c>
      <c r="CG69" s="1678">
        <v>2</v>
      </c>
      <c r="CH69" s="1679">
        <v>3</v>
      </c>
      <c r="CI69" s="1680">
        <v>4</v>
      </c>
      <c r="CJ69" s="798">
        <v>5</v>
      </c>
      <c r="CK69" s="782">
        <v>6</v>
      </c>
      <c r="CL69" s="1681">
        <v>7</v>
      </c>
      <c r="CM69" s="781">
        <v>8</v>
      </c>
      <c r="CN69" s="798">
        <v>9</v>
      </c>
      <c r="CO69" s="782">
        <v>10</v>
      </c>
      <c r="CP69" s="1681">
        <v>11</v>
      </c>
      <c r="CQ69" s="781">
        <v>12</v>
      </c>
      <c r="CR69" s="798">
        <v>13</v>
      </c>
      <c r="CS69" s="782">
        <v>14</v>
      </c>
      <c r="CT69" s="1681">
        <v>15</v>
      </c>
      <c r="CU69" s="781">
        <v>16</v>
      </c>
      <c r="CV69" s="798">
        <v>17</v>
      </c>
      <c r="CW69" s="782">
        <v>18</v>
      </c>
      <c r="CX69" s="1681">
        <v>19</v>
      </c>
      <c r="CY69" s="781">
        <v>20</v>
      </c>
      <c r="CZ69" s="798">
        <v>21</v>
      </c>
      <c r="DA69" s="782">
        <v>22</v>
      </c>
      <c r="DB69" s="1681">
        <v>23</v>
      </c>
      <c r="DC69" s="781">
        <v>24</v>
      </c>
      <c r="DD69" s="798">
        <v>25</v>
      </c>
      <c r="DE69" s="782">
        <v>26</v>
      </c>
      <c r="DF69" s="1681">
        <v>27</v>
      </c>
      <c r="DG69" s="781">
        <v>28</v>
      </c>
      <c r="DH69" s="798">
        <v>29</v>
      </c>
      <c r="DI69" s="782">
        <v>30</v>
      </c>
      <c r="DJ69" s="1681">
        <v>31</v>
      </c>
      <c r="DK69" s="781">
        <v>32</v>
      </c>
      <c r="DL69" s="798">
        <v>33</v>
      </c>
      <c r="DM69" s="782">
        <v>34</v>
      </c>
      <c r="DN69" s="1681">
        <v>35</v>
      </c>
      <c r="DO69" s="781">
        <v>36</v>
      </c>
      <c r="DP69" s="798">
        <v>37</v>
      </c>
      <c r="DQ69" s="782">
        <v>38</v>
      </c>
      <c r="DR69" s="1681">
        <v>39</v>
      </c>
      <c r="DS69" s="781">
        <v>40</v>
      </c>
      <c r="DT69" s="798">
        <v>41</v>
      </c>
      <c r="DU69" s="781">
        <v>42</v>
      </c>
      <c r="DV69" s="1682">
        <v>43</v>
      </c>
      <c r="DW69" s="1683">
        <v>44</v>
      </c>
      <c r="DX69" s="786">
        <v>45</v>
      </c>
      <c r="DY69" s="780">
        <v>46</v>
      </c>
      <c r="DZ69" s="1684">
        <v>47</v>
      </c>
      <c r="EA69" s="780">
        <v>48</v>
      </c>
      <c r="EB69" s="780">
        <v>49</v>
      </c>
      <c r="EC69" s="780">
        <v>50</v>
      </c>
      <c r="ED69" s="1684">
        <v>51</v>
      </c>
      <c r="EE69" s="780">
        <v>52</v>
      </c>
      <c r="EF69" s="780">
        <v>53</v>
      </c>
      <c r="EG69" s="780">
        <v>54</v>
      </c>
      <c r="EH69" s="1684">
        <v>55</v>
      </c>
      <c r="EI69" s="780">
        <v>56</v>
      </c>
      <c r="EJ69" s="780">
        <v>57</v>
      </c>
      <c r="EK69" s="780">
        <v>58</v>
      </c>
      <c r="EL69" s="1684">
        <v>59</v>
      </c>
      <c r="EM69" s="780">
        <v>60</v>
      </c>
      <c r="EN69" s="780">
        <v>61</v>
      </c>
      <c r="EO69" s="780">
        <v>62</v>
      </c>
      <c r="EP69" s="1685">
        <v>63</v>
      </c>
      <c r="EQ69" s="787">
        <v>64</v>
      </c>
      <c r="ER69" s="787">
        <v>65</v>
      </c>
    </row>
    <row r="70" spans="84:148" ht="24.95" customHeight="1">
      <c r="CF70" s="1772">
        <v>1</v>
      </c>
      <c r="CG70" s="1773" t="s">
        <v>11</v>
      </c>
      <c r="CH70" s="1774">
        <v>407</v>
      </c>
      <c r="CI70" s="1775">
        <v>69.2</v>
      </c>
      <c r="CJ70" s="1774">
        <v>30</v>
      </c>
      <c r="CK70" s="1775">
        <v>16.2</v>
      </c>
      <c r="CL70" s="1774">
        <v>255.9</v>
      </c>
      <c r="CM70" s="1775">
        <v>54.89</v>
      </c>
      <c r="CN70" s="1774">
        <v>71</v>
      </c>
      <c r="CO70" s="1775">
        <v>31</v>
      </c>
      <c r="CP70" s="1774">
        <v>1910.7</v>
      </c>
      <c r="CQ70" s="1775">
        <v>286.2</v>
      </c>
      <c r="CR70" s="1774">
        <v>98.89</v>
      </c>
      <c r="CS70" s="1775">
        <v>74.989999999999995</v>
      </c>
      <c r="CT70" s="1774">
        <v>15</v>
      </c>
      <c r="CU70" s="1775">
        <v>5.4</v>
      </c>
      <c r="CV70" s="1774">
        <v>1419</v>
      </c>
      <c r="CW70" s="1775">
        <v>242.3</v>
      </c>
      <c r="CX70" s="1774">
        <v>374.8</v>
      </c>
      <c r="CY70" s="1775">
        <v>23.6</v>
      </c>
      <c r="CZ70" s="1774">
        <v>83</v>
      </c>
      <c r="DA70" s="1775">
        <v>11</v>
      </c>
      <c r="DB70" s="1774">
        <v>0</v>
      </c>
      <c r="DC70" s="1775">
        <v>0</v>
      </c>
      <c r="DD70" s="1774">
        <v>39</v>
      </c>
      <c r="DE70" s="1775">
        <v>30</v>
      </c>
      <c r="DF70" s="1774">
        <v>22</v>
      </c>
      <c r="DG70" s="1775">
        <v>37.800000000000004</v>
      </c>
      <c r="DH70" s="1774">
        <v>3</v>
      </c>
      <c r="DI70" s="1775">
        <v>10</v>
      </c>
      <c r="DJ70" s="1774">
        <v>34.229999999999997</v>
      </c>
      <c r="DK70" s="1775">
        <v>3.75</v>
      </c>
      <c r="DL70" s="1774">
        <v>628.5</v>
      </c>
      <c r="DM70" s="1775">
        <v>32.700000000000003</v>
      </c>
      <c r="DN70" s="1774">
        <v>206.09</v>
      </c>
      <c r="DO70" s="1775">
        <v>97.88</v>
      </c>
      <c r="DP70" s="1774">
        <v>749.50049999999987</v>
      </c>
      <c r="DQ70" s="1775">
        <v>88.693400000000224</v>
      </c>
      <c r="DR70" s="1774">
        <v>158</v>
      </c>
      <c r="DS70" s="1775">
        <v>49.5</v>
      </c>
      <c r="DT70" s="1776">
        <v>6505.6104999999998</v>
      </c>
      <c r="DU70" s="1777">
        <v>1165.1034000000004</v>
      </c>
      <c r="DV70" s="1774">
        <v>0</v>
      </c>
      <c r="DW70" s="1775">
        <v>0</v>
      </c>
      <c r="DX70" s="788"/>
      <c r="DY70" s="788"/>
      <c r="DZ70" s="788"/>
      <c r="EA70" s="788"/>
      <c r="EB70" s="788"/>
      <c r="EC70" s="788"/>
      <c r="ED70" s="788"/>
      <c r="EE70" s="788"/>
      <c r="EF70" s="788"/>
      <c r="EG70" s="788"/>
      <c r="EH70" s="788"/>
      <c r="EI70" s="788"/>
      <c r="EJ70" s="788"/>
      <c r="EK70" s="788"/>
      <c r="EL70" s="788"/>
      <c r="EM70" s="788"/>
      <c r="EN70" s="788"/>
      <c r="EO70" s="788"/>
      <c r="EP70" s="445"/>
      <c r="EQ70" s="1686"/>
      <c r="ER70" s="1687"/>
    </row>
    <row r="71" spans="84:148" ht="30" customHeight="1">
      <c r="CF71" s="1688"/>
      <c r="CG71" s="789" t="s">
        <v>8</v>
      </c>
      <c r="CH71" s="1689"/>
      <c r="CI71" s="1690"/>
      <c r="CJ71" s="1689"/>
      <c r="CK71" s="1690"/>
      <c r="CL71" s="1689"/>
      <c r="CM71" s="1690"/>
      <c r="CN71" s="1689"/>
      <c r="CO71" s="1690"/>
      <c r="CP71" s="1689"/>
      <c r="CQ71" s="1690"/>
      <c r="CR71" s="1689"/>
      <c r="CS71" s="1690"/>
      <c r="CT71" s="1689"/>
      <c r="CU71" s="1690"/>
      <c r="CV71" s="1689"/>
      <c r="CW71" s="1690"/>
      <c r="CX71" s="1689"/>
      <c r="CY71" s="1690"/>
      <c r="CZ71" s="1689"/>
      <c r="DA71" s="1690"/>
      <c r="DB71" s="1689"/>
      <c r="DC71" s="1690"/>
      <c r="DD71" s="1689"/>
      <c r="DE71" s="1690"/>
      <c r="DF71" s="1689"/>
      <c r="DG71" s="1690"/>
      <c r="DH71" s="1689"/>
      <c r="DI71" s="1690"/>
      <c r="DJ71" s="1689"/>
      <c r="DK71" s="1690"/>
      <c r="DL71" s="1689"/>
      <c r="DM71" s="1690"/>
      <c r="DN71" s="1689"/>
      <c r="DO71" s="1690"/>
      <c r="DP71" s="1689"/>
      <c r="DQ71" s="1690"/>
      <c r="DR71" s="1689"/>
      <c r="DS71" s="1690"/>
      <c r="DT71" s="1691"/>
      <c r="DU71" s="1692"/>
      <c r="DV71" s="1689"/>
      <c r="DW71" s="1690"/>
      <c r="DX71" s="788"/>
      <c r="DY71" s="788"/>
      <c r="DZ71" s="788"/>
      <c r="EA71" s="788"/>
      <c r="EB71" s="788"/>
      <c r="EC71" s="788"/>
      <c r="ED71" s="788"/>
      <c r="EE71" s="788"/>
      <c r="EF71" s="788"/>
      <c r="EG71" s="788"/>
      <c r="EH71" s="788"/>
      <c r="EI71" s="788"/>
      <c r="EJ71" s="788"/>
      <c r="EK71" s="788"/>
      <c r="EL71" s="788"/>
      <c r="EM71" s="788"/>
      <c r="EN71" s="788"/>
      <c r="EO71" s="788"/>
      <c r="EP71" s="445"/>
      <c r="EQ71" s="1693"/>
      <c r="ER71" s="790"/>
    </row>
    <row r="72" spans="84:148" ht="24.95" customHeight="1">
      <c r="CF72" s="1688"/>
      <c r="CG72" s="791" t="s">
        <v>70</v>
      </c>
      <c r="CH72" s="1694"/>
      <c r="CI72" s="1695"/>
      <c r="CJ72" s="1694"/>
      <c r="CK72" s="1695"/>
      <c r="CL72" s="1694"/>
      <c r="CM72" s="1695"/>
      <c r="CN72" s="1694"/>
      <c r="CO72" s="1695"/>
      <c r="CP72" s="1694"/>
      <c r="CQ72" s="1695"/>
      <c r="CR72" s="1694"/>
      <c r="CS72" s="1695"/>
      <c r="CT72" s="1694"/>
      <c r="CU72" s="1695"/>
      <c r="CV72" s="1694"/>
      <c r="CW72" s="1695"/>
      <c r="CX72" s="1694"/>
      <c r="CY72" s="1695"/>
      <c r="CZ72" s="1694"/>
      <c r="DA72" s="1695"/>
      <c r="DB72" s="1694"/>
      <c r="DC72" s="1695"/>
      <c r="DD72" s="1694"/>
      <c r="DE72" s="1695"/>
      <c r="DF72" s="1694"/>
      <c r="DG72" s="1695"/>
      <c r="DH72" s="1694"/>
      <c r="DI72" s="1695"/>
      <c r="DJ72" s="1694"/>
      <c r="DK72" s="1695"/>
      <c r="DL72" s="1694"/>
      <c r="DM72" s="1695"/>
      <c r="DN72" s="1694"/>
      <c r="DO72" s="1695"/>
      <c r="DP72" s="1694"/>
      <c r="DQ72" s="1695"/>
      <c r="DR72" s="1694"/>
      <c r="DS72" s="1695"/>
      <c r="DT72" s="1691"/>
      <c r="DU72" s="1692"/>
      <c r="DV72" s="1694"/>
      <c r="DW72" s="1695"/>
      <c r="DX72" s="788"/>
      <c r="DY72" s="788"/>
      <c r="DZ72" s="788"/>
      <c r="EA72" s="788"/>
      <c r="EB72" s="788"/>
      <c r="EC72" s="788"/>
      <c r="ED72" s="788"/>
      <c r="EE72" s="788"/>
      <c r="EF72" s="788"/>
      <c r="EG72" s="788"/>
      <c r="EH72" s="788"/>
      <c r="EI72" s="788"/>
      <c r="EJ72" s="788"/>
      <c r="EK72" s="788"/>
      <c r="EL72" s="788"/>
      <c r="EM72" s="788"/>
      <c r="EN72" s="788"/>
      <c r="EO72" s="788"/>
      <c r="EP72" s="445"/>
      <c r="EQ72" s="1693"/>
      <c r="ER72" s="790"/>
    </row>
    <row r="73" spans="84:148" ht="24.95" customHeight="1">
      <c r="CF73" s="1696">
        <v>2</v>
      </c>
      <c r="CG73" s="792" t="s">
        <v>71</v>
      </c>
      <c r="CH73" s="1697">
        <v>0</v>
      </c>
      <c r="CI73" s="1698">
        <v>0</v>
      </c>
      <c r="CJ73" s="1697">
        <v>0</v>
      </c>
      <c r="CK73" s="1698">
        <v>0</v>
      </c>
      <c r="CL73" s="1697">
        <v>57</v>
      </c>
      <c r="CM73" s="1698">
        <v>0</v>
      </c>
      <c r="CN73" s="1697">
        <v>119</v>
      </c>
      <c r="CO73" s="1698">
        <v>0</v>
      </c>
      <c r="CP73" s="1697">
        <v>0</v>
      </c>
      <c r="CQ73" s="1698">
        <v>0</v>
      </c>
      <c r="CR73" s="1697">
        <v>11</v>
      </c>
      <c r="CS73" s="1698">
        <v>0.5</v>
      </c>
      <c r="CT73" s="1697">
        <v>0</v>
      </c>
      <c r="CU73" s="1698">
        <v>0</v>
      </c>
      <c r="CV73" s="1697">
        <v>0</v>
      </c>
      <c r="CW73" s="1698">
        <v>0</v>
      </c>
      <c r="CX73" s="1697">
        <v>0</v>
      </c>
      <c r="CY73" s="1698">
        <v>0</v>
      </c>
      <c r="CZ73" s="1697">
        <v>0</v>
      </c>
      <c r="DA73" s="1698">
        <v>6.7</v>
      </c>
      <c r="DB73" s="1697">
        <v>0</v>
      </c>
      <c r="DC73" s="1698">
        <v>0</v>
      </c>
      <c r="DD73" s="1697">
        <v>0</v>
      </c>
      <c r="DE73" s="1698">
        <v>0</v>
      </c>
      <c r="DF73" s="1697">
        <v>0</v>
      </c>
      <c r="DG73" s="1698">
        <v>0</v>
      </c>
      <c r="DH73" s="1697">
        <v>0</v>
      </c>
      <c r="DI73" s="1698">
        <v>0</v>
      </c>
      <c r="DJ73" s="1697">
        <v>0</v>
      </c>
      <c r="DK73" s="1698">
        <v>0</v>
      </c>
      <c r="DL73" s="1697">
        <v>0</v>
      </c>
      <c r="DM73" s="1698">
        <v>0</v>
      </c>
      <c r="DN73" s="1697">
        <v>0</v>
      </c>
      <c r="DO73" s="1698">
        <v>0</v>
      </c>
      <c r="DP73" s="1697">
        <v>0</v>
      </c>
      <c r="DQ73" s="1698">
        <v>0</v>
      </c>
      <c r="DR73" s="1697">
        <v>59</v>
      </c>
      <c r="DS73" s="1698">
        <v>0</v>
      </c>
      <c r="DT73" s="1699">
        <v>246</v>
      </c>
      <c r="DU73" s="1700">
        <v>7.2</v>
      </c>
      <c r="DV73" s="1697">
        <v>0</v>
      </c>
      <c r="DW73" s="1698">
        <v>0</v>
      </c>
      <c r="DX73" s="793">
        <v>0</v>
      </c>
      <c r="DY73" s="793">
        <v>0</v>
      </c>
      <c r="DZ73" s="793">
        <v>5</v>
      </c>
      <c r="EA73" s="793">
        <v>4</v>
      </c>
      <c r="EB73" s="793">
        <v>0</v>
      </c>
      <c r="EC73" s="793">
        <v>0.5</v>
      </c>
      <c r="ED73" s="793">
        <v>0</v>
      </c>
      <c r="EE73" s="793">
        <v>0</v>
      </c>
      <c r="EF73" s="793">
        <v>0</v>
      </c>
      <c r="EG73" s="793">
        <v>0</v>
      </c>
      <c r="EH73" s="793">
        <v>0</v>
      </c>
      <c r="EI73" s="793">
        <v>0</v>
      </c>
      <c r="EJ73" s="793">
        <v>0</v>
      </c>
      <c r="EK73" s="793">
        <v>0</v>
      </c>
      <c r="EL73" s="793">
        <v>0</v>
      </c>
      <c r="EM73" s="793">
        <v>0</v>
      </c>
      <c r="EN73" s="793">
        <v>0</v>
      </c>
      <c r="EO73" s="793">
        <v>0</v>
      </c>
      <c r="EP73" s="793">
        <v>1</v>
      </c>
      <c r="EQ73" s="1701">
        <v>10.5</v>
      </c>
      <c r="ER73" s="1702">
        <v>0</v>
      </c>
    </row>
    <row r="74" spans="84:148" ht="24.95" customHeight="1">
      <c r="CF74" s="1696">
        <v>3</v>
      </c>
      <c r="CG74" s="791" t="s">
        <v>72</v>
      </c>
      <c r="CH74" s="1697">
        <v>426</v>
      </c>
      <c r="CI74" s="1698">
        <v>68.5</v>
      </c>
      <c r="CJ74" s="1697">
        <v>93</v>
      </c>
      <c r="CK74" s="1698">
        <v>59.1</v>
      </c>
      <c r="CL74" s="1697">
        <v>447.92999999999995</v>
      </c>
      <c r="CM74" s="1698">
        <v>715.6</v>
      </c>
      <c r="CN74" s="1697">
        <v>430</v>
      </c>
      <c r="CO74" s="1698">
        <v>199.2</v>
      </c>
      <c r="CP74" s="1697">
        <v>210</v>
      </c>
      <c r="CQ74" s="1698">
        <v>25</v>
      </c>
      <c r="CR74" s="1697">
        <v>648.5</v>
      </c>
      <c r="CS74" s="1698">
        <v>175.84</v>
      </c>
      <c r="CT74" s="1697">
        <v>121</v>
      </c>
      <c r="CU74" s="1698">
        <v>7</v>
      </c>
      <c r="CV74" s="1697">
        <v>1145</v>
      </c>
      <c r="CW74" s="1698">
        <v>222.38</v>
      </c>
      <c r="CX74" s="1697">
        <v>547.63</v>
      </c>
      <c r="CY74" s="1698">
        <v>93.04</v>
      </c>
      <c r="CZ74" s="1697">
        <v>77</v>
      </c>
      <c r="DA74" s="1698">
        <v>153</v>
      </c>
      <c r="DB74" s="1697">
        <v>0</v>
      </c>
      <c r="DC74" s="1698">
        <v>189.755</v>
      </c>
      <c r="DD74" s="1697">
        <v>199</v>
      </c>
      <c r="DE74" s="1698">
        <v>172.76999999999998</v>
      </c>
      <c r="DF74" s="1697">
        <v>140</v>
      </c>
      <c r="DG74" s="1698">
        <v>180.58</v>
      </c>
      <c r="DH74" s="1697">
        <v>92</v>
      </c>
      <c r="DI74" s="1698">
        <v>8.5</v>
      </c>
      <c r="DJ74" s="1697">
        <v>28</v>
      </c>
      <c r="DK74" s="1698">
        <v>26.8</v>
      </c>
      <c r="DL74" s="1697">
        <v>366.47</v>
      </c>
      <c r="DM74" s="1698">
        <v>43.79</v>
      </c>
      <c r="DN74" s="1697">
        <v>523.51</v>
      </c>
      <c r="DO74" s="1698">
        <v>254.08</v>
      </c>
      <c r="DP74" s="1697">
        <v>525</v>
      </c>
      <c r="DQ74" s="1698">
        <v>246.60399999999998</v>
      </c>
      <c r="DR74" s="1697">
        <v>584</v>
      </c>
      <c r="DS74" s="1698">
        <v>248.66666666666674</v>
      </c>
      <c r="DT74" s="1699">
        <v>6604.04</v>
      </c>
      <c r="DU74" s="1700">
        <v>3090.2056666666667</v>
      </c>
      <c r="DV74" s="1697">
        <v>0</v>
      </c>
      <c r="DW74" s="1698">
        <v>151.50700000000001</v>
      </c>
      <c r="DX74" s="797"/>
      <c r="DY74" s="797"/>
      <c r="DZ74" s="797"/>
      <c r="EA74" s="797"/>
      <c r="EB74" s="797"/>
      <c r="EC74" s="797"/>
      <c r="ED74" s="797"/>
      <c r="EE74" s="797"/>
      <c r="EF74" s="797"/>
      <c r="EG74" s="797"/>
      <c r="EH74" s="797"/>
      <c r="EI74" s="797"/>
      <c r="EJ74" s="797"/>
      <c r="EK74" s="797"/>
      <c r="EL74" s="797"/>
      <c r="EM74" s="797"/>
      <c r="EN74" s="797"/>
      <c r="EO74" s="797"/>
      <c r="EP74" s="797"/>
      <c r="EQ74" s="1693"/>
      <c r="ER74" s="1703"/>
    </row>
    <row r="75" spans="84:148" ht="24.95" customHeight="1">
      <c r="CF75" s="1688"/>
      <c r="CG75" s="791" t="s">
        <v>2</v>
      </c>
      <c r="CH75" s="1715">
        <v>426</v>
      </c>
      <c r="CI75" s="1716">
        <v>68.5</v>
      </c>
      <c r="CJ75" s="1715">
        <v>93</v>
      </c>
      <c r="CK75" s="1716">
        <v>59.1</v>
      </c>
      <c r="CL75" s="1715">
        <v>504.92999999999995</v>
      </c>
      <c r="CM75" s="1716">
        <v>715.6</v>
      </c>
      <c r="CN75" s="1715">
        <v>549</v>
      </c>
      <c r="CO75" s="1716">
        <v>199.2</v>
      </c>
      <c r="CP75" s="1715">
        <v>210</v>
      </c>
      <c r="CQ75" s="1716">
        <v>25</v>
      </c>
      <c r="CR75" s="1715">
        <v>659.5</v>
      </c>
      <c r="CS75" s="1716">
        <v>176.34</v>
      </c>
      <c r="CT75" s="1715">
        <v>121</v>
      </c>
      <c r="CU75" s="1716">
        <v>7</v>
      </c>
      <c r="CV75" s="1715">
        <v>1145</v>
      </c>
      <c r="CW75" s="1716">
        <v>222.38</v>
      </c>
      <c r="CX75" s="1715">
        <v>547.63</v>
      </c>
      <c r="CY75" s="1716">
        <v>93.04</v>
      </c>
      <c r="CZ75" s="1715">
        <v>77</v>
      </c>
      <c r="DA75" s="1716">
        <v>159.69999999999999</v>
      </c>
      <c r="DB75" s="1715">
        <v>0</v>
      </c>
      <c r="DC75" s="1716">
        <v>189.755</v>
      </c>
      <c r="DD75" s="1715">
        <v>199</v>
      </c>
      <c r="DE75" s="1716">
        <v>172.76999999999998</v>
      </c>
      <c r="DF75" s="1715">
        <v>140</v>
      </c>
      <c r="DG75" s="1716">
        <v>180.58</v>
      </c>
      <c r="DH75" s="1715">
        <v>92</v>
      </c>
      <c r="DI75" s="1716">
        <v>8.5</v>
      </c>
      <c r="DJ75" s="1715">
        <v>28</v>
      </c>
      <c r="DK75" s="1716">
        <v>26.8</v>
      </c>
      <c r="DL75" s="1715">
        <v>366.47</v>
      </c>
      <c r="DM75" s="1716">
        <v>43.79</v>
      </c>
      <c r="DN75" s="1715">
        <v>523.51</v>
      </c>
      <c r="DO75" s="1716">
        <v>254.08</v>
      </c>
      <c r="DP75" s="1715">
        <v>525</v>
      </c>
      <c r="DQ75" s="1716">
        <v>246.60399999999998</v>
      </c>
      <c r="DR75" s="1715">
        <v>643</v>
      </c>
      <c r="DS75" s="1716">
        <v>248.66666666666674</v>
      </c>
      <c r="DT75" s="1699">
        <v>6850.04</v>
      </c>
      <c r="DU75" s="1700">
        <v>3097.4056666666665</v>
      </c>
      <c r="DV75" s="1715">
        <v>0</v>
      </c>
      <c r="DW75" s="1716">
        <v>151.50700000000001</v>
      </c>
      <c r="DX75" s="797"/>
      <c r="DY75" s="797"/>
      <c r="DZ75" s="797"/>
      <c r="EA75" s="797"/>
      <c r="EB75" s="797"/>
      <c r="EC75" s="797"/>
      <c r="ED75" s="797"/>
      <c r="EE75" s="797"/>
      <c r="EF75" s="797"/>
      <c r="EG75" s="797"/>
      <c r="EH75" s="797"/>
      <c r="EI75" s="797"/>
      <c r="EJ75" s="797"/>
      <c r="EK75" s="797"/>
      <c r="EL75" s="797"/>
      <c r="EM75" s="797"/>
      <c r="EN75" s="797"/>
      <c r="EO75" s="797"/>
      <c r="EP75" s="797"/>
      <c r="EQ75" s="1693"/>
      <c r="ER75" s="1703"/>
    </row>
    <row r="76" spans="84:148" ht="24.95" customHeight="1">
      <c r="CF76" s="1778"/>
      <c r="CG76" s="1771" t="s">
        <v>9</v>
      </c>
      <c r="CH76" s="2454"/>
      <c r="CI76" s="2455"/>
      <c r="CJ76" s="2454"/>
      <c r="CK76" s="2455"/>
      <c r="CL76" s="2454"/>
      <c r="CM76" s="2455"/>
      <c r="CN76" s="2454"/>
      <c r="CO76" s="2455"/>
      <c r="CP76" s="2454"/>
      <c r="CQ76" s="2455"/>
      <c r="CR76" s="2454"/>
      <c r="CS76" s="2455"/>
      <c r="CT76" s="2454"/>
      <c r="CU76" s="2455"/>
      <c r="CV76" s="2454"/>
      <c r="CW76" s="2455"/>
      <c r="CX76" s="2454"/>
      <c r="CY76" s="2455"/>
      <c r="CZ76" s="2454"/>
      <c r="DA76" s="2455"/>
      <c r="DB76" s="2454"/>
      <c r="DC76" s="2455"/>
      <c r="DD76" s="2454"/>
      <c r="DE76" s="2455"/>
      <c r="DF76" s="2454"/>
      <c r="DG76" s="2455"/>
      <c r="DH76" s="2454"/>
      <c r="DI76" s="2455"/>
      <c r="DJ76" s="2454"/>
      <c r="DK76" s="2455"/>
      <c r="DL76" s="2454"/>
      <c r="DM76" s="2455"/>
      <c r="DN76" s="2454"/>
      <c r="DO76" s="2455"/>
      <c r="DP76" s="2454"/>
      <c r="DQ76" s="2455"/>
      <c r="DR76" s="2454"/>
      <c r="DS76" s="2455"/>
      <c r="DT76" s="2456"/>
      <c r="DU76" s="2457"/>
      <c r="DV76" s="2454"/>
      <c r="DW76" s="2455"/>
      <c r="DX76" s="1779"/>
      <c r="DY76" s="1779"/>
      <c r="DZ76" s="1779"/>
      <c r="EA76" s="1779"/>
      <c r="EB76" s="1779"/>
      <c r="EC76" s="1779"/>
      <c r="ED76" s="1779"/>
      <c r="EE76" s="1779"/>
      <c r="EF76" s="1779"/>
      <c r="EG76" s="1779"/>
      <c r="EH76" s="1779"/>
      <c r="EI76" s="1779"/>
      <c r="EJ76" s="1779"/>
      <c r="EK76" s="1779"/>
      <c r="EL76" s="1779"/>
      <c r="EM76" s="1779"/>
      <c r="EN76" s="1779"/>
      <c r="EO76" s="1779"/>
      <c r="EP76" s="1779"/>
      <c r="EQ76" s="1686"/>
      <c r="ER76" s="1780"/>
    </row>
    <row r="77" spans="84:148" ht="24.95" customHeight="1">
      <c r="CF77" s="1688"/>
      <c r="CG77" s="791" t="s">
        <v>70</v>
      </c>
      <c r="CH77" s="1689"/>
      <c r="CI77" s="1690"/>
      <c r="CJ77" s="1689"/>
      <c r="CK77" s="1690"/>
      <c r="CL77" s="1689"/>
      <c r="CM77" s="1690"/>
      <c r="CN77" s="1689"/>
      <c r="CO77" s="1690"/>
      <c r="CP77" s="1689"/>
      <c r="CQ77" s="1690"/>
      <c r="CR77" s="1689"/>
      <c r="CS77" s="1690"/>
      <c r="CT77" s="1689"/>
      <c r="CU77" s="1690"/>
      <c r="CV77" s="1689"/>
      <c r="CW77" s="1690"/>
      <c r="CX77" s="1689"/>
      <c r="CY77" s="1690"/>
      <c r="CZ77" s="1689"/>
      <c r="DA77" s="1690"/>
      <c r="DB77" s="1689"/>
      <c r="DC77" s="1690"/>
      <c r="DD77" s="1689"/>
      <c r="DE77" s="1690"/>
      <c r="DF77" s="1689"/>
      <c r="DG77" s="1690"/>
      <c r="DH77" s="1689"/>
      <c r="DI77" s="1690"/>
      <c r="DJ77" s="1689"/>
      <c r="DK77" s="1690"/>
      <c r="DL77" s="1689"/>
      <c r="DM77" s="1690"/>
      <c r="DN77" s="1689"/>
      <c r="DO77" s="1690"/>
      <c r="DP77" s="1689"/>
      <c r="DQ77" s="1690"/>
      <c r="DR77" s="1689"/>
      <c r="DS77" s="1690"/>
      <c r="DT77" s="2458"/>
      <c r="DU77" s="2459"/>
      <c r="DV77" s="1689"/>
      <c r="DW77" s="1690"/>
      <c r="DX77" s="797"/>
      <c r="DY77" s="797"/>
      <c r="DZ77" s="797"/>
      <c r="EA77" s="797"/>
      <c r="EB77" s="797"/>
      <c r="EC77" s="797"/>
      <c r="ED77" s="797"/>
      <c r="EE77" s="797"/>
      <c r="EF77" s="797"/>
      <c r="EG77" s="797"/>
      <c r="EH77" s="797"/>
      <c r="EI77" s="797"/>
      <c r="EJ77" s="797"/>
      <c r="EK77" s="797"/>
      <c r="EL77" s="797"/>
      <c r="EM77" s="797"/>
      <c r="EN77" s="797"/>
      <c r="EO77" s="797"/>
      <c r="EP77" s="797"/>
      <c r="EQ77" s="1693"/>
      <c r="ER77" s="1703"/>
    </row>
    <row r="78" spans="84:148" ht="24.95" customHeight="1">
      <c r="CF78" s="1688"/>
      <c r="CG78" s="792" t="s">
        <v>91</v>
      </c>
      <c r="CH78" s="2460"/>
      <c r="CI78" s="2461"/>
      <c r="CJ78" s="2460"/>
      <c r="CK78" s="2461"/>
      <c r="CL78" s="2460"/>
      <c r="CM78" s="2461"/>
      <c r="CN78" s="2460"/>
      <c r="CO78" s="2461"/>
      <c r="CP78" s="2460"/>
      <c r="CQ78" s="2461"/>
      <c r="CR78" s="2460"/>
      <c r="CS78" s="2461"/>
      <c r="CT78" s="2460"/>
      <c r="CU78" s="2461"/>
      <c r="CV78" s="2460"/>
      <c r="CW78" s="2461"/>
      <c r="CX78" s="2460"/>
      <c r="CY78" s="2461"/>
      <c r="CZ78" s="2460"/>
      <c r="DA78" s="2461"/>
      <c r="DB78" s="2460"/>
      <c r="DC78" s="2461"/>
      <c r="DD78" s="2460"/>
      <c r="DE78" s="2461"/>
      <c r="DF78" s="2460"/>
      <c r="DG78" s="2461"/>
      <c r="DH78" s="2460"/>
      <c r="DI78" s="2461"/>
      <c r="DJ78" s="2460"/>
      <c r="DK78" s="2461"/>
      <c r="DL78" s="2460"/>
      <c r="DM78" s="2461"/>
      <c r="DN78" s="2460"/>
      <c r="DO78" s="2461"/>
      <c r="DP78" s="2460"/>
      <c r="DQ78" s="2461"/>
      <c r="DR78" s="2460"/>
      <c r="DS78" s="2461"/>
      <c r="DT78" s="2458"/>
      <c r="DU78" s="2459"/>
      <c r="DV78" s="2460"/>
      <c r="DW78" s="2461"/>
      <c r="DX78" s="797"/>
      <c r="DY78" s="797"/>
      <c r="DZ78" s="797"/>
      <c r="EA78" s="797"/>
      <c r="EB78" s="797"/>
      <c r="EC78" s="797"/>
      <c r="ED78" s="797"/>
      <c r="EE78" s="797"/>
      <c r="EF78" s="797"/>
      <c r="EG78" s="797"/>
      <c r="EH78" s="797"/>
      <c r="EI78" s="797"/>
      <c r="EJ78" s="797"/>
      <c r="EK78" s="797"/>
      <c r="EL78" s="797"/>
      <c r="EM78" s="797"/>
      <c r="EN78" s="797"/>
      <c r="EO78" s="797"/>
      <c r="EP78" s="797"/>
      <c r="EQ78" s="1693"/>
      <c r="ER78" s="1703"/>
    </row>
    <row r="79" spans="84:148" ht="24.95" customHeight="1">
      <c r="CF79" s="1696">
        <v>4</v>
      </c>
      <c r="CG79" s="1704" t="s">
        <v>349</v>
      </c>
      <c r="CH79" s="1697">
        <v>189.3</v>
      </c>
      <c r="CI79" s="1698">
        <v>0</v>
      </c>
      <c r="CJ79" s="1697">
        <v>0</v>
      </c>
      <c r="CK79" s="1698">
        <v>0</v>
      </c>
      <c r="CL79" s="1697">
        <v>155</v>
      </c>
      <c r="CM79" s="1698">
        <v>0.79</v>
      </c>
      <c r="CN79" s="1697">
        <v>0</v>
      </c>
      <c r="CO79" s="1698">
        <v>0</v>
      </c>
      <c r="CP79" s="1697">
        <v>110</v>
      </c>
      <c r="CQ79" s="1698">
        <v>0</v>
      </c>
      <c r="CR79" s="1697">
        <v>0</v>
      </c>
      <c r="CS79" s="1698">
        <v>0</v>
      </c>
      <c r="CT79" s="1697">
        <v>0</v>
      </c>
      <c r="CU79" s="1698">
        <v>0</v>
      </c>
      <c r="CV79" s="1697">
        <v>189</v>
      </c>
      <c r="CW79" s="1698">
        <v>0.5</v>
      </c>
      <c r="CX79" s="1697">
        <v>0</v>
      </c>
      <c r="CY79" s="1698">
        <v>0</v>
      </c>
      <c r="CZ79" s="1697">
        <v>84</v>
      </c>
      <c r="DA79" s="1698">
        <v>0</v>
      </c>
      <c r="DB79" s="1697">
        <v>0</v>
      </c>
      <c r="DC79" s="1698">
        <v>0</v>
      </c>
      <c r="DD79" s="1697">
        <v>0</v>
      </c>
      <c r="DE79" s="1698">
        <v>0</v>
      </c>
      <c r="DF79" s="1697">
        <v>0</v>
      </c>
      <c r="DG79" s="1698">
        <v>0</v>
      </c>
      <c r="DH79" s="1697">
        <v>0</v>
      </c>
      <c r="DI79" s="1698">
        <v>0</v>
      </c>
      <c r="DJ79" s="1697">
        <v>0</v>
      </c>
      <c r="DK79" s="1698">
        <v>0</v>
      </c>
      <c r="DL79" s="1697">
        <v>0</v>
      </c>
      <c r="DM79" s="1698">
        <v>0</v>
      </c>
      <c r="DN79" s="1697">
        <v>0</v>
      </c>
      <c r="DO79" s="1698">
        <v>0</v>
      </c>
      <c r="DP79" s="1697">
        <v>304</v>
      </c>
      <c r="DQ79" s="1698">
        <v>0</v>
      </c>
      <c r="DR79" s="1697">
        <v>115</v>
      </c>
      <c r="DS79" s="1698">
        <v>3.333333333333333</v>
      </c>
      <c r="DT79" s="1699">
        <v>1146.3</v>
      </c>
      <c r="DU79" s="1700">
        <v>4.6233333333333331</v>
      </c>
      <c r="DV79" s="1697">
        <v>0</v>
      </c>
      <c r="DW79" s="1698">
        <v>0</v>
      </c>
      <c r="DX79" s="793">
        <v>3</v>
      </c>
      <c r="DY79" s="793">
        <v>0</v>
      </c>
      <c r="DZ79" s="793">
        <v>2</v>
      </c>
      <c r="EA79" s="793">
        <v>0</v>
      </c>
      <c r="EB79" s="793">
        <v>6</v>
      </c>
      <c r="EC79" s="793">
        <v>0</v>
      </c>
      <c r="ED79" s="793">
        <v>0</v>
      </c>
      <c r="EE79" s="793">
        <v>2</v>
      </c>
      <c r="EF79" s="793">
        <v>0</v>
      </c>
      <c r="EG79" s="793">
        <v>0</v>
      </c>
      <c r="EH79" s="793">
        <v>0</v>
      </c>
      <c r="EI79" s="793">
        <v>0</v>
      </c>
      <c r="EJ79" s="793">
        <v>0</v>
      </c>
      <c r="EK79" s="793">
        <v>0</v>
      </c>
      <c r="EL79" s="793">
        <v>0</v>
      </c>
      <c r="EM79" s="793">
        <v>0</v>
      </c>
      <c r="EN79" s="793">
        <v>0</v>
      </c>
      <c r="EO79" s="793">
        <v>10</v>
      </c>
      <c r="EP79" s="793">
        <v>0</v>
      </c>
      <c r="EQ79" s="1701">
        <v>23</v>
      </c>
      <c r="ER79" s="1702">
        <v>0</v>
      </c>
    </row>
    <row r="80" spans="84:148" ht="24.95" customHeight="1">
      <c r="CF80" s="1696">
        <v>5</v>
      </c>
      <c r="CG80" s="1704" t="s">
        <v>311</v>
      </c>
      <c r="CH80" s="1697">
        <v>0</v>
      </c>
      <c r="CI80" s="1698">
        <v>50.64</v>
      </c>
      <c r="CJ80" s="1697">
        <v>0</v>
      </c>
      <c r="CK80" s="1698">
        <v>0</v>
      </c>
      <c r="CL80" s="1697">
        <v>0</v>
      </c>
      <c r="CM80" s="1698">
        <v>85</v>
      </c>
      <c r="CN80" s="1697">
        <v>0</v>
      </c>
      <c r="CO80" s="1698">
        <v>0</v>
      </c>
      <c r="CP80" s="1697">
        <v>45</v>
      </c>
      <c r="CQ80" s="1698">
        <v>0</v>
      </c>
      <c r="CR80" s="1697">
        <v>0</v>
      </c>
      <c r="CS80" s="1698">
        <v>0</v>
      </c>
      <c r="CT80" s="1697">
        <v>0</v>
      </c>
      <c r="CU80" s="1698">
        <v>0</v>
      </c>
      <c r="CV80" s="1697">
        <v>0</v>
      </c>
      <c r="CW80" s="1698">
        <v>0</v>
      </c>
      <c r="CX80" s="1697">
        <v>0</v>
      </c>
      <c r="CY80" s="1698">
        <v>0</v>
      </c>
      <c r="CZ80" s="1697">
        <v>0</v>
      </c>
      <c r="DA80" s="1698">
        <v>0</v>
      </c>
      <c r="DB80" s="1697">
        <v>0</v>
      </c>
      <c r="DC80" s="1698">
        <v>0</v>
      </c>
      <c r="DD80" s="1697">
        <v>0</v>
      </c>
      <c r="DE80" s="1698">
        <v>0</v>
      </c>
      <c r="DF80" s="1697">
        <v>0</v>
      </c>
      <c r="DG80" s="1698">
        <v>0</v>
      </c>
      <c r="DH80" s="1697">
        <v>0</v>
      </c>
      <c r="DI80" s="1698">
        <v>0</v>
      </c>
      <c r="DJ80" s="1697">
        <v>0</v>
      </c>
      <c r="DK80" s="1698">
        <v>0</v>
      </c>
      <c r="DL80" s="1697">
        <v>0</v>
      </c>
      <c r="DM80" s="1698">
        <v>0</v>
      </c>
      <c r="DN80" s="1697">
        <v>0</v>
      </c>
      <c r="DO80" s="1698">
        <v>0</v>
      </c>
      <c r="DP80" s="1697">
        <v>0</v>
      </c>
      <c r="DQ80" s="1698">
        <v>0</v>
      </c>
      <c r="DR80" s="1697">
        <v>0</v>
      </c>
      <c r="DS80" s="1698">
        <v>0</v>
      </c>
      <c r="DT80" s="1699">
        <v>45</v>
      </c>
      <c r="DU80" s="1700">
        <v>135.63999999999999</v>
      </c>
      <c r="DV80" s="1697">
        <v>0</v>
      </c>
      <c r="DW80" s="1698">
        <v>0</v>
      </c>
      <c r="DX80" s="793">
        <v>0</v>
      </c>
      <c r="DY80" s="793">
        <v>0</v>
      </c>
      <c r="DZ80" s="793">
        <v>0</v>
      </c>
      <c r="EA80" s="793">
        <v>0</v>
      </c>
      <c r="EB80" s="793">
        <v>1</v>
      </c>
      <c r="EC80" s="793">
        <v>0</v>
      </c>
      <c r="ED80" s="793">
        <v>0</v>
      </c>
      <c r="EE80" s="793">
        <v>0</v>
      </c>
      <c r="EF80" s="793">
        <v>0</v>
      </c>
      <c r="EG80" s="793">
        <v>0</v>
      </c>
      <c r="EH80" s="793">
        <v>0</v>
      </c>
      <c r="EI80" s="793">
        <v>0</v>
      </c>
      <c r="EJ80" s="793">
        <v>0</v>
      </c>
      <c r="EK80" s="793">
        <v>0</v>
      </c>
      <c r="EL80" s="793">
        <v>0</v>
      </c>
      <c r="EM80" s="793">
        <v>0</v>
      </c>
      <c r="EN80" s="793">
        <v>0</v>
      </c>
      <c r="EO80" s="793">
        <v>0</v>
      </c>
      <c r="EP80" s="793">
        <v>0</v>
      </c>
      <c r="EQ80" s="1701">
        <v>1</v>
      </c>
      <c r="ER80" s="1702">
        <v>0</v>
      </c>
    </row>
    <row r="81" spans="84:148" ht="24.95" customHeight="1">
      <c r="CF81" s="1688"/>
      <c r="CG81" s="1704" t="s">
        <v>2</v>
      </c>
      <c r="CH81" s="1715">
        <v>189.3</v>
      </c>
      <c r="CI81" s="1716">
        <v>50.64</v>
      </c>
      <c r="CJ81" s="1715">
        <v>0</v>
      </c>
      <c r="CK81" s="1716">
        <v>0</v>
      </c>
      <c r="CL81" s="1715">
        <v>155</v>
      </c>
      <c r="CM81" s="1716">
        <v>85.79</v>
      </c>
      <c r="CN81" s="1715">
        <v>0</v>
      </c>
      <c r="CO81" s="1716">
        <v>0</v>
      </c>
      <c r="CP81" s="1715">
        <v>155</v>
      </c>
      <c r="CQ81" s="1716">
        <v>0</v>
      </c>
      <c r="CR81" s="1715">
        <v>0</v>
      </c>
      <c r="CS81" s="1716">
        <v>0</v>
      </c>
      <c r="CT81" s="1715">
        <v>0</v>
      </c>
      <c r="CU81" s="1716">
        <v>0</v>
      </c>
      <c r="CV81" s="1715">
        <v>189</v>
      </c>
      <c r="CW81" s="1716">
        <v>0.5</v>
      </c>
      <c r="CX81" s="1715">
        <v>0</v>
      </c>
      <c r="CY81" s="1716">
        <v>0</v>
      </c>
      <c r="CZ81" s="1715">
        <v>84</v>
      </c>
      <c r="DA81" s="1716">
        <v>0</v>
      </c>
      <c r="DB81" s="1715">
        <v>0</v>
      </c>
      <c r="DC81" s="1716">
        <v>0</v>
      </c>
      <c r="DD81" s="1715">
        <v>0</v>
      </c>
      <c r="DE81" s="1716">
        <v>0</v>
      </c>
      <c r="DF81" s="1715">
        <v>0</v>
      </c>
      <c r="DG81" s="1716">
        <v>0</v>
      </c>
      <c r="DH81" s="1715">
        <v>0</v>
      </c>
      <c r="DI81" s="1716">
        <v>0</v>
      </c>
      <c r="DJ81" s="1715">
        <v>0</v>
      </c>
      <c r="DK81" s="1716">
        <v>0</v>
      </c>
      <c r="DL81" s="1715">
        <v>0</v>
      </c>
      <c r="DM81" s="1716">
        <v>0</v>
      </c>
      <c r="DN81" s="1715">
        <v>0</v>
      </c>
      <c r="DO81" s="1716">
        <v>0</v>
      </c>
      <c r="DP81" s="1715">
        <v>304</v>
      </c>
      <c r="DQ81" s="1716">
        <v>0</v>
      </c>
      <c r="DR81" s="1715">
        <v>115</v>
      </c>
      <c r="DS81" s="1716">
        <v>3.333333333333333</v>
      </c>
      <c r="DT81" s="1699">
        <v>1191.3</v>
      </c>
      <c r="DU81" s="1700">
        <v>140.26333333333332</v>
      </c>
      <c r="DV81" s="1715">
        <v>0</v>
      </c>
      <c r="DW81" s="1716">
        <v>0</v>
      </c>
      <c r="DX81" s="797"/>
      <c r="DY81" s="797"/>
      <c r="DZ81" s="797"/>
      <c r="EA81" s="797"/>
      <c r="EB81" s="797"/>
      <c r="EC81" s="797"/>
      <c r="ED81" s="797"/>
      <c r="EE81" s="797"/>
      <c r="EF81" s="797"/>
      <c r="EG81" s="797"/>
      <c r="EH81" s="797"/>
      <c r="EI81" s="797"/>
      <c r="EJ81" s="797"/>
      <c r="EK81" s="797"/>
      <c r="EL81" s="797"/>
      <c r="EM81" s="797"/>
      <c r="EN81" s="797"/>
      <c r="EO81" s="797"/>
      <c r="EP81" s="797"/>
      <c r="EQ81" s="1701"/>
      <c r="ER81" s="1703"/>
    </row>
    <row r="82" spans="84:148" ht="24.95" customHeight="1">
      <c r="CF82" s="1688"/>
      <c r="CG82" s="792" t="s">
        <v>73</v>
      </c>
      <c r="CH82" s="2460"/>
      <c r="CI82" s="2461"/>
      <c r="CJ82" s="2460"/>
      <c r="CK82" s="2461"/>
      <c r="CL82" s="2460"/>
      <c r="CM82" s="2461"/>
      <c r="CN82" s="2460"/>
      <c r="CO82" s="2461"/>
      <c r="CP82" s="2460"/>
      <c r="CQ82" s="2461"/>
      <c r="CR82" s="2460"/>
      <c r="CS82" s="2461"/>
      <c r="CT82" s="2460"/>
      <c r="CU82" s="2461"/>
      <c r="CV82" s="2460"/>
      <c r="CW82" s="2461"/>
      <c r="CX82" s="2460"/>
      <c r="CY82" s="2461"/>
      <c r="CZ82" s="2460"/>
      <c r="DA82" s="2461"/>
      <c r="DB82" s="2460"/>
      <c r="DC82" s="2461"/>
      <c r="DD82" s="2460"/>
      <c r="DE82" s="2461"/>
      <c r="DF82" s="2460"/>
      <c r="DG82" s="2461"/>
      <c r="DH82" s="2460"/>
      <c r="DI82" s="2461"/>
      <c r="DJ82" s="2460"/>
      <c r="DK82" s="2461"/>
      <c r="DL82" s="2460"/>
      <c r="DM82" s="2461"/>
      <c r="DN82" s="2460"/>
      <c r="DO82" s="2461"/>
      <c r="DP82" s="2460"/>
      <c r="DQ82" s="2461"/>
      <c r="DR82" s="2460"/>
      <c r="DS82" s="2461"/>
      <c r="DT82" s="2458"/>
      <c r="DU82" s="2459"/>
      <c r="DV82" s="2460"/>
      <c r="DW82" s="2461"/>
      <c r="DX82" s="797"/>
      <c r="DY82" s="797"/>
      <c r="DZ82" s="797"/>
      <c r="EA82" s="797"/>
      <c r="EB82" s="797"/>
      <c r="EC82" s="797"/>
      <c r="ED82" s="797"/>
      <c r="EE82" s="797"/>
      <c r="EF82" s="797"/>
      <c r="EG82" s="797"/>
      <c r="EH82" s="797"/>
      <c r="EI82" s="797"/>
      <c r="EJ82" s="797"/>
      <c r="EK82" s="797"/>
      <c r="EL82" s="797"/>
      <c r="EM82" s="797"/>
      <c r="EN82" s="797"/>
      <c r="EO82" s="797"/>
      <c r="EP82" s="797"/>
      <c r="EQ82" s="1693"/>
      <c r="ER82" s="1703"/>
    </row>
    <row r="83" spans="84:148" ht="24.95" customHeight="1">
      <c r="CF83" s="1696">
        <v>6</v>
      </c>
      <c r="CG83" s="1704" t="s">
        <v>349</v>
      </c>
      <c r="CH83" s="1697">
        <v>115.3</v>
      </c>
      <c r="CI83" s="1698">
        <v>0</v>
      </c>
      <c r="CJ83" s="1697">
        <v>0</v>
      </c>
      <c r="CK83" s="1698">
        <v>0</v>
      </c>
      <c r="CL83" s="1697">
        <v>26</v>
      </c>
      <c r="CM83" s="1698">
        <v>0</v>
      </c>
      <c r="CN83" s="1697">
        <v>0</v>
      </c>
      <c r="CO83" s="1698">
        <v>0</v>
      </c>
      <c r="CP83" s="1697">
        <v>193</v>
      </c>
      <c r="CQ83" s="1698">
        <v>0</v>
      </c>
      <c r="CR83" s="1697">
        <v>0</v>
      </c>
      <c r="CS83" s="1698">
        <v>0</v>
      </c>
      <c r="CT83" s="1697">
        <v>0</v>
      </c>
      <c r="CU83" s="1698">
        <v>0</v>
      </c>
      <c r="CV83" s="1697">
        <v>226</v>
      </c>
      <c r="CW83" s="1698">
        <v>1</v>
      </c>
      <c r="CX83" s="1697">
        <v>0</v>
      </c>
      <c r="CY83" s="1698">
        <v>0</v>
      </c>
      <c r="CZ83" s="1697">
        <v>32</v>
      </c>
      <c r="DA83" s="1698">
        <v>0</v>
      </c>
      <c r="DB83" s="1697">
        <v>0</v>
      </c>
      <c r="DC83" s="1698">
        <v>0</v>
      </c>
      <c r="DD83" s="1697">
        <v>0</v>
      </c>
      <c r="DE83" s="1698">
        <v>0</v>
      </c>
      <c r="DF83" s="1697">
        <v>0</v>
      </c>
      <c r="DG83" s="1698">
        <v>0</v>
      </c>
      <c r="DH83" s="1697">
        <v>0</v>
      </c>
      <c r="DI83" s="1698">
        <v>0</v>
      </c>
      <c r="DJ83" s="1697">
        <v>0</v>
      </c>
      <c r="DK83" s="1698">
        <v>0</v>
      </c>
      <c r="DL83" s="1697">
        <v>0</v>
      </c>
      <c r="DM83" s="1698">
        <v>0</v>
      </c>
      <c r="DN83" s="1697">
        <v>0</v>
      </c>
      <c r="DO83" s="1698">
        <v>0</v>
      </c>
      <c r="DP83" s="1697">
        <v>556</v>
      </c>
      <c r="DQ83" s="1698">
        <v>8</v>
      </c>
      <c r="DR83" s="1697">
        <v>93</v>
      </c>
      <c r="DS83" s="1698">
        <v>0</v>
      </c>
      <c r="DT83" s="1699">
        <v>1241.3</v>
      </c>
      <c r="DU83" s="1700">
        <v>9</v>
      </c>
      <c r="DV83" s="1697">
        <v>0</v>
      </c>
      <c r="DW83" s="1698">
        <v>0</v>
      </c>
      <c r="DX83" s="793">
        <v>4</v>
      </c>
      <c r="DY83" s="793">
        <v>0</v>
      </c>
      <c r="DZ83" s="793">
        <v>0</v>
      </c>
      <c r="EA83" s="793">
        <v>0</v>
      </c>
      <c r="EB83" s="793">
        <v>6</v>
      </c>
      <c r="EC83" s="793">
        <v>0</v>
      </c>
      <c r="ED83" s="793">
        <v>0</v>
      </c>
      <c r="EE83" s="793">
        <v>5</v>
      </c>
      <c r="EF83" s="793">
        <v>0</v>
      </c>
      <c r="EG83" s="793">
        <v>0</v>
      </c>
      <c r="EH83" s="793">
        <v>0</v>
      </c>
      <c r="EI83" s="793">
        <v>0</v>
      </c>
      <c r="EJ83" s="793">
        <v>0</v>
      </c>
      <c r="EK83" s="793">
        <v>0</v>
      </c>
      <c r="EL83" s="793">
        <v>0</v>
      </c>
      <c r="EM83" s="793">
        <v>0</v>
      </c>
      <c r="EN83" s="793">
        <v>0</v>
      </c>
      <c r="EO83" s="793">
        <v>10</v>
      </c>
      <c r="EP83" s="793">
        <v>2</v>
      </c>
      <c r="EQ83" s="1701">
        <v>27</v>
      </c>
      <c r="ER83" s="1702">
        <v>0</v>
      </c>
    </row>
    <row r="84" spans="84:148" ht="24.95" customHeight="1">
      <c r="CF84" s="1696">
        <v>7</v>
      </c>
      <c r="CG84" s="1704" t="s">
        <v>311</v>
      </c>
      <c r="CH84" s="1697">
        <v>0</v>
      </c>
      <c r="CI84" s="1698">
        <v>8.11</v>
      </c>
      <c r="CJ84" s="1697">
        <v>0</v>
      </c>
      <c r="CK84" s="1698">
        <v>0</v>
      </c>
      <c r="CL84" s="1697">
        <v>51</v>
      </c>
      <c r="CM84" s="1698">
        <v>0</v>
      </c>
      <c r="CN84" s="1697">
        <v>0</v>
      </c>
      <c r="CO84" s="1698">
        <v>0</v>
      </c>
      <c r="CP84" s="1697">
        <v>0</v>
      </c>
      <c r="CQ84" s="1698">
        <v>0</v>
      </c>
      <c r="CR84" s="1697">
        <v>0</v>
      </c>
      <c r="CS84" s="1698">
        <v>0</v>
      </c>
      <c r="CT84" s="1697">
        <v>0</v>
      </c>
      <c r="CU84" s="1698">
        <v>0</v>
      </c>
      <c r="CV84" s="1697">
        <v>0</v>
      </c>
      <c r="CW84" s="1698">
        <v>0</v>
      </c>
      <c r="CX84" s="1697">
        <v>0</v>
      </c>
      <c r="CY84" s="1698">
        <v>0</v>
      </c>
      <c r="CZ84" s="1697">
        <v>0</v>
      </c>
      <c r="DA84" s="1698">
        <v>0</v>
      </c>
      <c r="DB84" s="1697">
        <v>0</v>
      </c>
      <c r="DC84" s="1698">
        <v>0</v>
      </c>
      <c r="DD84" s="1697">
        <v>0</v>
      </c>
      <c r="DE84" s="1698">
        <v>0</v>
      </c>
      <c r="DF84" s="1697">
        <v>0</v>
      </c>
      <c r="DG84" s="1698">
        <v>0</v>
      </c>
      <c r="DH84" s="1697">
        <v>0</v>
      </c>
      <c r="DI84" s="1698">
        <v>0</v>
      </c>
      <c r="DJ84" s="1697">
        <v>0</v>
      </c>
      <c r="DK84" s="1698">
        <v>0</v>
      </c>
      <c r="DL84" s="1697">
        <v>0</v>
      </c>
      <c r="DM84" s="1698">
        <v>0</v>
      </c>
      <c r="DN84" s="1697">
        <v>0</v>
      </c>
      <c r="DO84" s="1698">
        <v>0</v>
      </c>
      <c r="DP84" s="1697">
        <v>21</v>
      </c>
      <c r="DQ84" s="1698">
        <v>0</v>
      </c>
      <c r="DR84" s="1697">
        <v>0</v>
      </c>
      <c r="DS84" s="1698">
        <v>0</v>
      </c>
      <c r="DT84" s="1699">
        <v>72</v>
      </c>
      <c r="DU84" s="1700">
        <v>8.11</v>
      </c>
      <c r="DV84" s="1697">
        <v>0</v>
      </c>
      <c r="DW84" s="1698">
        <v>0</v>
      </c>
      <c r="DX84" s="793">
        <v>0</v>
      </c>
      <c r="DY84" s="793">
        <v>0</v>
      </c>
      <c r="DZ84" s="793">
        <v>0</v>
      </c>
      <c r="EA84" s="793">
        <v>0</v>
      </c>
      <c r="EB84" s="793">
        <v>0</v>
      </c>
      <c r="EC84" s="793">
        <v>0</v>
      </c>
      <c r="ED84" s="793">
        <v>0</v>
      </c>
      <c r="EE84" s="793">
        <v>0</v>
      </c>
      <c r="EF84" s="793">
        <v>0</v>
      </c>
      <c r="EG84" s="793">
        <v>0</v>
      </c>
      <c r="EH84" s="793">
        <v>0</v>
      </c>
      <c r="EI84" s="793">
        <v>0</v>
      </c>
      <c r="EJ84" s="793">
        <v>0</v>
      </c>
      <c r="EK84" s="793">
        <v>0</v>
      </c>
      <c r="EL84" s="793">
        <v>0</v>
      </c>
      <c r="EM84" s="793">
        <v>0</v>
      </c>
      <c r="EN84" s="793">
        <v>0</v>
      </c>
      <c r="EO84" s="793">
        <v>0</v>
      </c>
      <c r="EP84" s="793">
        <v>0</v>
      </c>
      <c r="EQ84" s="1701">
        <v>0</v>
      </c>
      <c r="ER84" s="1702">
        <v>0</v>
      </c>
    </row>
    <row r="85" spans="84:148" ht="24.95" customHeight="1">
      <c r="CF85" s="1688"/>
      <c r="CG85" s="1704" t="s">
        <v>2</v>
      </c>
      <c r="CH85" s="1715">
        <v>115.3</v>
      </c>
      <c r="CI85" s="1716">
        <v>8.11</v>
      </c>
      <c r="CJ85" s="1715">
        <v>0</v>
      </c>
      <c r="CK85" s="1716">
        <v>0</v>
      </c>
      <c r="CL85" s="1715">
        <v>77</v>
      </c>
      <c r="CM85" s="1716">
        <v>0</v>
      </c>
      <c r="CN85" s="1715">
        <v>0</v>
      </c>
      <c r="CO85" s="1716">
        <v>0</v>
      </c>
      <c r="CP85" s="1715">
        <v>193</v>
      </c>
      <c r="CQ85" s="1716">
        <v>0</v>
      </c>
      <c r="CR85" s="1715">
        <v>0</v>
      </c>
      <c r="CS85" s="1716">
        <v>0</v>
      </c>
      <c r="CT85" s="1715">
        <v>0</v>
      </c>
      <c r="CU85" s="1716">
        <v>0</v>
      </c>
      <c r="CV85" s="1715">
        <v>226</v>
      </c>
      <c r="CW85" s="1716">
        <v>1</v>
      </c>
      <c r="CX85" s="1715">
        <v>0</v>
      </c>
      <c r="CY85" s="1716">
        <v>0</v>
      </c>
      <c r="CZ85" s="1715">
        <v>32</v>
      </c>
      <c r="DA85" s="1716">
        <v>0</v>
      </c>
      <c r="DB85" s="1715">
        <v>0</v>
      </c>
      <c r="DC85" s="1716">
        <v>0</v>
      </c>
      <c r="DD85" s="1715">
        <v>0</v>
      </c>
      <c r="DE85" s="1716">
        <v>0</v>
      </c>
      <c r="DF85" s="1715">
        <v>0</v>
      </c>
      <c r="DG85" s="1716">
        <v>0</v>
      </c>
      <c r="DH85" s="1715">
        <v>0</v>
      </c>
      <c r="DI85" s="1716">
        <v>0</v>
      </c>
      <c r="DJ85" s="1715">
        <v>0</v>
      </c>
      <c r="DK85" s="1716">
        <v>0</v>
      </c>
      <c r="DL85" s="1715">
        <v>0</v>
      </c>
      <c r="DM85" s="1716">
        <v>0</v>
      </c>
      <c r="DN85" s="1715">
        <v>0</v>
      </c>
      <c r="DO85" s="1716">
        <v>0</v>
      </c>
      <c r="DP85" s="1715">
        <v>577</v>
      </c>
      <c r="DQ85" s="1716">
        <v>8</v>
      </c>
      <c r="DR85" s="1715">
        <v>93</v>
      </c>
      <c r="DS85" s="1716">
        <v>0</v>
      </c>
      <c r="DT85" s="1699">
        <v>1313.3</v>
      </c>
      <c r="DU85" s="1700">
        <v>17.11</v>
      </c>
      <c r="DV85" s="1715">
        <v>0</v>
      </c>
      <c r="DW85" s="1716">
        <v>0</v>
      </c>
      <c r="DX85" s="793"/>
      <c r="DY85" s="793"/>
      <c r="DZ85" s="793"/>
      <c r="EA85" s="793"/>
      <c r="EB85" s="793"/>
      <c r="EC85" s="793"/>
      <c r="ED85" s="793"/>
      <c r="EE85" s="793"/>
      <c r="EF85" s="793"/>
      <c r="EG85" s="793"/>
      <c r="EH85" s="793"/>
      <c r="EI85" s="793"/>
      <c r="EJ85" s="793"/>
      <c r="EK85" s="793"/>
      <c r="EL85" s="793"/>
      <c r="EM85" s="793"/>
      <c r="EN85" s="793"/>
      <c r="EO85" s="793"/>
      <c r="EP85" s="793"/>
      <c r="EQ85" s="1701"/>
      <c r="ER85" s="1702"/>
    </row>
    <row r="86" spans="84:148" ht="24.95" customHeight="1">
      <c r="CF86" s="1696">
        <v>8</v>
      </c>
      <c r="CG86" s="1705" t="s">
        <v>340</v>
      </c>
      <c r="CH86" s="1697">
        <v>0</v>
      </c>
      <c r="CI86" s="1698">
        <v>0</v>
      </c>
      <c r="CJ86" s="1697">
        <v>0</v>
      </c>
      <c r="CK86" s="1698">
        <v>0</v>
      </c>
      <c r="CL86" s="1697">
        <v>0</v>
      </c>
      <c r="CM86" s="1698">
        <v>0</v>
      </c>
      <c r="CN86" s="1697">
        <v>0</v>
      </c>
      <c r="CO86" s="1698">
        <v>0</v>
      </c>
      <c r="CP86" s="1697">
        <v>6</v>
      </c>
      <c r="CQ86" s="1698">
        <v>0</v>
      </c>
      <c r="CR86" s="1697">
        <v>0</v>
      </c>
      <c r="CS86" s="1698">
        <v>0</v>
      </c>
      <c r="CT86" s="1697">
        <v>0</v>
      </c>
      <c r="CU86" s="1698">
        <v>0</v>
      </c>
      <c r="CV86" s="1697">
        <v>60</v>
      </c>
      <c r="CW86" s="1698">
        <v>0</v>
      </c>
      <c r="CX86" s="1697">
        <v>0</v>
      </c>
      <c r="CY86" s="1698">
        <v>0</v>
      </c>
      <c r="CZ86" s="1697">
        <v>0</v>
      </c>
      <c r="DA86" s="1698">
        <v>0</v>
      </c>
      <c r="DB86" s="1697">
        <v>0</v>
      </c>
      <c r="DC86" s="1698">
        <v>0</v>
      </c>
      <c r="DD86" s="1697">
        <v>0</v>
      </c>
      <c r="DE86" s="1698">
        <v>0</v>
      </c>
      <c r="DF86" s="1697">
        <v>0</v>
      </c>
      <c r="DG86" s="1698">
        <v>0</v>
      </c>
      <c r="DH86" s="1697">
        <v>0</v>
      </c>
      <c r="DI86" s="1698">
        <v>0</v>
      </c>
      <c r="DJ86" s="1697">
        <v>0</v>
      </c>
      <c r="DK86" s="1698">
        <v>0</v>
      </c>
      <c r="DL86" s="1697">
        <v>0</v>
      </c>
      <c r="DM86" s="1698">
        <v>0</v>
      </c>
      <c r="DN86" s="1697">
        <v>0</v>
      </c>
      <c r="DO86" s="1698">
        <v>0</v>
      </c>
      <c r="DP86" s="1697">
        <v>0</v>
      </c>
      <c r="DQ86" s="1698">
        <v>0</v>
      </c>
      <c r="DR86" s="1697">
        <v>0</v>
      </c>
      <c r="DS86" s="1698">
        <v>0</v>
      </c>
      <c r="DT86" s="1699">
        <v>66</v>
      </c>
      <c r="DU86" s="1700">
        <v>0</v>
      </c>
      <c r="DV86" s="1697">
        <v>0</v>
      </c>
      <c r="DW86" s="1698">
        <v>0</v>
      </c>
      <c r="DX86" s="793">
        <v>0</v>
      </c>
      <c r="DY86" s="793">
        <v>0</v>
      </c>
      <c r="DZ86" s="793">
        <v>0</v>
      </c>
      <c r="EA86" s="793">
        <v>0</v>
      </c>
      <c r="EB86" s="793">
        <v>0</v>
      </c>
      <c r="EC86" s="793">
        <v>0</v>
      </c>
      <c r="ED86" s="793">
        <v>0</v>
      </c>
      <c r="EE86" s="793">
        <v>0</v>
      </c>
      <c r="EF86" s="793">
        <v>0</v>
      </c>
      <c r="EG86" s="793">
        <v>0</v>
      </c>
      <c r="EH86" s="793">
        <v>0</v>
      </c>
      <c r="EI86" s="793">
        <v>0</v>
      </c>
      <c r="EJ86" s="793">
        <v>0</v>
      </c>
      <c r="EK86" s="793">
        <v>0</v>
      </c>
      <c r="EL86" s="793">
        <v>0</v>
      </c>
      <c r="EM86" s="793">
        <v>0</v>
      </c>
      <c r="EN86" s="793">
        <v>0</v>
      </c>
      <c r="EO86" s="793">
        <v>0</v>
      </c>
      <c r="EP86" s="793">
        <v>0</v>
      </c>
      <c r="EQ86" s="1701">
        <v>0</v>
      </c>
      <c r="ER86" s="1702">
        <v>0</v>
      </c>
    </row>
    <row r="87" spans="84:148" ht="25.15" customHeight="1">
      <c r="CF87" s="1696">
        <v>9</v>
      </c>
      <c r="CG87" s="791" t="s">
        <v>72</v>
      </c>
      <c r="CH87" s="1697">
        <v>0</v>
      </c>
      <c r="CI87" s="1698">
        <v>94.8</v>
      </c>
      <c r="CJ87" s="1697">
        <v>0</v>
      </c>
      <c r="CK87" s="1698">
        <v>0</v>
      </c>
      <c r="CL87" s="1697">
        <v>55.09</v>
      </c>
      <c r="CM87" s="1698">
        <v>99.5</v>
      </c>
      <c r="CN87" s="1697">
        <v>0</v>
      </c>
      <c r="CO87" s="1698">
        <v>0</v>
      </c>
      <c r="CP87" s="1697">
        <v>40</v>
      </c>
      <c r="CQ87" s="1698">
        <v>0</v>
      </c>
      <c r="CR87" s="1697">
        <v>0</v>
      </c>
      <c r="CS87" s="1698">
        <v>0</v>
      </c>
      <c r="CT87" s="1697">
        <v>68</v>
      </c>
      <c r="CU87" s="1698">
        <v>9</v>
      </c>
      <c r="CV87" s="1697">
        <v>6</v>
      </c>
      <c r="CW87" s="1698">
        <v>171.91833500000001</v>
      </c>
      <c r="CX87" s="1697">
        <v>0</v>
      </c>
      <c r="CY87" s="1698">
        <v>0</v>
      </c>
      <c r="CZ87" s="1697">
        <v>0</v>
      </c>
      <c r="DA87" s="1698">
        <v>0</v>
      </c>
      <c r="DB87" s="1697">
        <v>0</v>
      </c>
      <c r="DC87" s="1698">
        <v>0</v>
      </c>
      <c r="DD87" s="1697">
        <v>0</v>
      </c>
      <c r="DE87" s="1698">
        <v>0</v>
      </c>
      <c r="DF87" s="1697">
        <v>23</v>
      </c>
      <c r="DG87" s="1698">
        <v>0</v>
      </c>
      <c r="DH87" s="1697">
        <v>0</v>
      </c>
      <c r="DI87" s="1698">
        <v>0</v>
      </c>
      <c r="DJ87" s="1697">
        <v>0</v>
      </c>
      <c r="DK87" s="1698">
        <v>0</v>
      </c>
      <c r="DL87" s="1697">
        <v>0</v>
      </c>
      <c r="DM87" s="1698">
        <v>0</v>
      </c>
      <c r="DN87" s="1697">
        <v>13.5</v>
      </c>
      <c r="DO87" s="1698">
        <v>14.5</v>
      </c>
      <c r="DP87" s="1697">
        <v>82.5</v>
      </c>
      <c r="DQ87" s="1698">
        <v>2.4</v>
      </c>
      <c r="DR87" s="1697">
        <v>0</v>
      </c>
      <c r="DS87" s="1698">
        <v>75.5</v>
      </c>
      <c r="DT87" s="1699">
        <v>288.09000000000003</v>
      </c>
      <c r="DU87" s="1700">
        <v>467.618335</v>
      </c>
      <c r="DV87" s="1697">
        <v>0</v>
      </c>
      <c r="DW87" s="1698">
        <v>0</v>
      </c>
      <c r="DX87" s="788"/>
      <c r="DY87" s="788"/>
      <c r="DZ87" s="788"/>
      <c r="EA87" s="788"/>
      <c r="EB87" s="788"/>
      <c r="EC87" s="788"/>
      <c r="ED87" s="788"/>
      <c r="EE87" s="788"/>
      <c r="EF87" s="788"/>
      <c r="EG87" s="788"/>
      <c r="EH87" s="788"/>
      <c r="EI87" s="788"/>
      <c r="EJ87" s="788"/>
      <c r="EK87" s="788"/>
      <c r="EL87" s="788"/>
      <c r="EM87" s="788"/>
      <c r="EN87" s="788"/>
      <c r="EO87" s="788"/>
      <c r="EP87" s="788"/>
      <c r="EQ87" s="1693"/>
      <c r="ER87" s="790"/>
    </row>
    <row r="88" spans="84:148" ht="24.95" customHeight="1">
      <c r="CF88" s="1781"/>
      <c r="CG88" s="1782" t="s">
        <v>2</v>
      </c>
      <c r="CH88" s="2462">
        <v>304.60000000000002</v>
      </c>
      <c r="CI88" s="2463">
        <v>153.55000000000001</v>
      </c>
      <c r="CJ88" s="2462">
        <v>0</v>
      </c>
      <c r="CK88" s="2463">
        <v>0</v>
      </c>
      <c r="CL88" s="2462">
        <v>287.09000000000003</v>
      </c>
      <c r="CM88" s="2463">
        <v>185.29000000000002</v>
      </c>
      <c r="CN88" s="2462">
        <v>0</v>
      </c>
      <c r="CO88" s="2463">
        <v>0</v>
      </c>
      <c r="CP88" s="2462">
        <v>394</v>
      </c>
      <c r="CQ88" s="2463">
        <v>0</v>
      </c>
      <c r="CR88" s="2462">
        <v>0</v>
      </c>
      <c r="CS88" s="2463">
        <v>0</v>
      </c>
      <c r="CT88" s="2462">
        <v>68</v>
      </c>
      <c r="CU88" s="2463">
        <v>9</v>
      </c>
      <c r="CV88" s="2462">
        <v>481</v>
      </c>
      <c r="CW88" s="2463">
        <v>173.41833500000001</v>
      </c>
      <c r="CX88" s="2462">
        <v>0</v>
      </c>
      <c r="CY88" s="2463">
        <v>0</v>
      </c>
      <c r="CZ88" s="2462">
        <v>116</v>
      </c>
      <c r="DA88" s="2463">
        <v>0</v>
      </c>
      <c r="DB88" s="2462">
        <v>0</v>
      </c>
      <c r="DC88" s="2463">
        <v>0</v>
      </c>
      <c r="DD88" s="2462">
        <v>0</v>
      </c>
      <c r="DE88" s="2463">
        <v>0</v>
      </c>
      <c r="DF88" s="2462">
        <v>23</v>
      </c>
      <c r="DG88" s="2463">
        <v>0</v>
      </c>
      <c r="DH88" s="2462">
        <v>0</v>
      </c>
      <c r="DI88" s="2463">
        <v>0</v>
      </c>
      <c r="DJ88" s="2462">
        <v>0</v>
      </c>
      <c r="DK88" s="2463">
        <v>0</v>
      </c>
      <c r="DL88" s="2462">
        <v>0</v>
      </c>
      <c r="DM88" s="2463">
        <v>0</v>
      </c>
      <c r="DN88" s="2462">
        <v>13.5</v>
      </c>
      <c r="DO88" s="2463">
        <v>14.5</v>
      </c>
      <c r="DP88" s="2462">
        <v>963.5</v>
      </c>
      <c r="DQ88" s="2463">
        <v>10.4</v>
      </c>
      <c r="DR88" s="2462">
        <v>208</v>
      </c>
      <c r="DS88" s="2463">
        <v>78.833333333333329</v>
      </c>
      <c r="DT88" s="1783">
        <v>2858.69</v>
      </c>
      <c r="DU88" s="1784">
        <v>624.99166833333334</v>
      </c>
      <c r="DV88" s="2462">
        <v>0</v>
      </c>
      <c r="DW88" s="2463">
        <v>0</v>
      </c>
      <c r="DX88" s="1785"/>
      <c r="DY88" s="1785"/>
      <c r="DZ88" s="1785"/>
      <c r="EA88" s="1785"/>
      <c r="EB88" s="1785"/>
      <c r="EC88" s="1785"/>
      <c r="ED88" s="1785"/>
      <c r="EE88" s="1785"/>
      <c r="EF88" s="1785"/>
      <c r="EG88" s="1785"/>
      <c r="EH88" s="1785"/>
      <c r="EI88" s="1785"/>
      <c r="EJ88" s="1785"/>
      <c r="EK88" s="1785"/>
      <c r="EL88" s="1785"/>
      <c r="EM88" s="1785"/>
      <c r="EN88" s="1785"/>
      <c r="EO88" s="1785"/>
      <c r="EP88" s="1785"/>
      <c r="EQ88" s="1786"/>
      <c r="ER88" s="1787"/>
    </row>
    <row r="89" spans="84:148" ht="24.95" customHeight="1">
      <c r="CF89" s="1688"/>
      <c r="CG89" s="789" t="s">
        <v>10</v>
      </c>
      <c r="CH89" s="1689"/>
      <c r="CI89" s="1690"/>
      <c r="CJ89" s="1689"/>
      <c r="CK89" s="1690"/>
      <c r="CL89" s="1689"/>
      <c r="CM89" s="1690"/>
      <c r="CN89" s="1689"/>
      <c r="CO89" s="1690"/>
      <c r="CP89" s="1689"/>
      <c r="CQ89" s="1690"/>
      <c r="CR89" s="1689"/>
      <c r="CS89" s="1690"/>
      <c r="CT89" s="1689"/>
      <c r="CU89" s="1690"/>
      <c r="CV89" s="1689"/>
      <c r="CW89" s="1690"/>
      <c r="CX89" s="1689"/>
      <c r="CY89" s="1690"/>
      <c r="CZ89" s="1689"/>
      <c r="DA89" s="1690"/>
      <c r="DB89" s="1689"/>
      <c r="DC89" s="1690"/>
      <c r="DD89" s="1689"/>
      <c r="DE89" s="1690"/>
      <c r="DF89" s="1689"/>
      <c r="DG89" s="1690"/>
      <c r="DH89" s="1689"/>
      <c r="DI89" s="1690"/>
      <c r="DJ89" s="1689"/>
      <c r="DK89" s="1690"/>
      <c r="DL89" s="1689"/>
      <c r="DM89" s="1690"/>
      <c r="DN89" s="1689"/>
      <c r="DO89" s="1690"/>
      <c r="DP89" s="1689"/>
      <c r="DQ89" s="1690"/>
      <c r="DR89" s="1689"/>
      <c r="DS89" s="1690"/>
      <c r="DT89" s="2458"/>
      <c r="DU89" s="2459"/>
      <c r="DV89" s="1689"/>
      <c r="DW89" s="1690"/>
      <c r="DX89" s="788"/>
      <c r="DY89" s="788"/>
      <c r="DZ89" s="788"/>
      <c r="EA89" s="788"/>
      <c r="EB89" s="788"/>
      <c r="EC89" s="788"/>
      <c r="ED89" s="788"/>
      <c r="EE89" s="788"/>
      <c r="EF89" s="788"/>
      <c r="EG89" s="788"/>
      <c r="EH89" s="788"/>
      <c r="EI89" s="788"/>
      <c r="EJ89" s="788"/>
      <c r="EK89" s="788"/>
      <c r="EL89" s="788"/>
      <c r="EM89" s="788"/>
      <c r="EN89" s="788"/>
      <c r="EO89" s="788"/>
      <c r="EP89" s="788"/>
      <c r="EQ89" s="1693"/>
      <c r="ER89" s="790"/>
    </row>
    <row r="90" spans="84:148" ht="24.95" customHeight="1">
      <c r="CF90" s="1688"/>
      <c r="CG90" s="791" t="s">
        <v>70</v>
      </c>
      <c r="CH90" s="1694"/>
      <c r="CI90" s="1695"/>
      <c r="CJ90" s="1694"/>
      <c r="CK90" s="1695"/>
      <c r="CL90" s="1694"/>
      <c r="CM90" s="1695"/>
      <c r="CN90" s="1694"/>
      <c r="CO90" s="1695"/>
      <c r="CP90" s="1694"/>
      <c r="CQ90" s="1695"/>
      <c r="CR90" s="1694"/>
      <c r="CS90" s="1695"/>
      <c r="CT90" s="1694"/>
      <c r="CU90" s="1695"/>
      <c r="CV90" s="1694"/>
      <c r="CW90" s="1695"/>
      <c r="CX90" s="1694"/>
      <c r="CY90" s="1695"/>
      <c r="CZ90" s="1694"/>
      <c r="DA90" s="1695"/>
      <c r="DB90" s="1694"/>
      <c r="DC90" s="1695"/>
      <c r="DD90" s="1694"/>
      <c r="DE90" s="1695"/>
      <c r="DF90" s="1694"/>
      <c r="DG90" s="1695"/>
      <c r="DH90" s="1694"/>
      <c r="DI90" s="1695"/>
      <c r="DJ90" s="1694"/>
      <c r="DK90" s="1695"/>
      <c r="DL90" s="1694"/>
      <c r="DM90" s="1695"/>
      <c r="DN90" s="1694"/>
      <c r="DO90" s="1695"/>
      <c r="DP90" s="1694"/>
      <c r="DQ90" s="1695"/>
      <c r="DR90" s="1694"/>
      <c r="DS90" s="1695"/>
      <c r="DT90" s="1569"/>
      <c r="DU90" s="2464"/>
      <c r="DV90" s="1694"/>
      <c r="DW90" s="1695"/>
      <c r="DX90" s="788"/>
      <c r="DY90" s="788"/>
      <c r="DZ90" s="788"/>
      <c r="EA90" s="788"/>
      <c r="EB90" s="788"/>
      <c r="EC90" s="788"/>
      <c r="ED90" s="788"/>
      <c r="EE90" s="788"/>
      <c r="EF90" s="788"/>
      <c r="EG90" s="788"/>
      <c r="EH90" s="788"/>
      <c r="EI90" s="788"/>
      <c r="EJ90" s="788"/>
      <c r="EK90" s="788"/>
      <c r="EL90" s="788"/>
      <c r="EM90" s="788"/>
      <c r="EN90" s="788"/>
      <c r="EO90" s="788"/>
      <c r="EP90" s="788"/>
      <c r="EQ90" s="1693"/>
      <c r="ER90" s="790"/>
    </row>
    <row r="91" spans="84:148" ht="24.95" customHeight="1">
      <c r="CF91" s="1688"/>
      <c r="CG91" s="794" t="s">
        <v>75</v>
      </c>
      <c r="CH91" s="1706"/>
      <c r="CI91" s="1707"/>
      <c r="CJ91" s="1706"/>
      <c r="CK91" s="1707"/>
      <c r="CL91" s="1706"/>
      <c r="CM91" s="1707"/>
      <c r="CN91" s="1706"/>
      <c r="CO91" s="1707"/>
      <c r="CP91" s="1706"/>
      <c r="CQ91" s="1707"/>
      <c r="CR91" s="1706"/>
      <c r="CS91" s="1707"/>
      <c r="CT91" s="1706"/>
      <c r="CU91" s="1707"/>
      <c r="CV91" s="1706"/>
      <c r="CW91" s="1707"/>
      <c r="CX91" s="1706"/>
      <c r="CY91" s="1707"/>
      <c r="CZ91" s="1706"/>
      <c r="DA91" s="1707"/>
      <c r="DB91" s="1706"/>
      <c r="DC91" s="1707"/>
      <c r="DD91" s="1706"/>
      <c r="DE91" s="1707"/>
      <c r="DF91" s="1706"/>
      <c r="DG91" s="1707"/>
      <c r="DH91" s="1706"/>
      <c r="DI91" s="1707"/>
      <c r="DJ91" s="1706"/>
      <c r="DK91" s="1707"/>
      <c r="DL91" s="1706"/>
      <c r="DM91" s="1707"/>
      <c r="DN91" s="1706"/>
      <c r="DO91" s="1707"/>
      <c r="DP91" s="1706"/>
      <c r="DQ91" s="1707"/>
      <c r="DR91" s="1706"/>
      <c r="DS91" s="1707"/>
      <c r="DT91" s="1708"/>
      <c r="DU91" s="1709"/>
      <c r="DV91" s="1706"/>
      <c r="DW91" s="1707"/>
      <c r="DX91" s="1624"/>
      <c r="DY91" s="1624"/>
      <c r="DZ91" s="1624"/>
      <c r="EA91" s="1624"/>
      <c r="EB91" s="1624"/>
      <c r="EC91" s="1624"/>
      <c r="ED91" s="1624"/>
      <c r="EE91" s="1624"/>
      <c r="EF91" s="1624"/>
      <c r="EG91" s="1624"/>
      <c r="EH91" s="1624"/>
      <c r="EI91" s="1624"/>
      <c r="EJ91" s="1624"/>
      <c r="EK91" s="1624"/>
      <c r="EL91" s="1624"/>
      <c r="EM91" s="1624"/>
      <c r="EN91" s="1624"/>
      <c r="EO91" s="1624"/>
      <c r="EP91" s="1624"/>
      <c r="EQ91" s="1693"/>
      <c r="ER91" s="1710"/>
    </row>
    <row r="92" spans="84:148" ht="24.95" customHeight="1">
      <c r="CF92" s="1696">
        <v>10</v>
      </c>
      <c r="CG92" s="795" t="s">
        <v>31</v>
      </c>
      <c r="CH92" s="1697">
        <v>390.3</v>
      </c>
      <c r="CI92" s="1698">
        <v>0</v>
      </c>
      <c r="CJ92" s="1697">
        <v>0</v>
      </c>
      <c r="CK92" s="1698">
        <v>0</v>
      </c>
      <c r="CL92" s="1697">
        <v>296</v>
      </c>
      <c r="CM92" s="1698">
        <v>0</v>
      </c>
      <c r="CN92" s="1697">
        <v>0</v>
      </c>
      <c r="CO92" s="1698">
        <v>0</v>
      </c>
      <c r="CP92" s="1697">
        <v>333</v>
      </c>
      <c r="CQ92" s="1698">
        <v>0</v>
      </c>
      <c r="CR92" s="1697">
        <v>0</v>
      </c>
      <c r="CS92" s="1698">
        <v>0</v>
      </c>
      <c r="CT92" s="1697">
        <v>0</v>
      </c>
      <c r="CU92" s="1698">
        <v>0</v>
      </c>
      <c r="CV92" s="1697">
        <v>531</v>
      </c>
      <c r="CW92" s="1698">
        <v>0</v>
      </c>
      <c r="CX92" s="1697">
        <v>0</v>
      </c>
      <c r="CY92" s="1698">
        <v>0</v>
      </c>
      <c r="CZ92" s="1697">
        <v>0</v>
      </c>
      <c r="DA92" s="1698">
        <v>0</v>
      </c>
      <c r="DB92" s="1697">
        <v>0</v>
      </c>
      <c r="DC92" s="1698">
        <v>0</v>
      </c>
      <c r="DD92" s="1697">
        <v>0</v>
      </c>
      <c r="DE92" s="1698">
        <v>0</v>
      </c>
      <c r="DF92" s="1697">
        <v>0</v>
      </c>
      <c r="DG92" s="1698">
        <v>0</v>
      </c>
      <c r="DH92" s="1697">
        <v>0</v>
      </c>
      <c r="DI92" s="1698">
        <v>0</v>
      </c>
      <c r="DJ92" s="1697">
        <v>0</v>
      </c>
      <c r="DK92" s="1698">
        <v>0</v>
      </c>
      <c r="DL92" s="1697">
        <v>0</v>
      </c>
      <c r="DM92" s="1698">
        <v>0</v>
      </c>
      <c r="DN92" s="1697">
        <v>0</v>
      </c>
      <c r="DO92" s="1698">
        <v>0</v>
      </c>
      <c r="DP92" s="1697">
        <v>0</v>
      </c>
      <c r="DQ92" s="1698">
        <v>0</v>
      </c>
      <c r="DR92" s="1697">
        <v>0</v>
      </c>
      <c r="DS92" s="1698">
        <v>0</v>
      </c>
      <c r="DT92" s="1699">
        <v>1550.3</v>
      </c>
      <c r="DU92" s="1700">
        <v>0</v>
      </c>
      <c r="DV92" s="1697">
        <v>0</v>
      </c>
      <c r="DW92" s="1698">
        <v>0</v>
      </c>
      <c r="DX92" s="793">
        <v>96</v>
      </c>
      <c r="DY92" s="793">
        <v>0</v>
      </c>
      <c r="DZ92" s="793">
        <v>77</v>
      </c>
      <c r="EA92" s="793">
        <v>0</v>
      </c>
      <c r="EB92" s="793">
        <v>236</v>
      </c>
      <c r="EC92" s="793">
        <v>0</v>
      </c>
      <c r="ED92" s="793">
        <v>0</v>
      </c>
      <c r="EE92" s="793">
        <v>173</v>
      </c>
      <c r="EF92" s="793">
        <v>0</v>
      </c>
      <c r="EG92" s="793">
        <v>0</v>
      </c>
      <c r="EH92" s="793">
        <v>0</v>
      </c>
      <c r="EI92" s="793">
        <v>0</v>
      </c>
      <c r="EJ92" s="793">
        <v>0</v>
      </c>
      <c r="EK92" s="793">
        <v>0</v>
      </c>
      <c r="EL92" s="793">
        <v>0</v>
      </c>
      <c r="EM92" s="793">
        <v>0</v>
      </c>
      <c r="EN92" s="793">
        <v>0</v>
      </c>
      <c r="EO92" s="793">
        <v>0</v>
      </c>
      <c r="EP92" s="793">
        <v>0</v>
      </c>
      <c r="EQ92" s="1701">
        <v>582</v>
      </c>
      <c r="ER92" s="1702">
        <v>0</v>
      </c>
    </row>
    <row r="93" spans="84:148" ht="24.95" customHeight="1">
      <c r="CF93" s="1696">
        <v>11</v>
      </c>
      <c r="CG93" s="795" t="s">
        <v>32</v>
      </c>
      <c r="CH93" s="1697">
        <v>57</v>
      </c>
      <c r="CI93" s="1698">
        <v>0</v>
      </c>
      <c r="CJ93" s="1697">
        <v>0</v>
      </c>
      <c r="CK93" s="1698">
        <v>0</v>
      </c>
      <c r="CL93" s="1697">
        <v>130.16</v>
      </c>
      <c r="CM93" s="1698">
        <v>0</v>
      </c>
      <c r="CN93" s="1697">
        <v>0</v>
      </c>
      <c r="CO93" s="1698">
        <v>0</v>
      </c>
      <c r="CP93" s="1697">
        <v>0</v>
      </c>
      <c r="CQ93" s="1698">
        <v>0</v>
      </c>
      <c r="CR93" s="1697">
        <v>0</v>
      </c>
      <c r="CS93" s="1698">
        <v>0</v>
      </c>
      <c r="CT93" s="1697">
        <v>0</v>
      </c>
      <c r="CU93" s="1698">
        <v>0</v>
      </c>
      <c r="CV93" s="1697">
        <v>200</v>
      </c>
      <c r="CW93" s="1698">
        <v>0</v>
      </c>
      <c r="CX93" s="1697">
        <v>0</v>
      </c>
      <c r="CY93" s="1698">
        <v>0</v>
      </c>
      <c r="CZ93" s="1697">
        <v>0</v>
      </c>
      <c r="DA93" s="1698">
        <v>0</v>
      </c>
      <c r="DB93" s="1697">
        <v>0</v>
      </c>
      <c r="DC93" s="1698">
        <v>0</v>
      </c>
      <c r="DD93" s="1697">
        <v>0</v>
      </c>
      <c r="DE93" s="1698">
        <v>0</v>
      </c>
      <c r="DF93" s="1697">
        <v>0</v>
      </c>
      <c r="DG93" s="1698">
        <v>0</v>
      </c>
      <c r="DH93" s="1697">
        <v>0</v>
      </c>
      <c r="DI93" s="1698">
        <v>0</v>
      </c>
      <c r="DJ93" s="1697">
        <v>0</v>
      </c>
      <c r="DK93" s="1698">
        <v>0</v>
      </c>
      <c r="DL93" s="1697">
        <v>0</v>
      </c>
      <c r="DM93" s="1698">
        <v>0</v>
      </c>
      <c r="DN93" s="1697">
        <v>0</v>
      </c>
      <c r="DO93" s="1698">
        <v>0</v>
      </c>
      <c r="DP93" s="1697">
        <v>0</v>
      </c>
      <c r="DQ93" s="1698">
        <v>0</v>
      </c>
      <c r="DR93" s="1697">
        <v>0</v>
      </c>
      <c r="DS93" s="1698">
        <v>0</v>
      </c>
      <c r="DT93" s="1699">
        <v>387.15999999999997</v>
      </c>
      <c r="DU93" s="1700">
        <v>0</v>
      </c>
      <c r="DV93" s="1697">
        <v>0</v>
      </c>
      <c r="DW93" s="1698">
        <v>0</v>
      </c>
      <c r="DX93" s="793">
        <v>17</v>
      </c>
      <c r="DY93" s="793">
        <v>0</v>
      </c>
      <c r="DZ93" s="793">
        <v>61</v>
      </c>
      <c r="EA93" s="793">
        <v>0</v>
      </c>
      <c r="EB93" s="793">
        <v>0</v>
      </c>
      <c r="EC93" s="793">
        <v>0</v>
      </c>
      <c r="ED93" s="793">
        <v>0</v>
      </c>
      <c r="EE93" s="793">
        <v>53</v>
      </c>
      <c r="EF93" s="793">
        <v>0</v>
      </c>
      <c r="EG93" s="793">
        <v>0</v>
      </c>
      <c r="EH93" s="793">
        <v>0</v>
      </c>
      <c r="EI93" s="793">
        <v>0</v>
      </c>
      <c r="EJ93" s="793">
        <v>0</v>
      </c>
      <c r="EK93" s="793">
        <v>0</v>
      </c>
      <c r="EL93" s="793">
        <v>0</v>
      </c>
      <c r="EM93" s="793">
        <v>0</v>
      </c>
      <c r="EN93" s="793">
        <v>0</v>
      </c>
      <c r="EO93" s="793">
        <v>0</v>
      </c>
      <c r="EP93" s="793">
        <v>0</v>
      </c>
      <c r="EQ93" s="1701">
        <v>131</v>
      </c>
      <c r="ER93" s="1702">
        <v>0</v>
      </c>
    </row>
    <row r="94" spans="84:148" ht="24.95" customHeight="1">
      <c r="CF94" s="1696">
        <v>12</v>
      </c>
      <c r="CG94" s="795" t="s">
        <v>5</v>
      </c>
      <c r="CH94" s="1697">
        <v>263.2</v>
      </c>
      <c r="CI94" s="1698">
        <v>0</v>
      </c>
      <c r="CJ94" s="1697">
        <v>0</v>
      </c>
      <c r="CK94" s="1698">
        <v>0</v>
      </c>
      <c r="CL94" s="1697">
        <v>267</v>
      </c>
      <c r="CM94" s="1698">
        <v>0</v>
      </c>
      <c r="CN94" s="1697">
        <v>0</v>
      </c>
      <c r="CO94" s="1698">
        <v>0</v>
      </c>
      <c r="CP94" s="1697">
        <v>232</v>
      </c>
      <c r="CQ94" s="1698">
        <v>0</v>
      </c>
      <c r="CR94" s="1697">
        <v>0</v>
      </c>
      <c r="CS94" s="1698">
        <v>0</v>
      </c>
      <c r="CT94" s="1697">
        <v>0</v>
      </c>
      <c r="CU94" s="1698">
        <v>0</v>
      </c>
      <c r="CV94" s="1697">
        <v>359</v>
      </c>
      <c r="CW94" s="1698">
        <v>0</v>
      </c>
      <c r="CX94" s="1697">
        <v>0</v>
      </c>
      <c r="CY94" s="1698">
        <v>0</v>
      </c>
      <c r="CZ94" s="1697">
        <v>0</v>
      </c>
      <c r="DA94" s="1698">
        <v>0</v>
      </c>
      <c r="DB94" s="1697">
        <v>0</v>
      </c>
      <c r="DC94" s="1698">
        <v>0</v>
      </c>
      <c r="DD94" s="1697">
        <v>0</v>
      </c>
      <c r="DE94" s="1698">
        <v>0</v>
      </c>
      <c r="DF94" s="1697">
        <v>0</v>
      </c>
      <c r="DG94" s="1698">
        <v>0</v>
      </c>
      <c r="DH94" s="1697">
        <v>0</v>
      </c>
      <c r="DI94" s="1698">
        <v>0</v>
      </c>
      <c r="DJ94" s="1697">
        <v>0</v>
      </c>
      <c r="DK94" s="1698">
        <v>0</v>
      </c>
      <c r="DL94" s="1697">
        <v>188.5</v>
      </c>
      <c r="DM94" s="1698">
        <v>0</v>
      </c>
      <c r="DN94" s="1697">
        <v>0</v>
      </c>
      <c r="DO94" s="1698">
        <v>0</v>
      </c>
      <c r="DP94" s="1697">
        <v>0</v>
      </c>
      <c r="DQ94" s="1698">
        <v>0</v>
      </c>
      <c r="DR94" s="1697">
        <v>0</v>
      </c>
      <c r="DS94" s="1698">
        <v>0</v>
      </c>
      <c r="DT94" s="1699">
        <v>1309.7</v>
      </c>
      <c r="DU94" s="1700">
        <v>0</v>
      </c>
      <c r="DV94" s="1697">
        <v>0</v>
      </c>
      <c r="DW94" s="1698">
        <v>0</v>
      </c>
      <c r="DX94" s="793">
        <v>65</v>
      </c>
      <c r="DY94" s="793">
        <v>0</v>
      </c>
      <c r="DZ94" s="793">
        <v>45</v>
      </c>
      <c r="EA94" s="793">
        <v>0</v>
      </c>
      <c r="EB94" s="793">
        <v>160</v>
      </c>
      <c r="EC94" s="793">
        <v>0</v>
      </c>
      <c r="ED94" s="793">
        <v>0</v>
      </c>
      <c r="EE94" s="793">
        <v>118</v>
      </c>
      <c r="EF94" s="793">
        <v>0</v>
      </c>
      <c r="EG94" s="793">
        <v>0</v>
      </c>
      <c r="EH94" s="793">
        <v>0</v>
      </c>
      <c r="EI94" s="793">
        <v>0</v>
      </c>
      <c r="EJ94" s="793">
        <v>0</v>
      </c>
      <c r="EK94" s="793">
        <v>0</v>
      </c>
      <c r="EL94" s="793">
        <v>0</v>
      </c>
      <c r="EM94" s="793">
        <v>157</v>
      </c>
      <c r="EN94" s="793">
        <v>0</v>
      </c>
      <c r="EO94" s="793">
        <v>0</v>
      </c>
      <c r="EP94" s="793">
        <v>0</v>
      </c>
      <c r="EQ94" s="1701">
        <v>545</v>
      </c>
      <c r="ER94" s="1702">
        <v>0</v>
      </c>
    </row>
    <row r="95" spans="84:148" ht="24.95" customHeight="1">
      <c r="CF95" s="1696">
        <v>13</v>
      </c>
      <c r="CG95" s="795" t="s">
        <v>268</v>
      </c>
      <c r="CH95" s="1697">
        <v>0</v>
      </c>
      <c r="CI95" s="1698">
        <v>0</v>
      </c>
      <c r="CJ95" s="1697">
        <v>0</v>
      </c>
      <c r="CK95" s="1698">
        <v>0</v>
      </c>
      <c r="CL95" s="1697">
        <v>0</v>
      </c>
      <c r="CM95" s="1698">
        <v>0</v>
      </c>
      <c r="CN95" s="1697">
        <v>0</v>
      </c>
      <c r="CO95" s="1698">
        <v>0</v>
      </c>
      <c r="CP95" s="1697">
        <v>0</v>
      </c>
      <c r="CQ95" s="1698">
        <v>0</v>
      </c>
      <c r="CR95" s="1697">
        <v>0</v>
      </c>
      <c r="CS95" s="1698">
        <v>0</v>
      </c>
      <c r="CT95" s="1697">
        <v>0</v>
      </c>
      <c r="CU95" s="1698">
        <v>0</v>
      </c>
      <c r="CV95" s="1697">
        <v>0</v>
      </c>
      <c r="CW95" s="1698">
        <v>0</v>
      </c>
      <c r="CX95" s="1697">
        <v>0</v>
      </c>
      <c r="CY95" s="1698">
        <v>0</v>
      </c>
      <c r="CZ95" s="1697">
        <v>0</v>
      </c>
      <c r="DA95" s="1698">
        <v>0</v>
      </c>
      <c r="DB95" s="1697">
        <v>0</v>
      </c>
      <c r="DC95" s="1698">
        <v>0</v>
      </c>
      <c r="DD95" s="1697">
        <v>0</v>
      </c>
      <c r="DE95" s="1698">
        <v>0</v>
      </c>
      <c r="DF95" s="1697">
        <v>0</v>
      </c>
      <c r="DG95" s="1698">
        <v>0</v>
      </c>
      <c r="DH95" s="1697">
        <v>0</v>
      </c>
      <c r="DI95" s="1698">
        <v>0</v>
      </c>
      <c r="DJ95" s="1697">
        <v>0</v>
      </c>
      <c r="DK95" s="1698">
        <v>0</v>
      </c>
      <c r="DL95" s="1697">
        <v>40</v>
      </c>
      <c r="DM95" s="1698">
        <v>0</v>
      </c>
      <c r="DN95" s="1697">
        <v>0</v>
      </c>
      <c r="DO95" s="1698">
        <v>0</v>
      </c>
      <c r="DP95" s="1697">
        <v>0</v>
      </c>
      <c r="DQ95" s="1698">
        <v>0</v>
      </c>
      <c r="DR95" s="1697">
        <v>0</v>
      </c>
      <c r="DS95" s="1698">
        <v>0</v>
      </c>
      <c r="DT95" s="1699">
        <v>40</v>
      </c>
      <c r="DU95" s="1700">
        <v>0</v>
      </c>
      <c r="DV95" s="1697">
        <v>0</v>
      </c>
      <c r="DW95" s="1698">
        <v>0</v>
      </c>
      <c r="DX95" s="793">
        <v>0</v>
      </c>
      <c r="DY95" s="793">
        <v>0</v>
      </c>
      <c r="DZ95" s="793">
        <v>0</v>
      </c>
      <c r="EA95" s="793">
        <v>0</v>
      </c>
      <c r="EB95" s="793">
        <v>0</v>
      </c>
      <c r="EC95" s="793">
        <v>0</v>
      </c>
      <c r="ED95" s="793">
        <v>0</v>
      </c>
      <c r="EE95" s="793">
        <v>0</v>
      </c>
      <c r="EF95" s="793">
        <v>0</v>
      </c>
      <c r="EG95" s="793">
        <v>0</v>
      </c>
      <c r="EH95" s="793">
        <v>0</v>
      </c>
      <c r="EI95" s="793">
        <v>0</v>
      </c>
      <c r="EJ95" s="793">
        <v>0</v>
      </c>
      <c r="EK95" s="793">
        <v>0</v>
      </c>
      <c r="EL95" s="793">
        <v>0</v>
      </c>
      <c r="EM95" s="793">
        <v>15</v>
      </c>
      <c r="EN95" s="793">
        <v>0</v>
      </c>
      <c r="EO95" s="793">
        <v>0</v>
      </c>
      <c r="EP95" s="793">
        <v>0</v>
      </c>
      <c r="EQ95" s="1701">
        <v>15</v>
      </c>
      <c r="ER95" s="1702">
        <v>0</v>
      </c>
    </row>
    <row r="96" spans="84:148" ht="24.95" customHeight="1">
      <c r="CF96" s="1696">
        <v>14</v>
      </c>
      <c r="CG96" s="795" t="s">
        <v>6</v>
      </c>
      <c r="CH96" s="1697">
        <v>0</v>
      </c>
      <c r="CI96" s="1698">
        <v>0</v>
      </c>
      <c r="CJ96" s="1697">
        <v>0</v>
      </c>
      <c r="CK96" s="1698">
        <v>0</v>
      </c>
      <c r="CL96" s="1697">
        <v>36</v>
      </c>
      <c r="CM96" s="1698">
        <v>0</v>
      </c>
      <c r="CN96" s="1697">
        <v>0</v>
      </c>
      <c r="CO96" s="1698">
        <v>0</v>
      </c>
      <c r="CP96" s="1697">
        <v>0</v>
      </c>
      <c r="CQ96" s="1698">
        <v>0</v>
      </c>
      <c r="CR96" s="1697">
        <v>0</v>
      </c>
      <c r="CS96" s="1698">
        <v>0</v>
      </c>
      <c r="CT96" s="1697">
        <v>0</v>
      </c>
      <c r="CU96" s="1698">
        <v>0</v>
      </c>
      <c r="CV96" s="1697">
        <v>61</v>
      </c>
      <c r="CW96" s="1698">
        <v>0</v>
      </c>
      <c r="CX96" s="1697">
        <v>0</v>
      </c>
      <c r="CY96" s="1698">
        <v>0</v>
      </c>
      <c r="CZ96" s="1697">
        <v>0</v>
      </c>
      <c r="DA96" s="1698">
        <v>0</v>
      </c>
      <c r="DB96" s="1697">
        <v>0</v>
      </c>
      <c r="DC96" s="1698">
        <v>0</v>
      </c>
      <c r="DD96" s="1697">
        <v>0</v>
      </c>
      <c r="DE96" s="1698">
        <v>0</v>
      </c>
      <c r="DF96" s="1697">
        <v>0</v>
      </c>
      <c r="DG96" s="1698">
        <v>0</v>
      </c>
      <c r="DH96" s="1697">
        <v>0</v>
      </c>
      <c r="DI96" s="1698">
        <v>0</v>
      </c>
      <c r="DJ96" s="1697">
        <v>0</v>
      </c>
      <c r="DK96" s="1698">
        <v>0</v>
      </c>
      <c r="DL96" s="1697">
        <v>0</v>
      </c>
      <c r="DM96" s="1698">
        <v>0</v>
      </c>
      <c r="DN96" s="1697">
        <v>0</v>
      </c>
      <c r="DO96" s="1698">
        <v>0</v>
      </c>
      <c r="DP96" s="1697">
        <v>0</v>
      </c>
      <c r="DQ96" s="1698">
        <v>0</v>
      </c>
      <c r="DR96" s="1697">
        <v>0</v>
      </c>
      <c r="DS96" s="1698">
        <v>0</v>
      </c>
      <c r="DT96" s="1699">
        <v>97</v>
      </c>
      <c r="DU96" s="1700">
        <v>0</v>
      </c>
      <c r="DV96" s="1697">
        <v>0</v>
      </c>
      <c r="DW96" s="1698">
        <v>0</v>
      </c>
      <c r="DX96" s="793">
        <v>0</v>
      </c>
      <c r="DY96" s="793">
        <v>0</v>
      </c>
      <c r="DZ96" s="793">
        <v>16</v>
      </c>
      <c r="EA96" s="793">
        <v>0</v>
      </c>
      <c r="EB96" s="793">
        <v>0</v>
      </c>
      <c r="EC96" s="793">
        <v>0</v>
      </c>
      <c r="ED96" s="793">
        <v>0</v>
      </c>
      <c r="EE96" s="793">
        <v>14</v>
      </c>
      <c r="EF96" s="793">
        <v>0</v>
      </c>
      <c r="EG96" s="793">
        <v>0</v>
      </c>
      <c r="EH96" s="793">
        <v>0</v>
      </c>
      <c r="EI96" s="793">
        <v>0</v>
      </c>
      <c r="EJ96" s="793">
        <v>0</v>
      </c>
      <c r="EK96" s="793">
        <v>0</v>
      </c>
      <c r="EL96" s="793">
        <v>0</v>
      </c>
      <c r="EM96" s="793">
        <v>0</v>
      </c>
      <c r="EN96" s="793">
        <v>0</v>
      </c>
      <c r="EO96" s="793">
        <v>0</v>
      </c>
      <c r="EP96" s="793">
        <v>0</v>
      </c>
      <c r="EQ96" s="1701">
        <v>30</v>
      </c>
      <c r="ER96" s="1702">
        <v>0</v>
      </c>
    </row>
    <row r="97" spans="84:148" ht="24.95" customHeight="1">
      <c r="CF97" s="1688"/>
      <c r="CG97" s="794" t="s">
        <v>7</v>
      </c>
      <c r="CH97" s="1667"/>
      <c r="CI97" s="1711"/>
      <c r="CJ97" s="1667"/>
      <c r="CK97" s="1711"/>
      <c r="CL97" s="1667"/>
      <c r="CM97" s="1711"/>
      <c r="CN97" s="1667"/>
      <c r="CO97" s="1711"/>
      <c r="CP97" s="1667"/>
      <c r="CQ97" s="1711"/>
      <c r="CR97" s="1667"/>
      <c r="CS97" s="1711"/>
      <c r="CT97" s="1667"/>
      <c r="CU97" s="1711"/>
      <c r="CV97" s="1667"/>
      <c r="CW97" s="1711"/>
      <c r="CX97" s="1667"/>
      <c r="CY97" s="1711"/>
      <c r="CZ97" s="1667"/>
      <c r="DA97" s="1711"/>
      <c r="DB97" s="1667"/>
      <c r="DC97" s="1711"/>
      <c r="DD97" s="1667"/>
      <c r="DE97" s="1711"/>
      <c r="DF97" s="1667"/>
      <c r="DG97" s="1711"/>
      <c r="DH97" s="1667"/>
      <c r="DI97" s="1711"/>
      <c r="DJ97" s="1667"/>
      <c r="DK97" s="1711"/>
      <c r="DL97" s="1667"/>
      <c r="DM97" s="1711"/>
      <c r="DN97" s="1667"/>
      <c r="DO97" s="1711"/>
      <c r="DP97" s="1667"/>
      <c r="DQ97" s="1711"/>
      <c r="DR97" s="1667"/>
      <c r="DS97" s="1711"/>
      <c r="DT97" s="1712"/>
      <c r="DU97" s="1713"/>
      <c r="DV97" s="1667"/>
      <c r="DW97" s="1711"/>
      <c r="DX97" s="788"/>
      <c r="DY97" s="788"/>
      <c r="DZ97" s="788"/>
      <c r="EA97" s="788"/>
      <c r="EB97" s="788"/>
      <c r="EC97" s="788"/>
      <c r="ED97" s="788"/>
      <c r="EE97" s="788"/>
      <c r="EF97" s="788"/>
      <c r="EG97" s="788"/>
      <c r="EH97" s="788"/>
      <c r="EI97" s="788"/>
      <c r="EJ97" s="788"/>
      <c r="EK97" s="788"/>
      <c r="EL97" s="788"/>
      <c r="EM97" s="788"/>
      <c r="EN97" s="788"/>
      <c r="EO97" s="788"/>
      <c r="EP97" s="788"/>
      <c r="EQ97" s="1693"/>
      <c r="ER97" s="790"/>
    </row>
    <row r="98" spans="84:148" ht="24.95" customHeight="1">
      <c r="CF98" s="1696">
        <v>15</v>
      </c>
      <c r="CG98" s="795" t="s">
        <v>79</v>
      </c>
      <c r="CH98" s="1697">
        <v>433.3</v>
      </c>
      <c r="CI98" s="1698">
        <v>0</v>
      </c>
      <c r="CJ98" s="1697">
        <v>0</v>
      </c>
      <c r="CK98" s="1698">
        <v>0</v>
      </c>
      <c r="CL98" s="1697">
        <v>283.5</v>
      </c>
      <c r="CM98" s="1698">
        <v>0.7</v>
      </c>
      <c r="CN98" s="1697">
        <v>0</v>
      </c>
      <c r="CO98" s="1698">
        <v>0</v>
      </c>
      <c r="CP98" s="1697">
        <v>292</v>
      </c>
      <c r="CQ98" s="1698">
        <v>0</v>
      </c>
      <c r="CR98" s="1697">
        <v>0</v>
      </c>
      <c r="CS98" s="1698">
        <v>0</v>
      </c>
      <c r="CT98" s="1697">
        <v>0</v>
      </c>
      <c r="CU98" s="1698">
        <v>0</v>
      </c>
      <c r="CV98" s="1697">
        <v>566</v>
      </c>
      <c r="CW98" s="1698">
        <v>2.46</v>
      </c>
      <c r="CX98" s="1697">
        <v>0</v>
      </c>
      <c r="CY98" s="1698">
        <v>0</v>
      </c>
      <c r="CZ98" s="1697">
        <v>0</v>
      </c>
      <c r="DA98" s="1698">
        <v>0</v>
      </c>
      <c r="DB98" s="1697">
        <v>0</v>
      </c>
      <c r="DC98" s="1698">
        <v>0</v>
      </c>
      <c r="DD98" s="1697">
        <v>0</v>
      </c>
      <c r="DE98" s="1698">
        <v>0</v>
      </c>
      <c r="DF98" s="1697">
        <v>0</v>
      </c>
      <c r="DG98" s="1698">
        <v>0</v>
      </c>
      <c r="DH98" s="1697">
        <v>0</v>
      </c>
      <c r="DI98" s="1698">
        <v>0</v>
      </c>
      <c r="DJ98" s="1697">
        <v>0</v>
      </c>
      <c r="DK98" s="1698">
        <v>0</v>
      </c>
      <c r="DL98" s="1697">
        <v>0</v>
      </c>
      <c r="DM98" s="1698">
        <v>0</v>
      </c>
      <c r="DN98" s="1697">
        <v>156</v>
      </c>
      <c r="DO98" s="1698">
        <v>0.3</v>
      </c>
      <c r="DP98" s="1697">
        <v>553.5</v>
      </c>
      <c r="DQ98" s="1698">
        <v>0.5</v>
      </c>
      <c r="DR98" s="1697">
        <v>277</v>
      </c>
      <c r="DS98" s="1698">
        <v>0</v>
      </c>
      <c r="DT98" s="1699">
        <v>2561.3000000000002</v>
      </c>
      <c r="DU98" s="1700">
        <v>3.96</v>
      </c>
      <c r="DV98" s="1697">
        <v>0</v>
      </c>
      <c r="DW98" s="1698">
        <v>0</v>
      </c>
      <c r="DX98" s="793">
        <v>8</v>
      </c>
      <c r="DY98" s="793">
        <v>0</v>
      </c>
      <c r="DZ98" s="793">
        <v>22</v>
      </c>
      <c r="EA98" s="793">
        <v>0</v>
      </c>
      <c r="EB98" s="793">
        <v>8</v>
      </c>
      <c r="EC98" s="793">
        <v>0</v>
      </c>
      <c r="ED98" s="793">
        <v>0</v>
      </c>
      <c r="EE98" s="793">
        <v>6</v>
      </c>
      <c r="EF98" s="793">
        <v>0</v>
      </c>
      <c r="EG98" s="793">
        <v>0</v>
      </c>
      <c r="EH98" s="793">
        <v>0</v>
      </c>
      <c r="EI98" s="793">
        <v>0</v>
      </c>
      <c r="EJ98" s="793">
        <v>0</v>
      </c>
      <c r="EK98" s="793">
        <v>0</v>
      </c>
      <c r="EL98" s="793">
        <v>0</v>
      </c>
      <c r="EM98" s="793">
        <v>0</v>
      </c>
      <c r="EN98" s="793">
        <v>21</v>
      </c>
      <c r="EO98" s="793">
        <v>17.600000000000001</v>
      </c>
      <c r="EP98" s="793">
        <v>0</v>
      </c>
      <c r="EQ98" s="1701">
        <v>82.6</v>
      </c>
      <c r="ER98" s="1702">
        <v>0</v>
      </c>
    </row>
    <row r="99" spans="84:148" ht="24.95" customHeight="1">
      <c r="CF99" s="1696">
        <v>16</v>
      </c>
      <c r="CG99" s="795" t="s">
        <v>19</v>
      </c>
      <c r="CH99" s="1697">
        <v>56</v>
      </c>
      <c r="CI99" s="1698">
        <v>0</v>
      </c>
      <c r="CJ99" s="1697">
        <v>0</v>
      </c>
      <c r="CK99" s="1698">
        <v>0</v>
      </c>
      <c r="CL99" s="1697">
        <v>0</v>
      </c>
      <c r="CM99" s="1698">
        <v>0</v>
      </c>
      <c r="CN99" s="1697">
        <v>0</v>
      </c>
      <c r="CO99" s="1698">
        <v>0</v>
      </c>
      <c r="CP99" s="1697">
        <v>0</v>
      </c>
      <c r="CQ99" s="1698">
        <v>0</v>
      </c>
      <c r="CR99" s="1697">
        <v>0</v>
      </c>
      <c r="CS99" s="1698">
        <v>0</v>
      </c>
      <c r="CT99" s="1697">
        <v>0</v>
      </c>
      <c r="CU99" s="1698">
        <v>0</v>
      </c>
      <c r="CV99" s="1697">
        <v>0</v>
      </c>
      <c r="CW99" s="1698">
        <v>0</v>
      </c>
      <c r="CX99" s="1697">
        <v>0</v>
      </c>
      <c r="CY99" s="1698">
        <v>0</v>
      </c>
      <c r="CZ99" s="1697">
        <v>0</v>
      </c>
      <c r="DA99" s="1698">
        <v>0</v>
      </c>
      <c r="DB99" s="1697">
        <v>0</v>
      </c>
      <c r="DC99" s="1698">
        <v>0</v>
      </c>
      <c r="DD99" s="1697">
        <v>0</v>
      </c>
      <c r="DE99" s="1698">
        <v>0</v>
      </c>
      <c r="DF99" s="1697">
        <v>0</v>
      </c>
      <c r="DG99" s="1698">
        <v>0</v>
      </c>
      <c r="DH99" s="1697">
        <v>109</v>
      </c>
      <c r="DI99" s="1698">
        <v>0</v>
      </c>
      <c r="DJ99" s="1697">
        <v>0</v>
      </c>
      <c r="DK99" s="1698">
        <v>0</v>
      </c>
      <c r="DL99" s="1697">
        <v>0</v>
      </c>
      <c r="DM99" s="1698">
        <v>0</v>
      </c>
      <c r="DN99" s="1697">
        <v>0</v>
      </c>
      <c r="DO99" s="1698">
        <v>0</v>
      </c>
      <c r="DP99" s="1697">
        <v>0</v>
      </c>
      <c r="DQ99" s="1698">
        <v>0</v>
      </c>
      <c r="DR99" s="1697">
        <v>0</v>
      </c>
      <c r="DS99" s="1698">
        <v>0</v>
      </c>
      <c r="DT99" s="1714">
        <v>165</v>
      </c>
      <c r="DU99" s="1700">
        <v>0</v>
      </c>
      <c r="DV99" s="1697">
        <v>0</v>
      </c>
      <c r="DW99" s="1698">
        <v>0</v>
      </c>
      <c r="DX99" s="793">
        <v>2</v>
      </c>
      <c r="DY99" s="793">
        <v>0</v>
      </c>
      <c r="DZ99" s="793">
        <v>0</v>
      </c>
      <c r="EA99" s="793">
        <v>0</v>
      </c>
      <c r="EB99" s="793">
        <v>0</v>
      </c>
      <c r="EC99" s="793">
        <v>0</v>
      </c>
      <c r="ED99" s="793">
        <v>0</v>
      </c>
      <c r="EE99" s="793">
        <v>0</v>
      </c>
      <c r="EF99" s="793">
        <v>0</v>
      </c>
      <c r="EG99" s="793">
        <v>0</v>
      </c>
      <c r="EH99" s="793">
        <v>0</v>
      </c>
      <c r="EI99" s="793">
        <v>0</v>
      </c>
      <c r="EJ99" s="793">
        <v>0</v>
      </c>
      <c r="EK99" s="793">
        <v>0</v>
      </c>
      <c r="EL99" s="793">
        <v>0</v>
      </c>
      <c r="EM99" s="793">
        <v>0</v>
      </c>
      <c r="EN99" s="793">
        <v>0</v>
      </c>
      <c r="EO99" s="793">
        <v>0</v>
      </c>
      <c r="EP99" s="793">
        <v>0</v>
      </c>
      <c r="EQ99" s="1701">
        <v>2</v>
      </c>
      <c r="ER99" s="1702">
        <v>0</v>
      </c>
    </row>
    <row r="100" spans="84:148" ht="24.95" customHeight="1">
      <c r="CF100" s="1696">
        <v>17</v>
      </c>
      <c r="CG100" s="795" t="s">
        <v>20</v>
      </c>
      <c r="CH100" s="1697">
        <v>0</v>
      </c>
      <c r="CI100" s="1698">
        <v>0</v>
      </c>
      <c r="CJ100" s="1697">
        <v>0</v>
      </c>
      <c r="CK100" s="1698">
        <v>0</v>
      </c>
      <c r="CL100" s="1697">
        <v>0</v>
      </c>
      <c r="CM100" s="1698">
        <v>0</v>
      </c>
      <c r="CN100" s="1697">
        <v>0</v>
      </c>
      <c r="CO100" s="1698">
        <v>0</v>
      </c>
      <c r="CP100" s="1697">
        <v>379</v>
      </c>
      <c r="CQ100" s="1698">
        <v>0</v>
      </c>
      <c r="CR100" s="1697">
        <v>0</v>
      </c>
      <c r="CS100" s="1698">
        <v>0</v>
      </c>
      <c r="CT100" s="1697">
        <v>0</v>
      </c>
      <c r="CU100" s="1698">
        <v>0</v>
      </c>
      <c r="CV100" s="1697">
        <v>0</v>
      </c>
      <c r="CW100" s="1698">
        <v>0</v>
      </c>
      <c r="CX100" s="1697">
        <v>0</v>
      </c>
      <c r="CY100" s="1698">
        <v>0</v>
      </c>
      <c r="CZ100" s="1697">
        <v>0</v>
      </c>
      <c r="DA100" s="1698">
        <v>0</v>
      </c>
      <c r="DB100" s="1697">
        <v>0</v>
      </c>
      <c r="DC100" s="1698">
        <v>0</v>
      </c>
      <c r="DD100" s="1697">
        <v>0</v>
      </c>
      <c r="DE100" s="1698">
        <v>0</v>
      </c>
      <c r="DF100" s="1697">
        <v>0</v>
      </c>
      <c r="DG100" s="1698">
        <v>0</v>
      </c>
      <c r="DH100" s="1697">
        <v>0</v>
      </c>
      <c r="DI100" s="1698">
        <v>0</v>
      </c>
      <c r="DJ100" s="1697">
        <v>0</v>
      </c>
      <c r="DK100" s="1698">
        <v>0</v>
      </c>
      <c r="DL100" s="1697">
        <v>0</v>
      </c>
      <c r="DM100" s="1698">
        <v>0</v>
      </c>
      <c r="DN100" s="1697">
        <v>0</v>
      </c>
      <c r="DO100" s="1698">
        <v>0</v>
      </c>
      <c r="DP100" s="1697">
        <v>0</v>
      </c>
      <c r="DQ100" s="1698">
        <v>0</v>
      </c>
      <c r="DR100" s="1697">
        <v>0</v>
      </c>
      <c r="DS100" s="1698">
        <v>0</v>
      </c>
      <c r="DT100" s="1699">
        <v>379</v>
      </c>
      <c r="DU100" s="1700">
        <v>0</v>
      </c>
      <c r="DV100" s="1697">
        <v>0</v>
      </c>
      <c r="DW100" s="1698">
        <v>0</v>
      </c>
      <c r="DX100" s="793">
        <v>0</v>
      </c>
      <c r="DY100" s="793">
        <v>0</v>
      </c>
      <c r="DZ100" s="793">
        <v>0</v>
      </c>
      <c r="EA100" s="793">
        <v>0</v>
      </c>
      <c r="EB100" s="793">
        <v>2</v>
      </c>
      <c r="EC100" s="793">
        <v>0</v>
      </c>
      <c r="ED100" s="793">
        <v>0</v>
      </c>
      <c r="EE100" s="793">
        <v>0</v>
      </c>
      <c r="EF100" s="793">
        <v>0</v>
      </c>
      <c r="EG100" s="793">
        <v>0</v>
      </c>
      <c r="EH100" s="793">
        <v>0</v>
      </c>
      <c r="EI100" s="793">
        <v>0</v>
      </c>
      <c r="EJ100" s="793">
        <v>0</v>
      </c>
      <c r="EK100" s="793">
        <v>0</v>
      </c>
      <c r="EL100" s="793">
        <v>0</v>
      </c>
      <c r="EM100" s="793">
        <v>0</v>
      </c>
      <c r="EN100" s="793">
        <v>0</v>
      </c>
      <c r="EO100" s="793">
        <v>0</v>
      </c>
      <c r="EP100" s="793">
        <v>0</v>
      </c>
      <c r="EQ100" s="1701">
        <v>2</v>
      </c>
      <c r="ER100" s="1702">
        <v>0</v>
      </c>
    </row>
    <row r="101" spans="84:148" ht="24.95" customHeight="1">
      <c r="CF101" s="1696">
        <v>18</v>
      </c>
      <c r="CG101" s="795" t="s">
        <v>21</v>
      </c>
      <c r="CH101" s="1697">
        <v>0</v>
      </c>
      <c r="CI101" s="1698">
        <v>0</v>
      </c>
      <c r="CJ101" s="1697">
        <v>0</v>
      </c>
      <c r="CK101" s="1698">
        <v>0</v>
      </c>
      <c r="CL101" s="1697">
        <v>0</v>
      </c>
      <c r="CM101" s="1698">
        <v>0</v>
      </c>
      <c r="CN101" s="1697">
        <v>0</v>
      </c>
      <c r="CO101" s="1698">
        <v>0</v>
      </c>
      <c r="CP101" s="1697">
        <v>0</v>
      </c>
      <c r="CQ101" s="1698">
        <v>0</v>
      </c>
      <c r="CR101" s="1697">
        <v>0</v>
      </c>
      <c r="CS101" s="1698">
        <v>0</v>
      </c>
      <c r="CT101" s="1697">
        <v>0</v>
      </c>
      <c r="CU101" s="1698">
        <v>0</v>
      </c>
      <c r="CV101" s="1697">
        <v>82</v>
      </c>
      <c r="CW101" s="1698">
        <v>0</v>
      </c>
      <c r="CX101" s="1697">
        <v>0</v>
      </c>
      <c r="CY101" s="1698">
        <v>0</v>
      </c>
      <c r="CZ101" s="1697">
        <v>0</v>
      </c>
      <c r="DA101" s="1698">
        <v>0</v>
      </c>
      <c r="DB101" s="1697">
        <v>0</v>
      </c>
      <c r="DC101" s="1698">
        <v>0</v>
      </c>
      <c r="DD101" s="1697">
        <v>0</v>
      </c>
      <c r="DE101" s="1698">
        <v>0</v>
      </c>
      <c r="DF101" s="1697">
        <v>0</v>
      </c>
      <c r="DG101" s="1698">
        <v>0</v>
      </c>
      <c r="DH101" s="1697">
        <v>0</v>
      </c>
      <c r="DI101" s="1698">
        <v>0</v>
      </c>
      <c r="DJ101" s="1697">
        <v>0</v>
      </c>
      <c r="DK101" s="1698">
        <v>0</v>
      </c>
      <c r="DL101" s="1697">
        <v>0</v>
      </c>
      <c r="DM101" s="1698">
        <v>0</v>
      </c>
      <c r="DN101" s="1697">
        <v>0</v>
      </c>
      <c r="DO101" s="1698">
        <v>0</v>
      </c>
      <c r="DP101" s="1697">
        <v>0</v>
      </c>
      <c r="DQ101" s="1698">
        <v>0</v>
      </c>
      <c r="DR101" s="1697">
        <v>0</v>
      </c>
      <c r="DS101" s="1698">
        <v>0</v>
      </c>
      <c r="DT101" s="1714">
        <v>82</v>
      </c>
      <c r="DU101" s="1700">
        <v>0</v>
      </c>
      <c r="DV101" s="1697">
        <v>0</v>
      </c>
      <c r="DW101" s="1698">
        <v>0</v>
      </c>
      <c r="DX101" s="793">
        <v>0</v>
      </c>
      <c r="DY101" s="793">
        <v>0</v>
      </c>
      <c r="DZ101" s="793">
        <v>0</v>
      </c>
      <c r="EA101" s="793">
        <v>0</v>
      </c>
      <c r="EB101" s="793">
        <v>0</v>
      </c>
      <c r="EC101" s="793">
        <v>0</v>
      </c>
      <c r="ED101" s="793">
        <v>0</v>
      </c>
      <c r="EE101" s="793">
        <v>0</v>
      </c>
      <c r="EF101" s="793">
        <v>0</v>
      </c>
      <c r="EG101" s="793">
        <v>0</v>
      </c>
      <c r="EH101" s="793">
        <v>0</v>
      </c>
      <c r="EI101" s="793">
        <v>0</v>
      </c>
      <c r="EJ101" s="793">
        <v>0</v>
      </c>
      <c r="EK101" s="793">
        <v>0</v>
      </c>
      <c r="EL101" s="793">
        <v>0</v>
      </c>
      <c r="EM101" s="793">
        <v>0</v>
      </c>
      <c r="EN101" s="793">
        <v>0</v>
      </c>
      <c r="EO101" s="793">
        <v>0</v>
      </c>
      <c r="EP101" s="793">
        <v>0</v>
      </c>
      <c r="EQ101" s="1701">
        <v>0</v>
      </c>
      <c r="ER101" s="1702">
        <v>0</v>
      </c>
    </row>
    <row r="102" spans="84:148" ht="24.95" customHeight="1">
      <c r="CF102" s="1696">
        <v>19</v>
      </c>
      <c r="CG102" s="795" t="s">
        <v>255</v>
      </c>
      <c r="CH102" s="1697">
        <v>0</v>
      </c>
      <c r="CI102" s="1698">
        <v>0</v>
      </c>
      <c r="CJ102" s="1697">
        <v>0</v>
      </c>
      <c r="CK102" s="1698">
        <v>0</v>
      </c>
      <c r="CL102" s="1697">
        <v>0</v>
      </c>
      <c r="CM102" s="1698">
        <v>0</v>
      </c>
      <c r="CN102" s="1697">
        <v>0</v>
      </c>
      <c r="CO102" s="1698">
        <v>0</v>
      </c>
      <c r="CP102" s="1697">
        <v>0</v>
      </c>
      <c r="CQ102" s="1698">
        <v>0</v>
      </c>
      <c r="CR102" s="1697">
        <v>0</v>
      </c>
      <c r="CS102" s="1698">
        <v>0</v>
      </c>
      <c r="CT102" s="1697">
        <v>0</v>
      </c>
      <c r="CU102" s="1698">
        <v>0</v>
      </c>
      <c r="CV102" s="1697">
        <v>0</v>
      </c>
      <c r="CW102" s="1698">
        <v>0</v>
      </c>
      <c r="CX102" s="1697">
        <v>0</v>
      </c>
      <c r="CY102" s="1698">
        <v>0</v>
      </c>
      <c r="CZ102" s="1697">
        <v>6</v>
      </c>
      <c r="DA102" s="1698">
        <v>0</v>
      </c>
      <c r="DB102" s="1697">
        <v>0</v>
      </c>
      <c r="DC102" s="1698">
        <v>0</v>
      </c>
      <c r="DD102" s="1697">
        <v>0</v>
      </c>
      <c r="DE102" s="1698">
        <v>0</v>
      </c>
      <c r="DF102" s="1697">
        <v>0</v>
      </c>
      <c r="DG102" s="1698">
        <v>0</v>
      </c>
      <c r="DH102" s="1697">
        <v>0</v>
      </c>
      <c r="DI102" s="1698">
        <v>0</v>
      </c>
      <c r="DJ102" s="1697">
        <v>0</v>
      </c>
      <c r="DK102" s="1698">
        <v>0</v>
      </c>
      <c r="DL102" s="1697">
        <v>0</v>
      </c>
      <c r="DM102" s="1698">
        <v>0</v>
      </c>
      <c r="DN102" s="1697">
        <v>70</v>
      </c>
      <c r="DO102" s="1698">
        <v>0</v>
      </c>
      <c r="DP102" s="1697">
        <v>0</v>
      </c>
      <c r="DQ102" s="1698">
        <v>0</v>
      </c>
      <c r="DR102" s="1697">
        <v>0</v>
      </c>
      <c r="DS102" s="1698">
        <v>0</v>
      </c>
      <c r="DT102" s="1714">
        <v>76</v>
      </c>
      <c r="DU102" s="1700">
        <v>0</v>
      </c>
      <c r="DV102" s="1697">
        <v>0</v>
      </c>
      <c r="DW102" s="1698">
        <v>0</v>
      </c>
      <c r="DX102" s="793">
        <v>0</v>
      </c>
      <c r="DY102" s="793">
        <v>0</v>
      </c>
      <c r="DZ102" s="793">
        <v>0</v>
      </c>
      <c r="EA102" s="793">
        <v>0</v>
      </c>
      <c r="EB102" s="793">
        <v>0</v>
      </c>
      <c r="EC102" s="793">
        <v>0</v>
      </c>
      <c r="ED102" s="793">
        <v>0</v>
      </c>
      <c r="EE102" s="793">
        <v>0</v>
      </c>
      <c r="EF102" s="793">
        <v>0</v>
      </c>
      <c r="EG102" s="793">
        <v>0</v>
      </c>
      <c r="EH102" s="793">
        <v>0</v>
      </c>
      <c r="EI102" s="793">
        <v>0</v>
      </c>
      <c r="EJ102" s="793">
        <v>0</v>
      </c>
      <c r="EK102" s="793">
        <v>0</v>
      </c>
      <c r="EL102" s="793">
        <v>0</v>
      </c>
      <c r="EM102" s="793">
        <v>0</v>
      </c>
      <c r="EN102" s="793">
        <v>0</v>
      </c>
      <c r="EO102" s="793">
        <v>0</v>
      </c>
      <c r="EP102" s="793">
        <v>0</v>
      </c>
      <c r="EQ102" s="1701">
        <v>0</v>
      </c>
      <c r="ER102" s="1702">
        <v>0</v>
      </c>
    </row>
    <row r="103" spans="84:148" ht="24.95" customHeight="1">
      <c r="CF103" s="1696">
        <v>20</v>
      </c>
      <c r="CG103" s="795" t="s">
        <v>255</v>
      </c>
      <c r="CH103" s="1697">
        <v>0</v>
      </c>
      <c r="CI103" s="1698">
        <v>0</v>
      </c>
      <c r="CJ103" s="1697">
        <v>0</v>
      </c>
      <c r="CK103" s="1698">
        <v>0</v>
      </c>
      <c r="CL103" s="1697">
        <v>0</v>
      </c>
      <c r="CM103" s="1698">
        <v>0</v>
      </c>
      <c r="CN103" s="1697">
        <v>0</v>
      </c>
      <c r="CO103" s="1698">
        <v>0</v>
      </c>
      <c r="CP103" s="1697">
        <v>0</v>
      </c>
      <c r="CQ103" s="1698">
        <v>0</v>
      </c>
      <c r="CR103" s="1697">
        <v>0</v>
      </c>
      <c r="CS103" s="1698">
        <v>0</v>
      </c>
      <c r="CT103" s="1697">
        <v>0</v>
      </c>
      <c r="CU103" s="1698">
        <v>0</v>
      </c>
      <c r="CV103" s="1697">
        <v>0</v>
      </c>
      <c r="CW103" s="1698">
        <v>0</v>
      </c>
      <c r="CX103" s="1697">
        <v>0</v>
      </c>
      <c r="CY103" s="1698">
        <v>0</v>
      </c>
      <c r="CZ103" s="1697">
        <v>4</v>
      </c>
      <c r="DA103" s="1698">
        <v>0</v>
      </c>
      <c r="DB103" s="1697">
        <v>0</v>
      </c>
      <c r="DC103" s="1698">
        <v>0</v>
      </c>
      <c r="DD103" s="1697">
        <v>0</v>
      </c>
      <c r="DE103" s="1698">
        <v>0</v>
      </c>
      <c r="DF103" s="1697">
        <v>0</v>
      </c>
      <c r="DG103" s="1698">
        <v>0</v>
      </c>
      <c r="DH103" s="1697">
        <v>0</v>
      </c>
      <c r="DI103" s="1698">
        <v>0</v>
      </c>
      <c r="DJ103" s="1697">
        <v>0</v>
      </c>
      <c r="DK103" s="1698">
        <v>0</v>
      </c>
      <c r="DL103" s="1697">
        <v>0</v>
      </c>
      <c r="DM103" s="1698">
        <v>0</v>
      </c>
      <c r="DN103" s="1697">
        <v>22</v>
      </c>
      <c r="DO103" s="1698">
        <v>0</v>
      </c>
      <c r="DP103" s="1697">
        <v>0</v>
      </c>
      <c r="DQ103" s="1698">
        <v>0</v>
      </c>
      <c r="DR103" s="1697">
        <v>0</v>
      </c>
      <c r="DS103" s="1698">
        <v>0</v>
      </c>
      <c r="DT103" s="1714">
        <v>26</v>
      </c>
      <c r="DU103" s="1700">
        <v>0</v>
      </c>
      <c r="DV103" s="1697">
        <v>0</v>
      </c>
      <c r="DW103" s="1698">
        <v>0</v>
      </c>
      <c r="DX103" s="793">
        <v>0</v>
      </c>
      <c r="DY103" s="793">
        <v>0</v>
      </c>
      <c r="DZ103" s="793">
        <v>0</v>
      </c>
      <c r="EA103" s="793">
        <v>0</v>
      </c>
      <c r="EB103" s="793">
        <v>0</v>
      </c>
      <c r="EC103" s="793">
        <v>0</v>
      </c>
      <c r="ED103" s="793">
        <v>0</v>
      </c>
      <c r="EE103" s="793">
        <v>0</v>
      </c>
      <c r="EF103" s="793">
        <v>0</v>
      </c>
      <c r="EG103" s="793">
        <v>0</v>
      </c>
      <c r="EH103" s="793">
        <v>0</v>
      </c>
      <c r="EI103" s="793">
        <v>0</v>
      </c>
      <c r="EJ103" s="793">
        <v>0</v>
      </c>
      <c r="EK103" s="793">
        <v>0</v>
      </c>
      <c r="EL103" s="793">
        <v>0</v>
      </c>
      <c r="EM103" s="793">
        <v>0</v>
      </c>
      <c r="EN103" s="793">
        <v>0</v>
      </c>
      <c r="EO103" s="793">
        <v>0</v>
      </c>
      <c r="EP103" s="793">
        <v>0</v>
      </c>
      <c r="EQ103" s="1701">
        <v>0</v>
      </c>
      <c r="ER103" s="1702">
        <v>0</v>
      </c>
    </row>
    <row r="104" spans="84:148" ht="24.95" customHeight="1">
      <c r="CF104" s="1696">
        <v>21</v>
      </c>
      <c r="CG104" s="795" t="s">
        <v>341</v>
      </c>
      <c r="CH104" s="1697">
        <v>0</v>
      </c>
      <c r="CI104" s="1698">
        <v>0</v>
      </c>
      <c r="CJ104" s="1697">
        <v>0</v>
      </c>
      <c r="CK104" s="1698">
        <v>0</v>
      </c>
      <c r="CL104" s="1697">
        <v>0</v>
      </c>
      <c r="CM104" s="1698">
        <v>0</v>
      </c>
      <c r="CN104" s="1697">
        <v>0</v>
      </c>
      <c r="CO104" s="1698">
        <v>0</v>
      </c>
      <c r="CP104" s="1697">
        <v>0</v>
      </c>
      <c r="CQ104" s="1698">
        <v>0</v>
      </c>
      <c r="CR104" s="1697">
        <v>0</v>
      </c>
      <c r="CS104" s="1698">
        <v>0</v>
      </c>
      <c r="CT104" s="1697">
        <v>0</v>
      </c>
      <c r="CU104" s="1698">
        <v>0</v>
      </c>
      <c r="CV104" s="1697">
        <v>0</v>
      </c>
      <c r="CW104" s="1698">
        <v>0</v>
      </c>
      <c r="CX104" s="1697">
        <v>0</v>
      </c>
      <c r="CY104" s="1698">
        <v>0</v>
      </c>
      <c r="CZ104" s="1697">
        <v>23</v>
      </c>
      <c r="DA104" s="1698">
        <v>0</v>
      </c>
      <c r="DB104" s="1697">
        <v>0</v>
      </c>
      <c r="DC104" s="1698">
        <v>0</v>
      </c>
      <c r="DD104" s="1697">
        <v>0</v>
      </c>
      <c r="DE104" s="1698">
        <v>0</v>
      </c>
      <c r="DF104" s="1697">
        <v>0</v>
      </c>
      <c r="DG104" s="1698">
        <v>0</v>
      </c>
      <c r="DH104" s="1697">
        <v>0</v>
      </c>
      <c r="DI104" s="1698">
        <v>0</v>
      </c>
      <c r="DJ104" s="1697">
        <v>0</v>
      </c>
      <c r="DK104" s="1698">
        <v>0</v>
      </c>
      <c r="DL104" s="1697">
        <v>0</v>
      </c>
      <c r="DM104" s="1698">
        <v>0</v>
      </c>
      <c r="DN104" s="1697">
        <v>0</v>
      </c>
      <c r="DO104" s="1698">
        <v>0</v>
      </c>
      <c r="DP104" s="1697">
        <v>0</v>
      </c>
      <c r="DQ104" s="1698">
        <v>0</v>
      </c>
      <c r="DR104" s="1697">
        <v>17</v>
      </c>
      <c r="DS104" s="1698">
        <v>0</v>
      </c>
      <c r="DT104" s="1714">
        <v>40</v>
      </c>
      <c r="DU104" s="1700">
        <v>0</v>
      </c>
      <c r="DV104" s="1697">
        <v>0</v>
      </c>
      <c r="DW104" s="1698">
        <v>0</v>
      </c>
      <c r="DX104" s="793">
        <v>0</v>
      </c>
      <c r="DY104" s="793">
        <v>0</v>
      </c>
      <c r="DZ104" s="793">
        <v>0</v>
      </c>
      <c r="EA104" s="793">
        <v>0</v>
      </c>
      <c r="EB104" s="793">
        <v>0</v>
      </c>
      <c r="EC104" s="793">
        <v>0</v>
      </c>
      <c r="ED104" s="793">
        <v>0</v>
      </c>
      <c r="EE104" s="793">
        <v>0</v>
      </c>
      <c r="EF104" s="793">
        <v>0</v>
      </c>
      <c r="EG104" s="793">
        <v>0</v>
      </c>
      <c r="EH104" s="793">
        <v>0</v>
      </c>
      <c r="EI104" s="793">
        <v>0</v>
      </c>
      <c r="EJ104" s="793">
        <v>0</v>
      </c>
      <c r="EK104" s="793">
        <v>0</v>
      </c>
      <c r="EL104" s="793">
        <v>0</v>
      </c>
      <c r="EM104" s="793">
        <v>0</v>
      </c>
      <c r="EN104" s="793">
        <v>0</v>
      </c>
      <c r="EO104" s="793">
        <v>0</v>
      </c>
      <c r="EP104" s="793">
        <v>1</v>
      </c>
      <c r="EQ104" s="1701">
        <v>1</v>
      </c>
      <c r="ER104" s="1702">
        <v>0</v>
      </c>
    </row>
    <row r="105" spans="84:148" ht="24.95" customHeight="1">
      <c r="CF105" s="1688"/>
      <c r="CG105" s="794" t="s">
        <v>71</v>
      </c>
      <c r="CH105" s="1689"/>
      <c r="CI105" s="1690"/>
      <c r="CJ105" s="1689"/>
      <c r="CK105" s="1690"/>
      <c r="CL105" s="1689"/>
      <c r="CM105" s="1690"/>
      <c r="CN105" s="1689"/>
      <c r="CO105" s="1690"/>
      <c r="CP105" s="1689"/>
      <c r="CQ105" s="1690"/>
      <c r="CR105" s="1689"/>
      <c r="CS105" s="1690"/>
      <c r="CT105" s="1689"/>
      <c r="CU105" s="1690"/>
      <c r="CV105" s="1689"/>
      <c r="CW105" s="1690"/>
      <c r="CX105" s="1689"/>
      <c r="CY105" s="1690"/>
      <c r="CZ105" s="1689"/>
      <c r="DA105" s="1690"/>
      <c r="DB105" s="1689"/>
      <c r="DC105" s="1690"/>
      <c r="DD105" s="1689"/>
      <c r="DE105" s="1690"/>
      <c r="DF105" s="1689"/>
      <c r="DG105" s="1690"/>
      <c r="DH105" s="1689"/>
      <c r="DI105" s="1690"/>
      <c r="DJ105" s="1689"/>
      <c r="DK105" s="1690"/>
      <c r="DL105" s="1689"/>
      <c r="DM105" s="1690"/>
      <c r="DN105" s="1689"/>
      <c r="DO105" s="1690"/>
      <c r="DP105" s="1689"/>
      <c r="DQ105" s="1690"/>
      <c r="DR105" s="1689"/>
      <c r="DS105" s="1690"/>
      <c r="DT105" s="2458"/>
      <c r="DU105" s="2459"/>
      <c r="DV105" s="1689"/>
      <c r="DW105" s="1690"/>
      <c r="DX105" s="1624"/>
      <c r="DY105" s="1624"/>
      <c r="DZ105" s="1624"/>
      <c r="EA105" s="1624"/>
      <c r="EB105" s="1624"/>
      <c r="EC105" s="1624"/>
      <c r="ED105" s="1624"/>
      <c r="EE105" s="1624"/>
      <c r="EF105" s="1624"/>
      <c r="EG105" s="1624"/>
      <c r="EH105" s="1624"/>
      <c r="EI105" s="1624"/>
      <c r="EJ105" s="1624"/>
      <c r="EK105" s="1624"/>
      <c r="EL105" s="1624"/>
      <c r="EM105" s="1624"/>
      <c r="EN105" s="1624"/>
      <c r="EO105" s="1624"/>
      <c r="EP105" s="1624"/>
      <c r="EQ105" s="1693"/>
      <c r="ER105" s="1710"/>
    </row>
    <row r="106" spans="84:148" ht="24.95" customHeight="1">
      <c r="CF106" s="1696">
        <v>22</v>
      </c>
      <c r="CG106" s="795" t="s">
        <v>209</v>
      </c>
      <c r="CH106" s="1697">
        <v>0</v>
      </c>
      <c r="CI106" s="1698">
        <v>0</v>
      </c>
      <c r="CJ106" s="1697">
        <v>0</v>
      </c>
      <c r="CK106" s="1698">
        <v>0</v>
      </c>
      <c r="CL106" s="1697">
        <v>1176.75</v>
      </c>
      <c r="CM106" s="1698">
        <v>0</v>
      </c>
      <c r="CN106" s="1697">
        <v>1495</v>
      </c>
      <c r="CO106" s="1698">
        <v>0</v>
      </c>
      <c r="CP106" s="1697">
        <v>0</v>
      </c>
      <c r="CQ106" s="1698">
        <v>0</v>
      </c>
      <c r="CR106" s="1697">
        <v>1521</v>
      </c>
      <c r="CS106" s="1698">
        <v>34</v>
      </c>
      <c r="CT106" s="1697">
        <v>0</v>
      </c>
      <c r="CU106" s="1698">
        <v>0</v>
      </c>
      <c r="CV106" s="1697">
        <v>0</v>
      </c>
      <c r="CW106" s="1698">
        <v>0</v>
      </c>
      <c r="CX106" s="1697">
        <v>0</v>
      </c>
      <c r="CY106" s="1698">
        <v>0</v>
      </c>
      <c r="CZ106" s="1697">
        <v>261</v>
      </c>
      <c r="DA106" s="1698">
        <v>0</v>
      </c>
      <c r="DB106" s="1697">
        <v>0</v>
      </c>
      <c r="DC106" s="1698">
        <v>0</v>
      </c>
      <c r="DD106" s="1697">
        <v>0</v>
      </c>
      <c r="DE106" s="1698">
        <v>0</v>
      </c>
      <c r="DF106" s="1697">
        <v>862</v>
      </c>
      <c r="DG106" s="1698">
        <v>0</v>
      </c>
      <c r="DH106" s="1697">
        <v>0</v>
      </c>
      <c r="DI106" s="1698">
        <v>0</v>
      </c>
      <c r="DJ106" s="1697">
        <v>0</v>
      </c>
      <c r="DK106" s="1698">
        <v>0</v>
      </c>
      <c r="DL106" s="1697">
        <v>0</v>
      </c>
      <c r="DM106" s="1698">
        <v>0</v>
      </c>
      <c r="DN106" s="1697">
        <v>746.24</v>
      </c>
      <c r="DO106" s="1698">
        <v>0</v>
      </c>
      <c r="DP106" s="1697">
        <v>0</v>
      </c>
      <c r="DQ106" s="1698">
        <v>0</v>
      </c>
      <c r="DR106" s="1697">
        <v>2195</v>
      </c>
      <c r="DS106" s="1698">
        <v>0</v>
      </c>
      <c r="DT106" s="1699">
        <v>8256.99</v>
      </c>
      <c r="DU106" s="1700">
        <v>34</v>
      </c>
      <c r="DV106" s="1697">
        <v>0</v>
      </c>
      <c r="DW106" s="1698">
        <v>0</v>
      </c>
      <c r="DX106" s="793">
        <v>0</v>
      </c>
      <c r="DY106" s="793">
        <v>0</v>
      </c>
      <c r="DZ106" s="793">
        <v>77</v>
      </c>
      <c r="EA106" s="793">
        <v>86</v>
      </c>
      <c r="EB106" s="793">
        <v>0</v>
      </c>
      <c r="EC106" s="793">
        <v>13.5</v>
      </c>
      <c r="ED106" s="793">
        <v>0</v>
      </c>
      <c r="EE106" s="793">
        <v>0</v>
      </c>
      <c r="EF106" s="793">
        <v>0</v>
      </c>
      <c r="EG106" s="793">
        <v>1</v>
      </c>
      <c r="EH106" s="793">
        <v>0</v>
      </c>
      <c r="EI106" s="793">
        <v>0</v>
      </c>
      <c r="EJ106" s="793">
        <v>10</v>
      </c>
      <c r="EK106" s="793">
        <v>0</v>
      </c>
      <c r="EL106" s="793">
        <v>0</v>
      </c>
      <c r="EM106" s="793">
        <v>0</v>
      </c>
      <c r="EN106" s="793">
        <v>63</v>
      </c>
      <c r="EO106" s="793">
        <v>0</v>
      </c>
      <c r="EP106" s="793">
        <v>10</v>
      </c>
      <c r="EQ106" s="1701">
        <v>260.5</v>
      </c>
      <c r="ER106" s="1702">
        <v>0</v>
      </c>
    </row>
    <row r="107" spans="84:148" ht="24.95" customHeight="1">
      <c r="CF107" s="1696">
        <v>23</v>
      </c>
      <c r="CG107" s="795" t="s">
        <v>219</v>
      </c>
      <c r="CH107" s="1697">
        <v>0</v>
      </c>
      <c r="CI107" s="1698">
        <v>0</v>
      </c>
      <c r="CJ107" s="1697">
        <v>129</v>
      </c>
      <c r="CK107" s="1698">
        <v>2.8</v>
      </c>
      <c r="CL107" s="1697">
        <v>0</v>
      </c>
      <c r="CM107" s="1698">
        <v>0</v>
      </c>
      <c r="CN107" s="1697">
        <v>0</v>
      </c>
      <c r="CO107" s="1698">
        <v>0</v>
      </c>
      <c r="CP107" s="1697">
        <v>115</v>
      </c>
      <c r="CQ107" s="1698">
        <v>0</v>
      </c>
      <c r="CR107" s="1697">
        <v>206</v>
      </c>
      <c r="CS107" s="1698">
        <v>1.5</v>
      </c>
      <c r="CT107" s="1697">
        <v>0</v>
      </c>
      <c r="CU107" s="1698">
        <v>0</v>
      </c>
      <c r="CV107" s="1697">
        <v>141</v>
      </c>
      <c r="CW107" s="1698">
        <v>0.16700000000000001</v>
      </c>
      <c r="CX107" s="1697">
        <v>0</v>
      </c>
      <c r="CY107" s="1698">
        <v>0</v>
      </c>
      <c r="CZ107" s="1697">
        <v>0</v>
      </c>
      <c r="DA107" s="1698">
        <v>0</v>
      </c>
      <c r="DB107" s="1697">
        <v>0</v>
      </c>
      <c r="DC107" s="1698">
        <v>0</v>
      </c>
      <c r="DD107" s="1697">
        <v>161</v>
      </c>
      <c r="DE107" s="1698">
        <v>0.42</v>
      </c>
      <c r="DF107" s="1697">
        <v>106</v>
      </c>
      <c r="DG107" s="1698">
        <v>0</v>
      </c>
      <c r="DH107" s="1697">
        <v>0</v>
      </c>
      <c r="DI107" s="1698">
        <v>0</v>
      </c>
      <c r="DJ107" s="1697">
        <v>0</v>
      </c>
      <c r="DK107" s="1698">
        <v>0</v>
      </c>
      <c r="DL107" s="1697">
        <v>0</v>
      </c>
      <c r="DM107" s="1698">
        <v>0</v>
      </c>
      <c r="DN107" s="1697">
        <v>0</v>
      </c>
      <c r="DO107" s="1698">
        <v>0</v>
      </c>
      <c r="DP107" s="1697">
        <v>0</v>
      </c>
      <c r="DQ107" s="1698">
        <v>0</v>
      </c>
      <c r="DR107" s="1697">
        <v>0</v>
      </c>
      <c r="DS107" s="1698">
        <v>0</v>
      </c>
      <c r="DT107" s="1699">
        <v>858</v>
      </c>
      <c r="DU107" s="1700">
        <v>4.8869999999999996</v>
      </c>
      <c r="DV107" s="1697">
        <v>0</v>
      </c>
      <c r="DW107" s="1698">
        <v>0</v>
      </c>
      <c r="DX107" s="793">
        <v>0</v>
      </c>
      <c r="DY107" s="793">
        <v>2</v>
      </c>
      <c r="DZ107" s="793">
        <v>0</v>
      </c>
      <c r="EA107" s="793">
        <v>0</v>
      </c>
      <c r="EB107" s="793">
        <v>19</v>
      </c>
      <c r="EC107" s="793">
        <v>7</v>
      </c>
      <c r="ED107" s="793">
        <v>0</v>
      </c>
      <c r="EE107" s="793">
        <v>6</v>
      </c>
      <c r="EF107" s="793">
        <v>0</v>
      </c>
      <c r="EG107" s="793">
        <v>0</v>
      </c>
      <c r="EH107" s="793">
        <v>0</v>
      </c>
      <c r="EI107" s="793">
        <v>9</v>
      </c>
      <c r="EJ107" s="793">
        <v>1</v>
      </c>
      <c r="EK107" s="793">
        <v>0</v>
      </c>
      <c r="EL107" s="793">
        <v>0</v>
      </c>
      <c r="EM107" s="793">
        <v>0</v>
      </c>
      <c r="EN107" s="793">
        <v>0</v>
      </c>
      <c r="EO107" s="793">
        <v>0</v>
      </c>
      <c r="EP107" s="793">
        <v>0</v>
      </c>
      <c r="EQ107" s="1701">
        <v>44</v>
      </c>
      <c r="ER107" s="1702">
        <v>0</v>
      </c>
    </row>
    <row r="108" spans="84:148" ht="24.95" customHeight="1">
      <c r="CF108" s="1688"/>
      <c r="CG108" s="791" t="s">
        <v>72</v>
      </c>
      <c r="CH108" s="2465"/>
      <c r="CI108" s="2466"/>
      <c r="CJ108" s="2465"/>
      <c r="CK108" s="2466"/>
      <c r="CL108" s="2465"/>
      <c r="CM108" s="2466"/>
      <c r="CN108" s="2465"/>
      <c r="CO108" s="2466"/>
      <c r="CP108" s="2465"/>
      <c r="CQ108" s="2466"/>
      <c r="CR108" s="2465"/>
      <c r="CS108" s="2466"/>
      <c r="CT108" s="2465"/>
      <c r="CU108" s="2466"/>
      <c r="CV108" s="2465"/>
      <c r="CW108" s="2466"/>
      <c r="CX108" s="2465"/>
      <c r="CY108" s="2466"/>
      <c r="CZ108" s="2465"/>
      <c r="DA108" s="2466"/>
      <c r="DB108" s="2465"/>
      <c r="DC108" s="2466"/>
      <c r="DD108" s="2465"/>
      <c r="DE108" s="2466"/>
      <c r="DF108" s="2465"/>
      <c r="DG108" s="2466"/>
      <c r="DH108" s="2465"/>
      <c r="DI108" s="2466"/>
      <c r="DJ108" s="2465"/>
      <c r="DK108" s="2466"/>
      <c r="DL108" s="2465"/>
      <c r="DM108" s="2466"/>
      <c r="DN108" s="2465"/>
      <c r="DO108" s="2466"/>
      <c r="DP108" s="2465"/>
      <c r="DQ108" s="2466"/>
      <c r="DR108" s="2465"/>
      <c r="DS108" s="2466"/>
      <c r="DT108" s="2467"/>
      <c r="DU108" s="2468"/>
      <c r="DV108" s="2465"/>
      <c r="DW108" s="2466"/>
      <c r="DX108" s="788"/>
      <c r="DY108" s="788"/>
      <c r="DZ108" s="788"/>
      <c r="EA108" s="788"/>
      <c r="EB108" s="788"/>
      <c r="EC108" s="788"/>
      <c r="ED108" s="788"/>
      <c r="EE108" s="788"/>
      <c r="EF108" s="788"/>
      <c r="EG108" s="788"/>
      <c r="EH108" s="788"/>
      <c r="EI108" s="788"/>
      <c r="EJ108" s="788"/>
      <c r="EK108" s="788"/>
      <c r="EL108" s="788"/>
      <c r="EM108" s="788"/>
      <c r="EN108" s="788"/>
      <c r="EO108" s="788"/>
      <c r="EP108" s="788"/>
      <c r="EQ108" s="1693"/>
      <c r="ER108" s="790"/>
    </row>
    <row r="109" spans="84:148" s="1550" customFormat="1" ht="24.95" customHeight="1">
      <c r="CF109" s="1696">
        <v>24</v>
      </c>
      <c r="CG109" s="792" t="s">
        <v>246</v>
      </c>
      <c r="CH109" s="1697">
        <v>19</v>
      </c>
      <c r="CI109" s="1698">
        <v>0</v>
      </c>
      <c r="CJ109" s="1697">
        <v>0</v>
      </c>
      <c r="CK109" s="1698">
        <v>0</v>
      </c>
      <c r="CL109" s="1697">
        <v>13</v>
      </c>
      <c r="CM109" s="1698">
        <v>0</v>
      </c>
      <c r="CN109" s="1697">
        <v>0</v>
      </c>
      <c r="CO109" s="1698">
        <v>0</v>
      </c>
      <c r="CP109" s="1697">
        <v>0</v>
      </c>
      <c r="CQ109" s="1698">
        <v>0</v>
      </c>
      <c r="CR109" s="1697">
        <v>0</v>
      </c>
      <c r="CS109" s="1698">
        <v>0</v>
      </c>
      <c r="CT109" s="1697">
        <v>0</v>
      </c>
      <c r="CU109" s="1698">
        <v>0</v>
      </c>
      <c r="CV109" s="1697">
        <v>23</v>
      </c>
      <c r="CW109" s="1698">
        <v>0</v>
      </c>
      <c r="CX109" s="1697">
        <v>0</v>
      </c>
      <c r="CY109" s="1698">
        <v>0</v>
      </c>
      <c r="CZ109" s="1697">
        <v>0</v>
      </c>
      <c r="DA109" s="1698">
        <v>0</v>
      </c>
      <c r="DB109" s="1697">
        <v>0</v>
      </c>
      <c r="DC109" s="1698">
        <v>0</v>
      </c>
      <c r="DD109" s="1697">
        <v>0</v>
      </c>
      <c r="DE109" s="1698">
        <v>0</v>
      </c>
      <c r="DF109" s="1697">
        <v>0</v>
      </c>
      <c r="DG109" s="1698">
        <v>0</v>
      </c>
      <c r="DH109" s="1697">
        <v>0</v>
      </c>
      <c r="DI109" s="1698">
        <v>0</v>
      </c>
      <c r="DJ109" s="1697">
        <v>0</v>
      </c>
      <c r="DK109" s="1698">
        <v>0</v>
      </c>
      <c r="DL109" s="1697">
        <v>0</v>
      </c>
      <c r="DM109" s="1698">
        <v>0</v>
      </c>
      <c r="DN109" s="1697">
        <v>0</v>
      </c>
      <c r="DO109" s="1698">
        <v>0</v>
      </c>
      <c r="DP109" s="1697">
        <v>0</v>
      </c>
      <c r="DQ109" s="1698">
        <v>0</v>
      </c>
      <c r="DR109" s="1697">
        <v>0</v>
      </c>
      <c r="DS109" s="1698">
        <v>0</v>
      </c>
      <c r="DT109" s="1699">
        <v>55</v>
      </c>
      <c r="DU109" s="1700">
        <v>0</v>
      </c>
      <c r="DV109" s="1697">
        <v>0</v>
      </c>
      <c r="DW109" s="1698">
        <v>0</v>
      </c>
      <c r="DX109" s="788"/>
      <c r="DY109" s="788"/>
      <c r="DZ109" s="788"/>
      <c r="EA109" s="788"/>
      <c r="EB109" s="788"/>
      <c r="EC109" s="788"/>
      <c r="ED109" s="788"/>
      <c r="EE109" s="788"/>
      <c r="EF109" s="788"/>
      <c r="EG109" s="788"/>
      <c r="EH109" s="788"/>
      <c r="EI109" s="788"/>
      <c r="EJ109" s="788"/>
      <c r="EK109" s="788"/>
      <c r="EL109" s="788"/>
      <c r="EM109" s="788"/>
      <c r="EN109" s="788"/>
      <c r="EO109" s="788"/>
      <c r="EP109" s="788"/>
      <c r="EQ109" s="1693"/>
      <c r="ER109" s="790"/>
    </row>
    <row r="110" spans="84:148" ht="24.95" customHeight="1">
      <c r="CF110" s="1696">
        <v>25</v>
      </c>
      <c r="CG110" s="792" t="s">
        <v>76</v>
      </c>
      <c r="CH110" s="1697">
        <v>2771.5</v>
      </c>
      <c r="CI110" s="1698">
        <v>87.5</v>
      </c>
      <c r="CJ110" s="1697">
        <v>1904</v>
      </c>
      <c r="CK110" s="1698">
        <v>52.4</v>
      </c>
      <c r="CL110" s="1697">
        <v>2097.34</v>
      </c>
      <c r="CM110" s="1698">
        <v>15.28</v>
      </c>
      <c r="CN110" s="1697">
        <v>2854.4</v>
      </c>
      <c r="CO110" s="1698">
        <v>109.2</v>
      </c>
      <c r="CP110" s="1697">
        <v>3744.18</v>
      </c>
      <c r="CQ110" s="1698">
        <v>63.7</v>
      </c>
      <c r="CR110" s="1697">
        <v>2951</v>
      </c>
      <c r="CS110" s="1698">
        <v>315.39</v>
      </c>
      <c r="CT110" s="1697">
        <v>119</v>
      </c>
      <c r="CU110" s="1698">
        <v>0</v>
      </c>
      <c r="CV110" s="1697">
        <v>4910.4300000000103</v>
      </c>
      <c r="CW110" s="1698">
        <v>9.077</v>
      </c>
      <c r="CX110" s="1697">
        <v>2757.39</v>
      </c>
      <c r="CY110" s="1698">
        <v>11.35</v>
      </c>
      <c r="CZ110" s="1697">
        <v>1574</v>
      </c>
      <c r="DA110" s="1698">
        <v>368.9</v>
      </c>
      <c r="DB110" s="1697">
        <v>0</v>
      </c>
      <c r="DC110" s="1698">
        <v>3417.0839999999998</v>
      </c>
      <c r="DD110" s="1697">
        <v>391</v>
      </c>
      <c r="DE110" s="1698">
        <v>7.620000000000001</v>
      </c>
      <c r="DF110" s="1697">
        <v>1374.5</v>
      </c>
      <c r="DG110" s="1698">
        <v>83.63</v>
      </c>
      <c r="DH110" s="1697">
        <v>0</v>
      </c>
      <c r="DI110" s="1698">
        <v>0</v>
      </c>
      <c r="DJ110" s="1697">
        <v>989</v>
      </c>
      <c r="DK110" s="1698">
        <v>85</v>
      </c>
      <c r="DL110" s="1697">
        <v>1359.7</v>
      </c>
      <c r="DM110" s="1698">
        <v>6</v>
      </c>
      <c r="DN110" s="1697">
        <v>1904.61</v>
      </c>
      <c r="DO110" s="1698">
        <v>27.81</v>
      </c>
      <c r="DP110" s="1697">
        <v>5706.5400000000182</v>
      </c>
      <c r="DQ110" s="1698">
        <v>11.400999999999989</v>
      </c>
      <c r="DR110" s="1697">
        <v>3398.5</v>
      </c>
      <c r="DS110" s="1698">
        <v>79.583333333333329</v>
      </c>
      <c r="DT110" s="1699">
        <v>40807.090000000026</v>
      </c>
      <c r="DU110" s="1700">
        <v>4750.9253333333327</v>
      </c>
      <c r="DV110" s="1697">
        <v>0</v>
      </c>
      <c r="DW110" s="1698">
        <v>2331.7950000000001</v>
      </c>
      <c r="DX110" s="788"/>
      <c r="DY110" s="788"/>
      <c r="DZ110" s="788"/>
      <c r="EA110" s="788"/>
      <c r="EB110" s="788"/>
      <c r="EC110" s="788"/>
      <c r="ED110" s="788"/>
      <c r="EE110" s="788"/>
      <c r="EF110" s="788"/>
      <c r="EG110" s="788"/>
      <c r="EH110" s="788"/>
      <c r="EI110" s="788"/>
      <c r="EJ110" s="788"/>
      <c r="EK110" s="788"/>
      <c r="EL110" s="788"/>
      <c r="EM110" s="788"/>
      <c r="EN110" s="788"/>
      <c r="EO110" s="788"/>
      <c r="EP110" s="788"/>
      <c r="EQ110" s="1693"/>
      <c r="ER110" s="790"/>
    </row>
    <row r="111" spans="84:148" ht="24.95" customHeight="1">
      <c r="CF111" s="1696">
        <v>26</v>
      </c>
      <c r="CG111" s="792" t="s">
        <v>74</v>
      </c>
      <c r="CH111" s="1697">
        <v>3855.5</v>
      </c>
      <c r="CI111" s="1698">
        <v>281</v>
      </c>
      <c r="CJ111" s="1697">
        <v>1438.5</v>
      </c>
      <c r="CK111" s="1698">
        <v>56.6</v>
      </c>
      <c r="CL111" s="1697">
        <v>3481.2999999999997</v>
      </c>
      <c r="CM111" s="1698">
        <v>350.39</v>
      </c>
      <c r="CN111" s="1697">
        <v>3728.6</v>
      </c>
      <c r="CO111" s="1698">
        <v>450.70000000000005</v>
      </c>
      <c r="CP111" s="1697">
        <v>4656.6899999999996</v>
      </c>
      <c r="CQ111" s="1698">
        <v>310.89999999999998</v>
      </c>
      <c r="CR111" s="1697">
        <v>5668</v>
      </c>
      <c r="CS111" s="1698">
        <v>404.98</v>
      </c>
      <c r="CT111" s="1697">
        <v>899</v>
      </c>
      <c r="CU111" s="1698">
        <v>6.75</v>
      </c>
      <c r="CV111" s="1697">
        <v>6431.27</v>
      </c>
      <c r="CW111" s="1698">
        <v>223.81300000000002</v>
      </c>
      <c r="CX111" s="1697">
        <v>2021.5</v>
      </c>
      <c r="CY111" s="1698">
        <v>3.65</v>
      </c>
      <c r="CZ111" s="1697">
        <v>3503</v>
      </c>
      <c r="DA111" s="1698">
        <v>713.4</v>
      </c>
      <c r="DB111" s="1697">
        <v>0</v>
      </c>
      <c r="DC111" s="1698">
        <v>4746.2089999999998</v>
      </c>
      <c r="DD111" s="1697">
        <v>2127</v>
      </c>
      <c r="DE111" s="1698">
        <v>53.800000000000004</v>
      </c>
      <c r="DF111" s="1697">
        <v>4779.25</v>
      </c>
      <c r="DG111" s="1698">
        <v>134.09</v>
      </c>
      <c r="DH111" s="1697">
        <v>482</v>
      </c>
      <c r="DI111" s="1698">
        <v>0</v>
      </c>
      <c r="DJ111" s="1697">
        <v>217</v>
      </c>
      <c r="DK111" s="1698">
        <v>24.15</v>
      </c>
      <c r="DL111" s="1697">
        <v>1194.26</v>
      </c>
      <c r="DM111" s="1698">
        <v>36.630000000000003</v>
      </c>
      <c r="DN111" s="1697">
        <v>3284.7</v>
      </c>
      <c r="DO111" s="1698">
        <v>95.69</v>
      </c>
      <c r="DP111" s="1697">
        <v>5128.9599999999964</v>
      </c>
      <c r="DQ111" s="1698">
        <v>155.84599999999998</v>
      </c>
      <c r="DR111" s="1697">
        <v>5509</v>
      </c>
      <c r="DS111" s="1698">
        <v>189.1666666666666</v>
      </c>
      <c r="DT111" s="1699">
        <v>58405.53</v>
      </c>
      <c r="DU111" s="1700">
        <v>8237.764666666666</v>
      </c>
      <c r="DV111" s="1697">
        <v>0</v>
      </c>
      <c r="DW111" s="1698">
        <v>3264.779</v>
      </c>
      <c r="DX111" s="788"/>
      <c r="DY111" s="788"/>
      <c r="DZ111" s="788"/>
      <c r="EA111" s="788"/>
      <c r="EB111" s="788"/>
      <c r="EC111" s="788"/>
      <c r="ED111" s="788"/>
      <c r="EE111" s="788"/>
      <c r="EF111" s="788"/>
      <c r="EG111" s="788"/>
      <c r="EH111" s="788"/>
      <c r="EI111" s="788"/>
      <c r="EJ111" s="788"/>
      <c r="EK111" s="788"/>
      <c r="EL111" s="788"/>
      <c r="EM111" s="788"/>
      <c r="EN111" s="788"/>
      <c r="EO111" s="788"/>
      <c r="EP111" s="788"/>
      <c r="EQ111" s="1693"/>
      <c r="ER111" s="790"/>
    </row>
    <row r="112" spans="84:148" ht="30" customHeight="1">
      <c r="CF112" s="1688"/>
      <c r="CG112" s="791" t="s">
        <v>2</v>
      </c>
      <c r="CH112" s="1715">
        <v>7845.8</v>
      </c>
      <c r="CI112" s="1716">
        <v>368.5</v>
      </c>
      <c r="CJ112" s="1715">
        <v>3471.5</v>
      </c>
      <c r="CK112" s="1716">
        <v>111.8</v>
      </c>
      <c r="CL112" s="1715">
        <v>7781.0499999999993</v>
      </c>
      <c r="CM112" s="1716">
        <v>366.37</v>
      </c>
      <c r="CN112" s="1715">
        <v>8078</v>
      </c>
      <c r="CO112" s="1716">
        <v>559.90000000000009</v>
      </c>
      <c r="CP112" s="1715">
        <v>9751.869999999999</v>
      </c>
      <c r="CQ112" s="1716">
        <v>374.59999999999997</v>
      </c>
      <c r="CR112" s="1715">
        <v>10346</v>
      </c>
      <c r="CS112" s="1716">
        <v>755.87</v>
      </c>
      <c r="CT112" s="1715">
        <v>1018</v>
      </c>
      <c r="CU112" s="1716">
        <v>6.75</v>
      </c>
      <c r="CV112" s="1715">
        <v>13304.700000000012</v>
      </c>
      <c r="CW112" s="1716">
        <v>235.51700000000002</v>
      </c>
      <c r="CX112" s="1715">
        <v>4778.8899999999994</v>
      </c>
      <c r="CY112" s="1716">
        <v>15</v>
      </c>
      <c r="CZ112" s="1715">
        <v>5371</v>
      </c>
      <c r="DA112" s="1716">
        <v>1082.3</v>
      </c>
      <c r="DB112" s="1715">
        <v>0</v>
      </c>
      <c r="DC112" s="1716">
        <v>8163.2929999999997</v>
      </c>
      <c r="DD112" s="1715">
        <v>2679</v>
      </c>
      <c r="DE112" s="1716">
        <v>61.84</v>
      </c>
      <c r="DF112" s="1715">
        <v>7121.75</v>
      </c>
      <c r="DG112" s="1716">
        <v>217.72</v>
      </c>
      <c r="DH112" s="1715">
        <v>591</v>
      </c>
      <c r="DI112" s="1716">
        <v>0</v>
      </c>
      <c r="DJ112" s="1715">
        <v>1206</v>
      </c>
      <c r="DK112" s="1716">
        <v>109.15</v>
      </c>
      <c r="DL112" s="1715">
        <v>2782.46</v>
      </c>
      <c r="DM112" s="1716">
        <v>42.63</v>
      </c>
      <c r="DN112" s="1715">
        <v>6183.5499999999993</v>
      </c>
      <c r="DO112" s="1716">
        <v>123.8</v>
      </c>
      <c r="DP112" s="1715">
        <v>11389.000000000015</v>
      </c>
      <c r="DQ112" s="1716">
        <v>167.74699999999996</v>
      </c>
      <c r="DR112" s="1715">
        <v>11396.5</v>
      </c>
      <c r="DS112" s="1716">
        <v>268.74999999999994</v>
      </c>
      <c r="DT112" s="1714">
        <v>115096.07000000002</v>
      </c>
      <c r="DU112" s="1699">
        <v>13031.536999999998</v>
      </c>
      <c r="DV112" s="1715">
        <v>0</v>
      </c>
      <c r="DW112" s="1716">
        <v>5596.5740000000005</v>
      </c>
      <c r="DX112" s="788"/>
      <c r="DY112" s="788"/>
      <c r="DZ112" s="788"/>
      <c r="EA112" s="788"/>
      <c r="EB112" s="788"/>
      <c r="EC112" s="788"/>
      <c r="ED112" s="788"/>
      <c r="EE112" s="788"/>
      <c r="EF112" s="788"/>
      <c r="EG112" s="788"/>
      <c r="EH112" s="788"/>
      <c r="EI112" s="788"/>
      <c r="EJ112" s="788"/>
      <c r="EK112" s="788"/>
      <c r="EL112" s="788"/>
      <c r="EM112" s="788"/>
      <c r="EN112" s="788"/>
      <c r="EO112" s="788"/>
      <c r="EP112" s="788"/>
      <c r="EQ112" s="1693"/>
      <c r="ER112" s="790"/>
    </row>
    <row r="113" spans="36:273" ht="30" customHeight="1" thickBot="1">
      <c r="CF113" s="1788">
        <v>27</v>
      </c>
      <c r="CG113" s="1789" t="s">
        <v>77</v>
      </c>
      <c r="CH113" s="1790">
        <v>8983.4</v>
      </c>
      <c r="CI113" s="1791">
        <v>659.75</v>
      </c>
      <c r="CJ113" s="1790">
        <v>3594.5</v>
      </c>
      <c r="CK113" s="1791">
        <v>187.1</v>
      </c>
      <c r="CL113" s="1790">
        <v>8828.9699999999993</v>
      </c>
      <c r="CM113" s="1791">
        <v>1322.15</v>
      </c>
      <c r="CN113" s="1790">
        <v>8698</v>
      </c>
      <c r="CO113" s="1791">
        <v>790.10000000000014</v>
      </c>
      <c r="CP113" s="1790">
        <v>12266.57</v>
      </c>
      <c r="CQ113" s="1791">
        <v>685.8</v>
      </c>
      <c r="CR113" s="1790">
        <v>11104.39</v>
      </c>
      <c r="CS113" s="1791">
        <v>1007.2</v>
      </c>
      <c r="CT113" s="1790">
        <v>1222</v>
      </c>
      <c r="CU113" s="1791">
        <v>28.15</v>
      </c>
      <c r="CV113" s="1790">
        <v>16349.700000000012</v>
      </c>
      <c r="CW113" s="1791">
        <v>873.61533500000007</v>
      </c>
      <c r="CX113" s="1790">
        <v>5701.32</v>
      </c>
      <c r="CY113" s="1791">
        <v>131.64000000000001</v>
      </c>
      <c r="CZ113" s="1790">
        <v>5647</v>
      </c>
      <c r="DA113" s="1791">
        <v>1253</v>
      </c>
      <c r="DB113" s="1790">
        <v>0</v>
      </c>
      <c r="DC113" s="1791">
        <v>8353.0479999999989</v>
      </c>
      <c r="DD113" s="1790">
        <v>2917</v>
      </c>
      <c r="DE113" s="1791">
        <v>264.61</v>
      </c>
      <c r="DF113" s="1790">
        <v>7306.75</v>
      </c>
      <c r="DG113" s="1791">
        <v>436.1</v>
      </c>
      <c r="DH113" s="1790">
        <v>686</v>
      </c>
      <c r="DI113" s="1791">
        <v>18.5</v>
      </c>
      <c r="DJ113" s="1790">
        <v>1268.23</v>
      </c>
      <c r="DK113" s="1791">
        <v>139.70000000000002</v>
      </c>
      <c r="DL113" s="1790">
        <v>3777.4300000000003</v>
      </c>
      <c r="DM113" s="1791">
        <v>119.12</v>
      </c>
      <c r="DN113" s="1790">
        <v>6926.65</v>
      </c>
      <c r="DO113" s="1791">
        <v>490.26000000000005</v>
      </c>
      <c r="DP113" s="1790">
        <v>13627.000500000015</v>
      </c>
      <c r="DQ113" s="1791">
        <v>513.44440000000009</v>
      </c>
      <c r="DR113" s="1790">
        <v>12405.5</v>
      </c>
      <c r="DS113" s="1791">
        <v>645.75</v>
      </c>
      <c r="DT113" s="1792">
        <v>131310.41050000003</v>
      </c>
      <c r="DU113" s="1793">
        <v>17919.037734999998</v>
      </c>
      <c r="DV113" s="1790">
        <v>0</v>
      </c>
      <c r="DW113" s="1791">
        <v>5748.0810000000001</v>
      </c>
      <c r="DX113" s="1794">
        <v>195</v>
      </c>
      <c r="DY113" s="1794">
        <v>2</v>
      </c>
      <c r="DZ113" s="1794">
        <v>305</v>
      </c>
      <c r="EA113" s="1794">
        <v>90</v>
      </c>
      <c r="EB113" s="1794">
        <v>438</v>
      </c>
      <c r="EC113" s="1794">
        <v>21</v>
      </c>
      <c r="ED113" s="1794">
        <v>0</v>
      </c>
      <c r="EE113" s="1794">
        <v>377</v>
      </c>
      <c r="EF113" s="1794">
        <v>0</v>
      </c>
      <c r="EG113" s="1794">
        <v>1</v>
      </c>
      <c r="EH113" s="1794">
        <v>0</v>
      </c>
      <c r="EI113" s="1794">
        <v>9</v>
      </c>
      <c r="EJ113" s="1794">
        <v>11</v>
      </c>
      <c r="EK113" s="1794">
        <v>0</v>
      </c>
      <c r="EL113" s="1794">
        <v>0</v>
      </c>
      <c r="EM113" s="1794">
        <v>172</v>
      </c>
      <c r="EN113" s="1794">
        <v>84</v>
      </c>
      <c r="EO113" s="1794">
        <v>37.6</v>
      </c>
      <c r="EP113" s="1794">
        <v>14</v>
      </c>
      <c r="EQ113" s="1795">
        <v>1756.6</v>
      </c>
      <c r="ER113" s="1796">
        <v>0</v>
      </c>
    </row>
    <row r="114" spans="36:273" ht="15" customHeight="1">
      <c r="AJ114" s="796"/>
      <c r="AK114" s="796"/>
      <c r="AL114" s="796"/>
      <c r="AM114" s="796"/>
      <c r="AN114" s="796"/>
      <c r="AO114" s="796"/>
      <c r="AP114" s="796"/>
      <c r="AQ114" s="796"/>
      <c r="AR114" s="796"/>
      <c r="AS114" s="796"/>
      <c r="AT114" s="796"/>
      <c r="AU114" s="796"/>
      <c r="AV114" s="796"/>
      <c r="AW114" s="796"/>
      <c r="AX114" s="796"/>
      <c r="AY114" s="796"/>
      <c r="AZ114" s="796"/>
      <c r="BA114" s="796"/>
      <c r="BB114" s="796"/>
      <c r="BC114" s="796"/>
      <c r="BD114" s="796"/>
      <c r="BE114" s="796"/>
      <c r="BF114" s="796"/>
      <c r="BG114" s="796"/>
      <c r="BH114" s="796"/>
      <c r="BI114" s="796"/>
      <c r="BJ114" s="796"/>
      <c r="BK114" s="796"/>
      <c r="BL114" s="796"/>
      <c r="BM114" s="796"/>
      <c r="BN114" s="796"/>
      <c r="BO114" s="796"/>
      <c r="BP114" s="796"/>
      <c r="BQ114" s="796"/>
      <c r="BR114" s="796"/>
      <c r="BS114" s="796"/>
      <c r="BT114" s="796"/>
      <c r="BU114" s="796"/>
      <c r="BV114" s="796"/>
      <c r="BW114" s="796"/>
      <c r="BX114" s="796"/>
      <c r="BY114" s="796"/>
      <c r="ES114" s="1717"/>
      <c r="ET114" s="1717"/>
      <c r="EU114" s="1717"/>
      <c r="EV114" s="1717"/>
      <c r="EW114" s="1717"/>
      <c r="EX114" s="1717"/>
      <c r="EY114" s="1717"/>
      <c r="EZ114" s="1717"/>
      <c r="FA114" s="1717"/>
      <c r="FB114" s="1717"/>
      <c r="FC114" s="1717"/>
      <c r="FD114" s="1717"/>
      <c r="FE114" s="1717"/>
      <c r="FF114" s="1717"/>
      <c r="FG114" s="1717"/>
      <c r="FH114" s="1717"/>
      <c r="FI114" s="1717"/>
      <c r="FJ114" s="1717"/>
      <c r="FK114" s="1717"/>
      <c r="FL114" s="1717"/>
      <c r="FM114" s="1717"/>
      <c r="FN114" s="1717"/>
      <c r="FO114" s="1717"/>
      <c r="FP114" s="1717"/>
      <c r="FQ114" s="1717"/>
      <c r="FR114" s="1717"/>
      <c r="FS114" s="1717"/>
      <c r="FT114" s="1717"/>
      <c r="FU114" s="1717"/>
      <c r="FV114" s="1717"/>
      <c r="FW114" s="1717"/>
      <c r="FX114" s="1717"/>
      <c r="FY114" s="1717"/>
      <c r="FZ114" s="1717"/>
      <c r="GA114" s="1717"/>
      <c r="GB114" s="1717"/>
      <c r="GC114" s="1717"/>
      <c r="GD114" s="1717"/>
      <c r="GE114" s="1717"/>
      <c r="GF114" s="1717"/>
      <c r="GG114" s="1717"/>
      <c r="GH114" s="1717"/>
      <c r="GI114" s="1717"/>
      <c r="GJ114" s="1717"/>
      <c r="GK114" s="1717"/>
      <c r="GL114" s="1717"/>
      <c r="GM114" s="1717"/>
      <c r="GN114" s="1717"/>
      <c r="GO114" s="1717"/>
      <c r="GP114" s="1717"/>
      <c r="GQ114" s="1717"/>
      <c r="GR114" s="1717"/>
      <c r="GS114" s="1717"/>
      <c r="GT114" s="1717"/>
      <c r="GU114" s="1717"/>
      <c r="GV114" s="1717"/>
      <c r="GW114" s="1717"/>
      <c r="GX114" s="1717"/>
      <c r="GY114" s="1717"/>
      <c r="GZ114" s="1717"/>
      <c r="HA114" s="1717"/>
      <c r="HB114" s="1717"/>
      <c r="HC114" s="1717"/>
      <c r="HD114" s="1717"/>
      <c r="HE114" s="1717"/>
      <c r="HF114" s="1717"/>
      <c r="HG114" s="1717"/>
      <c r="HH114" s="1717"/>
      <c r="HI114" s="1717"/>
      <c r="HJ114" s="1717"/>
      <c r="HK114" s="1717"/>
      <c r="HL114" s="1717"/>
      <c r="HM114" s="1717"/>
      <c r="HN114" s="1717"/>
      <c r="HO114" s="1717"/>
      <c r="HP114" s="1717"/>
      <c r="HQ114" s="1717"/>
      <c r="HR114" s="1717"/>
      <c r="HS114" s="1717"/>
      <c r="HT114" s="1717"/>
      <c r="HU114" s="1717"/>
      <c r="HV114" s="1717"/>
      <c r="HW114" s="1717"/>
      <c r="HX114" s="1717"/>
      <c r="HY114" s="1717"/>
      <c r="HZ114" s="1717"/>
      <c r="IA114" s="1717"/>
      <c r="IB114" s="1717"/>
      <c r="IC114" s="1717"/>
      <c r="ID114" s="1717"/>
      <c r="IE114" s="1717"/>
      <c r="IF114" s="1717"/>
      <c r="IG114" s="1717"/>
      <c r="IH114" s="1717"/>
      <c r="II114" s="1717"/>
      <c r="IJ114" s="1717"/>
      <c r="IK114" s="1717"/>
      <c r="IL114" s="1717"/>
      <c r="IM114" s="1717"/>
      <c r="IN114" s="1717"/>
      <c r="IO114" s="1717"/>
      <c r="IP114" s="1717"/>
      <c r="IQ114" s="1717"/>
      <c r="IR114" s="1717"/>
      <c r="IS114" s="1717"/>
      <c r="IT114" s="1717"/>
      <c r="IU114" s="1717"/>
      <c r="IV114" s="1717"/>
      <c r="IW114" s="1717"/>
      <c r="IX114" s="1717"/>
      <c r="IY114" s="1717"/>
      <c r="IZ114" s="1717"/>
      <c r="JA114" s="1717"/>
      <c r="JB114" s="1717"/>
      <c r="JC114" s="1717"/>
      <c r="JD114" s="1717"/>
      <c r="JE114" s="1717"/>
      <c r="JF114" s="1717"/>
      <c r="JG114" s="1717"/>
      <c r="JH114" s="1717"/>
      <c r="JI114" s="1717"/>
      <c r="JJ114" s="1717"/>
      <c r="JK114" s="1717"/>
      <c r="JL114" s="1717"/>
      <c r="JM114" s="1717"/>
    </row>
    <row r="115" spans="36:273" ht="15" customHeight="1">
      <c r="AJ115" s="796"/>
      <c r="AK115" s="796"/>
      <c r="AL115" s="796"/>
      <c r="AM115" s="796"/>
      <c r="AN115" s="796"/>
      <c r="AO115" s="796"/>
      <c r="AP115" s="796"/>
      <c r="AQ115" s="796"/>
      <c r="AR115" s="796"/>
      <c r="AS115" s="796"/>
      <c r="AT115" s="796"/>
      <c r="AU115" s="796"/>
      <c r="AV115" s="796"/>
      <c r="AW115" s="796"/>
      <c r="AX115" s="796"/>
      <c r="AY115" s="796"/>
      <c r="AZ115" s="796"/>
      <c r="BA115" s="796"/>
      <c r="BB115" s="796"/>
      <c r="BC115" s="796"/>
      <c r="BD115" s="796"/>
      <c r="BE115" s="796"/>
      <c r="BF115" s="796"/>
      <c r="BG115" s="796"/>
      <c r="BH115" s="796"/>
      <c r="BI115" s="796"/>
      <c r="BJ115" s="796"/>
      <c r="BK115" s="796"/>
      <c r="BL115" s="796"/>
      <c r="BM115" s="796"/>
      <c r="BN115" s="796"/>
      <c r="BO115" s="796"/>
      <c r="BP115" s="796"/>
      <c r="BQ115" s="796"/>
      <c r="BR115" s="796"/>
      <c r="BS115" s="796"/>
      <c r="BT115" s="796"/>
      <c r="BU115" s="796"/>
      <c r="BV115" s="796"/>
      <c r="BW115" s="796"/>
      <c r="BX115" s="796"/>
      <c r="BY115" s="796"/>
      <c r="ES115" s="1717"/>
      <c r="ET115" s="1717"/>
      <c r="EU115" s="1717"/>
      <c r="EV115" s="1717"/>
      <c r="EW115" s="1717"/>
      <c r="EX115" s="1717"/>
      <c r="EY115" s="1717"/>
      <c r="EZ115" s="1717"/>
      <c r="FA115" s="1717"/>
      <c r="FB115" s="1717"/>
      <c r="FC115" s="1717"/>
      <c r="FD115" s="1717"/>
      <c r="FE115" s="1717"/>
      <c r="FF115" s="1717"/>
      <c r="FG115" s="1717"/>
      <c r="FH115" s="1717"/>
      <c r="FI115" s="1717"/>
      <c r="FJ115" s="1717"/>
      <c r="FK115" s="1717"/>
      <c r="FL115" s="1717"/>
      <c r="FM115" s="1717"/>
      <c r="FN115" s="1717"/>
      <c r="FO115" s="1717"/>
      <c r="FP115" s="1717"/>
      <c r="FQ115" s="1717"/>
      <c r="FR115" s="1717"/>
      <c r="FS115" s="1717"/>
      <c r="FT115" s="1717"/>
      <c r="FU115" s="1717"/>
      <c r="FV115" s="1717"/>
      <c r="FW115" s="1717"/>
      <c r="FX115" s="1717"/>
      <c r="FY115" s="1717"/>
      <c r="FZ115" s="1717"/>
      <c r="GA115" s="1717"/>
      <c r="GB115" s="1717"/>
      <c r="GC115" s="1717"/>
      <c r="GD115" s="1717"/>
      <c r="GE115" s="1717"/>
      <c r="GF115" s="1717"/>
      <c r="GG115" s="1717"/>
      <c r="GH115" s="1717"/>
      <c r="GI115" s="1717"/>
      <c r="GJ115" s="1717"/>
      <c r="GK115" s="1717"/>
      <c r="GL115" s="1717"/>
      <c r="GM115" s="1717"/>
      <c r="GN115" s="1717"/>
      <c r="GO115" s="1717"/>
      <c r="GP115" s="1717"/>
      <c r="GQ115" s="1717"/>
      <c r="GR115" s="1717"/>
      <c r="GS115" s="1717"/>
      <c r="GT115" s="1717"/>
      <c r="GU115" s="1717"/>
      <c r="GV115" s="1717"/>
      <c r="GW115" s="1717"/>
      <c r="GX115" s="1717"/>
      <c r="GY115" s="1717"/>
      <c r="GZ115" s="1717"/>
      <c r="HA115" s="1717"/>
      <c r="HB115" s="1717"/>
      <c r="HC115" s="1717"/>
      <c r="HD115" s="1717"/>
      <c r="HE115" s="1717"/>
      <c r="HF115" s="1717"/>
      <c r="HG115" s="1717"/>
      <c r="HH115" s="1717"/>
      <c r="HI115" s="1717"/>
      <c r="HJ115" s="1717"/>
      <c r="HK115" s="1717"/>
      <c r="HL115" s="1717"/>
      <c r="HM115" s="1717"/>
      <c r="HN115" s="1717"/>
      <c r="HO115" s="1717"/>
      <c r="HP115" s="1717"/>
      <c r="HQ115" s="1717"/>
      <c r="HR115" s="1717"/>
      <c r="HS115" s="1717"/>
      <c r="HT115" s="1717"/>
      <c r="HU115" s="1717"/>
      <c r="HV115" s="1717"/>
      <c r="HW115" s="1717"/>
      <c r="HX115" s="1717"/>
      <c r="HY115" s="1717"/>
      <c r="HZ115" s="1717"/>
      <c r="IA115" s="1717"/>
      <c r="IB115" s="1717"/>
      <c r="IC115" s="1717"/>
      <c r="ID115" s="1717"/>
      <c r="IE115" s="1717"/>
      <c r="IF115" s="1717"/>
      <c r="IG115" s="1717"/>
      <c r="IH115" s="1717"/>
      <c r="II115" s="1717"/>
      <c r="IJ115" s="1717"/>
      <c r="IK115" s="1717"/>
      <c r="IL115" s="1717"/>
      <c r="IM115" s="1717"/>
      <c r="IN115" s="1717"/>
      <c r="IO115" s="1717"/>
      <c r="IP115" s="1717"/>
      <c r="IQ115" s="1717"/>
      <c r="IR115" s="1717"/>
      <c r="IS115" s="1717"/>
      <c r="IT115" s="1717"/>
      <c r="IU115" s="1717"/>
      <c r="IV115" s="1717"/>
      <c r="IW115" s="1717"/>
      <c r="IX115" s="1717"/>
      <c r="IY115" s="1717"/>
      <c r="IZ115" s="1717"/>
      <c r="JA115" s="1717"/>
      <c r="JB115" s="1717"/>
      <c r="JC115" s="1717"/>
      <c r="JD115" s="1717"/>
      <c r="JE115" s="1717"/>
      <c r="JF115" s="1717"/>
      <c r="JG115" s="1717"/>
      <c r="JH115" s="1717"/>
      <c r="JI115" s="1717"/>
      <c r="JJ115" s="1717"/>
      <c r="JK115" s="1717"/>
      <c r="JL115" s="1717"/>
      <c r="JM115" s="1717"/>
    </row>
    <row r="116" spans="36:273" s="1644" customFormat="1" ht="20.100000000000001" customHeight="1">
      <c r="CF116" s="1718"/>
      <c r="CG116" s="1718"/>
      <c r="CH116" s="1718"/>
      <c r="CI116" s="1718"/>
      <c r="CJ116" s="1718"/>
      <c r="CK116" s="1718"/>
      <c r="CL116" s="1718"/>
      <c r="CM116" s="1718"/>
      <c r="CN116" s="1718"/>
      <c r="CO116" s="1718"/>
      <c r="CP116" s="1718"/>
      <c r="CQ116" s="1718"/>
      <c r="CR116" s="1718"/>
      <c r="CS116" s="1718"/>
      <c r="CT116" s="1718"/>
      <c r="CU116" s="1718"/>
      <c r="CV116" s="1718"/>
      <c r="CW116" s="1718"/>
      <c r="CX116" s="1718"/>
      <c r="CY116" s="1718"/>
      <c r="CZ116" s="1718"/>
      <c r="DA116" s="1718"/>
      <c r="DB116" s="1718"/>
      <c r="DC116" s="1718"/>
      <c r="DD116" s="1718"/>
      <c r="DE116" s="1718"/>
      <c r="DF116" s="1718"/>
      <c r="DG116" s="1718"/>
      <c r="DH116" s="1718"/>
      <c r="DI116" s="1718"/>
      <c r="DJ116" s="1718"/>
      <c r="DK116" s="1718"/>
      <c r="DL116" s="1718"/>
      <c r="DM116" s="1718"/>
      <c r="DN116" s="1718"/>
      <c r="DO116" s="1718"/>
      <c r="DP116" s="1718"/>
      <c r="DQ116" s="1718"/>
      <c r="DR116" s="1718"/>
      <c r="DS116" s="1718"/>
      <c r="DT116" s="1718"/>
      <c r="DU116" s="1718"/>
      <c r="DV116" s="1718"/>
      <c r="DW116" s="1718"/>
      <c r="DX116" s="1718"/>
      <c r="DY116" s="1718"/>
      <c r="DZ116" s="1718"/>
      <c r="EA116" s="1718"/>
      <c r="EB116" s="1718"/>
      <c r="EC116" s="1718"/>
      <c r="ED116" s="1718"/>
      <c r="EE116" s="1718"/>
      <c r="EF116" s="1718"/>
      <c r="EG116" s="1718"/>
      <c r="EH116" s="1718"/>
      <c r="EI116" s="1718"/>
      <c r="EJ116" s="1718"/>
      <c r="EK116" s="1718"/>
      <c r="EL116" s="1718"/>
      <c r="EM116" s="1718"/>
      <c r="EN116" s="1718"/>
      <c r="EO116" s="1718"/>
      <c r="EP116" s="1718"/>
      <c r="EQ116" s="1718"/>
      <c r="ER116" s="1718"/>
      <c r="ET116" s="1645" t="s">
        <v>502</v>
      </c>
      <c r="EU116" s="1646"/>
      <c r="EV116" s="1646"/>
      <c r="EW116" s="1646"/>
      <c r="EX116" s="1646"/>
      <c r="EY116" s="1646"/>
      <c r="EZ116" s="1646"/>
      <c r="FA116" s="1646"/>
      <c r="FB116" s="1646"/>
      <c r="FC116" s="1646"/>
      <c r="FD116" s="1646"/>
      <c r="FE116" s="1646"/>
      <c r="FF116" s="1646"/>
      <c r="FG116" s="1646"/>
      <c r="FH116" s="1646"/>
      <c r="FI116" s="1646"/>
      <c r="FJ116" s="1646"/>
      <c r="FK116" s="1646"/>
      <c r="FL116" s="1646"/>
      <c r="FM116" s="1646"/>
      <c r="FN116" s="1646"/>
      <c r="FO116" s="1646"/>
      <c r="FP116" s="1646"/>
      <c r="FQ116" s="1646"/>
      <c r="FR116" s="1646"/>
      <c r="FS116" s="1646"/>
      <c r="FT116" s="1646"/>
      <c r="FU116" s="1646"/>
      <c r="FV116" s="1646"/>
      <c r="FW116" s="1646"/>
      <c r="FX116" s="1646"/>
      <c r="FY116" s="1646"/>
      <c r="FZ116" s="1646"/>
      <c r="GA116" s="1646"/>
      <c r="GB116" s="1646"/>
      <c r="GC116" s="1646"/>
      <c r="GD116" s="1646"/>
      <c r="GE116" s="1646"/>
      <c r="GF116" s="1646"/>
      <c r="GG116" s="1646"/>
      <c r="GH116" s="1646"/>
      <c r="GI116" s="1646"/>
      <c r="GJ116" s="1646"/>
      <c r="GK116" s="1646"/>
      <c r="GL116" s="1646"/>
      <c r="GM116" s="1646"/>
      <c r="GN116" s="1646"/>
      <c r="GO116" s="1646"/>
      <c r="GP116" s="1646"/>
      <c r="GQ116" s="1646"/>
      <c r="GR116" s="1646"/>
      <c r="GS116" s="1646"/>
      <c r="GT116" s="1646"/>
      <c r="GU116" s="1646"/>
      <c r="GV116" s="1646"/>
      <c r="GW116" s="1646"/>
      <c r="GX116" s="1646"/>
      <c r="GY116" s="1646"/>
      <c r="GZ116" s="1646"/>
      <c r="HA116" s="1646"/>
      <c r="HB116" s="1646"/>
      <c r="HC116" s="1646"/>
      <c r="HD116" s="1646"/>
      <c r="HE116" s="1646"/>
      <c r="HF116" s="1646"/>
    </row>
    <row r="117" spans="36:273" ht="9.9499999999999993" customHeight="1" thickBot="1">
      <c r="ET117" s="1536"/>
      <c r="EU117" s="1536"/>
      <c r="EV117" s="1536"/>
      <c r="EW117" s="1536"/>
      <c r="EX117" s="1536"/>
      <c r="EY117" s="1536"/>
      <c r="EZ117" s="1536"/>
      <c r="FA117" s="1536"/>
      <c r="FB117" s="1536"/>
      <c r="FC117" s="1536"/>
      <c r="FD117" s="1536"/>
      <c r="FE117" s="1536"/>
      <c r="FF117" s="1536"/>
      <c r="FG117" s="1536"/>
      <c r="FH117" s="1536"/>
      <c r="FI117" s="1536"/>
      <c r="FJ117" s="1536"/>
      <c r="FK117" s="1536"/>
      <c r="FL117" s="1536"/>
      <c r="FM117" s="1536"/>
      <c r="FN117" s="1536"/>
      <c r="FO117" s="1536"/>
      <c r="FP117" s="1536"/>
      <c r="FQ117" s="1536"/>
      <c r="FR117" s="1536"/>
      <c r="FS117" s="1536"/>
      <c r="FT117" s="1536"/>
      <c r="FU117" s="1536"/>
      <c r="FV117" s="1536"/>
      <c r="FW117" s="1536"/>
      <c r="FX117" s="1536"/>
      <c r="FY117" s="1536"/>
      <c r="FZ117" s="1536"/>
      <c r="GA117" s="1536"/>
      <c r="GB117" s="1536"/>
      <c r="GC117" s="1536"/>
      <c r="GD117" s="1536"/>
      <c r="GE117" s="1536"/>
      <c r="GF117" s="1536"/>
      <c r="GG117" s="1536"/>
      <c r="GH117" s="1536"/>
      <c r="GI117" s="1536"/>
      <c r="GJ117" s="1536"/>
      <c r="GK117" s="1536"/>
      <c r="GL117" s="1536"/>
      <c r="GM117" s="1536"/>
      <c r="GN117" s="1536"/>
      <c r="GO117" s="1536"/>
      <c r="GP117" s="1536"/>
      <c r="GQ117" s="1536"/>
      <c r="GR117" s="1536"/>
      <c r="GS117" s="1536"/>
      <c r="GT117" s="1536"/>
      <c r="GU117" s="1536"/>
      <c r="GV117" s="1536"/>
      <c r="GW117" s="1536"/>
      <c r="GX117" s="1536"/>
      <c r="GY117" s="1536"/>
      <c r="GZ117" s="1536"/>
      <c r="HA117" s="1536"/>
      <c r="HB117" s="1536"/>
      <c r="HC117" s="1536"/>
      <c r="HD117" s="1536"/>
      <c r="HE117" s="1536"/>
      <c r="HF117" s="1536"/>
    </row>
    <row r="118" spans="36:273" ht="39.950000000000003" customHeight="1">
      <c r="ET118" s="1647"/>
      <c r="EU118" s="1648"/>
      <c r="EV118" s="2791" t="s">
        <v>67</v>
      </c>
      <c r="EW118" s="2791"/>
      <c r="EX118" s="2791"/>
      <c r="EY118" s="2791"/>
      <c r="EZ118" s="2791"/>
      <c r="FA118" s="2791"/>
      <c r="FB118" s="2791"/>
      <c r="FC118" s="2791"/>
      <c r="FD118" s="2791"/>
      <c r="FE118" s="2791"/>
      <c r="FF118" s="2791"/>
      <c r="FG118" s="2791"/>
      <c r="FH118" s="2791"/>
      <c r="FI118" s="2791"/>
      <c r="FJ118" s="2791"/>
      <c r="FK118" s="2791"/>
      <c r="FL118" s="2791"/>
      <c r="FM118" s="2791"/>
      <c r="FN118" s="2791"/>
      <c r="FO118" s="2791"/>
      <c r="FP118" s="2791"/>
      <c r="FQ118" s="2791"/>
      <c r="FR118" s="2791"/>
      <c r="FS118" s="2791"/>
      <c r="FT118" s="2791"/>
      <c r="FU118" s="2791"/>
      <c r="FV118" s="2791"/>
      <c r="FW118" s="2791"/>
      <c r="FX118" s="2791"/>
      <c r="FY118" s="2791"/>
      <c r="FZ118" s="2791"/>
      <c r="GA118" s="2791"/>
      <c r="GB118" s="2791"/>
      <c r="GC118" s="2791"/>
      <c r="GD118" s="2791"/>
      <c r="GE118" s="2791"/>
      <c r="GF118" s="2791"/>
      <c r="GG118" s="2791"/>
      <c r="GH118" s="2791"/>
      <c r="GI118" s="2791"/>
      <c r="GJ118" s="2791"/>
      <c r="GK118" s="2792"/>
      <c r="GL118" s="1719" t="s">
        <v>277</v>
      </c>
      <c r="GM118" s="1720"/>
      <c r="GN118" s="1720"/>
      <c r="GO118" s="1720"/>
      <c r="GP118" s="1720"/>
      <c r="GQ118" s="1720"/>
      <c r="GR118" s="1720"/>
      <c r="GS118" s="1720"/>
      <c r="GT118" s="1720"/>
      <c r="GU118" s="1720"/>
      <c r="GV118" s="1720"/>
      <c r="GW118" s="1720"/>
      <c r="GX118" s="1720"/>
      <c r="GY118" s="1720"/>
      <c r="GZ118" s="1720"/>
      <c r="HA118" s="1720"/>
      <c r="HB118" s="1720"/>
      <c r="HC118" s="1720"/>
      <c r="HD118" s="1720"/>
      <c r="HE118" s="1720"/>
      <c r="HF118" s="1721"/>
    </row>
    <row r="119" spans="36:273" ht="69.95" customHeight="1">
      <c r="ET119" s="1649"/>
      <c r="EU119" s="1650"/>
      <c r="EV119" s="2793" t="s">
        <v>104</v>
      </c>
      <c r="EW119" s="2794"/>
      <c r="EX119" s="2793" t="s">
        <v>105</v>
      </c>
      <c r="EY119" s="2794"/>
      <c r="EZ119" s="2793" t="s">
        <v>106</v>
      </c>
      <c r="FA119" s="2794"/>
      <c r="FB119" s="2793" t="s">
        <v>114</v>
      </c>
      <c r="FC119" s="2794"/>
      <c r="FD119" s="2793" t="s">
        <v>113</v>
      </c>
      <c r="FE119" s="2794"/>
      <c r="FF119" s="2793" t="s">
        <v>112</v>
      </c>
      <c r="FG119" s="2794"/>
      <c r="FH119" s="2795" t="s">
        <v>47</v>
      </c>
      <c r="FI119" s="2796"/>
      <c r="FJ119" s="2795" t="s">
        <v>48</v>
      </c>
      <c r="FK119" s="2796"/>
      <c r="FL119" s="2793" t="s">
        <v>115</v>
      </c>
      <c r="FM119" s="2794"/>
      <c r="FN119" s="2793" t="s">
        <v>278</v>
      </c>
      <c r="FO119" s="2794"/>
      <c r="FP119" s="2793" t="s">
        <v>116</v>
      </c>
      <c r="FQ119" s="2794"/>
      <c r="FR119" s="2793" t="s">
        <v>279</v>
      </c>
      <c r="FS119" s="2794"/>
      <c r="FT119" s="2793" t="s">
        <v>111</v>
      </c>
      <c r="FU119" s="2794"/>
      <c r="FV119" s="2797" t="s">
        <v>280</v>
      </c>
      <c r="FW119" s="2798"/>
      <c r="FX119" s="2795" t="s">
        <v>132</v>
      </c>
      <c r="FY119" s="2796"/>
      <c r="FZ119" s="2793" t="s">
        <v>110</v>
      </c>
      <c r="GA119" s="2794"/>
      <c r="GB119" s="2793" t="s">
        <v>109</v>
      </c>
      <c r="GC119" s="2794"/>
      <c r="GD119" s="2793" t="s">
        <v>108</v>
      </c>
      <c r="GE119" s="2794"/>
      <c r="GF119" s="2793" t="s">
        <v>107</v>
      </c>
      <c r="GG119" s="2794"/>
      <c r="GH119" s="2795" t="s">
        <v>2</v>
      </c>
      <c r="GI119" s="2796"/>
      <c r="GJ119" s="2793" t="s">
        <v>117</v>
      </c>
      <c r="GK119" s="2794"/>
      <c r="GL119" s="1651" t="s">
        <v>104</v>
      </c>
      <c r="GM119" s="1652" t="s">
        <v>281</v>
      </c>
      <c r="GN119" s="1652" t="s">
        <v>106</v>
      </c>
      <c r="GO119" s="1652" t="s">
        <v>282</v>
      </c>
      <c r="GP119" s="1652" t="s">
        <v>113</v>
      </c>
      <c r="GQ119" s="1652" t="s">
        <v>208</v>
      </c>
      <c r="GR119" s="1652" t="s">
        <v>196</v>
      </c>
      <c r="GS119" s="1652" t="s">
        <v>197</v>
      </c>
      <c r="GT119" s="1652" t="s">
        <v>115</v>
      </c>
      <c r="GU119" s="1652" t="s">
        <v>283</v>
      </c>
      <c r="GV119" s="1652" t="s">
        <v>198</v>
      </c>
      <c r="GW119" s="1652" t="s">
        <v>199</v>
      </c>
      <c r="GX119" s="1652" t="s">
        <v>200</v>
      </c>
      <c r="GY119" s="1653" t="s">
        <v>393</v>
      </c>
      <c r="GZ119" s="1652" t="s">
        <v>132</v>
      </c>
      <c r="HA119" s="1652" t="s">
        <v>110</v>
      </c>
      <c r="HB119" s="1652" t="s">
        <v>109</v>
      </c>
      <c r="HC119" s="1652" t="s">
        <v>108</v>
      </c>
      <c r="HD119" s="1654" t="s">
        <v>201</v>
      </c>
      <c r="HE119" s="1655" t="s">
        <v>2</v>
      </c>
      <c r="HF119" s="1722" t="s">
        <v>117</v>
      </c>
    </row>
    <row r="120" spans="36:273" ht="24.95" customHeight="1">
      <c r="ET120" s="1649"/>
      <c r="EU120" s="1657" t="s">
        <v>118</v>
      </c>
      <c r="EV120" s="1658" t="s">
        <v>41</v>
      </c>
      <c r="EW120" s="1659" t="s">
        <v>30</v>
      </c>
      <c r="EX120" s="1660" t="s">
        <v>41</v>
      </c>
      <c r="EY120" s="1661" t="s">
        <v>30</v>
      </c>
      <c r="EZ120" s="1662" t="s">
        <v>41</v>
      </c>
      <c r="FA120" s="1659" t="s">
        <v>30</v>
      </c>
      <c r="FB120" s="1660" t="s">
        <v>41</v>
      </c>
      <c r="FC120" s="1661" t="s">
        <v>30</v>
      </c>
      <c r="FD120" s="1662" t="s">
        <v>41</v>
      </c>
      <c r="FE120" s="1659" t="s">
        <v>30</v>
      </c>
      <c r="FF120" s="1660" t="s">
        <v>41</v>
      </c>
      <c r="FG120" s="1661" t="s">
        <v>30</v>
      </c>
      <c r="FH120" s="1662" t="s">
        <v>41</v>
      </c>
      <c r="FI120" s="1659" t="s">
        <v>30</v>
      </c>
      <c r="FJ120" s="1660" t="s">
        <v>41</v>
      </c>
      <c r="FK120" s="1661" t="s">
        <v>30</v>
      </c>
      <c r="FL120" s="1662" t="s">
        <v>41</v>
      </c>
      <c r="FM120" s="1659" t="s">
        <v>30</v>
      </c>
      <c r="FN120" s="1660" t="s">
        <v>41</v>
      </c>
      <c r="FO120" s="1661" t="s">
        <v>30</v>
      </c>
      <c r="FP120" s="1662" t="s">
        <v>41</v>
      </c>
      <c r="FQ120" s="1659" t="s">
        <v>30</v>
      </c>
      <c r="FR120" s="1660" t="s">
        <v>41</v>
      </c>
      <c r="FS120" s="1661" t="s">
        <v>30</v>
      </c>
      <c r="FT120" s="1662" t="s">
        <v>41</v>
      </c>
      <c r="FU120" s="1659" t="s">
        <v>30</v>
      </c>
      <c r="FV120" s="1660" t="s">
        <v>41</v>
      </c>
      <c r="FW120" s="1661" t="s">
        <v>30</v>
      </c>
      <c r="FX120" s="1662" t="s">
        <v>41</v>
      </c>
      <c r="FY120" s="1659" t="s">
        <v>30</v>
      </c>
      <c r="FZ120" s="1660" t="s">
        <v>41</v>
      </c>
      <c r="GA120" s="1661" t="s">
        <v>30</v>
      </c>
      <c r="GB120" s="1662" t="s">
        <v>41</v>
      </c>
      <c r="GC120" s="1659" t="s">
        <v>30</v>
      </c>
      <c r="GD120" s="1660" t="s">
        <v>41</v>
      </c>
      <c r="GE120" s="1661" t="s">
        <v>30</v>
      </c>
      <c r="GF120" s="1662" t="s">
        <v>41</v>
      </c>
      <c r="GG120" s="1659" t="s">
        <v>30</v>
      </c>
      <c r="GH120" s="1660" t="s">
        <v>41</v>
      </c>
      <c r="GI120" s="1661" t="s">
        <v>30</v>
      </c>
      <c r="GJ120" s="1662" t="s">
        <v>41</v>
      </c>
      <c r="GK120" s="1659" t="s">
        <v>30</v>
      </c>
      <c r="GL120" s="1663"/>
      <c r="GM120" s="1664"/>
      <c r="GN120" s="1664"/>
      <c r="GO120" s="1664"/>
      <c r="GP120" s="1664"/>
      <c r="GQ120" s="1664"/>
      <c r="GR120" s="1664"/>
      <c r="GS120" s="1664"/>
      <c r="GT120" s="1664"/>
      <c r="GU120" s="1664"/>
      <c r="GV120" s="1664"/>
      <c r="GW120" s="1664"/>
      <c r="GX120" s="1664"/>
      <c r="GY120" s="1664"/>
      <c r="GZ120" s="1664"/>
      <c r="HA120" s="1664"/>
      <c r="HB120" s="1664"/>
      <c r="HC120" s="1664"/>
      <c r="HD120" s="1665"/>
      <c r="HE120" s="1666"/>
      <c r="HF120" s="1723"/>
    </row>
    <row r="121" spans="36:273" ht="24.95" customHeight="1">
      <c r="ET121" s="1667"/>
      <c r="EU121" s="1668"/>
      <c r="EV121" s="1658" t="s">
        <v>16</v>
      </c>
      <c r="EW121" s="1669" t="s">
        <v>16</v>
      </c>
      <c r="EX121" s="1670" t="s">
        <v>16</v>
      </c>
      <c r="EY121" s="1671" t="s">
        <v>16</v>
      </c>
      <c r="EZ121" s="1672" t="s">
        <v>16</v>
      </c>
      <c r="FA121" s="1673" t="s">
        <v>16</v>
      </c>
      <c r="FB121" s="1670" t="s">
        <v>16</v>
      </c>
      <c r="FC121" s="1674" t="s">
        <v>16</v>
      </c>
      <c r="FD121" s="1672" t="s">
        <v>16</v>
      </c>
      <c r="FE121" s="1673" t="s">
        <v>16</v>
      </c>
      <c r="FF121" s="1670" t="s">
        <v>16</v>
      </c>
      <c r="FG121" s="1674" t="s">
        <v>16</v>
      </c>
      <c r="FH121" s="1672" t="s">
        <v>16</v>
      </c>
      <c r="FI121" s="1669" t="s">
        <v>16</v>
      </c>
      <c r="FJ121" s="1670" t="s">
        <v>16</v>
      </c>
      <c r="FK121" s="1674" t="s">
        <v>16</v>
      </c>
      <c r="FL121" s="1672" t="s">
        <v>16</v>
      </c>
      <c r="FM121" s="1673" t="s">
        <v>16</v>
      </c>
      <c r="FN121" s="1670" t="s">
        <v>16</v>
      </c>
      <c r="FO121" s="1674" t="s">
        <v>16</v>
      </c>
      <c r="FP121" s="1672" t="s">
        <v>16</v>
      </c>
      <c r="FQ121" s="1669" t="s">
        <v>16</v>
      </c>
      <c r="FR121" s="1670" t="s">
        <v>16</v>
      </c>
      <c r="FS121" s="1671" t="s">
        <v>16</v>
      </c>
      <c r="FT121" s="1672" t="s">
        <v>16</v>
      </c>
      <c r="FU121" s="1669" t="s">
        <v>16</v>
      </c>
      <c r="FV121" s="1670" t="s">
        <v>16</v>
      </c>
      <c r="FW121" s="1671" t="s">
        <v>16</v>
      </c>
      <c r="FX121" s="1672" t="s">
        <v>16</v>
      </c>
      <c r="FY121" s="1669" t="s">
        <v>16</v>
      </c>
      <c r="FZ121" s="1670" t="s">
        <v>16</v>
      </c>
      <c r="GA121" s="1671" t="s">
        <v>16</v>
      </c>
      <c r="GB121" s="1672" t="s">
        <v>16</v>
      </c>
      <c r="GC121" s="1669" t="s">
        <v>16</v>
      </c>
      <c r="GD121" s="1670" t="s">
        <v>16</v>
      </c>
      <c r="GE121" s="1671" t="s">
        <v>16</v>
      </c>
      <c r="GF121" s="1658" t="s">
        <v>16</v>
      </c>
      <c r="GG121" s="1669" t="s">
        <v>16</v>
      </c>
      <c r="GH121" s="1674" t="s">
        <v>16</v>
      </c>
      <c r="GI121" s="1671" t="s">
        <v>16</v>
      </c>
      <c r="GJ121" s="1672" t="s">
        <v>16</v>
      </c>
      <c r="GK121" s="1669" t="s">
        <v>16</v>
      </c>
      <c r="GL121" s="1672" t="s">
        <v>16</v>
      </c>
      <c r="GM121" s="1675" t="s">
        <v>16</v>
      </c>
      <c r="GN121" s="1675" t="s">
        <v>16</v>
      </c>
      <c r="GO121" s="1675" t="s">
        <v>16</v>
      </c>
      <c r="GP121" s="1675" t="s">
        <v>16</v>
      </c>
      <c r="GQ121" s="1675" t="s">
        <v>16</v>
      </c>
      <c r="GR121" s="1675" t="s">
        <v>16</v>
      </c>
      <c r="GS121" s="1675" t="s">
        <v>16</v>
      </c>
      <c r="GT121" s="1675" t="s">
        <v>16</v>
      </c>
      <c r="GU121" s="1675" t="s">
        <v>16</v>
      </c>
      <c r="GV121" s="1675" t="s">
        <v>16</v>
      </c>
      <c r="GW121" s="1675" t="s">
        <v>16</v>
      </c>
      <c r="GX121" s="1675" t="s">
        <v>16</v>
      </c>
      <c r="GY121" s="1675" t="s">
        <v>16</v>
      </c>
      <c r="GZ121" s="1675" t="s">
        <v>16</v>
      </c>
      <c r="HA121" s="1675" t="s">
        <v>16</v>
      </c>
      <c r="HB121" s="1675" t="s">
        <v>16</v>
      </c>
      <c r="HC121" s="1675" t="s">
        <v>16</v>
      </c>
      <c r="HD121" s="1671" t="s">
        <v>16</v>
      </c>
      <c r="HE121" s="1676" t="s">
        <v>16</v>
      </c>
      <c r="HF121" s="1676" t="s">
        <v>16</v>
      </c>
    </row>
    <row r="122" spans="36:273" ht="24.95" customHeight="1">
      <c r="CU122" s="1724"/>
      <c r="CV122" s="1724"/>
      <c r="CW122" s="1724"/>
      <c r="CX122" s="1724"/>
      <c r="ET122" s="1677">
        <v>1</v>
      </c>
      <c r="EU122" s="1678">
        <v>2</v>
      </c>
      <c r="EV122" s="1679">
        <v>3</v>
      </c>
      <c r="EW122" s="1680">
        <v>4</v>
      </c>
      <c r="EX122" s="798">
        <v>5</v>
      </c>
      <c r="EY122" s="782">
        <v>6</v>
      </c>
      <c r="EZ122" s="1681">
        <v>7</v>
      </c>
      <c r="FA122" s="781">
        <v>8</v>
      </c>
      <c r="FB122" s="798">
        <v>9</v>
      </c>
      <c r="FC122" s="782">
        <v>10</v>
      </c>
      <c r="FD122" s="1681">
        <v>11</v>
      </c>
      <c r="FE122" s="781">
        <v>12</v>
      </c>
      <c r="FF122" s="798">
        <v>13</v>
      </c>
      <c r="FG122" s="782">
        <v>14</v>
      </c>
      <c r="FH122" s="1681">
        <v>15</v>
      </c>
      <c r="FI122" s="781">
        <v>16</v>
      </c>
      <c r="FJ122" s="798">
        <v>17</v>
      </c>
      <c r="FK122" s="782">
        <v>18</v>
      </c>
      <c r="FL122" s="1681">
        <v>19</v>
      </c>
      <c r="FM122" s="781">
        <v>20</v>
      </c>
      <c r="FN122" s="798">
        <v>21</v>
      </c>
      <c r="FO122" s="782">
        <v>22</v>
      </c>
      <c r="FP122" s="1681">
        <v>23</v>
      </c>
      <c r="FQ122" s="781">
        <v>24</v>
      </c>
      <c r="FR122" s="798">
        <v>25</v>
      </c>
      <c r="FS122" s="782">
        <v>26</v>
      </c>
      <c r="FT122" s="1681">
        <v>27</v>
      </c>
      <c r="FU122" s="781">
        <v>28</v>
      </c>
      <c r="FV122" s="798">
        <v>29</v>
      </c>
      <c r="FW122" s="782">
        <v>30</v>
      </c>
      <c r="FX122" s="1681">
        <v>31</v>
      </c>
      <c r="FY122" s="781">
        <v>32</v>
      </c>
      <c r="FZ122" s="798">
        <v>33</v>
      </c>
      <c r="GA122" s="782">
        <v>34</v>
      </c>
      <c r="GB122" s="1681">
        <v>35</v>
      </c>
      <c r="GC122" s="781">
        <v>36</v>
      </c>
      <c r="GD122" s="798">
        <v>37</v>
      </c>
      <c r="GE122" s="782">
        <v>38</v>
      </c>
      <c r="GF122" s="1681">
        <v>39</v>
      </c>
      <c r="GG122" s="781">
        <v>40</v>
      </c>
      <c r="GH122" s="798">
        <v>41</v>
      </c>
      <c r="GI122" s="781">
        <v>42</v>
      </c>
      <c r="GJ122" s="1682">
        <v>43</v>
      </c>
      <c r="GK122" s="1683">
        <v>44</v>
      </c>
      <c r="GL122" s="786">
        <v>45</v>
      </c>
      <c r="GM122" s="780">
        <v>46</v>
      </c>
      <c r="GN122" s="1684">
        <v>47</v>
      </c>
      <c r="GO122" s="780">
        <v>48</v>
      </c>
      <c r="GP122" s="780">
        <v>49</v>
      </c>
      <c r="GQ122" s="780">
        <v>50</v>
      </c>
      <c r="GR122" s="1684">
        <v>51</v>
      </c>
      <c r="GS122" s="780">
        <v>52</v>
      </c>
      <c r="GT122" s="780">
        <v>53</v>
      </c>
      <c r="GU122" s="780">
        <v>54</v>
      </c>
      <c r="GV122" s="1684">
        <v>55</v>
      </c>
      <c r="GW122" s="780">
        <v>56</v>
      </c>
      <c r="GX122" s="780">
        <v>57</v>
      </c>
      <c r="GY122" s="780">
        <v>58</v>
      </c>
      <c r="GZ122" s="1684">
        <v>59</v>
      </c>
      <c r="HA122" s="780">
        <v>60</v>
      </c>
      <c r="HB122" s="780">
        <v>61</v>
      </c>
      <c r="HC122" s="780">
        <v>62</v>
      </c>
      <c r="HD122" s="1685">
        <v>63</v>
      </c>
      <c r="HE122" s="787">
        <v>64</v>
      </c>
      <c r="HF122" s="787">
        <v>65</v>
      </c>
    </row>
    <row r="123" spans="36:273" ht="24.95" customHeight="1">
      <c r="ES123" s="2236"/>
      <c r="ET123" s="1772">
        <v>1</v>
      </c>
      <c r="EU123" s="1773" t="s">
        <v>11</v>
      </c>
      <c r="EV123" s="1774">
        <v>408.89</v>
      </c>
      <c r="EW123" s="1775">
        <v>68.81</v>
      </c>
      <c r="EX123" s="1774">
        <v>27.1</v>
      </c>
      <c r="EY123" s="1775">
        <v>17.600000000000001</v>
      </c>
      <c r="EZ123" s="1774">
        <v>236.9</v>
      </c>
      <c r="FA123" s="1775">
        <v>76.5</v>
      </c>
      <c r="FB123" s="1774">
        <v>67</v>
      </c>
      <c r="FC123" s="1775">
        <v>34.700000000000003</v>
      </c>
      <c r="FD123" s="1774">
        <v>1925</v>
      </c>
      <c r="FE123" s="1775">
        <v>308.8</v>
      </c>
      <c r="FF123" s="1774">
        <v>85.46</v>
      </c>
      <c r="FG123" s="1775">
        <v>87.54</v>
      </c>
      <c r="FH123" s="1774">
        <v>24</v>
      </c>
      <c r="FI123" s="1775">
        <v>13.2</v>
      </c>
      <c r="FJ123" s="1774">
        <v>1452</v>
      </c>
      <c r="FK123" s="1775">
        <v>234</v>
      </c>
      <c r="FL123" s="1774">
        <v>373.64</v>
      </c>
      <c r="FM123" s="1775">
        <v>17.149999999999999</v>
      </c>
      <c r="FN123" s="1774">
        <v>86.7</v>
      </c>
      <c r="FO123" s="1775">
        <v>14.5</v>
      </c>
      <c r="FP123" s="1774">
        <v>0</v>
      </c>
      <c r="FQ123" s="1775">
        <v>0</v>
      </c>
      <c r="FR123" s="1774">
        <v>38</v>
      </c>
      <c r="FS123" s="1775">
        <v>31.5</v>
      </c>
      <c r="FT123" s="1774">
        <v>25</v>
      </c>
      <c r="FU123" s="1775">
        <v>37.799999999999997</v>
      </c>
      <c r="FV123" s="1774">
        <v>3</v>
      </c>
      <c r="FW123" s="1775">
        <v>10</v>
      </c>
      <c r="FX123" s="1774">
        <v>34.200000000000003</v>
      </c>
      <c r="FY123" s="1775">
        <v>3.8</v>
      </c>
      <c r="FZ123" s="1774">
        <v>568.20000000000005</v>
      </c>
      <c r="GA123" s="1775">
        <v>35.6</v>
      </c>
      <c r="GB123" s="1774">
        <v>203.92</v>
      </c>
      <c r="GC123" s="1775">
        <v>99.83</v>
      </c>
      <c r="GD123" s="1774">
        <v>736.84</v>
      </c>
      <c r="GE123" s="1775">
        <v>95.36</v>
      </c>
      <c r="GF123" s="1774">
        <v>118.79000000000002</v>
      </c>
      <c r="GG123" s="1775">
        <v>47.515000000000001</v>
      </c>
      <c r="GH123" s="1776">
        <v>6414.64</v>
      </c>
      <c r="GI123" s="1777">
        <v>1234.2049999999999</v>
      </c>
      <c r="GJ123" s="1774">
        <v>0</v>
      </c>
      <c r="GK123" s="1775">
        <v>0</v>
      </c>
      <c r="GL123" s="788"/>
      <c r="GM123" s="788"/>
      <c r="GN123" s="788"/>
      <c r="GO123" s="788"/>
      <c r="GP123" s="788"/>
      <c r="GQ123" s="788"/>
      <c r="GR123" s="788"/>
      <c r="GS123" s="788"/>
      <c r="GT123" s="788"/>
      <c r="GU123" s="788"/>
      <c r="GV123" s="788"/>
      <c r="GW123" s="788"/>
      <c r="GX123" s="788"/>
      <c r="GY123" s="788"/>
      <c r="GZ123" s="788"/>
      <c r="HA123" s="788"/>
      <c r="HB123" s="788"/>
      <c r="HC123" s="788"/>
      <c r="HD123" s="445"/>
      <c r="HE123" s="1686"/>
      <c r="HF123" s="1687"/>
    </row>
    <row r="124" spans="36:273" ht="30" customHeight="1">
      <c r="ES124" s="2236"/>
      <c r="ET124" s="1688"/>
      <c r="EU124" s="789" t="s">
        <v>8</v>
      </c>
      <c r="EV124" s="1689"/>
      <c r="EW124" s="1690"/>
      <c r="EX124" s="1689"/>
      <c r="EY124" s="1690"/>
      <c r="EZ124" s="1689"/>
      <c r="FA124" s="1690"/>
      <c r="FB124" s="1689"/>
      <c r="FC124" s="1690"/>
      <c r="FD124" s="1689"/>
      <c r="FE124" s="1690"/>
      <c r="FF124" s="1689"/>
      <c r="FG124" s="1690"/>
      <c r="FH124" s="1689"/>
      <c r="FI124" s="1690"/>
      <c r="FJ124" s="1689"/>
      <c r="FK124" s="1690"/>
      <c r="FL124" s="1689"/>
      <c r="FM124" s="1690"/>
      <c r="FN124" s="1689"/>
      <c r="FO124" s="1690"/>
      <c r="FP124" s="1689"/>
      <c r="FQ124" s="1690"/>
      <c r="FR124" s="1689"/>
      <c r="FS124" s="1690"/>
      <c r="FT124" s="1689"/>
      <c r="FU124" s="1690"/>
      <c r="FV124" s="1689"/>
      <c r="FW124" s="1690"/>
      <c r="FX124" s="1689"/>
      <c r="FY124" s="1690"/>
      <c r="FZ124" s="1689"/>
      <c r="GA124" s="1690"/>
      <c r="GB124" s="1689"/>
      <c r="GC124" s="1690"/>
      <c r="GD124" s="1689"/>
      <c r="GE124" s="1690"/>
      <c r="GF124" s="1689"/>
      <c r="GG124" s="1690"/>
      <c r="GH124" s="1691"/>
      <c r="GI124" s="1692"/>
      <c r="GJ124" s="1689"/>
      <c r="GK124" s="1690"/>
      <c r="GL124" s="788"/>
      <c r="GM124" s="788"/>
      <c r="GN124" s="788"/>
      <c r="GO124" s="788"/>
      <c r="GP124" s="788"/>
      <c r="GQ124" s="788"/>
      <c r="GR124" s="788"/>
      <c r="GS124" s="788"/>
      <c r="GT124" s="788"/>
      <c r="GU124" s="788"/>
      <c r="GV124" s="788"/>
      <c r="GW124" s="788"/>
      <c r="GX124" s="788"/>
      <c r="GY124" s="788"/>
      <c r="GZ124" s="788"/>
      <c r="HA124" s="788"/>
      <c r="HB124" s="788"/>
      <c r="HC124" s="788"/>
      <c r="HD124" s="445"/>
      <c r="HE124" s="1693"/>
      <c r="HF124" s="790"/>
    </row>
    <row r="125" spans="36:273" ht="24.95" customHeight="1">
      <c r="ES125" s="2236"/>
      <c r="ET125" s="1688"/>
      <c r="EU125" s="791" t="s">
        <v>70</v>
      </c>
      <c r="EV125" s="1694"/>
      <c r="EW125" s="1695"/>
      <c r="EX125" s="1694"/>
      <c r="EY125" s="1695"/>
      <c r="EZ125" s="1694"/>
      <c r="FA125" s="1695"/>
      <c r="FB125" s="1694"/>
      <c r="FC125" s="1695"/>
      <c r="FD125" s="1694"/>
      <c r="FE125" s="1695"/>
      <c r="FF125" s="1694"/>
      <c r="FG125" s="1695"/>
      <c r="FH125" s="1694"/>
      <c r="FI125" s="1695"/>
      <c r="FJ125" s="1694"/>
      <c r="FK125" s="1695"/>
      <c r="FL125" s="1694"/>
      <c r="FM125" s="1695"/>
      <c r="FN125" s="1694"/>
      <c r="FO125" s="1695"/>
      <c r="FP125" s="1694"/>
      <c r="FQ125" s="1695"/>
      <c r="FR125" s="1694"/>
      <c r="FS125" s="1695"/>
      <c r="FT125" s="1694"/>
      <c r="FU125" s="1695"/>
      <c r="FV125" s="1694"/>
      <c r="FW125" s="1695"/>
      <c r="FX125" s="1694"/>
      <c r="FY125" s="1695"/>
      <c r="FZ125" s="1694"/>
      <c r="GA125" s="1695"/>
      <c r="GB125" s="1694"/>
      <c r="GC125" s="1695"/>
      <c r="GD125" s="1694"/>
      <c r="GE125" s="1695"/>
      <c r="GF125" s="1694"/>
      <c r="GG125" s="1695"/>
      <c r="GH125" s="1691"/>
      <c r="GI125" s="1692"/>
      <c r="GJ125" s="1694"/>
      <c r="GK125" s="1695"/>
      <c r="GL125" s="788"/>
      <c r="GM125" s="788"/>
      <c r="GN125" s="788"/>
      <c r="GO125" s="788"/>
      <c r="GP125" s="788"/>
      <c r="GQ125" s="788"/>
      <c r="GR125" s="788"/>
      <c r="GS125" s="788"/>
      <c r="GT125" s="788"/>
      <c r="GU125" s="788"/>
      <c r="GV125" s="788"/>
      <c r="GW125" s="788"/>
      <c r="GX125" s="788"/>
      <c r="GY125" s="788"/>
      <c r="GZ125" s="788"/>
      <c r="HA125" s="788"/>
      <c r="HB125" s="788"/>
      <c r="HC125" s="788"/>
      <c r="HD125" s="445"/>
      <c r="HE125" s="1693"/>
      <c r="HF125" s="790"/>
    </row>
    <row r="126" spans="36:273" ht="24.95" customHeight="1">
      <c r="ES126" s="2236"/>
      <c r="ET126" s="1696">
        <v>2</v>
      </c>
      <c r="EU126" s="792" t="s">
        <v>71</v>
      </c>
      <c r="EV126" s="1697">
        <v>0</v>
      </c>
      <c r="EW126" s="1698">
        <v>0</v>
      </c>
      <c r="EX126" s="1697">
        <v>0</v>
      </c>
      <c r="EY126" s="1698">
        <v>0</v>
      </c>
      <c r="EZ126" s="1697">
        <v>55</v>
      </c>
      <c r="FA126" s="1698">
        <v>0</v>
      </c>
      <c r="FB126" s="1697">
        <v>116</v>
      </c>
      <c r="FC126" s="1698">
        <v>0</v>
      </c>
      <c r="FD126" s="1697">
        <v>0</v>
      </c>
      <c r="FE126" s="1698">
        <v>0</v>
      </c>
      <c r="FF126" s="1697">
        <v>15.5</v>
      </c>
      <c r="FG126" s="1698">
        <v>0</v>
      </c>
      <c r="FH126" s="1697">
        <v>0</v>
      </c>
      <c r="FI126" s="1698">
        <v>0</v>
      </c>
      <c r="FJ126" s="1697">
        <v>0</v>
      </c>
      <c r="FK126" s="1698">
        <v>0</v>
      </c>
      <c r="FL126" s="1697">
        <v>0</v>
      </c>
      <c r="FM126" s="1698">
        <v>0</v>
      </c>
      <c r="FN126" s="1697">
        <v>0</v>
      </c>
      <c r="FO126" s="1698">
        <v>3.33</v>
      </c>
      <c r="FP126" s="1697">
        <v>0</v>
      </c>
      <c r="FQ126" s="1698">
        <v>0</v>
      </c>
      <c r="FR126" s="1697">
        <v>0</v>
      </c>
      <c r="FS126" s="1698">
        <v>0</v>
      </c>
      <c r="FT126" s="1697">
        <v>0</v>
      </c>
      <c r="FU126" s="1698">
        <v>0</v>
      </c>
      <c r="FV126" s="1697">
        <v>0</v>
      </c>
      <c r="FW126" s="1698">
        <v>0</v>
      </c>
      <c r="FX126" s="1697">
        <v>0</v>
      </c>
      <c r="FY126" s="1698">
        <v>0</v>
      </c>
      <c r="FZ126" s="1697">
        <v>0</v>
      </c>
      <c r="GA126" s="1698">
        <v>0</v>
      </c>
      <c r="GB126" s="1697">
        <v>0</v>
      </c>
      <c r="GC126" s="1698">
        <v>0</v>
      </c>
      <c r="GD126" s="1697">
        <v>0</v>
      </c>
      <c r="GE126" s="1698">
        <v>0</v>
      </c>
      <c r="GF126" s="1697">
        <v>62</v>
      </c>
      <c r="GG126" s="1698">
        <v>0</v>
      </c>
      <c r="GH126" s="1699">
        <v>248.5</v>
      </c>
      <c r="GI126" s="1700">
        <v>3.33</v>
      </c>
      <c r="GJ126" s="1697">
        <v>0</v>
      </c>
      <c r="GK126" s="1698">
        <v>0</v>
      </c>
      <c r="GL126" s="793">
        <v>0</v>
      </c>
      <c r="GM126" s="793">
        <v>0</v>
      </c>
      <c r="GN126" s="793">
        <v>3</v>
      </c>
      <c r="GO126" s="793">
        <v>4</v>
      </c>
      <c r="GP126" s="793">
        <v>0</v>
      </c>
      <c r="GQ126" s="793">
        <v>1.5</v>
      </c>
      <c r="GR126" s="793">
        <v>0</v>
      </c>
      <c r="GS126" s="793">
        <v>0</v>
      </c>
      <c r="GT126" s="793">
        <v>0</v>
      </c>
      <c r="GU126" s="793">
        <v>0</v>
      </c>
      <c r="GV126" s="793">
        <v>0</v>
      </c>
      <c r="GW126" s="793">
        <v>0</v>
      </c>
      <c r="GX126" s="793">
        <v>0</v>
      </c>
      <c r="GY126" s="793">
        <v>0</v>
      </c>
      <c r="GZ126" s="793">
        <v>0</v>
      </c>
      <c r="HA126" s="793">
        <v>0</v>
      </c>
      <c r="HB126" s="793">
        <v>0</v>
      </c>
      <c r="HC126" s="793">
        <v>0</v>
      </c>
      <c r="HD126" s="793">
        <v>4</v>
      </c>
      <c r="HE126" s="1701">
        <v>12.5</v>
      </c>
      <c r="HF126" s="1702">
        <v>0</v>
      </c>
    </row>
    <row r="127" spans="36:273" ht="24.95" customHeight="1">
      <c r="ES127" s="2236"/>
      <c r="ET127" s="1696">
        <v>3</v>
      </c>
      <c r="EU127" s="791" t="s">
        <v>72</v>
      </c>
      <c r="EV127" s="1697">
        <v>427.1</v>
      </c>
      <c r="EW127" s="1698">
        <v>60.3</v>
      </c>
      <c r="EX127" s="1697">
        <v>93.3</v>
      </c>
      <c r="EY127" s="1698">
        <v>56.6</v>
      </c>
      <c r="EZ127" s="1697">
        <v>421.6</v>
      </c>
      <c r="FA127" s="1698">
        <v>661.5</v>
      </c>
      <c r="FB127" s="1697">
        <v>479</v>
      </c>
      <c r="FC127" s="1698">
        <v>218.6</v>
      </c>
      <c r="FD127" s="1697">
        <v>213</v>
      </c>
      <c r="FE127" s="1698">
        <v>26</v>
      </c>
      <c r="FF127" s="1697">
        <v>668.1</v>
      </c>
      <c r="FG127" s="1698">
        <v>198.37</v>
      </c>
      <c r="FH127" s="1697">
        <v>126</v>
      </c>
      <c r="FI127" s="1698">
        <v>5.5</v>
      </c>
      <c r="FJ127" s="1697">
        <v>1130</v>
      </c>
      <c r="FK127" s="1698">
        <v>283.36777599999999</v>
      </c>
      <c r="FL127" s="1697">
        <v>542.1</v>
      </c>
      <c r="FM127" s="1698">
        <v>73.849999999999994</v>
      </c>
      <c r="FN127" s="1697">
        <v>77.3</v>
      </c>
      <c r="FO127" s="1698">
        <v>143.16200000000001</v>
      </c>
      <c r="FP127" s="1697">
        <v>0</v>
      </c>
      <c r="FQ127" s="1698">
        <v>209.42400000000001</v>
      </c>
      <c r="FR127" s="1697">
        <v>253</v>
      </c>
      <c r="FS127" s="1698">
        <v>185.95</v>
      </c>
      <c r="FT127" s="1697">
        <v>132</v>
      </c>
      <c r="FU127" s="1698">
        <v>176.82</v>
      </c>
      <c r="FV127" s="1697">
        <v>92</v>
      </c>
      <c r="FW127" s="1698">
        <v>8.5</v>
      </c>
      <c r="FX127" s="1697">
        <v>28</v>
      </c>
      <c r="FY127" s="1698">
        <v>27.5</v>
      </c>
      <c r="FZ127" s="1697">
        <v>351</v>
      </c>
      <c r="GA127" s="1698">
        <v>28.6</v>
      </c>
      <c r="GB127" s="1697">
        <v>496.6</v>
      </c>
      <c r="GC127" s="1698">
        <v>292.2</v>
      </c>
      <c r="GD127" s="1697">
        <v>520</v>
      </c>
      <c r="GE127" s="1698">
        <v>250.845</v>
      </c>
      <c r="GF127" s="1697">
        <v>503</v>
      </c>
      <c r="GG127" s="1698">
        <v>261.83333333333343</v>
      </c>
      <c r="GH127" s="1699">
        <v>6553.1</v>
      </c>
      <c r="GI127" s="1700">
        <v>3168.9221093333331</v>
      </c>
      <c r="GJ127" s="1697">
        <v>0</v>
      </c>
      <c r="GK127" s="1698">
        <v>155.232</v>
      </c>
      <c r="GL127" s="797"/>
      <c r="GM127" s="797"/>
      <c r="GN127" s="797"/>
      <c r="GO127" s="797"/>
      <c r="GP127" s="797"/>
      <c r="GQ127" s="797"/>
      <c r="GR127" s="797"/>
      <c r="GS127" s="797"/>
      <c r="GT127" s="797"/>
      <c r="GU127" s="797"/>
      <c r="GV127" s="797"/>
      <c r="GW127" s="797"/>
      <c r="GX127" s="797"/>
      <c r="GY127" s="797"/>
      <c r="GZ127" s="797"/>
      <c r="HA127" s="797"/>
      <c r="HB127" s="797"/>
      <c r="HC127" s="797"/>
      <c r="HD127" s="797"/>
      <c r="HE127" s="1693"/>
      <c r="HF127" s="1703"/>
    </row>
    <row r="128" spans="36:273" ht="24.95" customHeight="1">
      <c r="ES128" s="2236"/>
      <c r="ET128" s="1688"/>
      <c r="EU128" s="791" t="s">
        <v>2</v>
      </c>
      <c r="EV128" s="1715">
        <v>427.1</v>
      </c>
      <c r="EW128" s="1716">
        <v>60.3</v>
      </c>
      <c r="EX128" s="1715">
        <v>93.3</v>
      </c>
      <c r="EY128" s="1716">
        <v>56.6</v>
      </c>
      <c r="EZ128" s="1715">
        <v>476.6</v>
      </c>
      <c r="FA128" s="1716">
        <v>661.5</v>
      </c>
      <c r="FB128" s="1715">
        <v>595</v>
      </c>
      <c r="FC128" s="1716">
        <v>218.6</v>
      </c>
      <c r="FD128" s="1715">
        <v>213</v>
      </c>
      <c r="FE128" s="1716">
        <v>26</v>
      </c>
      <c r="FF128" s="1715">
        <v>683.6</v>
      </c>
      <c r="FG128" s="1716">
        <v>198.37</v>
      </c>
      <c r="FH128" s="1715">
        <v>126</v>
      </c>
      <c r="FI128" s="1716">
        <v>5.5</v>
      </c>
      <c r="FJ128" s="1715">
        <v>1130</v>
      </c>
      <c r="FK128" s="1716">
        <v>283.36777599999999</v>
      </c>
      <c r="FL128" s="1715">
        <v>542.1</v>
      </c>
      <c r="FM128" s="1716">
        <v>73.849999999999994</v>
      </c>
      <c r="FN128" s="1715">
        <v>77.3</v>
      </c>
      <c r="FO128" s="1716">
        <v>146.49200000000002</v>
      </c>
      <c r="FP128" s="1715">
        <v>0</v>
      </c>
      <c r="FQ128" s="1716">
        <v>209.42400000000001</v>
      </c>
      <c r="FR128" s="1715">
        <v>253</v>
      </c>
      <c r="FS128" s="1716">
        <v>185.95</v>
      </c>
      <c r="FT128" s="1715">
        <v>132</v>
      </c>
      <c r="FU128" s="1716">
        <v>176.82</v>
      </c>
      <c r="FV128" s="1715">
        <v>92</v>
      </c>
      <c r="FW128" s="1716">
        <v>8.5</v>
      </c>
      <c r="FX128" s="1715">
        <v>28</v>
      </c>
      <c r="FY128" s="1716">
        <v>27.5</v>
      </c>
      <c r="FZ128" s="1715">
        <v>351</v>
      </c>
      <c r="GA128" s="1716">
        <v>28.6</v>
      </c>
      <c r="GB128" s="1715">
        <v>496.6</v>
      </c>
      <c r="GC128" s="1716">
        <v>292.2</v>
      </c>
      <c r="GD128" s="1715">
        <v>520</v>
      </c>
      <c r="GE128" s="1716">
        <v>250.845</v>
      </c>
      <c r="GF128" s="1715">
        <v>565</v>
      </c>
      <c r="GG128" s="1716">
        <v>261.83333333333343</v>
      </c>
      <c r="GH128" s="1699">
        <v>6801.6</v>
      </c>
      <c r="GI128" s="1700">
        <v>3172.252109333333</v>
      </c>
      <c r="GJ128" s="1715">
        <v>0</v>
      </c>
      <c r="GK128" s="1716">
        <v>155.232</v>
      </c>
      <c r="GL128" s="797"/>
      <c r="GM128" s="797"/>
      <c r="GN128" s="797"/>
      <c r="GO128" s="797"/>
      <c r="GP128" s="797"/>
      <c r="GQ128" s="797"/>
      <c r="GR128" s="797"/>
      <c r="GS128" s="797"/>
      <c r="GT128" s="797"/>
      <c r="GU128" s="797"/>
      <c r="GV128" s="797"/>
      <c r="GW128" s="797"/>
      <c r="GX128" s="797"/>
      <c r="GY128" s="797"/>
      <c r="GZ128" s="797"/>
      <c r="HA128" s="797"/>
      <c r="HB128" s="797"/>
      <c r="HC128" s="797"/>
      <c r="HD128" s="797"/>
      <c r="HE128" s="1693"/>
      <c r="HF128" s="1703"/>
    </row>
    <row r="129" spans="149:214" ht="24.95" customHeight="1">
      <c r="ES129" s="2236"/>
      <c r="ET129" s="1778"/>
      <c r="EU129" s="1771" t="s">
        <v>9</v>
      </c>
      <c r="EV129" s="2454"/>
      <c r="EW129" s="2455"/>
      <c r="EX129" s="2454"/>
      <c r="EY129" s="2455"/>
      <c r="EZ129" s="2454"/>
      <c r="FA129" s="2455"/>
      <c r="FB129" s="2454"/>
      <c r="FC129" s="2455"/>
      <c r="FD129" s="2454"/>
      <c r="FE129" s="2455"/>
      <c r="FF129" s="2454"/>
      <c r="FG129" s="2455"/>
      <c r="FH129" s="2454"/>
      <c r="FI129" s="2455"/>
      <c r="FJ129" s="2454"/>
      <c r="FK129" s="2455"/>
      <c r="FL129" s="2454"/>
      <c r="FM129" s="2455"/>
      <c r="FN129" s="2454"/>
      <c r="FO129" s="2455"/>
      <c r="FP129" s="2454"/>
      <c r="FQ129" s="2455"/>
      <c r="FR129" s="2454"/>
      <c r="FS129" s="2455"/>
      <c r="FT129" s="2454"/>
      <c r="FU129" s="2455"/>
      <c r="FV129" s="2454"/>
      <c r="FW129" s="2455"/>
      <c r="FX129" s="2454"/>
      <c r="FY129" s="2455"/>
      <c r="FZ129" s="2454"/>
      <c r="GA129" s="2455"/>
      <c r="GB129" s="2454"/>
      <c r="GC129" s="2455"/>
      <c r="GD129" s="2454"/>
      <c r="GE129" s="2455"/>
      <c r="GF129" s="2454"/>
      <c r="GG129" s="2455"/>
      <c r="GH129" s="2456"/>
      <c r="GI129" s="2457"/>
      <c r="GJ129" s="2454"/>
      <c r="GK129" s="2455"/>
      <c r="GL129" s="1779"/>
      <c r="GM129" s="1779"/>
      <c r="GN129" s="1779"/>
      <c r="GO129" s="1779"/>
      <c r="GP129" s="1779"/>
      <c r="GQ129" s="1779"/>
      <c r="GR129" s="1779"/>
      <c r="GS129" s="1779"/>
      <c r="GT129" s="1779"/>
      <c r="GU129" s="1779"/>
      <c r="GV129" s="1779"/>
      <c r="GW129" s="1779"/>
      <c r="GX129" s="1779"/>
      <c r="GY129" s="1779"/>
      <c r="GZ129" s="1779"/>
      <c r="HA129" s="1779"/>
      <c r="HB129" s="1779"/>
      <c r="HC129" s="1779"/>
      <c r="HD129" s="1779"/>
      <c r="HE129" s="1686"/>
      <c r="HF129" s="1780"/>
    </row>
    <row r="130" spans="149:214" ht="24.95" customHeight="1">
      <c r="ES130" s="2236"/>
      <c r="ET130" s="1688"/>
      <c r="EU130" s="791" t="s">
        <v>70</v>
      </c>
      <c r="EV130" s="1689"/>
      <c r="EW130" s="1690"/>
      <c r="EX130" s="1689"/>
      <c r="EY130" s="1690"/>
      <c r="EZ130" s="1689"/>
      <c r="FA130" s="1690"/>
      <c r="FB130" s="1689"/>
      <c r="FC130" s="1690"/>
      <c r="FD130" s="1689"/>
      <c r="FE130" s="1690"/>
      <c r="FF130" s="1689"/>
      <c r="FG130" s="1690"/>
      <c r="FH130" s="1689"/>
      <c r="FI130" s="1690"/>
      <c r="FJ130" s="1689"/>
      <c r="FK130" s="1690"/>
      <c r="FL130" s="1689"/>
      <c r="FM130" s="1690"/>
      <c r="FN130" s="1689"/>
      <c r="FO130" s="1690"/>
      <c r="FP130" s="1689"/>
      <c r="FQ130" s="1690"/>
      <c r="FR130" s="1689"/>
      <c r="FS130" s="1690"/>
      <c r="FT130" s="1689"/>
      <c r="FU130" s="1690"/>
      <c r="FV130" s="1689"/>
      <c r="FW130" s="1690"/>
      <c r="FX130" s="1689"/>
      <c r="FY130" s="1690"/>
      <c r="FZ130" s="1689"/>
      <c r="GA130" s="1690"/>
      <c r="GB130" s="1689"/>
      <c r="GC130" s="1690"/>
      <c r="GD130" s="1689"/>
      <c r="GE130" s="1690"/>
      <c r="GF130" s="1689"/>
      <c r="GG130" s="1690"/>
      <c r="GH130" s="2458"/>
      <c r="GI130" s="2459"/>
      <c r="GJ130" s="1689"/>
      <c r="GK130" s="1690"/>
      <c r="GL130" s="797"/>
      <c r="GM130" s="797"/>
      <c r="GN130" s="797"/>
      <c r="GO130" s="797"/>
      <c r="GP130" s="797"/>
      <c r="GQ130" s="797"/>
      <c r="GR130" s="797"/>
      <c r="GS130" s="797"/>
      <c r="GT130" s="797"/>
      <c r="GU130" s="797"/>
      <c r="GV130" s="797"/>
      <c r="GW130" s="797"/>
      <c r="GX130" s="797"/>
      <c r="GY130" s="797"/>
      <c r="GZ130" s="797"/>
      <c r="HA130" s="797"/>
      <c r="HB130" s="797"/>
      <c r="HC130" s="797"/>
      <c r="HD130" s="797"/>
      <c r="HE130" s="1693"/>
      <c r="HF130" s="1703"/>
    </row>
    <row r="131" spans="149:214" ht="24.95" customHeight="1">
      <c r="ES131" s="2236"/>
      <c r="ET131" s="1688"/>
      <c r="EU131" s="792" t="s">
        <v>91</v>
      </c>
      <c r="EV131" s="2460"/>
      <c r="EW131" s="2461"/>
      <c r="EX131" s="2460"/>
      <c r="EY131" s="2461"/>
      <c r="EZ131" s="2460"/>
      <c r="FA131" s="2461"/>
      <c r="FB131" s="2460"/>
      <c r="FC131" s="2461"/>
      <c r="FD131" s="2460"/>
      <c r="FE131" s="2461"/>
      <c r="FF131" s="2460"/>
      <c r="FG131" s="2461"/>
      <c r="FH131" s="2460"/>
      <c r="FI131" s="2461"/>
      <c r="FJ131" s="2460"/>
      <c r="FK131" s="2461"/>
      <c r="FL131" s="2460"/>
      <c r="FM131" s="2461"/>
      <c r="FN131" s="2460"/>
      <c r="FO131" s="2461"/>
      <c r="FP131" s="2460"/>
      <c r="FQ131" s="2461"/>
      <c r="FR131" s="2460"/>
      <c r="FS131" s="2461"/>
      <c r="FT131" s="2460"/>
      <c r="FU131" s="2461"/>
      <c r="FV131" s="2460"/>
      <c r="FW131" s="2461"/>
      <c r="FX131" s="2460"/>
      <c r="FY131" s="2461"/>
      <c r="FZ131" s="2460"/>
      <c r="GA131" s="2461"/>
      <c r="GB131" s="2460"/>
      <c r="GC131" s="2461"/>
      <c r="GD131" s="2460"/>
      <c r="GE131" s="2461"/>
      <c r="GF131" s="2460"/>
      <c r="GG131" s="2461"/>
      <c r="GH131" s="2458"/>
      <c r="GI131" s="2459"/>
      <c r="GJ131" s="2460"/>
      <c r="GK131" s="2461"/>
      <c r="GL131" s="797"/>
      <c r="GM131" s="797"/>
      <c r="GN131" s="797"/>
      <c r="GO131" s="797"/>
      <c r="GP131" s="797"/>
      <c r="GQ131" s="797"/>
      <c r="GR131" s="797"/>
      <c r="GS131" s="797"/>
      <c r="GT131" s="797"/>
      <c r="GU131" s="797"/>
      <c r="GV131" s="797"/>
      <c r="GW131" s="797"/>
      <c r="GX131" s="797"/>
      <c r="GY131" s="797"/>
      <c r="GZ131" s="797"/>
      <c r="HA131" s="797"/>
      <c r="HB131" s="797"/>
      <c r="HC131" s="797"/>
      <c r="HD131" s="797"/>
      <c r="HE131" s="1693"/>
      <c r="HF131" s="1703"/>
    </row>
    <row r="132" spans="149:214" ht="24.95" customHeight="1">
      <c r="ES132" s="2236"/>
      <c r="ET132" s="1696">
        <v>4</v>
      </c>
      <c r="EU132" s="1704" t="s">
        <v>349</v>
      </c>
      <c r="EV132" s="1697">
        <v>189.92</v>
      </c>
      <c r="EW132" s="1698">
        <v>0</v>
      </c>
      <c r="EX132" s="1697">
        <v>0</v>
      </c>
      <c r="EY132" s="1698">
        <v>0</v>
      </c>
      <c r="EZ132" s="1697">
        <v>157</v>
      </c>
      <c r="FA132" s="1698">
        <v>0.6</v>
      </c>
      <c r="FB132" s="1697">
        <v>0</v>
      </c>
      <c r="FC132" s="1698">
        <v>0</v>
      </c>
      <c r="FD132" s="1697">
        <v>110</v>
      </c>
      <c r="FE132" s="1698">
        <v>0</v>
      </c>
      <c r="FF132" s="1697">
        <v>0</v>
      </c>
      <c r="FG132" s="1698">
        <v>0</v>
      </c>
      <c r="FH132" s="1697">
        <v>0</v>
      </c>
      <c r="FI132" s="1698">
        <v>0</v>
      </c>
      <c r="FJ132" s="1697">
        <v>239</v>
      </c>
      <c r="FK132" s="1698">
        <v>0.5</v>
      </c>
      <c r="FL132" s="1697">
        <v>0</v>
      </c>
      <c r="FM132" s="1698">
        <v>0</v>
      </c>
      <c r="FN132" s="1697">
        <v>89</v>
      </c>
      <c r="FO132" s="1698">
        <v>0</v>
      </c>
      <c r="FP132" s="1697">
        <v>0</v>
      </c>
      <c r="FQ132" s="1698">
        <v>0</v>
      </c>
      <c r="FR132" s="1697">
        <v>0</v>
      </c>
      <c r="FS132" s="1698">
        <v>0</v>
      </c>
      <c r="FT132" s="1697">
        <v>0</v>
      </c>
      <c r="FU132" s="1698">
        <v>0</v>
      </c>
      <c r="FV132" s="1697">
        <v>0</v>
      </c>
      <c r="FW132" s="1698">
        <v>0</v>
      </c>
      <c r="FX132" s="1697">
        <v>0</v>
      </c>
      <c r="FY132" s="1698">
        <v>0</v>
      </c>
      <c r="FZ132" s="1697">
        <v>0</v>
      </c>
      <c r="GA132" s="1698">
        <v>0</v>
      </c>
      <c r="GB132" s="1697">
        <v>0</v>
      </c>
      <c r="GC132" s="1698">
        <v>0</v>
      </c>
      <c r="GD132" s="1697">
        <v>290</v>
      </c>
      <c r="GE132" s="1698">
        <v>0</v>
      </c>
      <c r="GF132" s="1697">
        <v>110</v>
      </c>
      <c r="GG132" s="1698">
        <v>2.5</v>
      </c>
      <c r="GH132" s="1699">
        <v>1184.92</v>
      </c>
      <c r="GI132" s="1700">
        <v>3.6</v>
      </c>
      <c r="GJ132" s="1697">
        <v>0</v>
      </c>
      <c r="GK132" s="1698">
        <v>0</v>
      </c>
      <c r="GL132" s="793">
        <v>3</v>
      </c>
      <c r="GM132" s="793">
        <v>0</v>
      </c>
      <c r="GN132" s="793">
        <v>2</v>
      </c>
      <c r="GO132" s="793">
        <v>0</v>
      </c>
      <c r="GP132" s="793">
        <v>7</v>
      </c>
      <c r="GQ132" s="793">
        <v>0</v>
      </c>
      <c r="GR132" s="793">
        <v>0</v>
      </c>
      <c r="GS132" s="793">
        <v>2</v>
      </c>
      <c r="GT132" s="793">
        <v>0</v>
      </c>
      <c r="GU132" s="793">
        <v>0</v>
      </c>
      <c r="GV132" s="793">
        <v>0</v>
      </c>
      <c r="GW132" s="793">
        <v>0</v>
      </c>
      <c r="GX132" s="793">
        <v>0</v>
      </c>
      <c r="GY132" s="793">
        <v>0</v>
      </c>
      <c r="GZ132" s="793">
        <v>0</v>
      </c>
      <c r="HA132" s="793">
        <v>0</v>
      </c>
      <c r="HB132" s="793">
        <v>0</v>
      </c>
      <c r="HC132" s="793">
        <v>9</v>
      </c>
      <c r="HD132" s="793">
        <v>0</v>
      </c>
      <c r="HE132" s="1701">
        <v>23</v>
      </c>
      <c r="HF132" s="1702">
        <v>0</v>
      </c>
    </row>
    <row r="133" spans="149:214" ht="24.95" customHeight="1">
      <c r="ES133" s="2236"/>
      <c r="ET133" s="1696">
        <v>5</v>
      </c>
      <c r="EU133" s="1704" t="s">
        <v>311</v>
      </c>
      <c r="EV133" s="1697">
        <v>0</v>
      </c>
      <c r="EW133" s="1698">
        <v>50.79</v>
      </c>
      <c r="EX133" s="1697">
        <v>0</v>
      </c>
      <c r="EY133" s="1698">
        <v>0</v>
      </c>
      <c r="EZ133" s="1697">
        <v>0</v>
      </c>
      <c r="FA133" s="1698">
        <v>84.5</v>
      </c>
      <c r="FB133" s="1697">
        <v>0</v>
      </c>
      <c r="FC133" s="1698">
        <v>0</v>
      </c>
      <c r="FD133" s="1697">
        <v>45</v>
      </c>
      <c r="FE133" s="1698">
        <v>0</v>
      </c>
      <c r="FF133" s="1697">
        <v>0</v>
      </c>
      <c r="FG133" s="1698">
        <v>0</v>
      </c>
      <c r="FH133" s="1697">
        <v>0</v>
      </c>
      <c r="FI133" s="1698">
        <v>0</v>
      </c>
      <c r="FJ133" s="1697">
        <v>0</v>
      </c>
      <c r="FK133" s="1698">
        <v>0</v>
      </c>
      <c r="FL133" s="1697">
        <v>0</v>
      </c>
      <c r="FM133" s="1698">
        <v>0</v>
      </c>
      <c r="FN133" s="1697">
        <v>0</v>
      </c>
      <c r="FO133" s="1698">
        <v>0</v>
      </c>
      <c r="FP133" s="1697">
        <v>0</v>
      </c>
      <c r="FQ133" s="1698">
        <v>0</v>
      </c>
      <c r="FR133" s="1697">
        <v>0</v>
      </c>
      <c r="FS133" s="1698">
        <v>0</v>
      </c>
      <c r="FT133" s="1697">
        <v>0</v>
      </c>
      <c r="FU133" s="1698">
        <v>0</v>
      </c>
      <c r="FV133" s="1697">
        <v>0</v>
      </c>
      <c r="FW133" s="1698">
        <v>0</v>
      </c>
      <c r="FX133" s="1697">
        <v>0</v>
      </c>
      <c r="FY133" s="1698">
        <v>0</v>
      </c>
      <c r="FZ133" s="1697">
        <v>0</v>
      </c>
      <c r="GA133" s="1698">
        <v>0</v>
      </c>
      <c r="GB133" s="1697">
        <v>0</v>
      </c>
      <c r="GC133" s="1698">
        <v>0</v>
      </c>
      <c r="GD133" s="1697">
        <v>0</v>
      </c>
      <c r="GE133" s="1698">
        <v>0</v>
      </c>
      <c r="GF133" s="1697">
        <v>0</v>
      </c>
      <c r="GG133" s="1698">
        <v>0</v>
      </c>
      <c r="GH133" s="1699">
        <v>45</v>
      </c>
      <c r="GI133" s="1700">
        <v>135.29</v>
      </c>
      <c r="GJ133" s="1697">
        <v>0</v>
      </c>
      <c r="GK133" s="1698">
        <v>0</v>
      </c>
      <c r="GL133" s="793">
        <v>0</v>
      </c>
      <c r="GM133" s="793">
        <v>0</v>
      </c>
      <c r="GN133" s="793">
        <v>0</v>
      </c>
      <c r="GO133" s="793">
        <v>0</v>
      </c>
      <c r="GP133" s="793">
        <v>1</v>
      </c>
      <c r="GQ133" s="793">
        <v>0</v>
      </c>
      <c r="GR133" s="793">
        <v>0</v>
      </c>
      <c r="GS133" s="793">
        <v>0</v>
      </c>
      <c r="GT133" s="793">
        <v>0</v>
      </c>
      <c r="GU133" s="793">
        <v>0</v>
      </c>
      <c r="GV133" s="793">
        <v>0</v>
      </c>
      <c r="GW133" s="793">
        <v>0</v>
      </c>
      <c r="GX133" s="793">
        <v>0</v>
      </c>
      <c r="GY133" s="793">
        <v>0</v>
      </c>
      <c r="GZ133" s="793">
        <v>0</v>
      </c>
      <c r="HA133" s="793">
        <v>0</v>
      </c>
      <c r="HB133" s="793">
        <v>0</v>
      </c>
      <c r="HC133" s="793">
        <v>0</v>
      </c>
      <c r="HD133" s="793">
        <v>0</v>
      </c>
      <c r="HE133" s="1701">
        <v>1</v>
      </c>
      <c r="HF133" s="1702">
        <v>0</v>
      </c>
    </row>
    <row r="134" spans="149:214" ht="24.95" customHeight="1">
      <c r="ES134" s="2236"/>
      <c r="ET134" s="1688"/>
      <c r="EU134" s="1704" t="s">
        <v>2</v>
      </c>
      <c r="EV134" s="1715">
        <v>189.92</v>
      </c>
      <c r="EW134" s="1716">
        <v>50.79</v>
      </c>
      <c r="EX134" s="1715">
        <v>0</v>
      </c>
      <c r="EY134" s="1716">
        <v>0</v>
      </c>
      <c r="EZ134" s="1715">
        <v>157</v>
      </c>
      <c r="FA134" s="1716">
        <v>85.1</v>
      </c>
      <c r="FB134" s="1715">
        <v>0</v>
      </c>
      <c r="FC134" s="1716">
        <v>0</v>
      </c>
      <c r="FD134" s="1715">
        <v>155</v>
      </c>
      <c r="FE134" s="1716">
        <v>0</v>
      </c>
      <c r="FF134" s="1715">
        <v>0</v>
      </c>
      <c r="FG134" s="1716">
        <v>0</v>
      </c>
      <c r="FH134" s="1715">
        <v>0</v>
      </c>
      <c r="FI134" s="1716">
        <v>0</v>
      </c>
      <c r="FJ134" s="1715">
        <v>239</v>
      </c>
      <c r="FK134" s="1716">
        <v>0.5</v>
      </c>
      <c r="FL134" s="1715">
        <v>0</v>
      </c>
      <c r="FM134" s="1716">
        <v>0</v>
      </c>
      <c r="FN134" s="1715">
        <v>89</v>
      </c>
      <c r="FO134" s="1716">
        <v>0</v>
      </c>
      <c r="FP134" s="1715">
        <v>0</v>
      </c>
      <c r="FQ134" s="1716">
        <v>0</v>
      </c>
      <c r="FR134" s="1715">
        <v>0</v>
      </c>
      <c r="FS134" s="1716">
        <v>0</v>
      </c>
      <c r="FT134" s="1715">
        <v>0</v>
      </c>
      <c r="FU134" s="1716">
        <v>0</v>
      </c>
      <c r="FV134" s="1715">
        <v>0</v>
      </c>
      <c r="FW134" s="1716">
        <v>0</v>
      </c>
      <c r="FX134" s="1715">
        <v>0</v>
      </c>
      <c r="FY134" s="1716">
        <v>0</v>
      </c>
      <c r="FZ134" s="1715">
        <v>0</v>
      </c>
      <c r="GA134" s="1716">
        <v>0</v>
      </c>
      <c r="GB134" s="1715">
        <v>0</v>
      </c>
      <c r="GC134" s="1716">
        <v>0</v>
      </c>
      <c r="GD134" s="1715">
        <v>290</v>
      </c>
      <c r="GE134" s="1716">
        <v>0</v>
      </c>
      <c r="GF134" s="1715">
        <v>110</v>
      </c>
      <c r="GG134" s="1716">
        <v>2.5</v>
      </c>
      <c r="GH134" s="1699">
        <v>1229.92</v>
      </c>
      <c r="GI134" s="1700">
        <v>138.88999999999999</v>
      </c>
      <c r="GJ134" s="1715">
        <v>0</v>
      </c>
      <c r="GK134" s="1716">
        <v>0</v>
      </c>
      <c r="GL134" s="797"/>
      <c r="GM134" s="797"/>
      <c r="GN134" s="797"/>
      <c r="GO134" s="797"/>
      <c r="GP134" s="797"/>
      <c r="GQ134" s="797"/>
      <c r="GR134" s="797"/>
      <c r="GS134" s="797"/>
      <c r="GT134" s="797"/>
      <c r="GU134" s="797"/>
      <c r="GV134" s="797"/>
      <c r="GW134" s="797"/>
      <c r="GX134" s="797"/>
      <c r="GY134" s="797"/>
      <c r="GZ134" s="797"/>
      <c r="HA134" s="797"/>
      <c r="HB134" s="797"/>
      <c r="HC134" s="797"/>
      <c r="HD134" s="797"/>
      <c r="HE134" s="1701"/>
      <c r="HF134" s="1703"/>
    </row>
    <row r="135" spans="149:214" ht="24.95" customHeight="1">
      <c r="ES135" s="2236"/>
      <c r="ET135" s="1688"/>
      <c r="EU135" s="792" t="s">
        <v>73</v>
      </c>
      <c r="EV135" s="2460"/>
      <c r="EW135" s="2461"/>
      <c r="EX135" s="2460"/>
      <c r="EY135" s="2461"/>
      <c r="EZ135" s="2460"/>
      <c r="FA135" s="2461"/>
      <c r="FB135" s="2460"/>
      <c r="FC135" s="2461"/>
      <c r="FD135" s="2460"/>
      <c r="FE135" s="2461"/>
      <c r="FF135" s="2460"/>
      <c r="FG135" s="2461"/>
      <c r="FH135" s="2460"/>
      <c r="FI135" s="2461"/>
      <c r="FJ135" s="2460"/>
      <c r="FK135" s="2461"/>
      <c r="FL135" s="2460"/>
      <c r="FM135" s="2461"/>
      <c r="FN135" s="2460"/>
      <c r="FO135" s="2461"/>
      <c r="FP135" s="2460"/>
      <c r="FQ135" s="2461"/>
      <c r="FR135" s="2460"/>
      <c r="FS135" s="2461"/>
      <c r="FT135" s="2460"/>
      <c r="FU135" s="2461"/>
      <c r="FV135" s="2460"/>
      <c r="FW135" s="2461"/>
      <c r="FX135" s="2460"/>
      <c r="FY135" s="2461"/>
      <c r="FZ135" s="2460"/>
      <c r="GA135" s="2461"/>
      <c r="GB135" s="2460"/>
      <c r="GC135" s="2461"/>
      <c r="GD135" s="2460"/>
      <c r="GE135" s="2461"/>
      <c r="GF135" s="2460"/>
      <c r="GG135" s="2461"/>
      <c r="GH135" s="2458"/>
      <c r="GI135" s="2459"/>
      <c r="GJ135" s="2460"/>
      <c r="GK135" s="2461"/>
      <c r="GL135" s="797"/>
      <c r="GM135" s="797"/>
      <c r="GN135" s="797"/>
      <c r="GO135" s="797"/>
      <c r="GP135" s="797"/>
      <c r="GQ135" s="797"/>
      <c r="GR135" s="797"/>
      <c r="GS135" s="797"/>
      <c r="GT135" s="797"/>
      <c r="GU135" s="797"/>
      <c r="GV135" s="797"/>
      <c r="GW135" s="797"/>
      <c r="GX135" s="797"/>
      <c r="GY135" s="797"/>
      <c r="GZ135" s="797"/>
      <c r="HA135" s="797"/>
      <c r="HB135" s="797"/>
      <c r="HC135" s="797"/>
      <c r="HD135" s="797"/>
      <c r="HE135" s="1693"/>
      <c r="HF135" s="1703"/>
    </row>
    <row r="136" spans="149:214" ht="24.95" customHeight="1">
      <c r="ES136" s="2236"/>
      <c r="ET136" s="1696">
        <v>6</v>
      </c>
      <c r="EU136" s="1704" t="s">
        <v>349</v>
      </c>
      <c r="EV136" s="1697">
        <v>114</v>
      </c>
      <c r="EW136" s="1698">
        <v>0</v>
      </c>
      <c r="EX136" s="1697">
        <v>0</v>
      </c>
      <c r="EY136" s="1698">
        <v>0</v>
      </c>
      <c r="EZ136" s="1697">
        <v>26</v>
      </c>
      <c r="FA136" s="1698">
        <v>0</v>
      </c>
      <c r="FB136" s="1697">
        <v>0</v>
      </c>
      <c r="FC136" s="1698">
        <v>0</v>
      </c>
      <c r="FD136" s="1697">
        <v>192</v>
      </c>
      <c r="FE136" s="1698">
        <v>0</v>
      </c>
      <c r="FF136" s="1697">
        <v>0</v>
      </c>
      <c r="FG136" s="1698">
        <v>0</v>
      </c>
      <c r="FH136" s="1697">
        <v>0</v>
      </c>
      <c r="FI136" s="1698">
        <v>0</v>
      </c>
      <c r="FJ136" s="1697">
        <v>223</v>
      </c>
      <c r="FK136" s="1698">
        <v>1</v>
      </c>
      <c r="FL136" s="1697">
        <v>0</v>
      </c>
      <c r="FM136" s="1698">
        <v>0</v>
      </c>
      <c r="FN136" s="1697">
        <v>32</v>
      </c>
      <c r="FO136" s="1698">
        <v>0</v>
      </c>
      <c r="FP136" s="1697">
        <v>0</v>
      </c>
      <c r="FQ136" s="1698">
        <v>0</v>
      </c>
      <c r="FR136" s="1697">
        <v>0</v>
      </c>
      <c r="FS136" s="1698">
        <v>0</v>
      </c>
      <c r="FT136" s="1697">
        <v>0</v>
      </c>
      <c r="FU136" s="1698">
        <v>0</v>
      </c>
      <c r="FV136" s="1697">
        <v>0</v>
      </c>
      <c r="FW136" s="1698">
        <v>0</v>
      </c>
      <c r="FX136" s="1697">
        <v>0</v>
      </c>
      <c r="FY136" s="1698">
        <v>0</v>
      </c>
      <c r="FZ136" s="1697">
        <v>0</v>
      </c>
      <c r="GA136" s="1698">
        <v>0</v>
      </c>
      <c r="GB136" s="1697">
        <v>0</v>
      </c>
      <c r="GC136" s="1698">
        <v>0</v>
      </c>
      <c r="GD136" s="1697">
        <v>548.45000000000005</v>
      </c>
      <c r="GE136" s="1698">
        <v>7.7</v>
      </c>
      <c r="GF136" s="1697">
        <v>90</v>
      </c>
      <c r="GG136" s="1698">
        <v>0</v>
      </c>
      <c r="GH136" s="1699">
        <v>1225.45</v>
      </c>
      <c r="GI136" s="1700">
        <v>8.6999999999999993</v>
      </c>
      <c r="GJ136" s="1697">
        <v>0</v>
      </c>
      <c r="GK136" s="1698">
        <v>0</v>
      </c>
      <c r="GL136" s="793">
        <v>4</v>
      </c>
      <c r="GM136" s="793">
        <v>0</v>
      </c>
      <c r="GN136" s="793">
        <v>0</v>
      </c>
      <c r="GO136" s="793">
        <v>0</v>
      </c>
      <c r="GP136" s="793">
        <v>6</v>
      </c>
      <c r="GQ136" s="793">
        <v>0</v>
      </c>
      <c r="GR136" s="793">
        <v>0</v>
      </c>
      <c r="GS136" s="793">
        <v>5</v>
      </c>
      <c r="GT136" s="793">
        <v>0</v>
      </c>
      <c r="GU136" s="793">
        <v>0</v>
      </c>
      <c r="GV136" s="793">
        <v>0</v>
      </c>
      <c r="GW136" s="793">
        <v>0</v>
      </c>
      <c r="GX136" s="793">
        <v>0</v>
      </c>
      <c r="GY136" s="793">
        <v>0</v>
      </c>
      <c r="GZ136" s="793">
        <v>0</v>
      </c>
      <c r="HA136" s="793">
        <v>0</v>
      </c>
      <c r="HB136" s="793">
        <v>0</v>
      </c>
      <c r="HC136" s="793">
        <v>9</v>
      </c>
      <c r="HD136" s="793">
        <v>2</v>
      </c>
      <c r="HE136" s="1701">
        <v>26</v>
      </c>
      <c r="HF136" s="1702">
        <v>0</v>
      </c>
    </row>
    <row r="137" spans="149:214" ht="24.95" customHeight="1">
      <c r="ES137" s="2236"/>
      <c r="ET137" s="1696">
        <v>7</v>
      </c>
      <c r="EU137" s="1704" t="s">
        <v>311</v>
      </c>
      <c r="EV137" s="1697">
        <v>0</v>
      </c>
      <c r="EW137" s="1698">
        <v>7.6</v>
      </c>
      <c r="EX137" s="1697">
        <v>0</v>
      </c>
      <c r="EY137" s="1698">
        <v>0</v>
      </c>
      <c r="EZ137" s="1697">
        <v>37.5</v>
      </c>
      <c r="FA137" s="1698">
        <v>0</v>
      </c>
      <c r="FB137" s="1697">
        <v>0</v>
      </c>
      <c r="FC137" s="1698">
        <v>0</v>
      </c>
      <c r="FD137" s="1697">
        <v>0</v>
      </c>
      <c r="FE137" s="1698">
        <v>0</v>
      </c>
      <c r="FF137" s="1697">
        <v>0</v>
      </c>
      <c r="FG137" s="1698">
        <v>0</v>
      </c>
      <c r="FH137" s="1697">
        <v>0</v>
      </c>
      <c r="FI137" s="1698">
        <v>0</v>
      </c>
      <c r="FJ137" s="1697">
        <v>0</v>
      </c>
      <c r="FK137" s="1698">
        <v>0</v>
      </c>
      <c r="FL137" s="1697">
        <v>0</v>
      </c>
      <c r="FM137" s="1698">
        <v>0</v>
      </c>
      <c r="FN137" s="1697">
        <v>0</v>
      </c>
      <c r="FO137" s="1698">
        <v>0</v>
      </c>
      <c r="FP137" s="1697">
        <v>0</v>
      </c>
      <c r="FQ137" s="1698">
        <v>0</v>
      </c>
      <c r="FR137" s="1697">
        <v>0</v>
      </c>
      <c r="FS137" s="1698">
        <v>0</v>
      </c>
      <c r="FT137" s="1697">
        <v>0</v>
      </c>
      <c r="FU137" s="1698">
        <v>0</v>
      </c>
      <c r="FV137" s="1697">
        <v>0</v>
      </c>
      <c r="FW137" s="1698">
        <v>0</v>
      </c>
      <c r="FX137" s="1697">
        <v>0</v>
      </c>
      <c r="FY137" s="1698">
        <v>0</v>
      </c>
      <c r="FZ137" s="1697">
        <v>0</v>
      </c>
      <c r="GA137" s="1698">
        <v>0</v>
      </c>
      <c r="GB137" s="1697">
        <v>0</v>
      </c>
      <c r="GC137" s="1698">
        <v>0</v>
      </c>
      <c r="GD137" s="1697">
        <v>17</v>
      </c>
      <c r="GE137" s="1698">
        <v>0</v>
      </c>
      <c r="GF137" s="1697">
        <v>0</v>
      </c>
      <c r="GG137" s="1698">
        <v>0</v>
      </c>
      <c r="GH137" s="1699">
        <v>54.5</v>
      </c>
      <c r="GI137" s="1700">
        <v>7.6</v>
      </c>
      <c r="GJ137" s="1697">
        <v>0</v>
      </c>
      <c r="GK137" s="1698">
        <v>0</v>
      </c>
      <c r="GL137" s="793">
        <v>0</v>
      </c>
      <c r="GM137" s="793">
        <v>0</v>
      </c>
      <c r="GN137" s="793">
        <v>0</v>
      </c>
      <c r="GO137" s="793">
        <v>0</v>
      </c>
      <c r="GP137" s="793">
        <v>0</v>
      </c>
      <c r="GQ137" s="793">
        <v>0</v>
      </c>
      <c r="GR137" s="793">
        <v>0</v>
      </c>
      <c r="GS137" s="793">
        <v>0</v>
      </c>
      <c r="GT137" s="793">
        <v>0</v>
      </c>
      <c r="GU137" s="793">
        <v>0</v>
      </c>
      <c r="GV137" s="793">
        <v>0</v>
      </c>
      <c r="GW137" s="793">
        <v>0</v>
      </c>
      <c r="GX137" s="793">
        <v>0</v>
      </c>
      <c r="GY137" s="793">
        <v>0</v>
      </c>
      <c r="GZ137" s="793">
        <v>0</v>
      </c>
      <c r="HA137" s="793">
        <v>0</v>
      </c>
      <c r="HB137" s="793">
        <v>0</v>
      </c>
      <c r="HC137" s="793">
        <v>0</v>
      </c>
      <c r="HD137" s="793">
        <v>0</v>
      </c>
      <c r="HE137" s="1701">
        <v>0</v>
      </c>
      <c r="HF137" s="1702">
        <v>0</v>
      </c>
    </row>
    <row r="138" spans="149:214" ht="24.95" customHeight="1">
      <c r="ES138" s="2236"/>
      <c r="ET138" s="1688"/>
      <c r="EU138" s="1704" t="s">
        <v>2</v>
      </c>
      <c r="EV138" s="1715">
        <v>114</v>
      </c>
      <c r="EW138" s="1716">
        <v>7.6</v>
      </c>
      <c r="EX138" s="1715">
        <v>0</v>
      </c>
      <c r="EY138" s="1716">
        <v>0</v>
      </c>
      <c r="EZ138" s="1715">
        <v>63.5</v>
      </c>
      <c r="FA138" s="1716">
        <v>0</v>
      </c>
      <c r="FB138" s="1715">
        <v>0</v>
      </c>
      <c r="FC138" s="1716">
        <v>0</v>
      </c>
      <c r="FD138" s="1715">
        <v>192</v>
      </c>
      <c r="FE138" s="1716">
        <v>0</v>
      </c>
      <c r="FF138" s="1715">
        <v>0</v>
      </c>
      <c r="FG138" s="1716">
        <v>0</v>
      </c>
      <c r="FH138" s="1715">
        <v>0</v>
      </c>
      <c r="FI138" s="1716">
        <v>0</v>
      </c>
      <c r="FJ138" s="1715">
        <v>223</v>
      </c>
      <c r="FK138" s="1716">
        <v>1</v>
      </c>
      <c r="FL138" s="1715">
        <v>0</v>
      </c>
      <c r="FM138" s="1716">
        <v>0</v>
      </c>
      <c r="FN138" s="1715">
        <v>32</v>
      </c>
      <c r="FO138" s="1716">
        <v>0</v>
      </c>
      <c r="FP138" s="1715">
        <v>0</v>
      </c>
      <c r="FQ138" s="1716">
        <v>0</v>
      </c>
      <c r="FR138" s="1715">
        <v>0</v>
      </c>
      <c r="FS138" s="1716">
        <v>0</v>
      </c>
      <c r="FT138" s="1715">
        <v>0</v>
      </c>
      <c r="FU138" s="1716">
        <v>0</v>
      </c>
      <c r="FV138" s="1715">
        <v>0</v>
      </c>
      <c r="FW138" s="1716">
        <v>0</v>
      </c>
      <c r="FX138" s="1715">
        <v>0</v>
      </c>
      <c r="FY138" s="1716">
        <v>0</v>
      </c>
      <c r="FZ138" s="1715">
        <v>0</v>
      </c>
      <c r="GA138" s="1716">
        <v>0</v>
      </c>
      <c r="GB138" s="1715">
        <v>0</v>
      </c>
      <c r="GC138" s="1716">
        <v>0</v>
      </c>
      <c r="GD138" s="1715">
        <v>565.45000000000005</v>
      </c>
      <c r="GE138" s="1716">
        <v>7.7</v>
      </c>
      <c r="GF138" s="1715">
        <v>90</v>
      </c>
      <c r="GG138" s="1716">
        <v>0</v>
      </c>
      <c r="GH138" s="1699">
        <v>1279.95</v>
      </c>
      <c r="GI138" s="1700">
        <v>16.299999999999997</v>
      </c>
      <c r="GJ138" s="1715">
        <v>0</v>
      </c>
      <c r="GK138" s="1716">
        <v>0</v>
      </c>
      <c r="GL138" s="793"/>
      <c r="GM138" s="793"/>
      <c r="GN138" s="793"/>
      <c r="GO138" s="793"/>
      <c r="GP138" s="793"/>
      <c r="GQ138" s="793"/>
      <c r="GR138" s="793"/>
      <c r="GS138" s="793"/>
      <c r="GT138" s="793"/>
      <c r="GU138" s="793"/>
      <c r="GV138" s="793"/>
      <c r="GW138" s="793"/>
      <c r="GX138" s="793"/>
      <c r="GY138" s="793"/>
      <c r="GZ138" s="793"/>
      <c r="HA138" s="793"/>
      <c r="HB138" s="793"/>
      <c r="HC138" s="793"/>
      <c r="HD138" s="793"/>
      <c r="HE138" s="1701"/>
      <c r="HF138" s="1702"/>
    </row>
    <row r="139" spans="149:214" ht="24.95" customHeight="1">
      <c r="ES139" s="2236"/>
      <c r="ET139" s="1696">
        <v>8</v>
      </c>
      <c r="EU139" s="1705" t="s">
        <v>340</v>
      </c>
      <c r="EV139" s="1697">
        <v>0</v>
      </c>
      <c r="EW139" s="1698">
        <v>0</v>
      </c>
      <c r="EX139" s="1697">
        <v>0</v>
      </c>
      <c r="EY139" s="1698">
        <v>0</v>
      </c>
      <c r="EZ139" s="1697">
        <v>0</v>
      </c>
      <c r="FA139" s="1698">
        <v>0</v>
      </c>
      <c r="FB139" s="1697">
        <v>0</v>
      </c>
      <c r="FC139" s="1698">
        <v>0</v>
      </c>
      <c r="FD139" s="1697">
        <v>6</v>
      </c>
      <c r="FE139" s="1698">
        <v>0</v>
      </c>
      <c r="FF139" s="1697">
        <v>0</v>
      </c>
      <c r="FG139" s="1698">
        <v>0</v>
      </c>
      <c r="FH139" s="1697">
        <v>0</v>
      </c>
      <c r="FI139" s="1698">
        <v>0</v>
      </c>
      <c r="FJ139" s="1697">
        <v>9</v>
      </c>
      <c r="FK139" s="1698">
        <v>0</v>
      </c>
      <c r="FL139" s="1697">
        <v>0</v>
      </c>
      <c r="FM139" s="1698">
        <v>0</v>
      </c>
      <c r="FN139" s="1697">
        <v>0</v>
      </c>
      <c r="FO139" s="1698">
        <v>0</v>
      </c>
      <c r="FP139" s="1697">
        <v>0</v>
      </c>
      <c r="FQ139" s="1698">
        <v>0</v>
      </c>
      <c r="FR139" s="1697">
        <v>0</v>
      </c>
      <c r="FS139" s="1698">
        <v>0</v>
      </c>
      <c r="FT139" s="1697">
        <v>0</v>
      </c>
      <c r="FU139" s="1698">
        <v>0</v>
      </c>
      <c r="FV139" s="1697">
        <v>0</v>
      </c>
      <c r="FW139" s="1698">
        <v>0</v>
      </c>
      <c r="FX139" s="1697">
        <v>0</v>
      </c>
      <c r="FY139" s="1698">
        <v>0</v>
      </c>
      <c r="FZ139" s="1697">
        <v>0</v>
      </c>
      <c r="GA139" s="1698">
        <v>0</v>
      </c>
      <c r="GB139" s="1697">
        <v>0</v>
      </c>
      <c r="GC139" s="1698">
        <v>0</v>
      </c>
      <c r="GD139" s="1697">
        <v>0</v>
      </c>
      <c r="GE139" s="1698">
        <v>0</v>
      </c>
      <c r="GF139" s="1697">
        <v>0</v>
      </c>
      <c r="GG139" s="1698">
        <v>0</v>
      </c>
      <c r="GH139" s="1699">
        <v>15</v>
      </c>
      <c r="GI139" s="1700">
        <v>0</v>
      </c>
      <c r="GJ139" s="1697">
        <v>0</v>
      </c>
      <c r="GK139" s="1698">
        <v>0</v>
      </c>
      <c r="GL139" s="793">
        <v>0</v>
      </c>
      <c r="GM139" s="793">
        <v>0</v>
      </c>
      <c r="GN139" s="793">
        <v>0</v>
      </c>
      <c r="GO139" s="793">
        <v>0</v>
      </c>
      <c r="GP139" s="793">
        <v>0</v>
      </c>
      <c r="GQ139" s="793">
        <v>0</v>
      </c>
      <c r="GR139" s="793">
        <v>0</v>
      </c>
      <c r="GS139" s="793">
        <v>0</v>
      </c>
      <c r="GT139" s="793">
        <v>0</v>
      </c>
      <c r="GU139" s="793">
        <v>0</v>
      </c>
      <c r="GV139" s="793">
        <v>0</v>
      </c>
      <c r="GW139" s="793">
        <v>0</v>
      </c>
      <c r="GX139" s="793">
        <v>0</v>
      </c>
      <c r="GY139" s="793">
        <v>0</v>
      </c>
      <c r="GZ139" s="793">
        <v>0</v>
      </c>
      <c r="HA139" s="793">
        <v>0</v>
      </c>
      <c r="HB139" s="793">
        <v>0</v>
      </c>
      <c r="HC139" s="793">
        <v>0</v>
      </c>
      <c r="HD139" s="793">
        <v>0</v>
      </c>
      <c r="HE139" s="1701">
        <v>0</v>
      </c>
      <c r="HF139" s="1702">
        <v>0</v>
      </c>
    </row>
    <row r="140" spans="149:214" ht="25.15" customHeight="1">
      <c r="ES140" s="2236"/>
      <c r="ET140" s="1696">
        <v>9</v>
      </c>
      <c r="EU140" s="791" t="s">
        <v>72</v>
      </c>
      <c r="EV140" s="1697">
        <v>0</v>
      </c>
      <c r="EW140" s="1698">
        <v>90.1</v>
      </c>
      <c r="EX140" s="1697">
        <v>0</v>
      </c>
      <c r="EY140" s="1698">
        <v>0</v>
      </c>
      <c r="EZ140" s="1697">
        <v>47</v>
      </c>
      <c r="FA140" s="1698">
        <v>63.5</v>
      </c>
      <c r="FB140" s="1697">
        <v>0</v>
      </c>
      <c r="FC140" s="1698">
        <v>0</v>
      </c>
      <c r="FD140" s="1697">
        <v>40</v>
      </c>
      <c r="FE140" s="1698">
        <v>0</v>
      </c>
      <c r="FF140" s="1697">
        <v>0</v>
      </c>
      <c r="FG140" s="1698">
        <v>0</v>
      </c>
      <c r="FH140" s="1697">
        <v>69</v>
      </c>
      <c r="FI140" s="1698">
        <v>6</v>
      </c>
      <c r="FJ140" s="1697">
        <v>25</v>
      </c>
      <c r="FK140" s="1698">
        <v>151.75166999999999</v>
      </c>
      <c r="FL140" s="1697">
        <v>0</v>
      </c>
      <c r="FM140" s="1698">
        <v>0</v>
      </c>
      <c r="FN140" s="1697">
        <v>0</v>
      </c>
      <c r="FO140" s="1698">
        <v>0</v>
      </c>
      <c r="FP140" s="1697">
        <v>0</v>
      </c>
      <c r="FQ140" s="1698">
        <v>0</v>
      </c>
      <c r="FR140" s="1697">
        <v>0</v>
      </c>
      <c r="FS140" s="1698">
        <v>0</v>
      </c>
      <c r="FT140" s="1697">
        <v>22</v>
      </c>
      <c r="FU140" s="1698">
        <v>0</v>
      </c>
      <c r="FV140" s="1697">
        <v>0</v>
      </c>
      <c r="FW140" s="1698">
        <v>0</v>
      </c>
      <c r="FX140" s="1697">
        <v>0</v>
      </c>
      <c r="FY140" s="1698">
        <v>0</v>
      </c>
      <c r="FZ140" s="1697">
        <v>0</v>
      </c>
      <c r="GA140" s="1698">
        <v>0</v>
      </c>
      <c r="GB140" s="1697">
        <v>13.5</v>
      </c>
      <c r="GC140" s="1698">
        <v>14.5</v>
      </c>
      <c r="GD140" s="1697">
        <v>80</v>
      </c>
      <c r="GE140" s="1698">
        <v>3.04</v>
      </c>
      <c r="GF140" s="1697">
        <v>0</v>
      </c>
      <c r="GG140" s="1698">
        <v>79.833333333333329</v>
      </c>
      <c r="GH140" s="1699">
        <v>296.5</v>
      </c>
      <c r="GI140" s="1700">
        <v>408.72500333333335</v>
      </c>
      <c r="GJ140" s="1697">
        <v>0</v>
      </c>
      <c r="GK140" s="1698">
        <v>0</v>
      </c>
      <c r="GL140" s="788"/>
      <c r="GM140" s="788"/>
      <c r="GN140" s="788"/>
      <c r="GO140" s="788"/>
      <c r="GP140" s="788"/>
      <c r="GQ140" s="788"/>
      <c r="GR140" s="788"/>
      <c r="GS140" s="788"/>
      <c r="GT140" s="788"/>
      <c r="GU140" s="788"/>
      <c r="GV140" s="788"/>
      <c r="GW140" s="788"/>
      <c r="GX140" s="788"/>
      <c r="GY140" s="788"/>
      <c r="GZ140" s="788"/>
      <c r="HA140" s="788"/>
      <c r="HB140" s="788"/>
      <c r="HC140" s="788"/>
      <c r="HD140" s="788"/>
      <c r="HE140" s="1693"/>
      <c r="HF140" s="790"/>
    </row>
    <row r="141" spans="149:214" ht="24.95" customHeight="1">
      <c r="ES141" s="2236"/>
      <c r="ET141" s="1781"/>
      <c r="EU141" s="1782" t="s">
        <v>2</v>
      </c>
      <c r="EV141" s="2462">
        <v>303.91999999999996</v>
      </c>
      <c r="EW141" s="2463">
        <v>148.49</v>
      </c>
      <c r="EX141" s="2462">
        <v>0</v>
      </c>
      <c r="EY141" s="2463">
        <v>0</v>
      </c>
      <c r="EZ141" s="2462">
        <v>267.5</v>
      </c>
      <c r="FA141" s="2463">
        <v>148.6</v>
      </c>
      <c r="FB141" s="2462">
        <v>0</v>
      </c>
      <c r="FC141" s="2463">
        <v>0</v>
      </c>
      <c r="FD141" s="2462">
        <v>393</v>
      </c>
      <c r="FE141" s="2463">
        <v>0</v>
      </c>
      <c r="FF141" s="2462">
        <v>0</v>
      </c>
      <c r="FG141" s="2463">
        <v>0</v>
      </c>
      <c r="FH141" s="2462">
        <v>69</v>
      </c>
      <c r="FI141" s="2463">
        <v>6</v>
      </c>
      <c r="FJ141" s="2462">
        <v>496</v>
      </c>
      <c r="FK141" s="2463">
        <v>153.25166999999999</v>
      </c>
      <c r="FL141" s="2462">
        <v>0</v>
      </c>
      <c r="FM141" s="2463">
        <v>0</v>
      </c>
      <c r="FN141" s="2462">
        <v>121</v>
      </c>
      <c r="FO141" s="2463">
        <v>0</v>
      </c>
      <c r="FP141" s="2462">
        <v>0</v>
      </c>
      <c r="FQ141" s="2463">
        <v>0</v>
      </c>
      <c r="FR141" s="2462">
        <v>0</v>
      </c>
      <c r="FS141" s="2463">
        <v>0</v>
      </c>
      <c r="FT141" s="2462">
        <v>22</v>
      </c>
      <c r="FU141" s="2463">
        <v>0</v>
      </c>
      <c r="FV141" s="2462">
        <v>0</v>
      </c>
      <c r="FW141" s="2463">
        <v>0</v>
      </c>
      <c r="FX141" s="2462">
        <v>0</v>
      </c>
      <c r="FY141" s="2463">
        <v>0</v>
      </c>
      <c r="FZ141" s="2462">
        <v>0</v>
      </c>
      <c r="GA141" s="2463">
        <v>0</v>
      </c>
      <c r="GB141" s="2462">
        <v>13.5</v>
      </c>
      <c r="GC141" s="2463">
        <v>14.5</v>
      </c>
      <c r="GD141" s="2462">
        <v>935.45</v>
      </c>
      <c r="GE141" s="2463">
        <v>10.74</v>
      </c>
      <c r="GF141" s="2462">
        <v>200</v>
      </c>
      <c r="GG141" s="2463">
        <v>82.333333333333329</v>
      </c>
      <c r="GH141" s="1783">
        <v>2821.37</v>
      </c>
      <c r="GI141" s="1784">
        <v>563.91500333333329</v>
      </c>
      <c r="GJ141" s="2462">
        <v>0</v>
      </c>
      <c r="GK141" s="2463">
        <v>0</v>
      </c>
      <c r="GL141" s="1785"/>
      <c r="GM141" s="1785"/>
      <c r="GN141" s="1785"/>
      <c r="GO141" s="1785"/>
      <c r="GP141" s="1785"/>
      <c r="GQ141" s="1785"/>
      <c r="GR141" s="1785"/>
      <c r="GS141" s="1785"/>
      <c r="GT141" s="1785"/>
      <c r="GU141" s="1785"/>
      <c r="GV141" s="1785"/>
      <c r="GW141" s="1785"/>
      <c r="GX141" s="1785"/>
      <c r="GY141" s="1785"/>
      <c r="GZ141" s="1785"/>
      <c r="HA141" s="1785"/>
      <c r="HB141" s="1785"/>
      <c r="HC141" s="1785"/>
      <c r="HD141" s="1785"/>
      <c r="HE141" s="1786"/>
      <c r="HF141" s="1787"/>
    </row>
    <row r="142" spans="149:214" ht="24.95" customHeight="1">
      <c r="ES142" s="2236"/>
      <c r="ET142" s="1688"/>
      <c r="EU142" s="789" t="s">
        <v>10</v>
      </c>
      <c r="EV142" s="1689"/>
      <c r="EW142" s="1690"/>
      <c r="EX142" s="1689"/>
      <c r="EY142" s="1690"/>
      <c r="EZ142" s="1689"/>
      <c r="FA142" s="1690"/>
      <c r="FB142" s="1689"/>
      <c r="FC142" s="1690"/>
      <c r="FD142" s="1689"/>
      <c r="FE142" s="1690"/>
      <c r="FF142" s="1689"/>
      <c r="FG142" s="1690"/>
      <c r="FH142" s="1689"/>
      <c r="FI142" s="1690"/>
      <c r="FJ142" s="1689"/>
      <c r="FK142" s="1690"/>
      <c r="FL142" s="1689"/>
      <c r="FM142" s="1690"/>
      <c r="FN142" s="1689"/>
      <c r="FO142" s="1690"/>
      <c r="FP142" s="1689"/>
      <c r="FQ142" s="1690"/>
      <c r="FR142" s="1689"/>
      <c r="FS142" s="1690"/>
      <c r="FT142" s="1689"/>
      <c r="FU142" s="1690"/>
      <c r="FV142" s="1689"/>
      <c r="FW142" s="1690"/>
      <c r="FX142" s="1689"/>
      <c r="FY142" s="1690"/>
      <c r="FZ142" s="1689"/>
      <c r="GA142" s="1690"/>
      <c r="GB142" s="1689"/>
      <c r="GC142" s="1690"/>
      <c r="GD142" s="1689"/>
      <c r="GE142" s="1690"/>
      <c r="GF142" s="1689"/>
      <c r="GG142" s="1690"/>
      <c r="GH142" s="2458"/>
      <c r="GI142" s="2459"/>
      <c r="GJ142" s="1689"/>
      <c r="GK142" s="1690"/>
      <c r="GL142" s="788"/>
      <c r="GM142" s="788"/>
      <c r="GN142" s="788"/>
      <c r="GO142" s="788"/>
      <c r="GP142" s="788"/>
      <c r="GQ142" s="788"/>
      <c r="GR142" s="788"/>
      <c r="GS142" s="788"/>
      <c r="GT142" s="788"/>
      <c r="GU142" s="788"/>
      <c r="GV142" s="788"/>
      <c r="GW142" s="788"/>
      <c r="GX142" s="788"/>
      <c r="GY142" s="788"/>
      <c r="GZ142" s="788"/>
      <c r="HA142" s="788"/>
      <c r="HB142" s="788"/>
      <c r="HC142" s="788"/>
      <c r="HD142" s="788"/>
      <c r="HE142" s="1693"/>
      <c r="HF142" s="790"/>
    </row>
    <row r="143" spans="149:214" ht="24.95" customHeight="1">
      <c r="ES143" s="2236"/>
      <c r="ET143" s="1688"/>
      <c r="EU143" s="791" t="s">
        <v>70</v>
      </c>
      <c r="EV143" s="1694"/>
      <c r="EW143" s="1695"/>
      <c r="EX143" s="1694"/>
      <c r="EY143" s="1695"/>
      <c r="EZ143" s="1694"/>
      <c r="FA143" s="1695"/>
      <c r="FB143" s="1694"/>
      <c r="FC143" s="1695"/>
      <c r="FD143" s="1694"/>
      <c r="FE143" s="1695"/>
      <c r="FF143" s="1694"/>
      <c r="FG143" s="1695"/>
      <c r="FH143" s="1694"/>
      <c r="FI143" s="1695"/>
      <c r="FJ143" s="1694"/>
      <c r="FK143" s="1695"/>
      <c r="FL143" s="1694"/>
      <c r="FM143" s="1695"/>
      <c r="FN143" s="1694"/>
      <c r="FO143" s="1695"/>
      <c r="FP143" s="1694"/>
      <c r="FQ143" s="1695"/>
      <c r="FR143" s="1694"/>
      <c r="FS143" s="1695"/>
      <c r="FT143" s="1694"/>
      <c r="FU143" s="1695"/>
      <c r="FV143" s="1694"/>
      <c r="FW143" s="1695"/>
      <c r="FX143" s="1694"/>
      <c r="FY143" s="1695"/>
      <c r="FZ143" s="1694"/>
      <c r="GA143" s="1695"/>
      <c r="GB143" s="1694"/>
      <c r="GC143" s="1695"/>
      <c r="GD143" s="1694"/>
      <c r="GE143" s="1695"/>
      <c r="GF143" s="1694"/>
      <c r="GG143" s="1695"/>
      <c r="GH143" s="1569"/>
      <c r="GI143" s="2464"/>
      <c r="GJ143" s="1694"/>
      <c r="GK143" s="1695"/>
      <c r="GL143" s="788"/>
      <c r="GM143" s="788"/>
      <c r="GN143" s="788"/>
      <c r="GO143" s="788"/>
      <c r="GP143" s="788"/>
      <c r="GQ143" s="788"/>
      <c r="GR143" s="788"/>
      <c r="GS143" s="788"/>
      <c r="GT143" s="788"/>
      <c r="GU143" s="788"/>
      <c r="GV143" s="788"/>
      <c r="GW143" s="788"/>
      <c r="GX143" s="788"/>
      <c r="GY143" s="788"/>
      <c r="GZ143" s="788"/>
      <c r="HA143" s="788"/>
      <c r="HB143" s="788"/>
      <c r="HC143" s="788"/>
      <c r="HD143" s="788"/>
      <c r="HE143" s="1693"/>
      <c r="HF143" s="790"/>
    </row>
    <row r="144" spans="149:214" ht="24.95" customHeight="1">
      <c r="ES144" s="2236"/>
      <c r="ET144" s="1688"/>
      <c r="EU144" s="794" t="s">
        <v>75</v>
      </c>
      <c r="EV144" s="1706"/>
      <c r="EW144" s="1707"/>
      <c r="EX144" s="1706"/>
      <c r="EY144" s="1707"/>
      <c r="EZ144" s="1706"/>
      <c r="FA144" s="1707"/>
      <c r="FB144" s="1706"/>
      <c r="FC144" s="1707"/>
      <c r="FD144" s="1706"/>
      <c r="FE144" s="1707"/>
      <c r="FF144" s="1706"/>
      <c r="FG144" s="1707"/>
      <c r="FH144" s="1706"/>
      <c r="FI144" s="1707"/>
      <c r="FJ144" s="1706"/>
      <c r="FK144" s="1707"/>
      <c r="FL144" s="1706"/>
      <c r="FM144" s="1707"/>
      <c r="FN144" s="1706"/>
      <c r="FO144" s="1707"/>
      <c r="FP144" s="1706"/>
      <c r="FQ144" s="1707"/>
      <c r="FR144" s="1706"/>
      <c r="FS144" s="1707"/>
      <c r="FT144" s="1706"/>
      <c r="FU144" s="1707"/>
      <c r="FV144" s="1706"/>
      <c r="FW144" s="1707"/>
      <c r="FX144" s="1706"/>
      <c r="FY144" s="1707"/>
      <c r="FZ144" s="1706"/>
      <c r="GA144" s="1707"/>
      <c r="GB144" s="1706"/>
      <c r="GC144" s="1707"/>
      <c r="GD144" s="1706"/>
      <c r="GE144" s="1707"/>
      <c r="GF144" s="1706"/>
      <c r="GG144" s="1707"/>
      <c r="GH144" s="1708"/>
      <c r="GI144" s="1709"/>
      <c r="GJ144" s="1706"/>
      <c r="GK144" s="1707"/>
      <c r="GL144" s="1624"/>
      <c r="GM144" s="1624"/>
      <c r="GN144" s="1624"/>
      <c r="GO144" s="1624"/>
      <c r="GP144" s="1624"/>
      <c r="GQ144" s="1624"/>
      <c r="GR144" s="1624"/>
      <c r="GS144" s="1624"/>
      <c r="GT144" s="1624"/>
      <c r="GU144" s="1624"/>
      <c r="GV144" s="1624"/>
      <c r="GW144" s="1624"/>
      <c r="GX144" s="1624"/>
      <c r="GY144" s="1624"/>
      <c r="GZ144" s="1624"/>
      <c r="HA144" s="1624"/>
      <c r="HB144" s="1624"/>
      <c r="HC144" s="1624"/>
      <c r="HD144" s="1624"/>
      <c r="HE144" s="1693"/>
      <c r="HF144" s="1710"/>
    </row>
    <row r="145" spans="149:214" ht="24.95" customHeight="1">
      <c r="ES145" s="2236"/>
      <c r="ET145" s="1696">
        <v>10</v>
      </c>
      <c r="EU145" s="795" t="s">
        <v>31</v>
      </c>
      <c r="EV145" s="1697">
        <v>401.75</v>
      </c>
      <c r="EW145" s="1698">
        <v>0</v>
      </c>
      <c r="EX145" s="1697">
        <v>0</v>
      </c>
      <c r="EY145" s="1698">
        <v>0</v>
      </c>
      <c r="EZ145" s="1697">
        <v>294.5</v>
      </c>
      <c r="FA145" s="1698">
        <v>0</v>
      </c>
      <c r="FB145" s="1697">
        <v>0</v>
      </c>
      <c r="FC145" s="1698">
        <v>0</v>
      </c>
      <c r="FD145" s="1697">
        <v>331</v>
      </c>
      <c r="FE145" s="1698">
        <v>0</v>
      </c>
      <c r="FF145" s="1697">
        <v>0</v>
      </c>
      <c r="FG145" s="1698">
        <v>0</v>
      </c>
      <c r="FH145" s="1697">
        <v>0</v>
      </c>
      <c r="FI145" s="1698">
        <v>0</v>
      </c>
      <c r="FJ145" s="1697">
        <v>531</v>
      </c>
      <c r="FK145" s="1698">
        <v>0</v>
      </c>
      <c r="FL145" s="1697">
        <v>0</v>
      </c>
      <c r="FM145" s="1698">
        <v>0</v>
      </c>
      <c r="FN145" s="1697">
        <v>0</v>
      </c>
      <c r="FO145" s="1698">
        <v>0</v>
      </c>
      <c r="FP145" s="1697">
        <v>0</v>
      </c>
      <c r="FQ145" s="1698">
        <v>0</v>
      </c>
      <c r="FR145" s="1697">
        <v>0</v>
      </c>
      <c r="FS145" s="1698">
        <v>0</v>
      </c>
      <c r="FT145" s="1697">
        <v>0</v>
      </c>
      <c r="FU145" s="1698">
        <v>0</v>
      </c>
      <c r="FV145" s="1697">
        <v>0</v>
      </c>
      <c r="FW145" s="1698">
        <v>0</v>
      </c>
      <c r="FX145" s="1697">
        <v>0</v>
      </c>
      <c r="FY145" s="1698">
        <v>0</v>
      </c>
      <c r="FZ145" s="1697">
        <v>0</v>
      </c>
      <c r="GA145" s="1698">
        <v>0</v>
      </c>
      <c r="GB145" s="1697">
        <v>0</v>
      </c>
      <c r="GC145" s="1698">
        <v>0</v>
      </c>
      <c r="GD145" s="1697">
        <v>0</v>
      </c>
      <c r="GE145" s="1698">
        <v>0</v>
      </c>
      <c r="GF145" s="1697">
        <v>0</v>
      </c>
      <c r="GG145" s="1698">
        <v>0</v>
      </c>
      <c r="GH145" s="1699">
        <v>1558.25</v>
      </c>
      <c r="GI145" s="1700">
        <v>0</v>
      </c>
      <c r="GJ145" s="1697">
        <v>0</v>
      </c>
      <c r="GK145" s="1698">
        <v>0</v>
      </c>
      <c r="GL145" s="793">
        <v>96</v>
      </c>
      <c r="GM145" s="793">
        <v>0</v>
      </c>
      <c r="GN145" s="793">
        <v>77</v>
      </c>
      <c r="GO145" s="793">
        <v>0</v>
      </c>
      <c r="GP145" s="793">
        <v>236</v>
      </c>
      <c r="GQ145" s="793">
        <v>0</v>
      </c>
      <c r="GR145" s="793">
        <v>0</v>
      </c>
      <c r="GS145" s="793">
        <v>175</v>
      </c>
      <c r="GT145" s="793">
        <v>0</v>
      </c>
      <c r="GU145" s="793">
        <v>0</v>
      </c>
      <c r="GV145" s="793">
        <v>0</v>
      </c>
      <c r="GW145" s="793">
        <v>0</v>
      </c>
      <c r="GX145" s="793">
        <v>0</v>
      </c>
      <c r="GY145" s="793">
        <v>0</v>
      </c>
      <c r="GZ145" s="793">
        <v>0</v>
      </c>
      <c r="HA145" s="793">
        <v>0</v>
      </c>
      <c r="HB145" s="793">
        <v>0</v>
      </c>
      <c r="HC145" s="793">
        <v>0</v>
      </c>
      <c r="HD145" s="793">
        <v>0</v>
      </c>
      <c r="HE145" s="1701">
        <v>584</v>
      </c>
      <c r="HF145" s="1702">
        <v>0</v>
      </c>
    </row>
    <row r="146" spans="149:214" ht="24.95" customHeight="1">
      <c r="ES146" s="2236"/>
      <c r="ET146" s="1696">
        <v>11</v>
      </c>
      <c r="EU146" s="795" t="s">
        <v>32</v>
      </c>
      <c r="EV146" s="1697">
        <v>59.99</v>
      </c>
      <c r="EW146" s="1698">
        <v>0</v>
      </c>
      <c r="EX146" s="1697">
        <v>0</v>
      </c>
      <c r="EY146" s="1698">
        <v>0</v>
      </c>
      <c r="EZ146" s="1697">
        <v>130</v>
      </c>
      <c r="FA146" s="1698">
        <v>0</v>
      </c>
      <c r="FB146" s="1697">
        <v>0</v>
      </c>
      <c r="FC146" s="1698">
        <v>0</v>
      </c>
      <c r="FD146" s="1697">
        <v>0</v>
      </c>
      <c r="FE146" s="1698">
        <v>0</v>
      </c>
      <c r="FF146" s="1697">
        <v>0</v>
      </c>
      <c r="FG146" s="1698">
        <v>0</v>
      </c>
      <c r="FH146" s="1697">
        <v>0</v>
      </c>
      <c r="FI146" s="1698">
        <v>0</v>
      </c>
      <c r="FJ146" s="1697">
        <v>200</v>
      </c>
      <c r="FK146" s="1698">
        <v>0</v>
      </c>
      <c r="FL146" s="1697">
        <v>0</v>
      </c>
      <c r="FM146" s="1698">
        <v>0</v>
      </c>
      <c r="FN146" s="1697">
        <v>0</v>
      </c>
      <c r="FO146" s="1698">
        <v>0</v>
      </c>
      <c r="FP146" s="1697">
        <v>0</v>
      </c>
      <c r="FQ146" s="1698">
        <v>0</v>
      </c>
      <c r="FR146" s="1697">
        <v>0</v>
      </c>
      <c r="FS146" s="1698">
        <v>0</v>
      </c>
      <c r="FT146" s="1697">
        <v>0</v>
      </c>
      <c r="FU146" s="1698">
        <v>0</v>
      </c>
      <c r="FV146" s="1697">
        <v>0</v>
      </c>
      <c r="FW146" s="1698">
        <v>0</v>
      </c>
      <c r="FX146" s="1697">
        <v>0</v>
      </c>
      <c r="FY146" s="1698">
        <v>0</v>
      </c>
      <c r="FZ146" s="1697">
        <v>0</v>
      </c>
      <c r="GA146" s="1698">
        <v>0</v>
      </c>
      <c r="GB146" s="1697">
        <v>0</v>
      </c>
      <c r="GC146" s="1698">
        <v>0</v>
      </c>
      <c r="GD146" s="1697">
        <v>0</v>
      </c>
      <c r="GE146" s="1698">
        <v>0</v>
      </c>
      <c r="GF146" s="1697">
        <v>0</v>
      </c>
      <c r="GG146" s="1698">
        <v>0</v>
      </c>
      <c r="GH146" s="1699">
        <v>389.99</v>
      </c>
      <c r="GI146" s="1700">
        <v>0</v>
      </c>
      <c r="GJ146" s="1697">
        <v>0</v>
      </c>
      <c r="GK146" s="1698">
        <v>0</v>
      </c>
      <c r="GL146" s="793">
        <v>16.989999999999998</v>
      </c>
      <c r="GM146" s="793">
        <v>0</v>
      </c>
      <c r="GN146" s="793">
        <v>61</v>
      </c>
      <c r="GO146" s="793">
        <v>0</v>
      </c>
      <c r="GP146" s="793">
        <v>0</v>
      </c>
      <c r="GQ146" s="793">
        <v>0</v>
      </c>
      <c r="GR146" s="793">
        <v>0</v>
      </c>
      <c r="GS146" s="793">
        <v>53</v>
      </c>
      <c r="GT146" s="793">
        <v>0</v>
      </c>
      <c r="GU146" s="793">
        <v>0</v>
      </c>
      <c r="GV146" s="793">
        <v>0</v>
      </c>
      <c r="GW146" s="793">
        <v>0</v>
      </c>
      <c r="GX146" s="793">
        <v>0</v>
      </c>
      <c r="GY146" s="793">
        <v>0</v>
      </c>
      <c r="GZ146" s="793">
        <v>0</v>
      </c>
      <c r="HA146" s="793">
        <v>0</v>
      </c>
      <c r="HB146" s="793">
        <v>0</v>
      </c>
      <c r="HC146" s="793">
        <v>0</v>
      </c>
      <c r="HD146" s="793">
        <v>0</v>
      </c>
      <c r="HE146" s="1701">
        <v>130.99</v>
      </c>
      <c r="HF146" s="1702">
        <v>0</v>
      </c>
    </row>
    <row r="147" spans="149:214" ht="24.95" customHeight="1">
      <c r="ES147" s="2236"/>
      <c r="ET147" s="1696">
        <v>12</v>
      </c>
      <c r="EU147" s="795" t="s">
        <v>5</v>
      </c>
      <c r="EV147" s="1697">
        <v>263.91000000000003</v>
      </c>
      <c r="EW147" s="1698">
        <v>0</v>
      </c>
      <c r="EX147" s="1697">
        <v>0</v>
      </c>
      <c r="EY147" s="1698">
        <v>0</v>
      </c>
      <c r="EZ147" s="1697">
        <v>266</v>
      </c>
      <c r="FA147" s="1698">
        <v>0</v>
      </c>
      <c r="FB147" s="1697">
        <v>0</v>
      </c>
      <c r="FC147" s="1698">
        <v>0</v>
      </c>
      <c r="FD147" s="1697">
        <v>232</v>
      </c>
      <c r="FE147" s="1698">
        <v>0</v>
      </c>
      <c r="FF147" s="1697">
        <v>0</v>
      </c>
      <c r="FG147" s="1698">
        <v>0</v>
      </c>
      <c r="FH147" s="1697">
        <v>0</v>
      </c>
      <c r="FI147" s="1698">
        <v>0</v>
      </c>
      <c r="FJ147" s="1697">
        <v>358</v>
      </c>
      <c r="FK147" s="1698">
        <v>0</v>
      </c>
      <c r="FL147" s="1697">
        <v>0</v>
      </c>
      <c r="FM147" s="1698">
        <v>0</v>
      </c>
      <c r="FN147" s="1697">
        <v>0</v>
      </c>
      <c r="FO147" s="1698">
        <v>0</v>
      </c>
      <c r="FP147" s="1697">
        <v>0</v>
      </c>
      <c r="FQ147" s="1698">
        <v>0</v>
      </c>
      <c r="FR147" s="1697">
        <v>0</v>
      </c>
      <c r="FS147" s="1698">
        <v>0</v>
      </c>
      <c r="FT147" s="1697">
        <v>0</v>
      </c>
      <c r="FU147" s="1698">
        <v>0</v>
      </c>
      <c r="FV147" s="1697">
        <v>0</v>
      </c>
      <c r="FW147" s="1698">
        <v>0</v>
      </c>
      <c r="FX147" s="1697">
        <v>0</v>
      </c>
      <c r="FY147" s="1698">
        <v>0</v>
      </c>
      <c r="FZ147" s="1697">
        <v>187</v>
      </c>
      <c r="GA147" s="1698">
        <v>0</v>
      </c>
      <c r="GB147" s="1697">
        <v>0</v>
      </c>
      <c r="GC147" s="1698">
        <v>0</v>
      </c>
      <c r="GD147" s="1697">
        <v>0</v>
      </c>
      <c r="GE147" s="1698">
        <v>0</v>
      </c>
      <c r="GF147" s="1697">
        <v>0</v>
      </c>
      <c r="GG147" s="1698">
        <v>0</v>
      </c>
      <c r="GH147" s="1699">
        <v>1306.9100000000001</v>
      </c>
      <c r="GI147" s="1700">
        <v>0</v>
      </c>
      <c r="GJ147" s="1697">
        <v>0</v>
      </c>
      <c r="GK147" s="1698">
        <v>0</v>
      </c>
      <c r="GL147" s="793">
        <v>64.58</v>
      </c>
      <c r="GM147" s="793">
        <v>0</v>
      </c>
      <c r="GN147" s="793">
        <v>45</v>
      </c>
      <c r="GO147" s="793">
        <v>0</v>
      </c>
      <c r="GP147" s="793">
        <v>162</v>
      </c>
      <c r="GQ147" s="793">
        <v>0</v>
      </c>
      <c r="GR147" s="793">
        <v>0</v>
      </c>
      <c r="GS147" s="793">
        <v>117</v>
      </c>
      <c r="GT147" s="793">
        <v>0</v>
      </c>
      <c r="GU147" s="793">
        <v>0</v>
      </c>
      <c r="GV147" s="793">
        <v>0</v>
      </c>
      <c r="GW147" s="793">
        <v>0</v>
      </c>
      <c r="GX147" s="793">
        <v>0</v>
      </c>
      <c r="GY147" s="793">
        <v>0</v>
      </c>
      <c r="GZ147" s="793">
        <v>0</v>
      </c>
      <c r="HA147" s="793">
        <v>157.5</v>
      </c>
      <c r="HB147" s="793">
        <v>0</v>
      </c>
      <c r="HC147" s="793">
        <v>0</v>
      </c>
      <c r="HD147" s="793">
        <v>0</v>
      </c>
      <c r="HE147" s="1701">
        <v>546.07999999999993</v>
      </c>
      <c r="HF147" s="1702">
        <v>0</v>
      </c>
    </row>
    <row r="148" spans="149:214" ht="24.95" customHeight="1">
      <c r="ES148" s="2236"/>
      <c r="ET148" s="1696">
        <v>13</v>
      </c>
      <c r="EU148" s="795" t="s">
        <v>268</v>
      </c>
      <c r="EV148" s="1697">
        <v>0</v>
      </c>
      <c r="EW148" s="1698">
        <v>0</v>
      </c>
      <c r="EX148" s="1697">
        <v>0</v>
      </c>
      <c r="EY148" s="1698">
        <v>0</v>
      </c>
      <c r="EZ148" s="1697">
        <v>0</v>
      </c>
      <c r="FA148" s="1698">
        <v>0</v>
      </c>
      <c r="FB148" s="1697">
        <v>0</v>
      </c>
      <c r="FC148" s="1698">
        <v>0</v>
      </c>
      <c r="FD148" s="1697">
        <v>0</v>
      </c>
      <c r="FE148" s="1698">
        <v>0</v>
      </c>
      <c r="FF148" s="1697">
        <v>0</v>
      </c>
      <c r="FG148" s="1698">
        <v>0</v>
      </c>
      <c r="FH148" s="1697">
        <v>0</v>
      </c>
      <c r="FI148" s="1698">
        <v>0</v>
      </c>
      <c r="FJ148" s="1697">
        <v>0</v>
      </c>
      <c r="FK148" s="1698">
        <v>0</v>
      </c>
      <c r="FL148" s="1697">
        <v>0</v>
      </c>
      <c r="FM148" s="1698">
        <v>0</v>
      </c>
      <c r="FN148" s="1697">
        <v>0</v>
      </c>
      <c r="FO148" s="1698">
        <v>0</v>
      </c>
      <c r="FP148" s="1697">
        <v>0</v>
      </c>
      <c r="FQ148" s="1698">
        <v>0</v>
      </c>
      <c r="FR148" s="1697">
        <v>0</v>
      </c>
      <c r="FS148" s="1698">
        <v>0</v>
      </c>
      <c r="FT148" s="1697">
        <v>0</v>
      </c>
      <c r="FU148" s="1698">
        <v>0</v>
      </c>
      <c r="FV148" s="1697">
        <v>0</v>
      </c>
      <c r="FW148" s="1698">
        <v>0</v>
      </c>
      <c r="FX148" s="1697">
        <v>0</v>
      </c>
      <c r="FY148" s="1698">
        <v>0</v>
      </c>
      <c r="FZ148" s="1697">
        <v>40</v>
      </c>
      <c r="GA148" s="1698">
        <v>0</v>
      </c>
      <c r="GB148" s="1697">
        <v>0</v>
      </c>
      <c r="GC148" s="1698">
        <v>0</v>
      </c>
      <c r="GD148" s="1697">
        <v>0</v>
      </c>
      <c r="GE148" s="1698">
        <v>0</v>
      </c>
      <c r="GF148" s="1697">
        <v>0</v>
      </c>
      <c r="GG148" s="1698">
        <v>0</v>
      </c>
      <c r="GH148" s="1699">
        <v>40</v>
      </c>
      <c r="GI148" s="1700">
        <v>0</v>
      </c>
      <c r="GJ148" s="1697">
        <v>0</v>
      </c>
      <c r="GK148" s="1698">
        <v>0</v>
      </c>
      <c r="GL148" s="793">
        <v>0</v>
      </c>
      <c r="GM148" s="793">
        <v>0</v>
      </c>
      <c r="GN148" s="793">
        <v>0</v>
      </c>
      <c r="GO148" s="793">
        <v>0</v>
      </c>
      <c r="GP148" s="793">
        <v>0</v>
      </c>
      <c r="GQ148" s="793">
        <v>0</v>
      </c>
      <c r="GR148" s="793">
        <v>0</v>
      </c>
      <c r="GS148" s="793">
        <v>0</v>
      </c>
      <c r="GT148" s="793">
        <v>0</v>
      </c>
      <c r="GU148" s="793">
        <v>0</v>
      </c>
      <c r="GV148" s="793">
        <v>0</v>
      </c>
      <c r="GW148" s="793">
        <v>0</v>
      </c>
      <c r="GX148" s="793">
        <v>0</v>
      </c>
      <c r="GY148" s="793">
        <v>0</v>
      </c>
      <c r="GZ148" s="793">
        <v>0</v>
      </c>
      <c r="HA148" s="793">
        <v>15</v>
      </c>
      <c r="HB148" s="793">
        <v>0</v>
      </c>
      <c r="HC148" s="793">
        <v>0</v>
      </c>
      <c r="HD148" s="793">
        <v>0</v>
      </c>
      <c r="HE148" s="1701">
        <v>15</v>
      </c>
      <c r="HF148" s="1702">
        <v>0</v>
      </c>
    </row>
    <row r="149" spans="149:214" ht="24.95" customHeight="1">
      <c r="ES149" s="2236"/>
      <c r="ET149" s="1696">
        <v>14</v>
      </c>
      <c r="EU149" s="795" t="s">
        <v>6</v>
      </c>
      <c r="EV149" s="1697">
        <v>0</v>
      </c>
      <c r="EW149" s="1698">
        <v>0</v>
      </c>
      <c r="EX149" s="1697">
        <v>0</v>
      </c>
      <c r="EY149" s="1698">
        <v>0</v>
      </c>
      <c r="EZ149" s="1697">
        <v>36</v>
      </c>
      <c r="FA149" s="1698">
        <v>0</v>
      </c>
      <c r="FB149" s="1697">
        <v>0</v>
      </c>
      <c r="FC149" s="1698">
        <v>0</v>
      </c>
      <c r="FD149" s="1697">
        <v>0</v>
      </c>
      <c r="FE149" s="1698">
        <v>0</v>
      </c>
      <c r="FF149" s="1697">
        <v>0</v>
      </c>
      <c r="FG149" s="1698">
        <v>0</v>
      </c>
      <c r="FH149" s="1697">
        <v>0</v>
      </c>
      <c r="FI149" s="1698">
        <v>0</v>
      </c>
      <c r="FJ149" s="1697">
        <v>60</v>
      </c>
      <c r="FK149" s="1698">
        <v>0</v>
      </c>
      <c r="FL149" s="1697">
        <v>0</v>
      </c>
      <c r="FM149" s="1698">
        <v>0</v>
      </c>
      <c r="FN149" s="1697">
        <v>0</v>
      </c>
      <c r="FO149" s="1698">
        <v>0</v>
      </c>
      <c r="FP149" s="1697">
        <v>0</v>
      </c>
      <c r="FQ149" s="1698">
        <v>0</v>
      </c>
      <c r="FR149" s="1697">
        <v>0</v>
      </c>
      <c r="FS149" s="1698">
        <v>0</v>
      </c>
      <c r="FT149" s="1697">
        <v>0</v>
      </c>
      <c r="FU149" s="1698">
        <v>0</v>
      </c>
      <c r="FV149" s="1697">
        <v>0</v>
      </c>
      <c r="FW149" s="1698">
        <v>0</v>
      </c>
      <c r="FX149" s="1697">
        <v>0</v>
      </c>
      <c r="FY149" s="1698">
        <v>0</v>
      </c>
      <c r="FZ149" s="1697">
        <v>0</v>
      </c>
      <c r="GA149" s="1698">
        <v>0</v>
      </c>
      <c r="GB149" s="1697">
        <v>0</v>
      </c>
      <c r="GC149" s="1698">
        <v>0</v>
      </c>
      <c r="GD149" s="1697">
        <v>0</v>
      </c>
      <c r="GE149" s="1698">
        <v>0</v>
      </c>
      <c r="GF149" s="1697">
        <v>0</v>
      </c>
      <c r="GG149" s="1698">
        <v>0</v>
      </c>
      <c r="GH149" s="1699">
        <v>96</v>
      </c>
      <c r="GI149" s="1700">
        <v>0</v>
      </c>
      <c r="GJ149" s="1697">
        <v>0</v>
      </c>
      <c r="GK149" s="1698">
        <v>0</v>
      </c>
      <c r="GL149" s="793">
        <v>0</v>
      </c>
      <c r="GM149" s="793">
        <v>0</v>
      </c>
      <c r="GN149" s="793">
        <v>16</v>
      </c>
      <c r="GO149" s="793">
        <v>0</v>
      </c>
      <c r="GP149" s="793">
        <v>0</v>
      </c>
      <c r="GQ149" s="793">
        <v>0</v>
      </c>
      <c r="GR149" s="793">
        <v>0</v>
      </c>
      <c r="GS149" s="793">
        <v>14</v>
      </c>
      <c r="GT149" s="793">
        <v>0</v>
      </c>
      <c r="GU149" s="793">
        <v>0</v>
      </c>
      <c r="GV149" s="793">
        <v>0</v>
      </c>
      <c r="GW149" s="793">
        <v>0</v>
      </c>
      <c r="GX149" s="793">
        <v>0</v>
      </c>
      <c r="GY149" s="793">
        <v>0</v>
      </c>
      <c r="GZ149" s="793">
        <v>0</v>
      </c>
      <c r="HA149" s="793">
        <v>0</v>
      </c>
      <c r="HB149" s="793">
        <v>0</v>
      </c>
      <c r="HC149" s="793">
        <v>0</v>
      </c>
      <c r="HD149" s="793">
        <v>0</v>
      </c>
      <c r="HE149" s="1701">
        <v>30</v>
      </c>
      <c r="HF149" s="1702">
        <v>0</v>
      </c>
    </row>
    <row r="150" spans="149:214" ht="24.95" customHeight="1">
      <c r="ES150" s="2236"/>
      <c r="ET150" s="1688"/>
      <c r="EU150" s="794" t="s">
        <v>7</v>
      </c>
      <c r="EV150" s="1667"/>
      <c r="EW150" s="1711"/>
      <c r="EX150" s="1667"/>
      <c r="EY150" s="1711"/>
      <c r="EZ150" s="1667"/>
      <c r="FA150" s="1711"/>
      <c r="FB150" s="1667"/>
      <c r="FC150" s="1711"/>
      <c r="FD150" s="1667"/>
      <c r="FE150" s="1711"/>
      <c r="FF150" s="1667"/>
      <c r="FG150" s="1711"/>
      <c r="FH150" s="1667"/>
      <c r="FI150" s="1711"/>
      <c r="FJ150" s="1667"/>
      <c r="FK150" s="1711"/>
      <c r="FL150" s="1667"/>
      <c r="FM150" s="1711"/>
      <c r="FN150" s="1667"/>
      <c r="FO150" s="1711"/>
      <c r="FP150" s="1667"/>
      <c r="FQ150" s="1711"/>
      <c r="FR150" s="1667"/>
      <c r="FS150" s="1711"/>
      <c r="FT150" s="1667"/>
      <c r="FU150" s="1711"/>
      <c r="FV150" s="1667"/>
      <c r="FW150" s="1711"/>
      <c r="FX150" s="1667"/>
      <c r="FY150" s="1711"/>
      <c r="FZ150" s="1667"/>
      <c r="GA150" s="1711"/>
      <c r="GB150" s="1667"/>
      <c r="GC150" s="1711"/>
      <c r="GD150" s="1667"/>
      <c r="GE150" s="1711"/>
      <c r="GF150" s="1667"/>
      <c r="GG150" s="1711"/>
      <c r="GH150" s="1712"/>
      <c r="GI150" s="1713"/>
      <c r="GJ150" s="1667"/>
      <c r="GK150" s="1711"/>
      <c r="GL150" s="788"/>
      <c r="GM150" s="788"/>
      <c r="GN150" s="788"/>
      <c r="GO150" s="788"/>
      <c r="GP150" s="788"/>
      <c r="GQ150" s="788"/>
      <c r="GR150" s="788"/>
      <c r="GS150" s="788"/>
      <c r="GT150" s="788"/>
      <c r="GU150" s="788"/>
      <c r="GV150" s="788"/>
      <c r="GW150" s="788"/>
      <c r="GX150" s="788"/>
      <c r="GY150" s="788"/>
      <c r="GZ150" s="788"/>
      <c r="HA150" s="788"/>
      <c r="HB150" s="788"/>
      <c r="HC150" s="788"/>
      <c r="HD150" s="788"/>
      <c r="HE150" s="1693"/>
      <c r="HF150" s="790"/>
    </row>
    <row r="151" spans="149:214" ht="24.95" customHeight="1">
      <c r="ES151" s="2236"/>
      <c r="ET151" s="1696">
        <v>15</v>
      </c>
      <c r="EU151" s="795" t="s">
        <v>79</v>
      </c>
      <c r="EV151" s="1697">
        <v>430.2</v>
      </c>
      <c r="EW151" s="1698">
        <v>0</v>
      </c>
      <c r="EX151" s="1697">
        <v>0</v>
      </c>
      <c r="EY151" s="1698">
        <v>0</v>
      </c>
      <c r="EZ151" s="1697">
        <v>282</v>
      </c>
      <c r="FA151" s="1698">
        <v>1.5</v>
      </c>
      <c r="FB151" s="1697">
        <v>0</v>
      </c>
      <c r="FC151" s="1698">
        <v>0</v>
      </c>
      <c r="FD151" s="1697">
        <v>295</v>
      </c>
      <c r="FE151" s="1698">
        <v>0</v>
      </c>
      <c r="FF151" s="1697">
        <v>0</v>
      </c>
      <c r="FG151" s="1698">
        <v>0</v>
      </c>
      <c r="FH151" s="1697">
        <v>0</v>
      </c>
      <c r="FI151" s="1698">
        <v>0</v>
      </c>
      <c r="FJ151" s="1697">
        <v>561</v>
      </c>
      <c r="FK151" s="1698">
        <v>2.46</v>
      </c>
      <c r="FL151" s="1697">
        <v>0</v>
      </c>
      <c r="FM151" s="1698">
        <v>0</v>
      </c>
      <c r="FN151" s="1697">
        <v>0</v>
      </c>
      <c r="FO151" s="1698">
        <v>0</v>
      </c>
      <c r="FP151" s="1697">
        <v>0</v>
      </c>
      <c r="FQ151" s="1698">
        <v>0</v>
      </c>
      <c r="FR151" s="1697">
        <v>0</v>
      </c>
      <c r="FS151" s="1698">
        <v>0</v>
      </c>
      <c r="FT151" s="1697">
        <v>0</v>
      </c>
      <c r="FU151" s="1698">
        <v>0</v>
      </c>
      <c r="FV151" s="1697">
        <v>0</v>
      </c>
      <c r="FW151" s="1698">
        <v>0</v>
      </c>
      <c r="FX151" s="1697">
        <v>0</v>
      </c>
      <c r="FY151" s="1698">
        <v>0</v>
      </c>
      <c r="FZ151" s="1697">
        <v>0</v>
      </c>
      <c r="GA151" s="1698">
        <v>0</v>
      </c>
      <c r="GB151" s="1697">
        <v>146</v>
      </c>
      <c r="GC151" s="1698">
        <v>1.1299999999999999</v>
      </c>
      <c r="GD151" s="1697">
        <v>544.25</v>
      </c>
      <c r="GE151" s="1698">
        <v>0.5</v>
      </c>
      <c r="GF151" s="1697">
        <v>275</v>
      </c>
      <c r="GG151" s="1698">
        <v>0</v>
      </c>
      <c r="GH151" s="1699">
        <v>2533.4499999999998</v>
      </c>
      <c r="GI151" s="1700">
        <v>5.59</v>
      </c>
      <c r="GJ151" s="1697">
        <v>0</v>
      </c>
      <c r="GK151" s="1698">
        <v>0</v>
      </c>
      <c r="GL151" s="793">
        <v>7</v>
      </c>
      <c r="GM151" s="793">
        <v>0</v>
      </c>
      <c r="GN151" s="793">
        <v>22</v>
      </c>
      <c r="GO151" s="793">
        <v>0</v>
      </c>
      <c r="GP151" s="793">
        <v>8</v>
      </c>
      <c r="GQ151" s="793">
        <v>0</v>
      </c>
      <c r="GR151" s="793">
        <v>0</v>
      </c>
      <c r="GS151" s="793">
        <v>6</v>
      </c>
      <c r="GT151" s="793">
        <v>0</v>
      </c>
      <c r="GU151" s="793">
        <v>0</v>
      </c>
      <c r="GV151" s="793">
        <v>0</v>
      </c>
      <c r="GW151" s="793">
        <v>0</v>
      </c>
      <c r="GX151" s="793">
        <v>0</v>
      </c>
      <c r="GY151" s="793">
        <v>0</v>
      </c>
      <c r="GZ151" s="793">
        <v>0</v>
      </c>
      <c r="HA151" s="793">
        <v>0</v>
      </c>
      <c r="HB151" s="793">
        <v>21</v>
      </c>
      <c r="HC151" s="793">
        <v>17.600000000000001</v>
      </c>
      <c r="HD151" s="793">
        <v>0</v>
      </c>
      <c r="HE151" s="1701">
        <v>81.599999999999994</v>
      </c>
      <c r="HF151" s="1702">
        <v>0</v>
      </c>
    </row>
    <row r="152" spans="149:214" ht="24.95" customHeight="1">
      <c r="ES152" s="2236"/>
      <c r="ET152" s="1696">
        <v>16</v>
      </c>
      <c r="EU152" s="795" t="s">
        <v>19</v>
      </c>
      <c r="EV152" s="1697">
        <v>54</v>
      </c>
      <c r="EW152" s="1698">
        <v>0</v>
      </c>
      <c r="EX152" s="1697">
        <v>0</v>
      </c>
      <c r="EY152" s="1698">
        <v>0</v>
      </c>
      <c r="EZ152" s="1697">
        <v>0</v>
      </c>
      <c r="FA152" s="1698">
        <v>0</v>
      </c>
      <c r="FB152" s="1697">
        <v>0</v>
      </c>
      <c r="FC152" s="1698">
        <v>0</v>
      </c>
      <c r="FD152" s="1697">
        <v>0</v>
      </c>
      <c r="FE152" s="1698">
        <v>0</v>
      </c>
      <c r="FF152" s="1697">
        <v>0</v>
      </c>
      <c r="FG152" s="1698">
        <v>0</v>
      </c>
      <c r="FH152" s="1697">
        <v>0</v>
      </c>
      <c r="FI152" s="1698">
        <v>0</v>
      </c>
      <c r="FJ152" s="1697">
        <v>0</v>
      </c>
      <c r="FK152" s="1698">
        <v>0</v>
      </c>
      <c r="FL152" s="1697">
        <v>0</v>
      </c>
      <c r="FM152" s="1698">
        <v>0</v>
      </c>
      <c r="FN152" s="1697">
        <v>0</v>
      </c>
      <c r="FO152" s="1698">
        <v>0</v>
      </c>
      <c r="FP152" s="1697">
        <v>0</v>
      </c>
      <c r="FQ152" s="1698">
        <v>0</v>
      </c>
      <c r="FR152" s="1697">
        <v>0</v>
      </c>
      <c r="FS152" s="1698">
        <v>0</v>
      </c>
      <c r="FT152" s="1697">
        <v>0</v>
      </c>
      <c r="FU152" s="1698">
        <v>0</v>
      </c>
      <c r="FV152" s="1697">
        <v>109</v>
      </c>
      <c r="FW152" s="1698">
        <v>0</v>
      </c>
      <c r="FX152" s="1697">
        <v>0</v>
      </c>
      <c r="FY152" s="1698">
        <v>0</v>
      </c>
      <c r="FZ152" s="1697">
        <v>0</v>
      </c>
      <c r="GA152" s="1698">
        <v>0</v>
      </c>
      <c r="GB152" s="1697">
        <v>0</v>
      </c>
      <c r="GC152" s="1698">
        <v>0</v>
      </c>
      <c r="GD152" s="1697">
        <v>0</v>
      </c>
      <c r="GE152" s="1698">
        <v>0</v>
      </c>
      <c r="GF152" s="1697">
        <v>0</v>
      </c>
      <c r="GG152" s="1698">
        <v>0</v>
      </c>
      <c r="GH152" s="1714">
        <v>163</v>
      </c>
      <c r="GI152" s="1700">
        <v>0</v>
      </c>
      <c r="GJ152" s="1697">
        <v>0</v>
      </c>
      <c r="GK152" s="1698">
        <v>0</v>
      </c>
      <c r="GL152" s="793">
        <v>2</v>
      </c>
      <c r="GM152" s="793">
        <v>0</v>
      </c>
      <c r="GN152" s="793">
        <v>0</v>
      </c>
      <c r="GO152" s="793">
        <v>0</v>
      </c>
      <c r="GP152" s="793">
        <v>0</v>
      </c>
      <c r="GQ152" s="793">
        <v>0</v>
      </c>
      <c r="GR152" s="793">
        <v>0</v>
      </c>
      <c r="GS152" s="793">
        <v>0</v>
      </c>
      <c r="GT152" s="793">
        <v>0</v>
      </c>
      <c r="GU152" s="793">
        <v>0</v>
      </c>
      <c r="GV152" s="793">
        <v>0</v>
      </c>
      <c r="GW152" s="793">
        <v>0</v>
      </c>
      <c r="GX152" s="793">
        <v>0</v>
      </c>
      <c r="GY152" s="793">
        <v>0</v>
      </c>
      <c r="GZ152" s="793">
        <v>0</v>
      </c>
      <c r="HA152" s="793">
        <v>0</v>
      </c>
      <c r="HB152" s="793">
        <v>0</v>
      </c>
      <c r="HC152" s="793">
        <v>0</v>
      </c>
      <c r="HD152" s="793">
        <v>0</v>
      </c>
      <c r="HE152" s="1701">
        <v>2</v>
      </c>
      <c r="HF152" s="1702">
        <v>0</v>
      </c>
    </row>
    <row r="153" spans="149:214" ht="24.95" customHeight="1">
      <c r="ES153" s="2236"/>
      <c r="ET153" s="1696">
        <v>17</v>
      </c>
      <c r="EU153" s="795" t="s">
        <v>20</v>
      </c>
      <c r="EV153" s="1697">
        <v>0</v>
      </c>
      <c r="EW153" s="1698">
        <v>0</v>
      </c>
      <c r="EX153" s="1697">
        <v>0</v>
      </c>
      <c r="EY153" s="1698">
        <v>0</v>
      </c>
      <c r="EZ153" s="1697">
        <v>0</v>
      </c>
      <c r="FA153" s="1698">
        <v>0</v>
      </c>
      <c r="FB153" s="1697">
        <v>0</v>
      </c>
      <c r="FC153" s="1698">
        <v>0</v>
      </c>
      <c r="FD153" s="1697">
        <v>379</v>
      </c>
      <c r="FE153" s="1698">
        <v>0</v>
      </c>
      <c r="FF153" s="1697">
        <v>0</v>
      </c>
      <c r="FG153" s="1698">
        <v>0</v>
      </c>
      <c r="FH153" s="1697">
        <v>0</v>
      </c>
      <c r="FI153" s="1698">
        <v>0</v>
      </c>
      <c r="FJ153" s="1697">
        <v>0</v>
      </c>
      <c r="FK153" s="1698">
        <v>0</v>
      </c>
      <c r="FL153" s="1697">
        <v>0</v>
      </c>
      <c r="FM153" s="1698">
        <v>0</v>
      </c>
      <c r="FN153" s="1697">
        <v>0</v>
      </c>
      <c r="FO153" s="1698">
        <v>0</v>
      </c>
      <c r="FP153" s="1697">
        <v>0</v>
      </c>
      <c r="FQ153" s="1698">
        <v>0</v>
      </c>
      <c r="FR153" s="1697">
        <v>0</v>
      </c>
      <c r="FS153" s="1698">
        <v>0</v>
      </c>
      <c r="FT153" s="1697">
        <v>0</v>
      </c>
      <c r="FU153" s="1698">
        <v>0</v>
      </c>
      <c r="FV153" s="1697">
        <v>0</v>
      </c>
      <c r="FW153" s="1698">
        <v>0</v>
      </c>
      <c r="FX153" s="1697">
        <v>0</v>
      </c>
      <c r="FY153" s="1698">
        <v>0</v>
      </c>
      <c r="FZ153" s="1697">
        <v>0</v>
      </c>
      <c r="GA153" s="1698">
        <v>0</v>
      </c>
      <c r="GB153" s="1697">
        <v>0</v>
      </c>
      <c r="GC153" s="1698">
        <v>0</v>
      </c>
      <c r="GD153" s="1697">
        <v>0</v>
      </c>
      <c r="GE153" s="1698">
        <v>0</v>
      </c>
      <c r="GF153" s="1697">
        <v>0</v>
      </c>
      <c r="GG153" s="1698">
        <v>0</v>
      </c>
      <c r="GH153" s="1699">
        <v>379</v>
      </c>
      <c r="GI153" s="1700">
        <v>0</v>
      </c>
      <c r="GJ153" s="1697">
        <v>0</v>
      </c>
      <c r="GK153" s="1698">
        <v>0</v>
      </c>
      <c r="GL153" s="793">
        <v>0</v>
      </c>
      <c r="GM153" s="793">
        <v>0</v>
      </c>
      <c r="GN153" s="793">
        <v>0</v>
      </c>
      <c r="GO153" s="793">
        <v>0</v>
      </c>
      <c r="GP153" s="793">
        <v>2</v>
      </c>
      <c r="GQ153" s="793">
        <v>0</v>
      </c>
      <c r="GR153" s="793">
        <v>0</v>
      </c>
      <c r="GS153" s="793">
        <v>0</v>
      </c>
      <c r="GT153" s="793">
        <v>0</v>
      </c>
      <c r="GU153" s="793">
        <v>0</v>
      </c>
      <c r="GV153" s="793">
        <v>0</v>
      </c>
      <c r="GW153" s="793">
        <v>0</v>
      </c>
      <c r="GX153" s="793">
        <v>0</v>
      </c>
      <c r="GY153" s="793">
        <v>0</v>
      </c>
      <c r="GZ153" s="793">
        <v>0</v>
      </c>
      <c r="HA153" s="793">
        <v>0</v>
      </c>
      <c r="HB153" s="793">
        <v>0</v>
      </c>
      <c r="HC153" s="793">
        <v>0</v>
      </c>
      <c r="HD153" s="793">
        <v>0</v>
      </c>
      <c r="HE153" s="1701">
        <v>2</v>
      </c>
      <c r="HF153" s="1702">
        <v>0</v>
      </c>
    </row>
    <row r="154" spans="149:214" ht="24.95" customHeight="1">
      <c r="ES154" s="2236"/>
      <c r="ET154" s="1696">
        <v>18</v>
      </c>
      <c r="EU154" s="795" t="s">
        <v>21</v>
      </c>
      <c r="EV154" s="1697">
        <v>0</v>
      </c>
      <c r="EW154" s="1698">
        <v>0</v>
      </c>
      <c r="EX154" s="1697">
        <v>0</v>
      </c>
      <c r="EY154" s="1698">
        <v>0</v>
      </c>
      <c r="EZ154" s="1697">
        <v>0</v>
      </c>
      <c r="FA154" s="1698">
        <v>0</v>
      </c>
      <c r="FB154" s="1697">
        <v>0</v>
      </c>
      <c r="FC154" s="1698">
        <v>0</v>
      </c>
      <c r="FD154" s="1697">
        <v>0</v>
      </c>
      <c r="FE154" s="1698">
        <v>0</v>
      </c>
      <c r="FF154" s="1697">
        <v>0</v>
      </c>
      <c r="FG154" s="1698">
        <v>0</v>
      </c>
      <c r="FH154" s="1697">
        <v>0</v>
      </c>
      <c r="FI154" s="1698">
        <v>0</v>
      </c>
      <c r="FJ154" s="1697">
        <v>83</v>
      </c>
      <c r="FK154" s="1698">
        <v>0</v>
      </c>
      <c r="FL154" s="1697">
        <v>0</v>
      </c>
      <c r="FM154" s="1698">
        <v>0</v>
      </c>
      <c r="FN154" s="1697">
        <v>0</v>
      </c>
      <c r="FO154" s="1698">
        <v>0</v>
      </c>
      <c r="FP154" s="1697">
        <v>0</v>
      </c>
      <c r="FQ154" s="1698">
        <v>0</v>
      </c>
      <c r="FR154" s="1697">
        <v>0</v>
      </c>
      <c r="FS154" s="1698">
        <v>0</v>
      </c>
      <c r="FT154" s="1697">
        <v>0</v>
      </c>
      <c r="FU154" s="1698">
        <v>0</v>
      </c>
      <c r="FV154" s="1697">
        <v>0</v>
      </c>
      <c r="FW154" s="1698">
        <v>0</v>
      </c>
      <c r="FX154" s="1697">
        <v>0</v>
      </c>
      <c r="FY154" s="1698">
        <v>0</v>
      </c>
      <c r="FZ154" s="1697">
        <v>0</v>
      </c>
      <c r="GA154" s="1698">
        <v>0</v>
      </c>
      <c r="GB154" s="1697">
        <v>0</v>
      </c>
      <c r="GC154" s="1698">
        <v>0</v>
      </c>
      <c r="GD154" s="1697">
        <v>0</v>
      </c>
      <c r="GE154" s="1698">
        <v>0</v>
      </c>
      <c r="GF154" s="1697">
        <v>0</v>
      </c>
      <c r="GG154" s="1698">
        <v>0</v>
      </c>
      <c r="GH154" s="1714">
        <v>83</v>
      </c>
      <c r="GI154" s="1700">
        <v>0</v>
      </c>
      <c r="GJ154" s="1697">
        <v>0</v>
      </c>
      <c r="GK154" s="1698">
        <v>0</v>
      </c>
      <c r="GL154" s="793">
        <v>0</v>
      </c>
      <c r="GM154" s="793">
        <v>0</v>
      </c>
      <c r="GN154" s="793">
        <v>0</v>
      </c>
      <c r="GO154" s="793">
        <v>0</v>
      </c>
      <c r="GP154" s="793">
        <v>0</v>
      </c>
      <c r="GQ154" s="793">
        <v>0</v>
      </c>
      <c r="GR154" s="793">
        <v>0</v>
      </c>
      <c r="GS154" s="793">
        <v>0</v>
      </c>
      <c r="GT154" s="793">
        <v>0</v>
      </c>
      <c r="GU154" s="793">
        <v>0</v>
      </c>
      <c r="GV154" s="793">
        <v>0</v>
      </c>
      <c r="GW154" s="793">
        <v>0</v>
      </c>
      <c r="GX154" s="793">
        <v>0</v>
      </c>
      <c r="GY154" s="793">
        <v>0</v>
      </c>
      <c r="GZ154" s="793">
        <v>0</v>
      </c>
      <c r="HA154" s="793">
        <v>0</v>
      </c>
      <c r="HB154" s="793">
        <v>0</v>
      </c>
      <c r="HC154" s="793">
        <v>0</v>
      </c>
      <c r="HD154" s="793">
        <v>0</v>
      </c>
      <c r="HE154" s="1701">
        <v>0</v>
      </c>
      <c r="HF154" s="1702">
        <v>0</v>
      </c>
    </row>
    <row r="155" spans="149:214" ht="24.95" customHeight="1">
      <c r="ES155" s="2236"/>
      <c r="ET155" s="1696">
        <v>19</v>
      </c>
      <c r="EU155" s="795" t="s">
        <v>255</v>
      </c>
      <c r="EV155" s="1697">
        <v>0</v>
      </c>
      <c r="EW155" s="1698">
        <v>0</v>
      </c>
      <c r="EX155" s="1697">
        <v>0</v>
      </c>
      <c r="EY155" s="1698">
        <v>0</v>
      </c>
      <c r="EZ155" s="1697">
        <v>0</v>
      </c>
      <c r="FA155" s="1698">
        <v>0</v>
      </c>
      <c r="FB155" s="1697">
        <v>0</v>
      </c>
      <c r="FC155" s="1698">
        <v>0</v>
      </c>
      <c r="FD155" s="1697">
        <v>0</v>
      </c>
      <c r="FE155" s="1698">
        <v>0</v>
      </c>
      <c r="FF155" s="1697">
        <v>0</v>
      </c>
      <c r="FG155" s="1698">
        <v>0</v>
      </c>
      <c r="FH155" s="1697">
        <v>0</v>
      </c>
      <c r="FI155" s="1698">
        <v>0</v>
      </c>
      <c r="FJ155" s="1697">
        <v>0</v>
      </c>
      <c r="FK155" s="1698">
        <v>0</v>
      </c>
      <c r="FL155" s="1697">
        <v>0</v>
      </c>
      <c r="FM155" s="1698">
        <v>0</v>
      </c>
      <c r="FN155" s="1697">
        <v>6</v>
      </c>
      <c r="FO155" s="1698">
        <v>0</v>
      </c>
      <c r="FP155" s="1697">
        <v>0</v>
      </c>
      <c r="FQ155" s="1698">
        <v>0</v>
      </c>
      <c r="FR155" s="1697">
        <v>0</v>
      </c>
      <c r="FS155" s="1698">
        <v>0</v>
      </c>
      <c r="FT155" s="1697">
        <v>0</v>
      </c>
      <c r="FU155" s="1698">
        <v>0</v>
      </c>
      <c r="FV155" s="1697">
        <v>0</v>
      </c>
      <c r="FW155" s="1698">
        <v>0</v>
      </c>
      <c r="FX155" s="1697">
        <v>0</v>
      </c>
      <c r="FY155" s="1698">
        <v>0</v>
      </c>
      <c r="FZ155" s="1697">
        <v>0</v>
      </c>
      <c r="GA155" s="1698">
        <v>0</v>
      </c>
      <c r="GB155" s="1697">
        <v>68</v>
      </c>
      <c r="GC155" s="1698">
        <v>0</v>
      </c>
      <c r="GD155" s="1697">
        <v>0</v>
      </c>
      <c r="GE155" s="1698">
        <v>0</v>
      </c>
      <c r="GF155" s="1697">
        <v>0</v>
      </c>
      <c r="GG155" s="1698">
        <v>0</v>
      </c>
      <c r="GH155" s="1714">
        <v>74</v>
      </c>
      <c r="GI155" s="1700">
        <v>0</v>
      </c>
      <c r="GJ155" s="1697">
        <v>0</v>
      </c>
      <c r="GK155" s="1698">
        <v>0</v>
      </c>
      <c r="GL155" s="793">
        <v>0</v>
      </c>
      <c r="GM155" s="793">
        <v>0</v>
      </c>
      <c r="GN155" s="793">
        <v>0</v>
      </c>
      <c r="GO155" s="793">
        <v>0</v>
      </c>
      <c r="GP155" s="793">
        <v>0</v>
      </c>
      <c r="GQ155" s="793">
        <v>0</v>
      </c>
      <c r="GR155" s="793">
        <v>0</v>
      </c>
      <c r="GS155" s="793">
        <v>0</v>
      </c>
      <c r="GT155" s="793">
        <v>0</v>
      </c>
      <c r="GU155" s="793">
        <v>0</v>
      </c>
      <c r="GV155" s="793">
        <v>0</v>
      </c>
      <c r="GW155" s="793">
        <v>0</v>
      </c>
      <c r="GX155" s="793">
        <v>0</v>
      </c>
      <c r="GY155" s="793">
        <v>0</v>
      </c>
      <c r="GZ155" s="793">
        <v>0</v>
      </c>
      <c r="HA155" s="793">
        <v>0</v>
      </c>
      <c r="HB155" s="793">
        <v>0</v>
      </c>
      <c r="HC155" s="793">
        <v>0</v>
      </c>
      <c r="HD155" s="793">
        <v>0</v>
      </c>
      <c r="HE155" s="1701">
        <v>0</v>
      </c>
      <c r="HF155" s="1702">
        <v>0</v>
      </c>
    </row>
    <row r="156" spans="149:214" ht="24.95" customHeight="1">
      <c r="ES156" s="2236"/>
      <c r="ET156" s="1696">
        <v>20</v>
      </c>
      <c r="EU156" s="795" t="s">
        <v>255</v>
      </c>
      <c r="EV156" s="1697">
        <v>0</v>
      </c>
      <c r="EW156" s="1698">
        <v>0</v>
      </c>
      <c r="EX156" s="1697">
        <v>0</v>
      </c>
      <c r="EY156" s="1698">
        <v>0</v>
      </c>
      <c r="EZ156" s="1697">
        <v>0</v>
      </c>
      <c r="FA156" s="1698">
        <v>0</v>
      </c>
      <c r="FB156" s="1697">
        <v>0</v>
      </c>
      <c r="FC156" s="1698">
        <v>0</v>
      </c>
      <c r="FD156" s="1697">
        <v>0</v>
      </c>
      <c r="FE156" s="1698">
        <v>0</v>
      </c>
      <c r="FF156" s="1697">
        <v>0</v>
      </c>
      <c r="FG156" s="1698">
        <v>0</v>
      </c>
      <c r="FH156" s="1697">
        <v>0</v>
      </c>
      <c r="FI156" s="1698">
        <v>0</v>
      </c>
      <c r="FJ156" s="1697">
        <v>0</v>
      </c>
      <c r="FK156" s="1698">
        <v>0</v>
      </c>
      <c r="FL156" s="1697">
        <v>0</v>
      </c>
      <c r="FM156" s="1698">
        <v>0</v>
      </c>
      <c r="FN156" s="1697">
        <v>4</v>
      </c>
      <c r="FO156" s="1698">
        <v>0</v>
      </c>
      <c r="FP156" s="1697">
        <v>0</v>
      </c>
      <c r="FQ156" s="1698">
        <v>0</v>
      </c>
      <c r="FR156" s="1697">
        <v>0</v>
      </c>
      <c r="FS156" s="1698">
        <v>0</v>
      </c>
      <c r="FT156" s="1697">
        <v>0</v>
      </c>
      <c r="FU156" s="1698">
        <v>0</v>
      </c>
      <c r="FV156" s="1697">
        <v>0</v>
      </c>
      <c r="FW156" s="1698">
        <v>0</v>
      </c>
      <c r="FX156" s="1697">
        <v>0</v>
      </c>
      <c r="FY156" s="1698">
        <v>0</v>
      </c>
      <c r="FZ156" s="1697">
        <v>0</v>
      </c>
      <c r="GA156" s="1698">
        <v>0</v>
      </c>
      <c r="GB156" s="1697">
        <v>21</v>
      </c>
      <c r="GC156" s="1698">
        <v>0</v>
      </c>
      <c r="GD156" s="1697">
        <v>0</v>
      </c>
      <c r="GE156" s="1698">
        <v>0</v>
      </c>
      <c r="GF156" s="1697">
        <v>0</v>
      </c>
      <c r="GG156" s="1698">
        <v>0</v>
      </c>
      <c r="GH156" s="1714">
        <v>25</v>
      </c>
      <c r="GI156" s="1700">
        <v>0</v>
      </c>
      <c r="GJ156" s="1697">
        <v>0</v>
      </c>
      <c r="GK156" s="1698">
        <v>0</v>
      </c>
      <c r="GL156" s="793">
        <v>0</v>
      </c>
      <c r="GM156" s="793">
        <v>0</v>
      </c>
      <c r="GN156" s="793">
        <v>0</v>
      </c>
      <c r="GO156" s="793">
        <v>0</v>
      </c>
      <c r="GP156" s="793">
        <v>0</v>
      </c>
      <c r="GQ156" s="793">
        <v>0</v>
      </c>
      <c r="GR156" s="793">
        <v>0</v>
      </c>
      <c r="GS156" s="793">
        <v>0</v>
      </c>
      <c r="GT156" s="793">
        <v>0</v>
      </c>
      <c r="GU156" s="793">
        <v>0</v>
      </c>
      <c r="GV156" s="793">
        <v>0</v>
      </c>
      <c r="GW156" s="793">
        <v>0</v>
      </c>
      <c r="GX156" s="793">
        <v>0</v>
      </c>
      <c r="GY156" s="793">
        <v>0</v>
      </c>
      <c r="GZ156" s="793">
        <v>0</v>
      </c>
      <c r="HA156" s="793">
        <v>0</v>
      </c>
      <c r="HB156" s="793">
        <v>0</v>
      </c>
      <c r="HC156" s="793">
        <v>0</v>
      </c>
      <c r="HD156" s="793">
        <v>0</v>
      </c>
      <c r="HE156" s="1701">
        <v>0</v>
      </c>
      <c r="HF156" s="1702">
        <v>0</v>
      </c>
    </row>
    <row r="157" spans="149:214" ht="24.95" customHeight="1">
      <c r="ES157" s="2236"/>
      <c r="ET157" s="1696">
        <v>21</v>
      </c>
      <c r="EU157" s="795" t="s">
        <v>341</v>
      </c>
      <c r="EV157" s="1697">
        <v>0</v>
      </c>
      <c r="EW157" s="1698">
        <v>0</v>
      </c>
      <c r="EX157" s="1697">
        <v>0</v>
      </c>
      <c r="EY157" s="1698">
        <v>0</v>
      </c>
      <c r="EZ157" s="1697">
        <v>0</v>
      </c>
      <c r="FA157" s="1698">
        <v>0</v>
      </c>
      <c r="FB157" s="1697">
        <v>0</v>
      </c>
      <c r="FC157" s="1698">
        <v>0</v>
      </c>
      <c r="FD157" s="1697">
        <v>0</v>
      </c>
      <c r="FE157" s="1698">
        <v>0</v>
      </c>
      <c r="FF157" s="1697">
        <v>0</v>
      </c>
      <c r="FG157" s="1698">
        <v>0</v>
      </c>
      <c r="FH157" s="1697">
        <v>0</v>
      </c>
      <c r="FI157" s="1698">
        <v>0</v>
      </c>
      <c r="FJ157" s="1697">
        <v>0</v>
      </c>
      <c r="FK157" s="1698">
        <v>0</v>
      </c>
      <c r="FL157" s="1697">
        <v>0</v>
      </c>
      <c r="FM157" s="1698">
        <v>0</v>
      </c>
      <c r="FN157" s="1697">
        <v>23</v>
      </c>
      <c r="FO157" s="1698">
        <v>0</v>
      </c>
      <c r="FP157" s="1697">
        <v>0</v>
      </c>
      <c r="FQ157" s="1698">
        <v>0</v>
      </c>
      <c r="FR157" s="1697">
        <v>0</v>
      </c>
      <c r="FS157" s="1698">
        <v>0</v>
      </c>
      <c r="FT157" s="1697">
        <v>0</v>
      </c>
      <c r="FU157" s="1698">
        <v>0</v>
      </c>
      <c r="FV157" s="1697">
        <v>0</v>
      </c>
      <c r="FW157" s="1698">
        <v>0</v>
      </c>
      <c r="FX157" s="1697">
        <v>0</v>
      </c>
      <c r="FY157" s="1698">
        <v>0</v>
      </c>
      <c r="FZ157" s="1697">
        <v>0</v>
      </c>
      <c r="GA157" s="1698">
        <v>0</v>
      </c>
      <c r="GB157" s="1697">
        <v>0</v>
      </c>
      <c r="GC157" s="1698">
        <v>0</v>
      </c>
      <c r="GD157" s="1697">
        <v>0</v>
      </c>
      <c r="GE157" s="1698">
        <v>0</v>
      </c>
      <c r="GF157" s="1697">
        <v>18</v>
      </c>
      <c r="GG157" s="1698">
        <v>0</v>
      </c>
      <c r="GH157" s="1714">
        <v>41</v>
      </c>
      <c r="GI157" s="1700">
        <v>0</v>
      </c>
      <c r="GJ157" s="1697">
        <v>0</v>
      </c>
      <c r="GK157" s="1698">
        <v>0</v>
      </c>
      <c r="GL157" s="793">
        <v>0</v>
      </c>
      <c r="GM157" s="793">
        <v>0</v>
      </c>
      <c r="GN157" s="793">
        <v>0</v>
      </c>
      <c r="GO157" s="793">
        <v>0</v>
      </c>
      <c r="GP157" s="793">
        <v>0</v>
      </c>
      <c r="GQ157" s="793">
        <v>0</v>
      </c>
      <c r="GR157" s="793">
        <v>0</v>
      </c>
      <c r="GS157" s="793">
        <v>0</v>
      </c>
      <c r="GT157" s="793">
        <v>0</v>
      </c>
      <c r="GU157" s="793">
        <v>0</v>
      </c>
      <c r="GV157" s="793">
        <v>0</v>
      </c>
      <c r="GW157" s="793">
        <v>0</v>
      </c>
      <c r="GX157" s="793">
        <v>0</v>
      </c>
      <c r="GY157" s="793">
        <v>0</v>
      </c>
      <c r="GZ157" s="793">
        <v>0</v>
      </c>
      <c r="HA157" s="793">
        <v>0</v>
      </c>
      <c r="HB157" s="793">
        <v>0</v>
      </c>
      <c r="HC157" s="793">
        <v>0</v>
      </c>
      <c r="HD157" s="793">
        <v>2</v>
      </c>
      <c r="HE157" s="1701">
        <v>2</v>
      </c>
      <c r="HF157" s="1702">
        <v>0</v>
      </c>
    </row>
    <row r="158" spans="149:214" ht="24.95" customHeight="1">
      <c r="ES158" s="2236"/>
      <c r="ET158" s="1688"/>
      <c r="EU158" s="794" t="s">
        <v>71</v>
      </c>
      <c r="EV158" s="1689"/>
      <c r="EW158" s="1690"/>
      <c r="EX158" s="1689"/>
      <c r="EY158" s="1690"/>
      <c r="EZ158" s="1689"/>
      <c r="FA158" s="1690"/>
      <c r="FB158" s="1689"/>
      <c r="FC158" s="1690"/>
      <c r="FD158" s="1689"/>
      <c r="FE158" s="1690"/>
      <c r="FF158" s="1689"/>
      <c r="FG158" s="1690"/>
      <c r="FH158" s="1689"/>
      <c r="FI158" s="1690"/>
      <c r="FJ158" s="1689"/>
      <c r="FK158" s="1690"/>
      <c r="FL158" s="1689"/>
      <c r="FM158" s="1690"/>
      <c r="FN158" s="1689"/>
      <c r="FO158" s="1690"/>
      <c r="FP158" s="1689"/>
      <c r="FQ158" s="1690"/>
      <c r="FR158" s="1689"/>
      <c r="FS158" s="1690"/>
      <c r="FT158" s="1689"/>
      <c r="FU158" s="1690"/>
      <c r="FV158" s="1689"/>
      <c r="FW158" s="1690"/>
      <c r="FX158" s="1689"/>
      <c r="FY158" s="1690"/>
      <c r="FZ158" s="1689"/>
      <c r="GA158" s="1690"/>
      <c r="GB158" s="1689"/>
      <c r="GC158" s="1690"/>
      <c r="GD158" s="1689"/>
      <c r="GE158" s="1690"/>
      <c r="GF158" s="1689"/>
      <c r="GG158" s="1690"/>
      <c r="GH158" s="2458"/>
      <c r="GI158" s="2459"/>
      <c r="GJ158" s="1689"/>
      <c r="GK158" s="1690"/>
      <c r="GL158" s="1624"/>
      <c r="GM158" s="1624"/>
      <c r="GN158" s="1624"/>
      <c r="GO158" s="1624"/>
      <c r="GP158" s="1624"/>
      <c r="GQ158" s="1624"/>
      <c r="GR158" s="1624"/>
      <c r="GS158" s="1624"/>
      <c r="GT158" s="1624"/>
      <c r="GU158" s="1624"/>
      <c r="GV158" s="1624"/>
      <c r="GW158" s="1624"/>
      <c r="GX158" s="1624"/>
      <c r="GY158" s="1624"/>
      <c r="GZ158" s="1624"/>
      <c r="HA158" s="1624"/>
      <c r="HB158" s="1624"/>
      <c r="HC158" s="1624"/>
      <c r="HD158" s="1624"/>
      <c r="HE158" s="1693"/>
      <c r="HF158" s="1710"/>
    </row>
    <row r="159" spans="149:214" ht="24.95" customHeight="1">
      <c r="ES159" s="2236"/>
      <c r="ET159" s="1696">
        <v>22</v>
      </c>
      <c r="EU159" s="795" t="s">
        <v>209</v>
      </c>
      <c r="EV159" s="1697">
        <v>0</v>
      </c>
      <c r="EW159" s="1698">
        <v>0</v>
      </c>
      <c r="EX159" s="1697">
        <v>0</v>
      </c>
      <c r="EY159" s="1698">
        <v>0</v>
      </c>
      <c r="EZ159" s="1697">
        <v>1139.6500000000001</v>
      </c>
      <c r="FA159" s="1698">
        <v>0</v>
      </c>
      <c r="FB159" s="1697">
        <v>1502</v>
      </c>
      <c r="FC159" s="1698">
        <v>0</v>
      </c>
      <c r="FD159" s="1697">
        <v>0</v>
      </c>
      <c r="FE159" s="1698">
        <v>0</v>
      </c>
      <c r="FF159" s="1697">
        <v>1573</v>
      </c>
      <c r="FG159" s="1698">
        <v>23.5</v>
      </c>
      <c r="FH159" s="1697">
        <v>0</v>
      </c>
      <c r="FI159" s="1698">
        <v>0</v>
      </c>
      <c r="FJ159" s="1697">
        <v>0</v>
      </c>
      <c r="FK159" s="1698">
        <v>0</v>
      </c>
      <c r="FL159" s="1697">
        <v>0</v>
      </c>
      <c r="FM159" s="1698">
        <v>0</v>
      </c>
      <c r="FN159" s="1697">
        <v>261.33999999999997</v>
      </c>
      <c r="FO159" s="1698">
        <v>0</v>
      </c>
      <c r="FP159" s="1697">
        <v>0</v>
      </c>
      <c r="FQ159" s="1698">
        <v>0</v>
      </c>
      <c r="FR159" s="1697">
        <v>0</v>
      </c>
      <c r="FS159" s="1698">
        <v>0</v>
      </c>
      <c r="FT159" s="1697">
        <v>858</v>
      </c>
      <c r="FU159" s="1698">
        <v>0</v>
      </c>
      <c r="FV159" s="1697">
        <v>0</v>
      </c>
      <c r="FW159" s="1698">
        <v>0</v>
      </c>
      <c r="FX159" s="1697">
        <v>0</v>
      </c>
      <c r="FY159" s="1698">
        <v>0</v>
      </c>
      <c r="FZ159" s="1697">
        <v>0</v>
      </c>
      <c r="GA159" s="1698">
        <v>0</v>
      </c>
      <c r="GB159" s="1697">
        <v>768.26</v>
      </c>
      <c r="GC159" s="1698">
        <v>0.5</v>
      </c>
      <c r="GD159" s="1697">
        <v>0</v>
      </c>
      <c r="GE159" s="1698">
        <v>0</v>
      </c>
      <c r="GF159" s="1697">
        <v>2143</v>
      </c>
      <c r="GG159" s="1698">
        <v>0</v>
      </c>
      <c r="GH159" s="1699">
        <v>8245.25</v>
      </c>
      <c r="GI159" s="1700">
        <v>24</v>
      </c>
      <c r="GJ159" s="1697">
        <v>0</v>
      </c>
      <c r="GK159" s="1698">
        <v>0</v>
      </c>
      <c r="GL159" s="793">
        <v>0</v>
      </c>
      <c r="GM159" s="793">
        <v>0</v>
      </c>
      <c r="GN159" s="793">
        <v>78</v>
      </c>
      <c r="GO159" s="793">
        <v>89</v>
      </c>
      <c r="GP159" s="793">
        <v>0</v>
      </c>
      <c r="GQ159" s="793">
        <v>13.5</v>
      </c>
      <c r="GR159" s="793">
        <v>0</v>
      </c>
      <c r="GS159" s="793">
        <v>0</v>
      </c>
      <c r="GT159" s="793">
        <v>0</v>
      </c>
      <c r="GU159" s="793">
        <v>1</v>
      </c>
      <c r="GV159" s="793">
        <v>0</v>
      </c>
      <c r="GW159" s="793">
        <v>0</v>
      </c>
      <c r="GX159" s="793">
        <v>10</v>
      </c>
      <c r="GY159" s="793">
        <v>0</v>
      </c>
      <c r="GZ159" s="793">
        <v>0</v>
      </c>
      <c r="HA159" s="793">
        <v>0</v>
      </c>
      <c r="HB159" s="793">
        <v>63</v>
      </c>
      <c r="HC159" s="793">
        <v>0</v>
      </c>
      <c r="HD159" s="793">
        <v>23</v>
      </c>
      <c r="HE159" s="1701">
        <v>277.5</v>
      </c>
      <c r="HF159" s="1702">
        <v>0</v>
      </c>
    </row>
    <row r="160" spans="149:214" ht="24.95" customHeight="1">
      <c r="ES160" s="2236"/>
      <c r="ET160" s="1696">
        <v>23</v>
      </c>
      <c r="EU160" s="795" t="s">
        <v>219</v>
      </c>
      <c r="EV160" s="1697">
        <v>0</v>
      </c>
      <c r="EW160" s="1698">
        <v>0</v>
      </c>
      <c r="EX160" s="1697">
        <v>128.30000000000001</v>
      </c>
      <c r="EY160" s="1698">
        <v>3.2</v>
      </c>
      <c r="EZ160" s="1697">
        <v>0</v>
      </c>
      <c r="FA160" s="1698">
        <v>0</v>
      </c>
      <c r="FB160" s="1697">
        <v>0</v>
      </c>
      <c r="FC160" s="1698">
        <v>0</v>
      </c>
      <c r="FD160" s="1697">
        <v>115</v>
      </c>
      <c r="FE160" s="1698">
        <v>0</v>
      </c>
      <c r="FF160" s="1697">
        <v>207</v>
      </c>
      <c r="FG160" s="1698">
        <v>1.5</v>
      </c>
      <c r="FH160" s="1697">
        <v>0</v>
      </c>
      <c r="FI160" s="1698">
        <v>0</v>
      </c>
      <c r="FJ160" s="1697">
        <v>140</v>
      </c>
      <c r="FK160" s="1698">
        <v>0.16700000000000001</v>
      </c>
      <c r="FL160" s="1697">
        <v>0</v>
      </c>
      <c r="FM160" s="1698">
        <v>0</v>
      </c>
      <c r="FN160" s="1697">
        <v>0</v>
      </c>
      <c r="FO160" s="1698">
        <v>0</v>
      </c>
      <c r="FP160" s="1697">
        <v>0</v>
      </c>
      <c r="FQ160" s="1698">
        <v>0</v>
      </c>
      <c r="FR160" s="1697">
        <v>161</v>
      </c>
      <c r="FS160" s="1698">
        <v>0.42</v>
      </c>
      <c r="FT160" s="1697">
        <v>105</v>
      </c>
      <c r="FU160" s="1698">
        <v>0</v>
      </c>
      <c r="FV160" s="1697">
        <v>0</v>
      </c>
      <c r="FW160" s="1698">
        <v>0</v>
      </c>
      <c r="FX160" s="1697">
        <v>0</v>
      </c>
      <c r="FY160" s="1698">
        <v>0</v>
      </c>
      <c r="FZ160" s="1697">
        <v>0</v>
      </c>
      <c r="GA160" s="1698">
        <v>0</v>
      </c>
      <c r="GB160" s="1697">
        <v>0</v>
      </c>
      <c r="GC160" s="1698">
        <v>0</v>
      </c>
      <c r="GD160" s="1697">
        <v>0</v>
      </c>
      <c r="GE160" s="1698">
        <v>0</v>
      </c>
      <c r="GF160" s="1697">
        <v>0</v>
      </c>
      <c r="GG160" s="1698">
        <v>0</v>
      </c>
      <c r="GH160" s="1699">
        <v>856.3</v>
      </c>
      <c r="GI160" s="1700">
        <v>5.2869999999999999</v>
      </c>
      <c r="GJ160" s="1697">
        <v>0</v>
      </c>
      <c r="GK160" s="1698">
        <v>0</v>
      </c>
      <c r="GL160" s="793">
        <v>0</v>
      </c>
      <c r="GM160" s="793">
        <v>2</v>
      </c>
      <c r="GN160" s="793">
        <v>0</v>
      </c>
      <c r="GO160" s="793">
        <v>0</v>
      </c>
      <c r="GP160" s="793">
        <v>19</v>
      </c>
      <c r="GQ160" s="793">
        <v>7</v>
      </c>
      <c r="GR160" s="793">
        <v>0</v>
      </c>
      <c r="GS160" s="793">
        <v>6</v>
      </c>
      <c r="GT160" s="793">
        <v>0</v>
      </c>
      <c r="GU160" s="793">
        <v>0</v>
      </c>
      <c r="GV160" s="793">
        <v>0</v>
      </c>
      <c r="GW160" s="793">
        <v>9</v>
      </c>
      <c r="GX160" s="793">
        <v>1</v>
      </c>
      <c r="GY160" s="793">
        <v>0</v>
      </c>
      <c r="GZ160" s="793">
        <v>0</v>
      </c>
      <c r="HA160" s="793">
        <v>0</v>
      </c>
      <c r="HB160" s="793">
        <v>0</v>
      </c>
      <c r="HC160" s="793">
        <v>0</v>
      </c>
      <c r="HD160" s="793">
        <v>0</v>
      </c>
      <c r="HE160" s="1701">
        <v>44</v>
      </c>
      <c r="HF160" s="1702">
        <v>0</v>
      </c>
    </row>
    <row r="161" spans="36:273" ht="24.95" customHeight="1">
      <c r="ES161" s="2236"/>
      <c r="ET161" s="1688"/>
      <c r="EU161" s="791" t="s">
        <v>72</v>
      </c>
      <c r="EV161" s="2465"/>
      <c r="EW161" s="2466"/>
      <c r="EX161" s="2465"/>
      <c r="EY161" s="2466"/>
      <c r="EZ161" s="2465"/>
      <c r="FA161" s="2466"/>
      <c r="FB161" s="2465"/>
      <c r="FC161" s="2466"/>
      <c r="FD161" s="2465"/>
      <c r="FE161" s="2466"/>
      <c r="FF161" s="2465"/>
      <c r="FG161" s="2466"/>
      <c r="FH161" s="2465"/>
      <c r="FI161" s="2466"/>
      <c r="FJ161" s="2465"/>
      <c r="FK161" s="2466"/>
      <c r="FL161" s="2465"/>
      <c r="FM161" s="2466"/>
      <c r="FN161" s="2465"/>
      <c r="FO161" s="2466"/>
      <c r="FP161" s="2465"/>
      <c r="FQ161" s="2466"/>
      <c r="FR161" s="2465"/>
      <c r="FS161" s="2466"/>
      <c r="FT161" s="2465"/>
      <c r="FU161" s="2466"/>
      <c r="FV161" s="2465"/>
      <c r="FW161" s="2466"/>
      <c r="FX161" s="2465"/>
      <c r="FY161" s="2466"/>
      <c r="FZ161" s="2465"/>
      <c r="GA161" s="2466"/>
      <c r="GB161" s="2465"/>
      <c r="GC161" s="2466"/>
      <c r="GD161" s="2465"/>
      <c r="GE161" s="2466"/>
      <c r="GF161" s="2465"/>
      <c r="GG161" s="2466"/>
      <c r="GH161" s="2467"/>
      <c r="GI161" s="2468"/>
      <c r="GJ161" s="2465"/>
      <c r="GK161" s="2466"/>
      <c r="GL161" s="788"/>
      <c r="GM161" s="788"/>
      <c r="GN161" s="788"/>
      <c r="GO161" s="788"/>
      <c r="GP161" s="788"/>
      <c r="GQ161" s="788"/>
      <c r="GR161" s="788"/>
      <c r="GS161" s="788"/>
      <c r="GT161" s="788"/>
      <c r="GU161" s="788"/>
      <c r="GV161" s="788"/>
      <c r="GW161" s="788"/>
      <c r="GX161" s="788"/>
      <c r="GY161" s="788"/>
      <c r="GZ161" s="788"/>
      <c r="HA161" s="788"/>
      <c r="HB161" s="788"/>
      <c r="HC161" s="788"/>
      <c r="HD161" s="788"/>
      <c r="HE161" s="1693"/>
      <c r="HF161" s="790"/>
    </row>
    <row r="162" spans="36:273" s="1550" customFormat="1" ht="24.95" customHeight="1">
      <c r="CF162" s="1553"/>
      <c r="CG162" s="1553"/>
      <c r="CH162" s="1553"/>
      <c r="CI162" s="1553"/>
      <c r="CJ162" s="1553"/>
      <c r="CK162" s="1553"/>
      <c r="CL162" s="1553"/>
      <c r="CM162" s="1553"/>
      <c r="CN162" s="1553"/>
      <c r="CO162" s="1553"/>
      <c r="CP162" s="1553"/>
      <c r="CQ162" s="1553"/>
      <c r="CR162" s="1553"/>
      <c r="CS162" s="1553"/>
      <c r="CT162" s="1553"/>
      <c r="CU162" s="1553"/>
      <c r="CV162" s="1553"/>
      <c r="CW162" s="2469"/>
      <c r="CX162" s="2469"/>
      <c r="CY162" s="1553"/>
      <c r="CZ162" s="1553"/>
      <c r="DA162" s="1553"/>
      <c r="DB162" s="1553"/>
      <c r="DC162" s="1553"/>
      <c r="DD162" s="1553"/>
      <c r="DE162" s="1553"/>
      <c r="DF162" s="1553"/>
      <c r="DG162" s="1553"/>
      <c r="DH162" s="1553"/>
      <c r="DI162" s="1553"/>
      <c r="DJ162" s="1553"/>
      <c r="DK162" s="1553"/>
      <c r="DL162" s="1553"/>
      <c r="DM162" s="1553"/>
      <c r="DN162" s="1553"/>
      <c r="DO162" s="1553"/>
      <c r="DP162" s="1553"/>
      <c r="DQ162" s="1553"/>
      <c r="DR162" s="1553"/>
      <c r="DS162" s="1553"/>
      <c r="DT162" s="1553"/>
      <c r="DU162" s="1553"/>
      <c r="DV162" s="1553"/>
      <c r="DW162" s="1553"/>
      <c r="DX162" s="1553"/>
      <c r="DY162" s="1553"/>
      <c r="DZ162" s="1553"/>
      <c r="EA162" s="1553"/>
      <c r="EB162" s="1553"/>
      <c r="EC162" s="1553"/>
      <c r="ED162" s="1553"/>
      <c r="EE162" s="1553"/>
      <c r="EF162" s="1553"/>
      <c r="EG162" s="1553"/>
      <c r="EH162" s="1553"/>
      <c r="EI162" s="1553"/>
      <c r="EJ162" s="1553"/>
      <c r="EK162" s="1553"/>
      <c r="EL162" s="1553"/>
      <c r="EM162" s="1553"/>
      <c r="EN162" s="1553"/>
      <c r="EO162" s="1553"/>
      <c r="EP162" s="1553"/>
      <c r="EQ162" s="1553"/>
      <c r="ER162" s="1717"/>
      <c r="ES162" s="2236"/>
      <c r="ET162" s="1696">
        <v>24</v>
      </c>
      <c r="EU162" s="792" t="s">
        <v>246</v>
      </c>
      <c r="EV162" s="1697">
        <v>19</v>
      </c>
      <c r="EW162" s="1698">
        <v>0</v>
      </c>
      <c r="EX162" s="1697">
        <v>0</v>
      </c>
      <c r="EY162" s="1698">
        <v>0</v>
      </c>
      <c r="EZ162" s="1697">
        <v>13</v>
      </c>
      <c r="FA162" s="1698">
        <v>0</v>
      </c>
      <c r="FB162" s="1697">
        <v>0</v>
      </c>
      <c r="FC162" s="1698">
        <v>0</v>
      </c>
      <c r="FD162" s="1697">
        <v>0</v>
      </c>
      <c r="FE162" s="1698">
        <v>0</v>
      </c>
      <c r="FF162" s="1697">
        <v>0</v>
      </c>
      <c r="FG162" s="1698">
        <v>0</v>
      </c>
      <c r="FH162" s="1697">
        <v>0</v>
      </c>
      <c r="FI162" s="1698">
        <v>0</v>
      </c>
      <c r="FJ162" s="1697">
        <v>23</v>
      </c>
      <c r="FK162" s="1698">
        <v>0</v>
      </c>
      <c r="FL162" s="1697">
        <v>0</v>
      </c>
      <c r="FM162" s="1698">
        <v>0</v>
      </c>
      <c r="FN162" s="1697">
        <v>0</v>
      </c>
      <c r="FO162" s="1698">
        <v>0</v>
      </c>
      <c r="FP162" s="1697">
        <v>0</v>
      </c>
      <c r="FQ162" s="1698">
        <v>0</v>
      </c>
      <c r="FR162" s="1697">
        <v>0</v>
      </c>
      <c r="FS162" s="1698">
        <v>0</v>
      </c>
      <c r="FT162" s="1697">
        <v>0</v>
      </c>
      <c r="FU162" s="1698">
        <v>0</v>
      </c>
      <c r="FV162" s="1697">
        <v>0</v>
      </c>
      <c r="FW162" s="1698">
        <v>0</v>
      </c>
      <c r="FX162" s="1697">
        <v>0</v>
      </c>
      <c r="FY162" s="1698">
        <v>0</v>
      </c>
      <c r="FZ162" s="1697">
        <v>0</v>
      </c>
      <c r="GA162" s="1698">
        <v>0</v>
      </c>
      <c r="GB162" s="1697">
        <v>0</v>
      </c>
      <c r="GC162" s="1698">
        <v>0</v>
      </c>
      <c r="GD162" s="1697">
        <v>0</v>
      </c>
      <c r="GE162" s="1698">
        <v>0</v>
      </c>
      <c r="GF162" s="1697">
        <v>0</v>
      </c>
      <c r="GG162" s="1698">
        <v>0</v>
      </c>
      <c r="GH162" s="1699">
        <v>55</v>
      </c>
      <c r="GI162" s="1700">
        <v>0</v>
      </c>
      <c r="GJ162" s="1697">
        <v>0</v>
      </c>
      <c r="GK162" s="1698">
        <v>0</v>
      </c>
      <c r="GL162" s="788"/>
      <c r="GM162" s="788"/>
      <c r="GN162" s="788"/>
      <c r="GO162" s="788"/>
      <c r="GP162" s="788"/>
      <c r="GQ162" s="788"/>
      <c r="GR162" s="788"/>
      <c r="GS162" s="788"/>
      <c r="GT162" s="788"/>
      <c r="GU162" s="788"/>
      <c r="GV162" s="788"/>
      <c r="GW162" s="788"/>
      <c r="GX162" s="788"/>
      <c r="GY162" s="788"/>
      <c r="GZ162" s="788"/>
      <c r="HA162" s="788"/>
      <c r="HB162" s="788"/>
      <c r="HC162" s="788"/>
      <c r="HD162" s="788"/>
      <c r="HE162" s="1693"/>
      <c r="HF162" s="790"/>
    </row>
    <row r="163" spans="36:273" ht="24.95" customHeight="1">
      <c r="ES163" s="2236"/>
      <c r="ET163" s="1696">
        <v>25</v>
      </c>
      <c r="EU163" s="792" t="s">
        <v>76</v>
      </c>
      <c r="EV163" s="1697">
        <v>2825.23</v>
      </c>
      <c r="EW163" s="1698">
        <v>88.54</v>
      </c>
      <c r="EX163" s="1697">
        <v>1894.7</v>
      </c>
      <c r="EY163" s="1698">
        <v>52.7</v>
      </c>
      <c r="EZ163" s="1697">
        <v>2107.7149999999992</v>
      </c>
      <c r="FA163" s="1698">
        <v>13.383375000000001</v>
      </c>
      <c r="FB163" s="1697">
        <v>2872.3</v>
      </c>
      <c r="FC163" s="1698">
        <v>112.3</v>
      </c>
      <c r="FD163" s="1697">
        <v>3751.05</v>
      </c>
      <c r="FE163" s="1698">
        <v>67.3</v>
      </c>
      <c r="FF163" s="1697">
        <v>2998.17</v>
      </c>
      <c r="FG163" s="1698">
        <v>305.58999999999997</v>
      </c>
      <c r="FH163" s="1697">
        <v>120</v>
      </c>
      <c r="FI163" s="1698">
        <v>0</v>
      </c>
      <c r="FJ163" s="1697">
        <v>4901.2790000000005</v>
      </c>
      <c r="FK163" s="1698">
        <v>9.9634999999999998</v>
      </c>
      <c r="FL163" s="1697">
        <v>2730.99</v>
      </c>
      <c r="FM163" s="1698">
        <v>12.15</v>
      </c>
      <c r="FN163" s="1697">
        <v>1570.68</v>
      </c>
      <c r="FO163" s="1698">
        <v>366</v>
      </c>
      <c r="FP163" s="1697">
        <v>0</v>
      </c>
      <c r="FQ163" s="1698">
        <v>3396.8319999999999</v>
      </c>
      <c r="FR163" s="1697">
        <v>394</v>
      </c>
      <c r="FS163" s="1698">
        <v>5.86</v>
      </c>
      <c r="FT163" s="1697">
        <v>1355</v>
      </c>
      <c r="FU163" s="1698">
        <v>81.900000000000006</v>
      </c>
      <c r="FV163" s="1697">
        <v>0</v>
      </c>
      <c r="FW163" s="1698">
        <v>0</v>
      </c>
      <c r="FX163" s="1697">
        <v>986</v>
      </c>
      <c r="FY163" s="1698">
        <v>98.89</v>
      </c>
      <c r="FZ163" s="1697">
        <v>1356.5</v>
      </c>
      <c r="GA163" s="1698">
        <v>5.8</v>
      </c>
      <c r="GB163" s="1697">
        <v>1895.125</v>
      </c>
      <c r="GC163" s="1698">
        <v>48.191000000000003</v>
      </c>
      <c r="GD163" s="1697">
        <v>5523.7250000000004</v>
      </c>
      <c r="GE163" s="1698">
        <v>10.9</v>
      </c>
      <c r="GF163" s="1697">
        <v>3410</v>
      </c>
      <c r="GG163" s="1698">
        <v>61.250000000000014</v>
      </c>
      <c r="GH163" s="1699">
        <v>40692.464</v>
      </c>
      <c r="GI163" s="1700">
        <v>4737.5498749999988</v>
      </c>
      <c r="GJ163" s="1697">
        <v>0</v>
      </c>
      <c r="GK163" s="1698">
        <v>2318.3409999999999</v>
      </c>
      <c r="GL163" s="788"/>
      <c r="GM163" s="788"/>
      <c r="GN163" s="788"/>
      <c r="GO163" s="788"/>
      <c r="GP163" s="788"/>
      <c r="GQ163" s="788"/>
      <c r="GR163" s="788"/>
      <c r="GS163" s="788"/>
      <c r="GT163" s="788"/>
      <c r="GU163" s="788"/>
      <c r="GV163" s="788"/>
      <c r="GW163" s="788"/>
      <c r="GX163" s="788"/>
      <c r="GY163" s="788"/>
      <c r="GZ163" s="788"/>
      <c r="HA163" s="788"/>
      <c r="HB163" s="788"/>
      <c r="HC163" s="788"/>
      <c r="HD163" s="788"/>
      <c r="HE163" s="1693"/>
      <c r="HF163" s="790"/>
    </row>
    <row r="164" spans="36:273" ht="24.95" customHeight="1">
      <c r="ES164" s="2236"/>
      <c r="ET164" s="1696">
        <v>26</v>
      </c>
      <c r="EU164" s="792" t="s">
        <v>74</v>
      </c>
      <c r="EV164" s="1697">
        <v>3946.4169999999999</v>
      </c>
      <c r="EW164" s="1698">
        <v>272.07</v>
      </c>
      <c r="EX164" s="1697">
        <v>1418.2</v>
      </c>
      <c r="EY164" s="1698">
        <v>59.2</v>
      </c>
      <c r="EZ164" s="1697">
        <v>3456.9040000000027</v>
      </c>
      <c r="FA164" s="1698">
        <v>492.63662499999839</v>
      </c>
      <c r="FB164" s="1697">
        <v>3739.7</v>
      </c>
      <c r="FC164" s="1698">
        <v>462.2</v>
      </c>
      <c r="FD164" s="1697">
        <v>4651.1099999999997</v>
      </c>
      <c r="FE164" s="1698">
        <v>325.2</v>
      </c>
      <c r="FF164" s="1697">
        <v>5691</v>
      </c>
      <c r="FG164" s="1698">
        <v>418.21</v>
      </c>
      <c r="FH164" s="1697">
        <v>894</v>
      </c>
      <c r="FI164" s="1698">
        <v>4.5</v>
      </c>
      <c r="FJ164" s="1697">
        <v>6448.0209999999997</v>
      </c>
      <c r="FK164" s="1698">
        <v>230.2645</v>
      </c>
      <c r="FL164" s="1697">
        <v>2003.71</v>
      </c>
      <c r="FM164" s="1698">
        <v>2.95</v>
      </c>
      <c r="FN164" s="1697">
        <v>3453.34</v>
      </c>
      <c r="FO164" s="1698">
        <v>713.9</v>
      </c>
      <c r="FP164" s="1697">
        <v>0</v>
      </c>
      <c r="FQ164" s="1698">
        <v>4733.5420000000004</v>
      </c>
      <c r="FR164" s="1697">
        <v>2128</v>
      </c>
      <c r="FS164" s="1698">
        <v>60.21</v>
      </c>
      <c r="FT164" s="1697">
        <v>4686.5</v>
      </c>
      <c r="FU164" s="1698">
        <v>141.38999999999999</v>
      </c>
      <c r="FV164" s="1697">
        <v>482</v>
      </c>
      <c r="FW164" s="1698">
        <v>0</v>
      </c>
      <c r="FX164" s="1697">
        <v>217</v>
      </c>
      <c r="FY164" s="1698">
        <v>29.76</v>
      </c>
      <c r="FZ164" s="1697">
        <v>1215.5</v>
      </c>
      <c r="GA164" s="1698">
        <v>37.700000000000003</v>
      </c>
      <c r="GB164" s="1697">
        <v>3267.46</v>
      </c>
      <c r="GC164" s="1698">
        <v>135.79300000000001</v>
      </c>
      <c r="GD164" s="1697">
        <v>5059.53</v>
      </c>
      <c r="GE164" s="1698">
        <v>153.81</v>
      </c>
      <c r="GF164" s="1697">
        <v>5485.5</v>
      </c>
      <c r="GG164" s="1698">
        <v>204.08333333333331</v>
      </c>
      <c r="GH164" s="1699">
        <v>58243.892</v>
      </c>
      <c r="GI164" s="1700">
        <v>8477.4194583333338</v>
      </c>
      <c r="GJ164" s="1697">
        <v>0</v>
      </c>
      <c r="GK164" s="1698">
        <v>3270.1529999999998</v>
      </c>
      <c r="GL164" s="788"/>
      <c r="GM164" s="788"/>
      <c r="GN164" s="788"/>
      <c r="GO164" s="788"/>
      <c r="GP164" s="788"/>
      <c r="GQ164" s="788"/>
      <c r="GR164" s="788"/>
      <c r="GS164" s="788"/>
      <c r="GT164" s="788"/>
      <c r="GU164" s="788"/>
      <c r="GV164" s="788"/>
      <c r="GW164" s="788"/>
      <c r="GX164" s="788"/>
      <c r="GY164" s="788"/>
      <c r="GZ164" s="788"/>
      <c r="HA164" s="788"/>
      <c r="HB164" s="788"/>
      <c r="HC164" s="788"/>
      <c r="HD164" s="788"/>
      <c r="HE164" s="1693"/>
      <c r="HF164" s="790"/>
    </row>
    <row r="165" spans="36:273" ht="30" customHeight="1">
      <c r="ES165" s="2236"/>
      <c r="ET165" s="1688"/>
      <c r="EU165" s="791" t="s">
        <v>2</v>
      </c>
      <c r="EV165" s="1715">
        <v>8000.4969999999994</v>
      </c>
      <c r="EW165" s="1716">
        <v>360.61</v>
      </c>
      <c r="EX165" s="1715">
        <v>3441.2</v>
      </c>
      <c r="EY165" s="1716">
        <v>115.10000000000001</v>
      </c>
      <c r="EZ165" s="1715">
        <v>7725.7690000000021</v>
      </c>
      <c r="FA165" s="1716">
        <v>507.51999999999839</v>
      </c>
      <c r="FB165" s="1715">
        <v>8114</v>
      </c>
      <c r="FC165" s="1716">
        <v>574.5</v>
      </c>
      <c r="FD165" s="1715">
        <v>9754.16</v>
      </c>
      <c r="FE165" s="1716">
        <v>392.5</v>
      </c>
      <c r="FF165" s="1715">
        <v>10469.17</v>
      </c>
      <c r="FG165" s="1716">
        <v>748.8</v>
      </c>
      <c r="FH165" s="1715">
        <v>1014</v>
      </c>
      <c r="FI165" s="1716">
        <v>4.5</v>
      </c>
      <c r="FJ165" s="1715">
        <v>13305.3</v>
      </c>
      <c r="FK165" s="1716">
        <v>242.85499999999999</v>
      </c>
      <c r="FL165" s="1715">
        <v>4734.7</v>
      </c>
      <c r="FM165" s="1716">
        <v>15.100000000000001</v>
      </c>
      <c r="FN165" s="1715">
        <v>5318.3600000000006</v>
      </c>
      <c r="FO165" s="1716">
        <v>1079.9000000000001</v>
      </c>
      <c r="FP165" s="1715">
        <v>0</v>
      </c>
      <c r="FQ165" s="1716">
        <v>8130.3739999999998</v>
      </c>
      <c r="FR165" s="1715">
        <v>2683</v>
      </c>
      <c r="FS165" s="1716">
        <v>66.489999999999995</v>
      </c>
      <c r="FT165" s="1715">
        <v>7004.5</v>
      </c>
      <c r="FU165" s="1716">
        <v>223.29</v>
      </c>
      <c r="FV165" s="1715">
        <v>591</v>
      </c>
      <c r="FW165" s="1716">
        <v>0</v>
      </c>
      <c r="FX165" s="1715">
        <v>1203</v>
      </c>
      <c r="FY165" s="1716">
        <v>128.65</v>
      </c>
      <c r="FZ165" s="1715">
        <v>2799</v>
      </c>
      <c r="GA165" s="1716">
        <v>43.5</v>
      </c>
      <c r="GB165" s="1715">
        <v>6165.8450000000003</v>
      </c>
      <c r="GC165" s="1716">
        <v>185.614</v>
      </c>
      <c r="GD165" s="1715">
        <v>11127.505000000001</v>
      </c>
      <c r="GE165" s="1716">
        <v>165.21</v>
      </c>
      <c r="GF165" s="1715">
        <v>11331.5</v>
      </c>
      <c r="GG165" s="1716">
        <v>265.33333333333331</v>
      </c>
      <c r="GH165" s="1714">
        <v>114782.50599999999</v>
      </c>
      <c r="GI165" s="1699">
        <v>13249.846333333333</v>
      </c>
      <c r="GJ165" s="1715">
        <v>0</v>
      </c>
      <c r="GK165" s="1716">
        <v>5588.4939999999997</v>
      </c>
      <c r="GL165" s="788"/>
      <c r="GM165" s="788"/>
      <c r="GN165" s="788"/>
      <c r="GO165" s="788"/>
      <c r="GP165" s="788"/>
      <c r="GQ165" s="788"/>
      <c r="GR165" s="788"/>
      <c r="GS165" s="788"/>
      <c r="GT165" s="788"/>
      <c r="GU165" s="788"/>
      <c r="GV165" s="788"/>
      <c r="GW165" s="788"/>
      <c r="GX165" s="788"/>
      <c r="GY165" s="788"/>
      <c r="GZ165" s="788"/>
      <c r="HA165" s="788"/>
      <c r="HB165" s="788"/>
      <c r="HC165" s="788"/>
      <c r="HD165" s="788"/>
      <c r="HE165" s="1693"/>
      <c r="HF165" s="790"/>
    </row>
    <row r="166" spans="36:273" ht="30" customHeight="1" thickBot="1">
      <c r="ES166" s="2237"/>
      <c r="ET166" s="1788">
        <v>27</v>
      </c>
      <c r="EU166" s="1789" t="s">
        <v>77</v>
      </c>
      <c r="EV166" s="1790">
        <v>9140.4069999999992</v>
      </c>
      <c r="EW166" s="1791">
        <v>638.21</v>
      </c>
      <c r="EX166" s="1790">
        <v>3561.6</v>
      </c>
      <c r="EY166" s="1791">
        <v>189.3</v>
      </c>
      <c r="EZ166" s="1790">
        <v>8706.7690000000021</v>
      </c>
      <c r="FA166" s="1791">
        <v>1394.1199999999985</v>
      </c>
      <c r="FB166" s="1790">
        <v>8776</v>
      </c>
      <c r="FC166" s="1791">
        <v>827.8</v>
      </c>
      <c r="FD166" s="1790">
        <v>12285.16</v>
      </c>
      <c r="FE166" s="1791">
        <v>727.3</v>
      </c>
      <c r="FF166" s="1790">
        <v>11238.23</v>
      </c>
      <c r="FG166" s="1791">
        <v>1034.71</v>
      </c>
      <c r="FH166" s="1790">
        <v>1233</v>
      </c>
      <c r="FI166" s="1791">
        <v>29.2</v>
      </c>
      <c r="FJ166" s="1790">
        <v>16383.3</v>
      </c>
      <c r="FK166" s="1791">
        <v>913.47444600000006</v>
      </c>
      <c r="FL166" s="1790">
        <v>5650.44</v>
      </c>
      <c r="FM166" s="1791">
        <v>106.1</v>
      </c>
      <c r="FN166" s="1790">
        <v>5603.3600000000006</v>
      </c>
      <c r="FO166" s="1791">
        <v>1240.8920000000001</v>
      </c>
      <c r="FP166" s="1790">
        <v>0</v>
      </c>
      <c r="FQ166" s="1791">
        <v>8339.7980000000007</v>
      </c>
      <c r="FR166" s="1790">
        <v>2974</v>
      </c>
      <c r="FS166" s="1791">
        <v>283.94</v>
      </c>
      <c r="FT166" s="1790">
        <v>7183.5</v>
      </c>
      <c r="FU166" s="1791">
        <v>437.90999999999997</v>
      </c>
      <c r="FV166" s="1790">
        <v>686</v>
      </c>
      <c r="FW166" s="1791">
        <v>18.5</v>
      </c>
      <c r="FX166" s="1790">
        <v>1265.2</v>
      </c>
      <c r="FY166" s="1791">
        <v>159.95000000000002</v>
      </c>
      <c r="FZ166" s="1790">
        <v>3718.2</v>
      </c>
      <c r="GA166" s="1791">
        <v>107.7</v>
      </c>
      <c r="GB166" s="1790">
        <v>6879.8649999999998</v>
      </c>
      <c r="GC166" s="1791">
        <v>592.14400000000001</v>
      </c>
      <c r="GD166" s="1790">
        <v>13319.795000000002</v>
      </c>
      <c r="GE166" s="1791">
        <v>522.15499999999997</v>
      </c>
      <c r="GF166" s="1790">
        <v>12215.29</v>
      </c>
      <c r="GG166" s="1791">
        <v>657.0150000000001</v>
      </c>
      <c r="GH166" s="1792">
        <v>130820.11599999999</v>
      </c>
      <c r="GI166" s="1793">
        <v>18220.218445999999</v>
      </c>
      <c r="GJ166" s="1790">
        <v>0</v>
      </c>
      <c r="GK166" s="1791">
        <v>5743.7259999999997</v>
      </c>
      <c r="GL166" s="1794">
        <v>193.57</v>
      </c>
      <c r="GM166" s="1794">
        <v>2</v>
      </c>
      <c r="GN166" s="1794">
        <v>304</v>
      </c>
      <c r="GO166" s="1794">
        <v>93</v>
      </c>
      <c r="GP166" s="1794">
        <v>441</v>
      </c>
      <c r="GQ166" s="1794">
        <v>22</v>
      </c>
      <c r="GR166" s="1794">
        <v>0</v>
      </c>
      <c r="GS166" s="1794">
        <v>378</v>
      </c>
      <c r="GT166" s="1794">
        <v>0</v>
      </c>
      <c r="GU166" s="1794">
        <v>1</v>
      </c>
      <c r="GV166" s="1794">
        <v>0</v>
      </c>
      <c r="GW166" s="1794">
        <v>9</v>
      </c>
      <c r="GX166" s="1794">
        <v>11</v>
      </c>
      <c r="GY166" s="1794">
        <v>0</v>
      </c>
      <c r="GZ166" s="1794">
        <v>0</v>
      </c>
      <c r="HA166" s="1794">
        <v>172.5</v>
      </c>
      <c r="HB166" s="1794">
        <v>84</v>
      </c>
      <c r="HC166" s="1794">
        <v>35.6</v>
      </c>
      <c r="HD166" s="1794">
        <v>31</v>
      </c>
      <c r="HE166" s="1795">
        <v>1777.6699999999998</v>
      </c>
      <c r="HF166" s="1796">
        <v>0</v>
      </c>
    </row>
    <row r="167" spans="36:273" ht="15" customHeight="1">
      <c r="AJ167" s="796"/>
      <c r="AK167" s="796"/>
      <c r="AL167" s="796"/>
      <c r="AM167" s="796"/>
      <c r="AN167" s="796"/>
      <c r="AO167" s="796"/>
      <c r="AP167" s="796"/>
      <c r="AQ167" s="796"/>
      <c r="AR167" s="796"/>
      <c r="AS167" s="796"/>
      <c r="AT167" s="796"/>
      <c r="AU167" s="796"/>
      <c r="AV167" s="796"/>
      <c r="AW167" s="796"/>
      <c r="AX167" s="796"/>
      <c r="AY167" s="796"/>
      <c r="AZ167" s="796"/>
      <c r="BA167" s="796"/>
      <c r="BB167" s="796"/>
      <c r="BC167" s="796"/>
      <c r="BD167" s="796"/>
      <c r="BE167" s="796"/>
      <c r="BF167" s="796"/>
      <c r="BG167" s="796"/>
      <c r="BH167" s="796"/>
      <c r="BI167" s="796"/>
      <c r="BJ167" s="796"/>
      <c r="BK167" s="796"/>
      <c r="BL167" s="796"/>
      <c r="BM167" s="796"/>
      <c r="BN167" s="796"/>
      <c r="BO167" s="796"/>
      <c r="BP167" s="796"/>
      <c r="BQ167" s="796"/>
      <c r="BR167" s="796"/>
      <c r="BS167" s="796"/>
      <c r="BT167" s="796"/>
      <c r="BU167" s="796"/>
      <c r="BV167" s="796"/>
      <c r="BW167" s="796"/>
      <c r="BX167" s="796"/>
      <c r="BY167" s="796"/>
      <c r="ER167" s="1540"/>
      <c r="ET167" s="1717"/>
      <c r="EU167" s="1717"/>
      <c r="EV167" s="1717"/>
      <c r="EW167" s="1717"/>
      <c r="EX167" s="1717"/>
      <c r="EY167" s="1717"/>
      <c r="EZ167" s="1717"/>
      <c r="FA167" s="1717"/>
      <c r="FB167" s="1717"/>
      <c r="FC167" s="1717"/>
      <c r="FD167" s="1717"/>
      <c r="FE167" s="1717"/>
      <c r="FF167" s="1717"/>
      <c r="FG167" s="1717"/>
      <c r="FH167" s="1717"/>
      <c r="FI167" s="1717"/>
      <c r="FJ167" s="1717"/>
      <c r="FK167" s="1717"/>
      <c r="FL167" s="1717"/>
      <c r="FM167" s="1717"/>
      <c r="FN167" s="1717"/>
      <c r="FO167" s="1717"/>
      <c r="FP167" s="1717"/>
      <c r="FQ167" s="1717"/>
      <c r="FR167" s="1717"/>
      <c r="FS167" s="1717"/>
      <c r="FT167" s="1717"/>
      <c r="FU167" s="1717"/>
      <c r="FV167" s="1717"/>
      <c r="FW167" s="1717"/>
      <c r="FX167" s="1717"/>
      <c r="FY167" s="1717"/>
      <c r="FZ167" s="1717"/>
      <c r="GA167" s="1717"/>
      <c r="GB167" s="1717"/>
      <c r="GC167" s="1717"/>
      <c r="GD167" s="1717"/>
      <c r="GE167" s="1717"/>
      <c r="GF167" s="1717"/>
      <c r="GG167" s="1717"/>
      <c r="GH167" s="1717"/>
      <c r="GI167" s="1717"/>
      <c r="GJ167" s="1717"/>
      <c r="GK167" s="1717"/>
      <c r="GL167" s="1717"/>
      <c r="GM167" s="1717"/>
      <c r="GN167" s="1717"/>
      <c r="GO167" s="1717"/>
      <c r="GP167" s="1717"/>
      <c r="GQ167" s="1717"/>
      <c r="GR167" s="1717"/>
      <c r="GS167" s="1717"/>
      <c r="GT167" s="1717"/>
      <c r="GU167" s="1717"/>
      <c r="GV167" s="1717"/>
      <c r="GW167" s="1717"/>
      <c r="GX167" s="1717"/>
      <c r="GY167" s="1717"/>
      <c r="GZ167" s="1717"/>
      <c r="HA167" s="1717"/>
      <c r="HB167" s="1717"/>
      <c r="HC167" s="1717"/>
      <c r="HD167" s="1717"/>
      <c r="HE167" s="1717"/>
      <c r="HF167" s="1717"/>
      <c r="HG167" s="1717"/>
      <c r="HH167" s="1717"/>
      <c r="HI167" s="1717"/>
      <c r="HJ167" s="1717"/>
      <c r="HK167" s="1717"/>
      <c r="HL167" s="1717"/>
      <c r="HM167" s="1717"/>
      <c r="HN167" s="1717"/>
      <c r="HO167" s="1717"/>
      <c r="HP167" s="1717"/>
      <c r="HQ167" s="1717"/>
      <c r="HR167" s="1717"/>
      <c r="HS167" s="1717"/>
      <c r="HT167" s="1717"/>
      <c r="HU167" s="1717"/>
      <c r="HV167" s="1717"/>
      <c r="HW167" s="1717"/>
      <c r="HX167" s="1717"/>
      <c r="HY167" s="1717"/>
      <c r="HZ167" s="1717"/>
      <c r="IA167" s="1717"/>
      <c r="IB167" s="1717"/>
      <c r="IC167" s="1717"/>
      <c r="ID167" s="1717"/>
      <c r="IE167" s="1717"/>
      <c r="IF167" s="1717"/>
      <c r="IG167" s="1717"/>
      <c r="IH167" s="1717"/>
      <c r="II167" s="1717"/>
      <c r="IJ167" s="1717"/>
      <c r="IK167" s="1717"/>
      <c r="IL167" s="1717"/>
      <c r="IM167" s="1717"/>
      <c r="IN167" s="1717"/>
      <c r="IO167" s="1717"/>
      <c r="IP167" s="1717"/>
      <c r="IQ167" s="1717"/>
      <c r="IR167" s="1717"/>
      <c r="IS167" s="1717"/>
      <c r="IT167" s="1717"/>
      <c r="IU167" s="1717"/>
      <c r="IV167" s="1717"/>
      <c r="IW167" s="1717"/>
      <c r="IX167" s="1717"/>
      <c r="IY167" s="1717"/>
      <c r="IZ167" s="1717"/>
      <c r="JA167" s="1717"/>
      <c r="JB167" s="1717"/>
      <c r="JC167" s="1717"/>
      <c r="JD167" s="1717"/>
      <c r="JE167" s="1717"/>
      <c r="JF167" s="1717"/>
      <c r="JG167" s="1717"/>
      <c r="JH167" s="1717"/>
      <c r="JI167" s="1717"/>
      <c r="JJ167" s="1717"/>
      <c r="JK167" s="1717"/>
      <c r="JL167" s="1717"/>
      <c r="JM167" s="1717"/>
    </row>
    <row r="168" spans="36:273" ht="15" customHeight="1">
      <c r="AJ168" s="796"/>
      <c r="AK168" s="796"/>
      <c r="AL168" s="796"/>
      <c r="AM168" s="796"/>
      <c r="AN168" s="796"/>
      <c r="AO168" s="796"/>
      <c r="AP168" s="796"/>
      <c r="AQ168" s="796"/>
      <c r="AR168" s="796"/>
      <c r="AS168" s="796"/>
      <c r="AT168" s="796"/>
      <c r="AU168" s="796"/>
      <c r="AV168" s="796"/>
      <c r="AW168" s="796"/>
      <c r="AX168" s="796"/>
      <c r="AY168" s="796"/>
      <c r="AZ168" s="796"/>
      <c r="BA168" s="796"/>
      <c r="BB168" s="796"/>
      <c r="BC168" s="796"/>
      <c r="BD168" s="796"/>
      <c r="BE168" s="796"/>
      <c r="BF168" s="796"/>
      <c r="BG168" s="796"/>
      <c r="BH168" s="796"/>
      <c r="BI168" s="796"/>
      <c r="BJ168" s="796"/>
      <c r="BK168" s="796"/>
      <c r="BL168" s="796"/>
      <c r="BM168" s="796"/>
      <c r="BN168" s="796"/>
      <c r="BO168" s="796"/>
      <c r="BP168" s="796"/>
      <c r="BQ168" s="796"/>
      <c r="BR168" s="796"/>
      <c r="BS168" s="796"/>
      <c r="BT168" s="796"/>
      <c r="BU168" s="796"/>
      <c r="BV168" s="796"/>
      <c r="BW168" s="796"/>
      <c r="BX168" s="796"/>
      <c r="BY168" s="796"/>
      <c r="ER168" s="1540"/>
      <c r="ET168" s="1717"/>
      <c r="EU168" s="1717"/>
      <c r="EV168" s="1717"/>
      <c r="EW168" s="1717"/>
      <c r="EX168" s="1717"/>
      <c r="EY168" s="1717"/>
      <c r="EZ168" s="1717"/>
      <c r="FA168" s="1717"/>
      <c r="FB168" s="1717"/>
      <c r="FC168" s="1717"/>
      <c r="FD168" s="1717"/>
      <c r="FE168" s="1717"/>
      <c r="FF168" s="1717"/>
      <c r="FG168" s="1717"/>
      <c r="FH168" s="1717"/>
      <c r="FI168" s="1717"/>
      <c r="FJ168" s="1717"/>
      <c r="FK168" s="1717"/>
      <c r="FL168" s="1717"/>
      <c r="FM168" s="1717"/>
      <c r="FN168" s="1717"/>
      <c r="FO168" s="1717"/>
      <c r="FP168" s="1717"/>
      <c r="FQ168" s="1717"/>
      <c r="FR168" s="1717"/>
      <c r="FS168" s="1717"/>
      <c r="FT168" s="1717"/>
      <c r="FU168" s="1717"/>
      <c r="FV168" s="1717"/>
      <c r="FW168" s="1717"/>
      <c r="FX168" s="1717"/>
      <c r="FY168" s="1717"/>
      <c r="FZ168" s="1717"/>
      <c r="GA168" s="1717"/>
      <c r="GB168" s="1717"/>
      <c r="GC168" s="1717"/>
      <c r="GD168" s="1717"/>
      <c r="GE168" s="1717"/>
      <c r="GF168" s="1717"/>
      <c r="GG168" s="1717"/>
      <c r="GH168" s="1717"/>
      <c r="GI168" s="1717"/>
      <c r="GJ168" s="1717"/>
      <c r="GK168" s="1717"/>
      <c r="GL168" s="1717"/>
      <c r="GM168" s="1717"/>
      <c r="GN168" s="1717"/>
      <c r="GO168" s="1717"/>
      <c r="GP168" s="1717"/>
      <c r="GQ168" s="1717"/>
      <c r="GR168" s="1717"/>
      <c r="GS168" s="1717"/>
      <c r="GT168" s="1717"/>
      <c r="GU168" s="1717"/>
      <c r="GV168" s="1717"/>
      <c r="GW168" s="1717"/>
      <c r="GX168" s="1717"/>
      <c r="GY168" s="1717"/>
      <c r="GZ168" s="1717"/>
      <c r="HA168" s="1717"/>
      <c r="HB168" s="1717"/>
      <c r="HC168" s="1717"/>
      <c r="HD168" s="1717"/>
      <c r="HE168" s="1717"/>
      <c r="HF168" s="1717"/>
      <c r="HG168" s="1717"/>
      <c r="HH168" s="1717"/>
      <c r="HI168" s="1717"/>
      <c r="HJ168" s="1717"/>
      <c r="HK168" s="1717"/>
      <c r="HL168" s="1717"/>
      <c r="HM168" s="1717"/>
      <c r="HN168" s="1717"/>
      <c r="HO168" s="1717"/>
      <c r="HP168" s="1717"/>
      <c r="HQ168" s="1717"/>
      <c r="HR168" s="1717"/>
      <c r="HS168" s="1717"/>
      <c r="HT168" s="1717"/>
      <c r="HU168" s="1717"/>
      <c r="HV168" s="1717"/>
      <c r="HW168" s="1717"/>
      <c r="HX168" s="1717"/>
      <c r="HY168" s="1717"/>
      <c r="HZ168" s="1717"/>
      <c r="IA168" s="1717"/>
      <c r="IB168" s="1717"/>
      <c r="IC168" s="1717"/>
      <c r="ID168" s="1717"/>
      <c r="IE168" s="1717"/>
      <c r="IF168" s="1717"/>
      <c r="IG168" s="1717"/>
      <c r="IH168" s="1717"/>
      <c r="II168" s="1717"/>
      <c r="IJ168" s="1717"/>
      <c r="IK168" s="1717"/>
      <c r="IL168" s="1717"/>
      <c r="IM168" s="1717"/>
      <c r="IN168" s="1717"/>
      <c r="IO168" s="1717"/>
      <c r="IP168" s="1717"/>
      <c r="IQ168" s="1717"/>
      <c r="IR168" s="1717"/>
      <c r="IS168" s="1717"/>
      <c r="IT168" s="1717"/>
      <c r="IU168" s="1717"/>
      <c r="IV168" s="1717"/>
      <c r="IW168" s="1717"/>
      <c r="IX168" s="1717"/>
      <c r="IY168" s="1717"/>
      <c r="IZ168" s="1717"/>
      <c r="JA168" s="1717"/>
      <c r="JB168" s="1717"/>
      <c r="JC168" s="1717"/>
      <c r="JD168" s="1717"/>
      <c r="JE168" s="1717"/>
      <c r="JF168" s="1717"/>
      <c r="JG168" s="1717"/>
      <c r="JH168" s="1717"/>
      <c r="JI168" s="1717"/>
      <c r="JJ168" s="1717"/>
      <c r="JK168" s="1717"/>
      <c r="JL168" s="1717"/>
      <c r="JM168" s="1717"/>
    </row>
    <row r="169" spans="36:273" ht="20.100000000000001" customHeight="1">
      <c r="AJ169" s="796"/>
      <c r="AK169" s="796"/>
      <c r="AL169" s="796"/>
      <c r="AM169" s="796"/>
      <c r="AN169" s="796"/>
      <c r="AO169" s="796"/>
      <c r="AP169" s="796"/>
      <c r="AQ169" s="796"/>
      <c r="AR169" s="796"/>
      <c r="AS169" s="796"/>
      <c r="AT169" s="796"/>
      <c r="AU169" s="796"/>
      <c r="AV169" s="796"/>
      <c r="AW169" s="796"/>
      <c r="AX169" s="796"/>
      <c r="AY169" s="796"/>
      <c r="AZ169" s="796"/>
      <c r="BA169" s="796"/>
      <c r="BB169" s="796"/>
      <c r="BC169" s="796"/>
      <c r="BD169" s="796"/>
      <c r="BE169" s="796"/>
      <c r="BF169" s="796"/>
      <c r="BG169" s="796"/>
      <c r="BH169" s="796"/>
      <c r="BI169" s="796"/>
      <c r="BJ169" s="796"/>
      <c r="BK169" s="796"/>
      <c r="BL169" s="796"/>
      <c r="BM169" s="796"/>
      <c r="BN169" s="796"/>
      <c r="BO169" s="796"/>
      <c r="BP169" s="796"/>
      <c r="BQ169" s="796"/>
      <c r="BR169" s="796"/>
      <c r="BS169" s="796"/>
      <c r="BT169" s="796"/>
      <c r="BU169" s="796"/>
      <c r="BV169" s="796"/>
      <c r="BW169" s="796"/>
      <c r="BX169" s="796"/>
      <c r="BY169" s="796"/>
      <c r="ER169" s="1540"/>
      <c r="ET169" s="1717"/>
      <c r="EU169" s="1717"/>
      <c r="EV169" s="1717"/>
      <c r="EW169" s="1717"/>
      <c r="EX169" s="1717"/>
      <c r="EY169" s="1717"/>
      <c r="EZ169" s="1717"/>
      <c r="FA169" s="1717"/>
      <c r="FB169" s="1717"/>
      <c r="FC169" s="1717"/>
      <c r="FD169" s="1717"/>
      <c r="FE169" s="1717"/>
      <c r="FF169" s="1717"/>
      <c r="FG169" s="1717"/>
      <c r="FH169" s="1717"/>
      <c r="FI169" s="1717"/>
      <c r="FJ169" s="1717"/>
      <c r="FK169" s="1717"/>
      <c r="FL169" s="1717"/>
      <c r="FM169" s="1717"/>
      <c r="FN169" s="1717"/>
      <c r="FO169" s="1717"/>
      <c r="FP169" s="1717"/>
      <c r="FQ169" s="1717"/>
      <c r="FR169" s="1717"/>
      <c r="FS169" s="1717"/>
      <c r="FT169" s="1717"/>
      <c r="FU169" s="1717"/>
      <c r="FV169" s="1717"/>
      <c r="FW169" s="1717"/>
      <c r="FX169" s="1717"/>
      <c r="FY169" s="1717"/>
      <c r="FZ169" s="1717"/>
      <c r="GA169" s="1717"/>
      <c r="GB169" s="1717"/>
      <c r="GC169" s="1717"/>
      <c r="GD169" s="1717"/>
      <c r="GE169" s="1717"/>
      <c r="GF169" s="1717"/>
      <c r="GG169" s="1717"/>
      <c r="GH169" s="1717"/>
      <c r="GI169" s="1717"/>
      <c r="GJ169" s="1717"/>
      <c r="GK169" s="1717"/>
      <c r="GL169" s="1717"/>
      <c r="GM169" s="1717"/>
      <c r="GN169" s="1717"/>
      <c r="GO169" s="1717"/>
      <c r="GP169" s="1717"/>
      <c r="GQ169" s="1717"/>
      <c r="GR169" s="1717"/>
      <c r="GS169" s="1717"/>
      <c r="GT169" s="1717"/>
      <c r="GU169" s="1717"/>
      <c r="GV169" s="1717"/>
      <c r="GW169" s="1717"/>
      <c r="GX169" s="1717"/>
      <c r="GY169" s="1717"/>
      <c r="GZ169" s="1717"/>
      <c r="HA169" s="1717"/>
      <c r="HB169" s="1717"/>
      <c r="HC169" s="1717"/>
      <c r="HD169" s="1717"/>
      <c r="HE169" s="1717"/>
      <c r="HF169" s="1717"/>
      <c r="HG169" s="1717"/>
      <c r="HH169" s="1725" t="s">
        <v>394</v>
      </c>
      <c r="HI169" s="1717"/>
      <c r="HJ169" s="1717"/>
      <c r="HK169" s="1717"/>
      <c r="HL169" s="1717"/>
      <c r="HM169" s="1717"/>
      <c r="HN169" s="1717"/>
      <c r="HO169" s="1717"/>
      <c r="HP169" s="1717"/>
      <c r="HQ169" s="1717"/>
      <c r="HR169" s="1717"/>
      <c r="HS169" s="1717"/>
      <c r="HT169" s="1717"/>
      <c r="HU169" s="1717"/>
      <c r="HV169" s="1717"/>
      <c r="HW169" s="1717"/>
      <c r="HX169" s="1717"/>
      <c r="HY169" s="1717"/>
      <c r="HZ169" s="1717"/>
      <c r="IA169" s="1717"/>
      <c r="IB169" s="1717"/>
      <c r="IC169" s="1717"/>
      <c r="ID169" s="1717"/>
      <c r="IE169" s="1717"/>
      <c r="IF169" s="1717"/>
      <c r="IG169" s="1717"/>
      <c r="IH169" s="1717"/>
      <c r="II169" s="1717"/>
      <c r="IJ169" s="1717"/>
      <c r="IK169" s="1717"/>
      <c r="IL169" s="1717"/>
      <c r="IM169" s="1717"/>
      <c r="IN169" s="1717"/>
      <c r="IO169" s="1717"/>
      <c r="IP169" s="1717"/>
      <c r="IQ169" s="1717"/>
      <c r="IR169" s="1717"/>
      <c r="IS169" s="1717"/>
      <c r="IT169" s="1717"/>
      <c r="IU169" s="1717"/>
      <c r="IV169" s="1717"/>
      <c r="IW169" s="1717"/>
      <c r="IX169" s="1717"/>
      <c r="IY169" s="1717"/>
      <c r="IZ169" s="1717"/>
      <c r="JA169" s="1717"/>
      <c r="JB169" s="1717"/>
      <c r="JC169" s="1717"/>
      <c r="JD169" s="1717"/>
      <c r="JE169" s="1717"/>
      <c r="JF169" s="1717"/>
      <c r="JG169" s="1717"/>
      <c r="JH169" s="1717"/>
      <c r="JI169" s="1717"/>
      <c r="JJ169" s="1717"/>
      <c r="JK169" s="1717"/>
      <c r="JL169" s="1717"/>
      <c r="JM169" s="1717"/>
    </row>
    <row r="170" spans="36:273" ht="9.9499999999999993" customHeight="1" thickBot="1">
      <c r="AJ170" s="796"/>
      <c r="AK170" s="796"/>
      <c r="AL170" s="796"/>
      <c r="AM170" s="796"/>
      <c r="AN170" s="796"/>
      <c r="AO170" s="796"/>
      <c r="AP170" s="796"/>
      <c r="AQ170" s="796"/>
      <c r="AR170" s="796"/>
      <c r="AS170" s="796"/>
      <c r="AT170" s="796"/>
      <c r="AU170" s="796"/>
      <c r="AV170" s="796"/>
      <c r="AW170" s="796"/>
      <c r="AX170" s="796"/>
      <c r="AY170" s="796"/>
      <c r="AZ170" s="796"/>
      <c r="BA170" s="796"/>
      <c r="BB170" s="796"/>
      <c r="BC170" s="796"/>
      <c r="BD170" s="796"/>
      <c r="BE170" s="796"/>
      <c r="BF170" s="796"/>
      <c r="BG170" s="796"/>
      <c r="BH170" s="796"/>
      <c r="BI170" s="796"/>
      <c r="BJ170" s="796"/>
      <c r="BK170" s="796"/>
      <c r="BL170" s="796"/>
      <c r="BM170" s="796"/>
      <c r="BN170" s="796"/>
      <c r="BO170" s="796"/>
      <c r="BP170" s="796"/>
      <c r="BQ170" s="796"/>
      <c r="BR170" s="796"/>
      <c r="BS170" s="796"/>
      <c r="BT170" s="796"/>
      <c r="BU170" s="796"/>
      <c r="BV170" s="796"/>
      <c r="BW170" s="796"/>
      <c r="BX170" s="796"/>
      <c r="BY170" s="796"/>
      <c r="ER170" s="1540"/>
      <c r="ET170" s="1717"/>
      <c r="EU170" s="1717"/>
      <c r="EV170" s="1717"/>
      <c r="EW170" s="1717"/>
      <c r="EX170" s="1717"/>
      <c r="EY170" s="1717"/>
      <c r="EZ170" s="1717"/>
      <c r="FA170" s="1717"/>
      <c r="FB170" s="1717"/>
      <c r="FC170" s="1717"/>
      <c r="FD170" s="1717"/>
      <c r="FE170" s="1717"/>
      <c r="FF170" s="1717"/>
      <c r="FG170" s="1717"/>
      <c r="FH170" s="1717"/>
      <c r="FI170" s="1717"/>
      <c r="FJ170" s="1717"/>
      <c r="FK170" s="1717"/>
      <c r="FL170" s="1717"/>
      <c r="FM170" s="1717"/>
      <c r="FN170" s="1717"/>
      <c r="FO170" s="1717"/>
      <c r="FP170" s="1717"/>
      <c r="FQ170" s="1717"/>
      <c r="FR170" s="1717"/>
      <c r="FS170" s="1717"/>
      <c r="FT170" s="1717"/>
      <c r="FU170" s="1717"/>
      <c r="FV170" s="1717"/>
      <c r="FW170" s="1717"/>
      <c r="FX170" s="1717"/>
      <c r="FY170" s="1717"/>
      <c r="FZ170" s="1717"/>
      <c r="GA170" s="1717"/>
      <c r="GB170" s="1717"/>
      <c r="GC170" s="1717"/>
      <c r="GD170" s="1717"/>
      <c r="GE170" s="1717"/>
      <c r="GF170" s="1717"/>
      <c r="GG170" s="1717"/>
      <c r="GH170" s="1717"/>
      <c r="GI170" s="1717"/>
      <c r="GJ170" s="1717"/>
      <c r="GK170" s="1717"/>
      <c r="GL170" s="1717"/>
      <c r="GM170" s="1717"/>
      <c r="GN170" s="1717"/>
      <c r="GO170" s="1717"/>
      <c r="GP170" s="1717"/>
      <c r="GQ170" s="1717"/>
      <c r="GR170" s="1717"/>
      <c r="GS170" s="1717"/>
      <c r="GT170" s="1717"/>
      <c r="GU170" s="1717"/>
      <c r="GV170" s="1717"/>
      <c r="GW170" s="1717"/>
      <c r="GX170" s="1717"/>
      <c r="GY170" s="1717"/>
      <c r="GZ170" s="1717"/>
      <c r="HA170" s="1717"/>
      <c r="HB170" s="1717"/>
      <c r="HC170" s="1717"/>
      <c r="HD170" s="1717"/>
      <c r="HE170" s="1717"/>
      <c r="HF170" s="1717"/>
      <c r="HG170" s="1717"/>
      <c r="HH170" s="1717"/>
      <c r="HI170" s="1717"/>
      <c r="HJ170" s="1717"/>
      <c r="HK170" s="1717"/>
      <c r="HL170" s="1717"/>
      <c r="HM170" s="1717"/>
      <c r="HN170" s="1717"/>
      <c r="HO170" s="1717"/>
      <c r="HP170" s="1717"/>
      <c r="HQ170" s="1717"/>
      <c r="HR170" s="1717"/>
      <c r="HS170" s="1717"/>
      <c r="HT170" s="1717"/>
      <c r="HU170" s="1717"/>
      <c r="HV170" s="1717"/>
      <c r="HW170" s="1717"/>
      <c r="HX170" s="1717"/>
      <c r="HY170" s="1717"/>
      <c r="HZ170" s="1717"/>
      <c r="IA170" s="1717"/>
      <c r="IB170" s="1717"/>
      <c r="IC170" s="1717"/>
      <c r="ID170" s="1717"/>
      <c r="IE170" s="1717"/>
      <c r="IF170" s="1717"/>
      <c r="IG170" s="1717"/>
      <c r="IH170" s="1717"/>
      <c r="II170" s="1717"/>
      <c r="IJ170" s="1717"/>
      <c r="IK170" s="1717"/>
      <c r="IL170" s="1717"/>
      <c r="IM170" s="1717"/>
      <c r="IN170" s="1717"/>
      <c r="IO170" s="1717"/>
      <c r="IP170" s="1717"/>
      <c r="IQ170" s="1717"/>
      <c r="IR170" s="1717"/>
      <c r="IS170" s="1717"/>
      <c r="IT170" s="1717"/>
      <c r="IU170" s="1717"/>
      <c r="IV170" s="1717"/>
      <c r="IW170" s="1717"/>
      <c r="IX170" s="1717"/>
      <c r="IY170" s="1717"/>
      <c r="IZ170" s="1717"/>
      <c r="JA170" s="1717"/>
      <c r="JB170" s="1717"/>
      <c r="JC170" s="1717"/>
      <c r="JD170" s="1717"/>
      <c r="JE170" s="1717"/>
      <c r="JF170" s="1717"/>
      <c r="JG170" s="1717"/>
      <c r="JH170" s="1717"/>
      <c r="JI170" s="1717"/>
      <c r="JJ170" s="1717"/>
      <c r="JK170" s="1717"/>
      <c r="JL170" s="1717"/>
      <c r="JM170" s="1717"/>
    </row>
    <row r="171" spans="36:273" ht="60" customHeight="1">
      <c r="ER171" s="1540"/>
      <c r="ET171" s="1717"/>
      <c r="EU171" s="1717"/>
      <c r="EV171" s="1717"/>
      <c r="EW171" s="1717"/>
      <c r="EX171" s="1717"/>
      <c r="EY171" s="1717"/>
      <c r="EZ171" s="1717"/>
      <c r="FA171" s="1717"/>
      <c r="FB171" s="1717"/>
      <c r="FC171" s="1717"/>
      <c r="FD171" s="1717"/>
      <c r="FE171" s="1717"/>
      <c r="FF171" s="1717"/>
      <c r="FG171" s="1717"/>
      <c r="FH171" s="1717"/>
      <c r="FI171" s="1717"/>
      <c r="FJ171" s="1717"/>
      <c r="FK171" s="1717"/>
      <c r="FL171" s="1717"/>
      <c r="FM171" s="1717"/>
      <c r="FN171" s="1717"/>
      <c r="FO171" s="1717"/>
      <c r="FP171" s="1717"/>
      <c r="FQ171" s="1717"/>
      <c r="FR171" s="1717"/>
      <c r="FS171" s="1717"/>
      <c r="FT171" s="1717"/>
      <c r="FU171" s="1717"/>
      <c r="FV171" s="1717"/>
      <c r="FW171" s="1717"/>
      <c r="FX171" s="1717"/>
      <c r="FY171" s="1717"/>
      <c r="FZ171" s="1717"/>
      <c r="GA171" s="1717"/>
      <c r="GB171" s="1717"/>
      <c r="GC171" s="1717"/>
      <c r="GD171" s="1717"/>
      <c r="GE171" s="1717"/>
      <c r="GF171" s="1717"/>
      <c r="GG171" s="1717"/>
      <c r="GH171" s="1717"/>
      <c r="GI171" s="1717"/>
      <c r="GJ171" s="1717"/>
      <c r="GK171" s="1717"/>
      <c r="GL171" s="1717"/>
      <c r="GM171" s="1717"/>
      <c r="GN171" s="1717"/>
      <c r="GO171" s="1717"/>
      <c r="GP171" s="1717"/>
      <c r="GQ171" s="1717"/>
      <c r="GR171" s="1717"/>
      <c r="GS171" s="1717"/>
      <c r="GT171" s="1717"/>
      <c r="GU171" s="1717"/>
      <c r="GV171" s="1717"/>
      <c r="GW171" s="1717"/>
      <c r="GX171" s="1717"/>
      <c r="GY171" s="1717"/>
      <c r="GZ171" s="1717"/>
      <c r="HA171" s="1717"/>
      <c r="HB171" s="1717"/>
      <c r="HC171" s="1717"/>
      <c r="HD171" s="1717"/>
      <c r="HE171" s="1717"/>
      <c r="HF171" s="1717"/>
      <c r="HG171" s="1717"/>
      <c r="HH171" s="1726" t="s">
        <v>232</v>
      </c>
      <c r="HI171" s="1727" t="s">
        <v>233</v>
      </c>
      <c r="HJ171" s="1728" t="s">
        <v>234</v>
      </c>
      <c r="HK171" s="1717"/>
      <c r="HL171" s="1717"/>
      <c r="HM171" s="1717"/>
      <c r="HN171" s="1717"/>
      <c r="HO171" s="1717"/>
      <c r="HP171" s="1717"/>
      <c r="HQ171" s="1717"/>
      <c r="HR171" s="1717"/>
      <c r="HS171" s="1717"/>
      <c r="HT171" s="1717"/>
      <c r="HU171" s="1717"/>
      <c r="HV171" s="1717"/>
      <c r="HW171" s="1717"/>
      <c r="HX171" s="1717"/>
      <c r="HY171" s="1717"/>
      <c r="HZ171" s="1717"/>
      <c r="IA171" s="1717"/>
      <c r="IB171" s="1717"/>
      <c r="IC171" s="1717"/>
      <c r="ID171" s="1717"/>
      <c r="IE171" s="1717"/>
      <c r="IF171" s="1717"/>
      <c r="IG171" s="1717"/>
      <c r="IH171" s="1717"/>
      <c r="II171" s="1717"/>
      <c r="IJ171" s="1717"/>
      <c r="IK171" s="1717"/>
      <c r="IL171" s="1717"/>
      <c r="IM171" s="1717"/>
      <c r="IN171" s="1717"/>
      <c r="IO171" s="1717"/>
      <c r="IP171" s="1717"/>
      <c r="IQ171" s="1717"/>
      <c r="IR171" s="1717"/>
      <c r="IS171" s="1717"/>
      <c r="IT171" s="1717"/>
      <c r="IU171" s="1717"/>
      <c r="IV171" s="1717"/>
      <c r="IW171" s="1717"/>
      <c r="IX171" s="1717"/>
      <c r="IY171" s="1717"/>
      <c r="IZ171" s="1717"/>
      <c r="JA171" s="1717"/>
      <c r="JB171" s="1717"/>
      <c r="JC171" s="1717"/>
      <c r="JD171" s="1717"/>
      <c r="JE171" s="1717"/>
      <c r="JF171" s="1717"/>
      <c r="JG171" s="1717"/>
      <c r="JH171" s="1717"/>
      <c r="JI171" s="1717"/>
      <c r="JJ171" s="1717"/>
      <c r="JK171" s="1717"/>
      <c r="JL171" s="1717"/>
      <c r="JM171" s="1717"/>
    </row>
    <row r="172" spans="36:273" ht="24.95" customHeight="1">
      <c r="ER172" s="1540"/>
      <c r="ET172" s="1717"/>
      <c r="EU172" s="1717"/>
      <c r="EV172" s="1717"/>
      <c r="EW172" s="1717"/>
      <c r="EX172" s="1717"/>
      <c r="EY172" s="1717"/>
      <c r="EZ172" s="1717"/>
      <c r="FA172" s="1717"/>
      <c r="FB172" s="1717"/>
      <c r="FC172" s="1717"/>
      <c r="FD172" s="1717"/>
      <c r="FE172" s="1717"/>
      <c r="FF172" s="1717"/>
      <c r="FG172" s="1717"/>
      <c r="FH172" s="1717"/>
      <c r="FI172" s="1717"/>
      <c r="FJ172" s="1717"/>
      <c r="FK172" s="1717"/>
      <c r="FL172" s="1717"/>
      <c r="FM172" s="1717"/>
      <c r="FN172" s="1717"/>
      <c r="FO172" s="1717"/>
      <c r="FP172" s="1717"/>
      <c r="FQ172" s="1717"/>
      <c r="FR172" s="1717"/>
      <c r="FS172" s="1717"/>
      <c r="FT172" s="1717"/>
      <c r="FU172" s="1717"/>
      <c r="FV172" s="1717"/>
      <c r="FW172" s="1717"/>
      <c r="FX172" s="1717"/>
      <c r="FY172" s="1717"/>
      <c r="FZ172" s="1717"/>
      <c r="GA172" s="1717"/>
      <c r="GB172" s="1717"/>
      <c r="GC172" s="1717"/>
      <c r="GD172" s="1717"/>
      <c r="GE172" s="1717"/>
      <c r="GF172" s="1717"/>
      <c r="GG172" s="1717"/>
      <c r="GH172" s="1717"/>
      <c r="GI172" s="1717"/>
      <c r="GJ172" s="1717"/>
      <c r="GK172" s="1717"/>
      <c r="GL172" s="1717"/>
      <c r="GM172" s="1717"/>
      <c r="GN172" s="1717"/>
      <c r="GO172" s="1717"/>
      <c r="GP172" s="1717"/>
      <c r="GQ172" s="1717"/>
      <c r="GR172" s="1717"/>
      <c r="GS172" s="1717"/>
      <c r="GT172" s="1717"/>
      <c r="GU172" s="1717"/>
      <c r="GV172" s="1717"/>
      <c r="GW172" s="1717"/>
      <c r="GX172" s="1717"/>
      <c r="GY172" s="1717"/>
      <c r="GZ172" s="1717"/>
      <c r="HA172" s="1717"/>
      <c r="HB172" s="1717"/>
      <c r="HC172" s="1717"/>
      <c r="HD172" s="1717"/>
      <c r="HE172" s="1717"/>
      <c r="HF172" s="1717"/>
      <c r="HG172" s="1717"/>
      <c r="HH172" s="1729"/>
      <c r="HI172" s="1670" t="s">
        <v>16</v>
      </c>
      <c r="HJ172" s="1669" t="s">
        <v>16</v>
      </c>
      <c r="HK172" s="1717"/>
      <c r="HL172" s="1717"/>
      <c r="HM172" s="1717"/>
      <c r="HN172" s="1717"/>
      <c r="HO172" s="1717"/>
      <c r="HP172" s="1717"/>
      <c r="HQ172" s="1717"/>
      <c r="HR172" s="1717"/>
      <c r="HS172" s="1717"/>
      <c r="HT172" s="1717"/>
      <c r="HU172" s="1717"/>
      <c r="HV172" s="1717"/>
      <c r="HW172" s="1717"/>
      <c r="HX172" s="1717"/>
      <c r="HY172" s="1717"/>
      <c r="HZ172" s="1717"/>
      <c r="IA172" s="1717"/>
      <c r="IB172" s="1717"/>
      <c r="IC172" s="1717"/>
      <c r="ID172" s="1717"/>
      <c r="IE172" s="1717"/>
      <c r="IF172" s="1717"/>
      <c r="IG172" s="1717"/>
      <c r="IH172" s="1717"/>
      <c r="II172" s="1717"/>
      <c r="IJ172" s="1717"/>
      <c r="IK172" s="1717"/>
      <c r="IL172" s="1717"/>
      <c r="IM172" s="1717"/>
      <c r="IN172" s="1717"/>
      <c r="IO172" s="1717"/>
      <c r="IP172" s="1717"/>
      <c r="IQ172" s="1717"/>
      <c r="IR172" s="1717"/>
      <c r="IS172" s="1717"/>
      <c r="IT172" s="1717"/>
      <c r="IU172" s="1717"/>
      <c r="IV172" s="1717"/>
      <c r="IW172" s="1717"/>
      <c r="IX172" s="1717"/>
      <c r="IY172" s="1717"/>
      <c r="IZ172" s="1717"/>
      <c r="JA172" s="1717"/>
      <c r="JB172" s="1717"/>
      <c r="JC172" s="1717"/>
      <c r="JD172" s="1717"/>
      <c r="JE172" s="1717"/>
      <c r="JF172" s="1717"/>
      <c r="JG172" s="1717"/>
      <c r="JH172" s="1717"/>
      <c r="JI172" s="1717"/>
      <c r="JJ172" s="1717"/>
      <c r="JK172" s="1717"/>
      <c r="JL172" s="1717"/>
      <c r="JM172" s="1717"/>
    </row>
    <row r="173" spans="36:273" ht="24.95" customHeight="1">
      <c r="ER173" s="1540"/>
      <c r="ET173" s="1717"/>
      <c r="EU173" s="1717"/>
      <c r="EV173" s="1717"/>
      <c r="EW173" s="1717"/>
      <c r="EX173" s="1717"/>
      <c r="EY173" s="1717"/>
      <c r="EZ173" s="1717"/>
      <c r="FA173" s="1717"/>
      <c r="FB173" s="1717"/>
      <c r="FC173" s="1717"/>
      <c r="FD173" s="1717"/>
      <c r="FE173" s="1717"/>
      <c r="FF173" s="1717"/>
      <c r="FG173" s="1717"/>
      <c r="FH173" s="1717"/>
      <c r="FI173" s="1717"/>
      <c r="FJ173" s="1717"/>
      <c r="FK173" s="1717"/>
      <c r="FL173" s="1717"/>
      <c r="FM173" s="1717"/>
      <c r="FN173" s="1717"/>
      <c r="FO173" s="1717"/>
      <c r="FP173" s="1717"/>
      <c r="FQ173" s="1717"/>
      <c r="FR173" s="1717"/>
      <c r="FS173" s="1717"/>
      <c r="FT173" s="1717"/>
      <c r="FU173" s="1717"/>
      <c r="FV173" s="1717"/>
      <c r="FW173" s="1717"/>
      <c r="FX173" s="1717"/>
      <c r="FY173" s="1717"/>
      <c r="FZ173" s="1717"/>
      <c r="GA173" s="1717"/>
      <c r="GB173" s="1717"/>
      <c r="GC173" s="1717"/>
      <c r="GD173" s="1717"/>
      <c r="GE173" s="1717"/>
      <c r="GF173" s="1717"/>
      <c r="GG173" s="1717"/>
      <c r="GH173" s="1717"/>
      <c r="GI173" s="1717"/>
      <c r="GJ173" s="1717"/>
      <c r="GK173" s="1717"/>
      <c r="GL173" s="1717"/>
      <c r="GM173" s="1717"/>
      <c r="GN173" s="1717"/>
      <c r="GO173" s="1717"/>
      <c r="GP173" s="1717"/>
      <c r="GQ173" s="1717"/>
      <c r="GR173" s="1717"/>
      <c r="GS173" s="1717"/>
      <c r="GT173" s="1717"/>
      <c r="GU173" s="1717"/>
      <c r="GV173" s="1717"/>
      <c r="GW173" s="1717"/>
      <c r="GX173" s="1717"/>
      <c r="GY173" s="1717"/>
      <c r="GZ173" s="1717"/>
      <c r="HA173" s="1717"/>
      <c r="HB173" s="1717"/>
      <c r="HC173" s="1717"/>
      <c r="HD173" s="1717"/>
      <c r="HE173" s="1717"/>
      <c r="HF173" s="1717"/>
      <c r="HG173" s="1717"/>
      <c r="HH173" s="1730">
        <v>1</v>
      </c>
      <c r="HI173" s="798">
        <v>2</v>
      </c>
      <c r="HJ173" s="781">
        <v>3</v>
      </c>
      <c r="HK173" s="1717"/>
      <c r="HL173" s="1717"/>
      <c r="HM173" s="1717"/>
      <c r="HN173" s="1717"/>
      <c r="HO173" s="1717"/>
      <c r="HP173" s="1717"/>
      <c r="HQ173" s="1717"/>
      <c r="HR173" s="1717"/>
      <c r="HS173" s="1717"/>
      <c r="HT173" s="1717"/>
      <c r="HU173" s="1717"/>
      <c r="HV173" s="1717"/>
      <c r="HW173" s="1717"/>
      <c r="HX173" s="1717"/>
      <c r="HY173" s="1717"/>
      <c r="HZ173" s="1717"/>
      <c r="IA173" s="1717"/>
      <c r="IB173" s="1717"/>
      <c r="IC173" s="1717"/>
      <c r="ID173" s="1717"/>
      <c r="IE173" s="1717"/>
      <c r="IF173" s="1717"/>
      <c r="IG173" s="1717"/>
      <c r="IH173" s="1717"/>
      <c r="II173" s="1717"/>
      <c r="IJ173" s="1717"/>
      <c r="IK173" s="1717"/>
      <c r="IL173" s="1717"/>
      <c r="IM173" s="1717"/>
      <c r="IN173" s="1717"/>
      <c r="IO173" s="1717"/>
      <c r="IP173" s="1717"/>
      <c r="IQ173" s="1717"/>
      <c r="IR173" s="1717"/>
      <c r="IS173" s="1717"/>
      <c r="IT173" s="1717"/>
      <c r="IU173" s="1717"/>
      <c r="IV173" s="1717"/>
      <c r="IW173" s="1717"/>
      <c r="IX173" s="1717"/>
      <c r="IY173" s="1717"/>
      <c r="IZ173" s="1717"/>
      <c r="JA173" s="1717"/>
      <c r="JB173" s="1717"/>
      <c r="JC173" s="1717"/>
      <c r="JD173" s="1717"/>
      <c r="JE173" s="1717"/>
      <c r="JF173" s="1717"/>
      <c r="JG173" s="1717"/>
      <c r="JH173" s="1717"/>
      <c r="JI173" s="1717"/>
      <c r="JJ173" s="1717"/>
      <c r="JK173" s="1717"/>
      <c r="JL173" s="1717"/>
      <c r="JM173" s="1717"/>
    </row>
    <row r="174" spans="36:273" ht="24.95" customHeight="1">
      <c r="ES174" s="1717"/>
      <c r="ET174" s="1717"/>
      <c r="EU174" s="1717"/>
      <c r="EV174" s="1717"/>
      <c r="EW174" s="1717"/>
      <c r="EX174" s="1717"/>
      <c r="EY174" s="1717"/>
      <c r="EZ174" s="1717"/>
      <c r="FA174" s="1717"/>
      <c r="FB174" s="1717"/>
      <c r="FC174" s="1717"/>
      <c r="FD174" s="1717"/>
      <c r="FE174" s="1717"/>
      <c r="FF174" s="1717"/>
      <c r="FG174" s="1717"/>
      <c r="FH174" s="1717"/>
      <c r="FI174" s="1717"/>
      <c r="FJ174" s="1717"/>
      <c r="FK174" s="1717"/>
      <c r="FL174" s="1717"/>
      <c r="FM174" s="1717"/>
      <c r="FN174" s="1717"/>
      <c r="FO174" s="1717"/>
      <c r="FP174" s="1717"/>
      <c r="FQ174" s="1717"/>
      <c r="FR174" s="1717"/>
      <c r="FS174" s="1717"/>
      <c r="FT174" s="1717"/>
      <c r="FU174" s="1717"/>
      <c r="FV174" s="1717"/>
      <c r="FW174" s="1717"/>
      <c r="FX174" s="1717"/>
      <c r="FY174" s="1717"/>
      <c r="FZ174" s="1717"/>
      <c r="GA174" s="1717"/>
      <c r="GB174" s="1717"/>
      <c r="GC174" s="1717"/>
      <c r="GD174" s="1717"/>
      <c r="GE174" s="1717"/>
      <c r="GF174" s="1717"/>
      <c r="GG174" s="1717"/>
      <c r="GH174" s="1717"/>
      <c r="GI174" s="1717"/>
      <c r="GJ174" s="1717"/>
      <c r="GK174" s="1717"/>
      <c r="GL174" s="1717"/>
      <c r="GM174" s="1717"/>
      <c r="GN174" s="1717"/>
      <c r="GO174" s="1717"/>
      <c r="GP174" s="1717"/>
      <c r="GQ174" s="1717"/>
      <c r="GR174" s="1717"/>
      <c r="GS174" s="1717"/>
      <c r="GT174" s="1717"/>
      <c r="GU174" s="1717"/>
      <c r="GV174" s="1717"/>
      <c r="GW174" s="1717"/>
      <c r="GX174" s="1717"/>
      <c r="GY174" s="1717"/>
      <c r="GZ174" s="1717"/>
      <c r="HA174" s="1717"/>
      <c r="HB174" s="1717"/>
      <c r="HC174" s="1717"/>
      <c r="HD174" s="1717"/>
      <c r="HE174" s="1717"/>
      <c r="HF174" s="1717"/>
      <c r="HG174" s="1717"/>
      <c r="HH174" s="2470" t="s">
        <v>236</v>
      </c>
      <c r="HI174" s="1731" t="s">
        <v>59</v>
      </c>
      <c r="HJ174" s="1732">
        <v>20</v>
      </c>
      <c r="HK174" s="1717"/>
      <c r="HL174" s="1717"/>
      <c r="HM174" s="1717"/>
      <c r="HN174" s="1717"/>
      <c r="HO174" s="1717"/>
      <c r="HP174" s="1717"/>
      <c r="HQ174" s="1717"/>
      <c r="HR174" s="1717"/>
      <c r="HS174" s="1717"/>
      <c r="HT174" s="1717"/>
      <c r="HU174" s="1717"/>
      <c r="HV174" s="1717"/>
      <c r="HW174" s="1717"/>
      <c r="HX174" s="1717"/>
      <c r="HY174" s="1717"/>
      <c r="HZ174" s="1717"/>
      <c r="IA174" s="1717"/>
      <c r="IB174" s="1717"/>
      <c r="IC174" s="1717"/>
      <c r="ID174" s="1717"/>
      <c r="IE174" s="1717"/>
      <c r="IF174" s="1717"/>
      <c r="IG174" s="1717"/>
      <c r="IH174" s="1717"/>
      <c r="II174" s="1717"/>
      <c r="IJ174" s="1717"/>
      <c r="IK174" s="1717"/>
      <c r="IL174" s="1717"/>
      <c r="IM174" s="1717"/>
      <c r="IN174" s="1717"/>
      <c r="IO174" s="1717"/>
      <c r="IP174" s="1717"/>
      <c r="IQ174" s="1717"/>
      <c r="IR174" s="1717"/>
      <c r="IS174" s="1717"/>
      <c r="IT174" s="1717"/>
      <c r="IU174" s="1717"/>
      <c r="IV174" s="1717"/>
      <c r="IW174" s="1717"/>
      <c r="IX174" s="1717"/>
      <c r="IY174" s="1717"/>
      <c r="IZ174" s="1717"/>
      <c r="JA174" s="1717"/>
      <c r="JB174" s="1717"/>
      <c r="JC174" s="1717"/>
      <c r="JD174" s="1717"/>
      <c r="JE174" s="1717"/>
      <c r="JF174" s="1717"/>
      <c r="JG174" s="1717"/>
      <c r="JH174" s="1717"/>
      <c r="JI174" s="1717"/>
      <c r="JJ174" s="1717"/>
      <c r="JK174" s="1717"/>
      <c r="JL174" s="1717"/>
      <c r="JM174" s="1717"/>
    </row>
    <row r="175" spans="36:273" ht="20.100000000000001" customHeight="1">
      <c r="ES175" s="1717"/>
      <c r="ET175" s="1717"/>
      <c r="EU175" s="1717"/>
      <c r="EV175" s="1717"/>
      <c r="EW175" s="1717"/>
      <c r="EX175" s="1717"/>
      <c r="EY175" s="1717"/>
      <c r="EZ175" s="1717"/>
      <c r="FA175" s="1717"/>
      <c r="FB175" s="1717"/>
      <c r="FC175" s="1717"/>
      <c r="FD175" s="1717"/>
      <c r="FE175" s="1717"/>
      <c r="FF175" s="1717"/>
      <c r="FG175" s="1717"/>
      <c r="FH175" s="1717"/>
      <c r="FI175" s="1717"/>
      <c r="FJ175" s="1717"/>
      <c r="FK175" s="1717"/>
      <c r="FL175" s="1717"/>
      <c r="FM175" s="1717"/>
      <c r="FN175" s="1717"/>
      <c r="FO175" s="1717"/>
      <c r="FP175" s="1717"/>
      <c r="FQ175" s="1717"/>
      <c r="FR175" s="1717"/>
      <c r="FS175" s="1717"/>
      <c r="FT175" s="1717"/>
      <c r="FU175" s="1717"/>
      <c r="FV175" s="1717"/>
      <c r="FW175" s="1717"/>
      <c r="FX175" s="1717"/>
      <c r="FY175" s="1717"/>
      <c r="FZ175" s="1717"/>
      <c r="GA175" s="1717"/>
      <c r="GB175" s="1717"/>
      <c r="GC175" s="1717"/>
      <c r="GD175" s="1717"/>
      <c r="GE175" s="1717"/>
      <c r="GF175" s="1717"/>
      <c r="GG175" s="1717"/>
      <c r="GH175" s="1717"/>
      <c r="GI175" s="1717"/>
      <c r="GJ175" s="1717"/>
      <c r="GK175" s="1717"/>
      <c r="GL175" s="1717"/>
      <c r="GM175" s="1717"/>
      <c r="GN175" s="1717"/>
      <c r="GO175" s="1717"/>
      <c r="GP175" s="1717"/>
      <c r="GQ175" s="1717"/>
      <c r="GR175" s="1717"/>
      <c r="GS175" s="1717"/>
      <c r="GT175" s="1717"/>
      <c r="GU175" s="1717"/>
      <c r="GV175" s="1717"/>
      <c r="GW175" s="1717"/>
      <c r="GX175" s="1717"/>
      <c r="GY175" s="1717"/>
      <c r="GZ175" s="1717"/>
      <c r="HA175" s="1717"/>
      <c r="HB175" s="1717"/>
      <c r="HC175" s="1717"/>
      <c r="HD175" s="1717"/>
      <c r="HE175" s="1717"/>
      <c r="HF175" s="1717"/>
      <c r="HG175" s="1717"/>
      <c r="HH175" s="2470" t="s">
        <v>237</v>
      </c>
      <c r="HI175" s="1733" t="s">
        <v>45</v>
      </c>
      <c r="HJ175" s="1734">
        <v>75</v>
      </c>
      <c r="HK175" s="1717"/>
      <c r="HL175" s="1717"/>
      <c r="HM175" s="1717"/>
      <c r="HN175" s="1717"/>
      <c r="HO175" s="1717"/>
      <c r="HP175" s="1717"/>
      <c r="HQ175" s="1717"/>
      <c r="HR175" s="1717"/>
      <c r="HS175" s="1717"/>
      <c r="HT175" s="1717"/>
      <c r="HU175" s="1717"/>
      <c r="HV175" s="1717"/>
      <c r="HW175" s="1717"/>
      <c r="HX175" s="1717"/>
      <c r="HY175" s="1717"/>
      <c r="HZ175" s="1717"/>
      <c r="IA175" s="1717"/>
      <c r="IB175" s="1717"/>
      <c r="IC175" s="1717"/>
      <c r="ID175" s="1717"/>
      <c r="IE175" s="1717"/>
      <c r="IF175" s="1717"/>
      <c r="IG175" s="1717"/>
      <c r="IH175" s="1717"/>
      <c r="II175" s="1717"/>
      <c r="IJ175" s="1717"/>
      <c r="IK175" s="1717"/>
      <c r="IL175" s="1717"/>
      <c r="IM175" s="1717"/>
      <c r="IN175" s="1717"/>
      <c r="IO175" s="1717"/>
      <c r="IP175" s="1717"/>
      <c r="IQ175" s="1717"/>
      <c r="IR175" s="1717"/>
      <c r="IS175" s="1717"/>
      <c r="IT175" s="1717"/>
      <c r="IU175" s="1717"/>
      <c r="IV175" s="1717"/>
      <c r="IW175" s="1717"/>
      <c r="IX175" s="1717"/>
      <c r="IY175" s="1717"/>
      <c r="IZ175" s="1717"/>
      <c r="JA175" s="1717"/>
      <c r="JB175" s="1717"/>
      <c r="JC175" s="1717"/>
      <c r="JD175" s="1717"/>
      <c r="JE175" s="1717"/>
      <c r="JF175" s="1717"/>
      <c r="JG175" s="1717"/>
      <c r="JH175" s="1717"/>
      <c r="JI175" s="1717"/>
      <c r="JJ175" s="1717"/>
      <c r="JK175" s="1717"/>
      <c r="JL175" s="1717"/>
      <c r="JM175" s="1717"/>
    </row>
    <row r="176" spans="36:273" ht="20.100000000000001" customHeight="1">
      <c r="ES176" s="1717"/>
      <c r="ET176" s="1717"/>
      <c r="EU176" s="1717"/>
      <c r="EV176" s="1717"/>
      <c r="EW176" s="1717"/>
      <c r="EX176" s="1717"/>
      <c r="EY176" s="1717"/>
      <c r="EZ176" s="1717"/>
      <c r="FA176" s="1717"/>
      <c r="FB176" s="1717"/>
      <c r="FC176" s="1717"/>
      <c r="FD176" s="1717"/>
      <c r="FE176" s="1717"/>
      <c r="FF176" s="1717"/>
      <c r="FG176" s="1717"/>
      <c r="FH176" s="1717"/>
      <c r="FI176" s="1717"/>
      <c r="FJ176" s="1717"/>
      <c r="FK176" s="1717"/>
      <c r="FL176" s="1717"/>
      <c r="FM176" s="1717"/>
      <c r="FN176" s="1717"/>
      <c r="FO176" s="1717"/>
      <c r="FP176" s="1717"/>
      <c r="FQ176" s="1717"/>
      <c r="FR176" s="1717"/>
      <c r="FS176" s="1717"/>
      <c r="FT176" s="1717"/>
      <c r="FU176" s="1717"/>
      <c r="FV176" s="1717"/>
      <c r="FW176" s="1717"/>
      <c r="FX176" s="1717"/>
      <c r="FY176" s="1717"/>
      <c r="FZ176" s="1717"/>
      <c r="GA176" s="1717"/>
      <c r="GB176" s="1717"/>
      <c r="GC176" s="1717"/>
      <c r="GD176" s="1717"/>
      <c r="GE176" s="1717"/>
      <c r="GF176" s="1717"/>
      <c r="GG176" s="1717"/>
      <c r="GH176" s="1717"/>
      <c r="GI176" s="1717"/>
      <c r="GJ176" s="1717"/>
      <c r="GK176" s="1717"/>
      <c r="GL176" s="1717"/>
      <c r="GM176" s="1717"/>
      <c r="GN176" s="1717"/>
      <c r="GO176" s="1717"/>
      <c r="GP176" s="1717"/>
      <c r="GQ176" s="1717"/>
      <c r="GR176" s="1717"/>
      <c r="GS176" s="1717"/>
      <c r="GT176" s="1717"/>
      <c r="GU176" s="1717"/>
      <c r="GV176" s="1717"/>
      <c r="GW176" s="1717"/>
      <c r="GX176" s="1717"/>
      <c r="GY176" s="1717"/>
      <c r="GZ176" s="1717"/>
      <c r="HA176" s="1717"/>
      <c r="HB176" s="1717"/>
      <c r="HC176" s="1717"/>
      <c r="HD176" s="1717"/>
      <c r="HE176" s="1717"/>
      <c r="HF176" s="1717"/>
      <c r="HG176" s="1717"/>
      <c r="HH176" s="2470" t="s">
        <v>238</v>
      </c>
      <c r="HI176" s="1733" t="s">
        <v>53</v>
      </c>
      <c r="HJ176" s="1734">
        <v>20</v>
      </c>
      <c r="HK176" s="1717"/>
      <c r="HO176" s="1717"/>
      <c r="HP176" s="1717"/>
      <c r="HQ176" s="1717"/>
      <c r="HR176" s="1717"/>
      <c r="HS176" s="1717"/>
      <c r="HT176" s="1717"/>
      <c r="HU176" s="1717"/>
      <c r="HV176" s="1717"/>
      <c r="HW176" s="1717"/>
      <c r="HX176" s="1717"/>
      <c r="HY176" s="1717"/>
      <c r="HZ176" s="1717"/>
      <c r="IA176" s="1717"/>
      <c r="IB176" s="1717"/>
      <c r="IC176" s="1717"/>
      <c r="ID176" s="1717"/>
      <c r="IE176" s="1717"/>
      <c r="IF176" s="1717"/>
      <c r="IG176" s="1717"/>
      <c r="IH176" s="1717"/>
      <c r="II176" s="1717"/>
      <c r="IJ176" s="1717"/>
      <c r="IK176" s="1717"/>
      <c r="IL176" s="1717"/>
      <c r="IM176" s="1717"/>
      <c r="IN176" s="1717"/>
      <c r="IO176" s="1717"/>
      <c r="IP176" s="1717"/>
      <c r="IQ176" s="1717"/>
      <c r="IR176" s="1717"/>
      <c r="IS176" s="1717"/>
      <c r="IT176" s="1717"/>
      <c r="IU176" s="1717"/>
      <c r="IV176" s="1717"/>
      <c r="IW176" s="1717"/>
      <c r="IX176" s="1717"/>
      <c r="IY176" s="1717"/>
      <c r="IZ176" s="1717"/>
      <c r="JA176" s="1717"/>
      <c r="JB176" s="1717"/>
      <c r="JC176" s="1717"/>
      <c r="JD176" s="1717"/>
      <c r="JE176" s="1717"/>
      <c r="JF176" s="1717"/>
      <c r="JG176" s="1717"/>
      <c r="JH176" s="1717"/>
      <c r="JI176" s="1717"/>
      <c r="JJ176" s="1717"/>
      <c r="JK176" s="1717"/>
      <c r="JL176" s="1717"/>
      <c r="JM176" s="1717"/>
    </row>
    <row r="177" spans="127:273" ht="20.100000000000001" customHeight="1">
      <c r="ES177" s="1717"/>
      <c r="ET177" s="1717"/>
      <c r="EU177" s="1717"/>
      <c r="EV177" s="1717"/>
      <c r="EW177" s="1717"/>
      <c r="EX177" s="1717"/>
      <c r="EY177" s="1717"/>
      <c r="EZ177" s="1717"/>
      <c r="FA177" s="1717"/>
      <c r="FB177" s="1717"/>
      <c r="FC177" s="1717"/>
      <c r="FD177" s="1717"/>
      <c r="FE177" s="1717"/>
      <c r="FF177" s="1717"/>
      <c r="FG177" s="1717"/>
      <c r="FH177" s="1717"/>
      <c r="FI177" s="1717"/>
      <c r="FJ177" s="1717"/>
      <c r="FK177" s="1717"/>
      <c r="FL177" s="1717"/>
      <c r="FM177" s="1717"/>
      <c r="FN177" s="1717"/>
      <c r="FO177" s="1717"/>
      <c r="FP177" s="1717"/>
      <c r="FQ177" s="1717"/>
      <c r="FR177" s="1717"/>
      <c r="FS177" s="1717"/>
      <c r="FT177" s="1717"/>
      <c r="FU177" s="1717"/>
      <c r="FV177" s="1717"/>
      <c r="FW177" s="1717"/>
      <c r="FX177" s="1717"/>
      <c r="FY177" s="1717"/>
      <c r="FZ177" s="1717"/>
      <c r="GA177" s="1717"/>
      <c r="GB177" s="1717"/>
      <c r="GC177" s="1717"/>
      <c r="GD177" s="1717"/>
      <c r="GE177" s="1717"/>
      <c r="GF177" s="1717"/>
      <c r="GG177" s="1717"/>
      <c r="GH177" s="1717"/>
      <c r="GI177" s="1717"/>
      <c r="GJ177" s="1717"/>
      <c r="GK177" s="1717"/>
      <c r="GL177" s="1717"/>
      <c r="GM177" s="1717"/>
      <c r="GN177" s="1717"/>
      <c r="GO177" s="1717"/>
      <c r="GP177" s="1717"/>
      <c r="GQ177" s="1717"/>
      <c r="GR177" s="1717"/>
      <c r="GS177" s="1717"/>
      <c r="GT177" s="1717"/>
      <c r="GU177" s="1717"/>
      <c r="GV177" s="1717"/>
      <c r="GW177" s="1717"/>
      <c r="GX177" s="1717"/>
      <c r="GY177" s="1717"/>
      <c r="GZ177" s="1717"/>
      <c r="HA177" s="1717"/>
      <c r="HB177" s="1717"/>
      <c r="HC177" s="1717"/>
      <c r="HD177" s="1717"/>
      <c r="HE177" s="1717"/>
      <c r="HF177" s="1717"/>
      <c r="HG177" s="1717"/>
      <c r="HH177" s="2470" t="s">
        <v>239</v>
      </c>
      <c r="HI177" s="1733" t="s">
        <v>48</v>
      </c>
      <c r="HJ177" s="1734">
        <v>35</v>
      </c>
      <c r="HK177" s="1717"/>
      <c r="HO177" s="1717"/>
      <c r="HP177" s="1717"/>
      <c r="HQ177" s="1717"/>
      <c r="HR177" s="1717"/>
      <c r="HS177" s="1717"/>
      <c r="HT177" s="1717"/>
      <c r="HU177" s="1717"/>
      <c r="HV177" s="1717"/>
      <c r="HW177" s="1717"/>
      <c r="HX177" s="1717"/>
      <c r="HY177" s="1717"/>
      <c r="HZ177" s="1717"/>
      <c r="IA177" s="1717"/>
      <c r="IB177" s="1717"/>
      <c r="IC177" s="1717"/>
      <c r="ID177" s="1717"/>
      <c r="IE177" s="1717"/>
      <c r="IF177" s="1717"/>
      <c r="IG177" s="1717"/>
      <c r="IH177" s="1717"/>
      <c r="II177" s="1717"/>
      <c r="IJ177" s="1717"/>
      <c r="IK177" s="1717"/>
      <c r="IL177" s="1717"/>
      <c r="IM177" s="1717"/>
      <c r="IN177" s="1717"/>
      <c r="IO177" s="1717"/>
      <c r="IP177" s="1717"/>
      <c r="IQ177" s="1717"/>
      <c r="IR177" s="1717"/>
      <c r="IS177" s="1717"/>
      <c r="IT177" s="1717"/>
      <c r="IU177" s="1717"/>
      <c r="IV177" s="1717"/>
      <c r="IW177" s="1717"/>
      <c r="IX177" s="1717"/>
      <c r="IY177" s="1717"/>
      <c r="IZ177" s="1717"/>
      <c r="JA177" s="1717"/>
      <c r="JB177" s="1717"/>
      <c r="JC177" s="1717"/>
      <c r="JD177" s="1717"/>
      <c r="JE177" s="1717"/>
      <c r="JF177" s="1717"/>
      <c r="JG177" s="1717"/>
      <c r="JH177" s="1717"/>
      <c r="JI177" s="1717"/>
      <c r="JJ177" s="1717"/>
      <c r="JK177" s="1717"/>
      <c r="JL177" s="1717"/>
      <c r="JM177" s="1717"/>
    </row>
    <row r="178" spans="127:273" ht="20.100000000000001" customHeight="1">
      <c r="ES178" s="1717"/>
      <c r="ET178" s="1717"/>
      <c r="EU178" s="1717"/>
      <c r="EV178" s="1717"/>
      <c r="EW178" s="1717"/>
      <c r="EX178" s="1717"/>
      <c r="EY178" s="1717"/>
      <c r="EZ178" s="1717"/>
      <c r="FA178" s="1717"/>
      <c r="FB178" s="1717"/>
      <c r="FC178" s="1717"/>
      <c r="FD178" s="1717"/>
      <c r="FE178" s="1717"/>
      <c r="FF178" s="1717"/>
      <c r="FG178" s="1717"/>
      <c r="FH178" s="1717"/>
      <c r="FI178" s="1717"/>
      <c r="FJ178" s="1717"/>
      <c r="FK178" s="1717"/>
      <c r="FL178" s="1717"/>
      <c r="FM178" s="1717"/>
      <c r="FN178" s="1717"/>
      <c r="FO178" s="1717"/>
      <c r="FP178" s="1717"/>
      <c r="FQ178" s="1717"/>
      <c r="FR178" s="1717"/>
      <c r="FS178" s="1717"/>
      <c r="FT178" s="1717"/>
      <c r="FU178" s="1717"/>
      <c r="FV178" s="1717"/>
      <c r="FW178" s="1717"/>
      <c r="FX178" s="1717"/>
      <c r="FY178" s="1717"/>
      <c r="FZ178" s="1717"/>
      <c r="GA178" s="1717"/>
      <c r="GB178" s="1717"/>
      <c r="GC178" s="1717"/>
      <c r="GD178" s="1717"/>
      <c r="GE178" s="1717"/>
      <c r="GF178" s="1717"/>
      <c r="GG178" s="1717"/>
      <c r="GH178" s="1717"/>
      <c r="GI178" s="1717"/>
      <c r="GJ178" s="1717"/>
      <c r="GK178" s="1717"/>
      <c r="GL178" s="1717"/>
      <c r="GM178" s="1717"/>
      <c r="GN178" s="1717"/>
      <c r="GO178" s="1717"/>
      <c r="GP178" s="1717"/>
      <c r="GQ178" s="1717"/>
      <c r="GR178" s="1717"/>
      <c r="GS178" s="1717"/>
      <c r="GT178" s="1717"/>
      <c r="GU178" s="1717"/>
      <c r="GV178" s="1717"/>
      <c r="GW178" s="1717"/>
      <c r="GX178" s="1717"/>
      <c r="GY178" s="1717"/>
      <c r="GZ178" s="1717"/>
      <c r="HA178" s="1717"/>
      <c r="HB178" s="1717"/>
      <c r="HC178" s="1717"/>
      <c r="HD178" s="1717"/>
      <c r="HE178" s="1717"/>
      <c r="HF178" s="1717"/>
      <c r="HG178" s="1717"/>
      <c r="HH178" s="2470" t="s">
        <v>240</v>
      </c>
      <c r="HI178" s="1733" t="s">
        <v>52</v>
      </c>
      <c r="HJ178" s="1734">
        <v>25</v>
      </c>
      <c r="HK178" s="1717"/>
      <c r="HO178" s="1717"/>
      <c r="HS178" s="1717"/>
      <c r="HT178" s="1717"/>
      <c r="HU178" s="1717"/>
      <c r="HV178" s="1717"/>
      <c r="HW178" s="1717"/>
      <c r="HX178" s="1717"/>
      <c r="HY178" s="1717"/>
      <c r="HZ178" s="1717"/>
      <c r="IA178" s="1717"/>
      <c r="IB178" s="1717"/>
      <c r="IC178" s="1717"/>
      <c r="ID178" s="1717"/>
      <c r="IE178" s="1717"/>
      <c r="IF178" s="1717"/>
      <c r="IG178" s="1717"/>
      <c r="IH178" s="1717"/>
      <c r="II178" s="1717"/>
      <c r="IJ178" s="1717"/>
      <c r="IK178" s="1717"/>
      <c r="IL178" s="1717"/>
      <c r="IM178" s="1717"/>
      <c r="IN178" s="1717"/>
      <c r="IO178" s="1717"/>
      <c r="IP178" s="1717"/>
      <c r="IQ178" s="1717"/>
      <c r="IR178" s="1717"/>
      <c r="IS178" s="1717"/>
      <c r="IT178" s="1717"/>
      <c r="IU178" s="1717"/>
      <c r="IV178" s="1717"/>
      <c r="IW178" s="1717"/>
      <c r="IX178" s="1717"/>
      <c r="IY178" s="1717"/>
      <c r="IZ178" s="1717"/>
      <c r="JA178" s="1717"/>
      <c r="JB178" s="1717"/>
      <c r="JC178" s="1717"/>
      <c r="JD178" s="1717"/>
      <c r="JE178" s="1717"/>
      <c r="JF178" s="1717"/>
      <c r="JG178" s="1717"/>
      <c r="JH178" s="1717"/>
      <c r="JI178" s="1717"/>
      <c r="JJ178" s="1717"/>
      <c r="JK178" s="1717"/>
      <c r="JL178" s="1717"/>
      <c r="JM178" s="1717"/>
    </row>
    <row r="179" spans="127:273" ht="20.100000000000001" customHeight="1">
      <c r="ES179" s="1717"/>
      <c r="ET179" s="1717"/>
      <c r="EU179" s="1717"/>
      <c r="EV179" s="1717"/>
      <c r="EW179" s="1717"/>
      <c r="EX179" s="1717"/>
      <c r="EY179" s="1717"/>
      <c r="EZ179" s="1717"/>
      <c r="FA179" s="1717"/>
      <c r="FB179" s="1717"/>
      <c r="FC179" s="1717"/>
      <c r="FD179" s="1717"/>
      <c r="FE179" s="1717"/>
      <c r="FF179" s="1717"/>
      <c r="FG179" s="1717"/>
      <c r="FH179" s="1717"/>
      <c r="FI179" s="1717"/>
      <c r="FJ179" s="1717"/>
      <c r="FK179" s="1717"/>
      <c r="FL179" s="1717"/>
      <c r="FM179" s="1717"/>
      <c r="FN179" s="1717"/>
      <c r="FO179" s="1717"/>
      <c r="FP179" s="1717"/>
      <c r="FQ179" s="1717"/>
      <c r="FR179" s="1717"/>
      <c r="FS179" s="1717"/>
      <c r="FT179" s="1717"/>
      <c r="FU179" s="1717"/>
      <c r="FV179" s="1717"/>
      <c r="FW179" s="1717"/>
      <c r="FX179" s="1717"/>
      <c r="FY179" s="1717"/>
      <c r="FZ179" s="1717"/>
      <c r="GA179" s="1717"/>
      <c r="GB179" s="1717"/>
      <c r="GC179" s="1717"/>
      <c r="GD179" s="1717"/>
      <c r="GE179" s="1717"/>
      <c r="GF179" s="1717"/>
      <c r="GG179" s="1717"/>
      <c r="GH179" s="1717"/>
      <c r="GI179" s="1717"/>
      <c r="GJ179" s="1717"/>
      <c r="GK179" s="1717"/>
      <c r="GL179" s="1717"/>
      <c r="GM179" s="1717"/>
      <c r="GN179" s="1717"/>
      <c r="GO179" s="1717"/>
      <c r="GP179" s="1717"/>
      <c r="GQ179" s="1717"/>
      <c r="GR179" s="1717"/>
      <c r="GS179" s="1717"/>
      <c r="GT179" s="1717"/>
      <c r="GU179" s="1717"/>
      <c r="GV179" s="1717"/>
      <c r="GW179" s="1717"/>
      <c r="GX179" s="1717"/>
      <c r="GY179" s="1717"/>
      <c r="GZ179" s="1717"/>
      <c r="HA179" s="1717"/>
      <c r="HB179" s="1717"/>
      <c r="HC179" s="1717"/>
      <c r="HD179" s="1717"/>
      <c r="HE179" s="1717"/>
      <c r="HF179" s="1717"/>
      <c r="HG179" s="1717"/>
      <c r="HH179" s="2470" t="s">
        <v>241</v>
      </c>
      <c r="HI179" s="1733" t="s">
        <v>53</v>
      </c>
      <c r="HJ179" s="1734">
        <v>30</v>
      </c>
      <c r="HK179" s="1717"/>
      <c r="HO179" s="1717"/>
      <c r="HP179" s="1717"/>
      <c r="HQ179" s="1717"/>
      <c r="HR179" s="1717"/>
      <c r="HS179" s="1717"/>
      <c r="HT179" s="1717"/>
      <c r="HU179" s="1717"/>
      <c r="HV179" s="1717"/>
      <c r="HW179" s="1717"/>
      <c r="HX179" s="1717"/>
      <c r="HY179" s="1717"/>
      <c r="HZ179" s="1717"/>
      <c r="IA179" s="1717"/>
      <c r="IB179" s="1717"/>
      <c r="IC179" s="1717"/>
      <c r="ID179" s="1717"/>
      <c r="IE179" s="1717"/>
      <c r="IF179" s="1717"/>
      <c r="IG179" s="1717"/>
      <c r="IH179" s="1717"/>
      <c r="II179" s="1717"/>
      <c r="IJ179" s="1717"/>
      <c r="IK179" s="1717"/>
      <c r="IL179" s="1717"/>
      <c r="IM179" s="1717"/>
      <c r="IN179" s="1717"/>
      <c r="IO179" s="1717"/>
      <c r="IP179" s="1717"/>
      <c r="IQ179" s="1717"/>
      <c r="IR179" s="1717"/>
      <c r="IS179" s="1717"/>
      <c r="IT179" s="1717"/>
      <c r="IU179" s="1717"/>
      <c r="IV179" s="1717"/>
      <c r="IW179" s="1717"/>
      <c r="IX179" s="1717"/>
      <c r="IY179" s="1717"/>
      <c r="IZ179" s="1717"/>
      <c r="JA179" s="1717"/>
      <c r="JB179" s="1717"/>
      <c r="JC179" s="1717"/>
      <c r="JD179" s="1717"/>
      <c r="JE179" s="1717"/>
      <c r="JF179" s="1717"/>
      <c r="JG179" s="1717"/>
      <c r="JH179" s="1717"/>
      <c r="JI179" s="1717"/>
      <c r="JJ179" s="1717"/>
      <c r="JK179" s="1717"/>
      <c r="JL179" s="1717"/>
      <c r="JM179" s="1717"/>
    </row>
    <row r="180" spans="127:273" ht="30" customHeight="1" thickBot="1">
      <c r="ES180" s="1717"/>
      <c r="ET180" s="1717"/>
      <c r="EU180" s="1717"/>
      <c r="EV180" s="1717"/>
      <c r="EW180" s="1717"/>
      <c r="EX180" s="1717"/>
      <c r="EY180" s="1717"/>
      <c r="EZ180" s="1717"/>
      <c r="FA180" s="1717"/>
      <c r="FB180" s="1717"/>
      <c r="FC180" s="1717"/>
      <c r="FD180" s="1717"/>
      <c r="FE180" s="1717"/>
      <c r="FF180" s="1717"/>
      <c r="FG180" s="1717"/>
      <c r="FH180" s="1717"/>
      <c r="FI180" s="1717"/>
      <c r="FJ180" s="1717"/>
      <c r="FK180" s="1717"/>
      <c r="FL180" s="1717"/>
      <c r="FM180" s="1717"/>
      <c r="FN180" s="1717"/>
      <c r="FO180" s="1717"/>
      <c r="FP180" s="1717"/>
      <c r="FQ180" s="1717"/>
      <c r="FR180" s="1717"/>
      <c r="FS180" s="1717"/>
      <c r="FT180" s="1717"/>
      <c r="FU180" s="1717"/>
      <c r="FV180" s="1717"/>
      <c r="FW180" s="1717"/>
      <c r="FX180" s="1717"/>
      <c r="FY180" s="1717"/>
      <c r="FZ180" s="1717"/>
      <c r="GA180" s="1717"/>
      <c r="GB180" s="1717"/>
      <c r="GC180" s="1717"/>
      <c r="GD180" s="1717"/>
      <c r="GE180" s="1717"/>
      <c r="GF180" s="1717"/>
      <c r="GG180" s="1717"/>
      <c r="GH180" s="1717"/>
      <c r="GI180" s="1717"/>
      <c r="GJ180" s="1717"/>
      <c r="GK180" s="1717"/>
      <c r="GL180" s="1717"/>
      <c r="GM180" s="1717"/>
      <c r="GN180" s="1717"/>
      <c r="GO180" s="1717"/>
      <c r="GP180" s="1717"/>
      <c r="GQ180" s="1717"/>
      <c r="GR180" s="1717"/>
      <c r="GS180" s="1717"/>
      <c r="GT180" s="1717"/>
      <c r="GU180" s="1717"/>
      <c r="GV180" s="1717"/>
      <c r="GW180" s="1717"/>
      <c r="GX180" s="1717"/>
      <c r="GY180" s="1717"/>
      <c r="GZ180" s="1717"/>
      <c r="HA180" s="1717"/>
      <c r="HB180" s="1717"/>
      <c r="HC180" s="1717"/>
      <c r="HD180" s="1717"/>
      <c r="HE180" s="1717"/>
      <c r="HF180" s="1717"/>
      <c r="HG180" s="1717"/>
      <c r="HH180" s="2471" t="s">
        <v>2</v>
      </c>
      <c r="HI180" s="1735"/>
      <c r="HJ180" s="1736">
        <f>SUM(HJ174:HJ179)</f>
        <v>205</v>
      </c>
      <c r="HK180" s="1717"/>
      <c r="HL180" s="1717"/>
      <c r="HM180" s="1717"/>
      <c r="HN180" s="1717"/>
      <c r="HO180" s="1717"/>
      <c r="HP180" s="1717"/>
      <c r="HQ180" s="1717"/>
      <c r="HR180" s="1717"/>
      <c r="HS180" s="1717"/>
      <c r="HT180" s="1717"/>
      <c r="HU180" s="1717"/>
      <c r="HV180" s="1717"/>
      <c r="HW180" s="1717"/>
      <c r="HX180" s="1717"/>
      <c r="HY180" s="1717"/>
      <c r="HZ180" s="1717"/>
      <c r="IA180" s="1717"/>
      <c r="IB180" s="1717"/>
      <c r="IC180" s="1717"/>
      <c r="ID180" s="1717"/>
      <c r="IE180" s="1717"/>
      <c r="IF180" s="1717"/>
      <c r="IG180" s="1717"/>
      <c r="IH180" s="1717"/>
      <c r="II180" s="1717"/>
      <c r="IJ180" s="1717"/>
      <c r="IK180" s="1717"/>
      <c r="IL180" s="1717"/>
      <c r="IM180" s="1717"/>
      <c r="IN180" s="1717"/>
      <c r="IO180" s="1717"/>
      <c r="IP180" s="1717"/>
      <c r="IQ180" s="1717"/>
      <c r="IR180" s="1717"/>
      <c r="IS180" s="1717"/>
      <c r="IT180" s="1717"/>
      <c r="IU180" s="1717"/>
      <c r="IV180" s="1717"/>
      <c r="IW180" s="1717"/>
      <c r="IX180" s="1717"/>
      <c r="IY180" s="1717"/>
      <c r="IZ180" s="1717"/>
      <c r="JA180" s="1717"/>
      <c r="JB180" s="1717"/>
      <c r="JC180" s="1717"/>
      <c r="JD180" s="1717"/>
      <c r="JE180" s="1717"/>
      <c r="JF180" s="1717"/>
      <c r="JG180" s="1717"/>
      <c r="JH180" s="1717"/>
      <c r="JI180" s="1717"/>
      <c r="JJ180" s="1717"/>
      <c r="JK180" s="1717"/>
      <c r="JL180" s="1717"/>
      <c r="JM180" s="1717"/>
    </row>
    <row r="181" spans="127:273" ht="15" customHeight="1">
      <c r="ES181" s="1717"/>
      <c r="ET181" s="1717"/>
      <c r="EU181" s="1717"/>
      <c r="EV181" s="1717"/>
      <c r="EW181" s="1717"/>
      <c r="EX181" s="1717"/>
      <c r="EY181" s="1717"/>
      <c r="EZ181" s="1717"/>
      <c r="FA181" s="1717"/>
      <c r="FB181" s="1717"/>
      <c r="FC181" s="1717"/>
      <c r="FD181" s="1717"/>
      <c r="FE181" s="1717"/>
      <c r="FF181" s="1717"/>
      <c r="FG181" s="1717"/>
      <c r="FH181" s="1717"/>
      <c r="FI181" s="1717"/>
      <c r="FJ181" s="1717"/>
      <c r="FK181" s="1717"/>
      <c r="FL181" s="1717"/>
      <c r="FM181" s="1717"/>
      <c r="FN181" s="1717"/>
      <c r="FO181" s="1717"/>
      <c r="FP181" s="1717"/>
      <c r="FQ181" s="1717"/>
      <c r="FR181" s="1717"/>
      <c r="FS181" s="1717"/>
      <c r="FT181" s="1717"/>
      <c r="FU181" s="1717"/>
      <c r="FV181" s="1717"/>
      <c r="FW181" s="1717"/>
      <c r="FX181" s="1717"/>
      <c r="FY181" s="1717"/>
      <c r="FZ181" s="1717"/>
      <c r="GA181" s="1717"/>
      <c r="GB181" s="1717"/>
      <c r="GC181" s="1717"/>
      <c r="GD181" s="1717"/>
      <c r="GE181" s="1717"/>
      <c r="GF181" s="1717"/>
      <c r="GG181" s="1717"/>
      <c r="GH181" s="1717"/>
      <c r="GI181" s="1717"/>
      <c r="GJ181" s="1717"/>
      <c r="GK181" s="1717"/>
      <c r="GL181" s="1717"/>
      <c r="GM181" s="1717"/>
      <c r="GN181" s="1717"/>
      <c r="GO181" s="1717"/>
      <c r="GP181" s="1717"/>
      <c r="GQ181" s="1717"/>
      <c r="GR181" s="1717"/>
      <c r="GS181" s="1717"/>
      <c r="GT181" s="1717"/>
      <c r="GU181" s="1717"/>
      <c r="GV181" s="1717"/>
      <c r="GW181" s="1717"/>
      <c r="GX181" s="1717"/>
      <c r="GY181" s="1717"/>
      <c r="GZ181" s="1717"/>
      <c r="HA181" s="1717"/>
      <c r="HB181" s="1717"/>
      <c r="HC181" s="1717"/>
      <c r="HD181" s="1717"/>
      <c r="HE181" s="1717"/>
      <c r="HF181" s="1717"/>
      <c r="HG181" s="1717"/>
      <c r="HH181" s="1717"/>
      <c r="HI181" s="1717"/>
      <c r="HJ181" s="1717"/>
      <c r="HK181" s="1717"/>
      <c r="HL181" s="1717"/>
      <c r="HM181" s="1717"/>
      <c r="HN181" s="1717"/>
      <c r="HO181" s="1717"/>
      <c r="HP181" s="1717"/>
      <c r="HQ181" s="1717"/>
      <c r="HR181" s="1717"/>
      <c r="HS181" s="1717"/>
      <c r="HT181" s="1717"/>
      <c r="HU181" s="1717"/>
      <c r="HV181" s="1717"/>
      <c r="HW181" s="1717"/>
      <c r="HX181" s="1717"/>
      <c r="HY181" s="1717"/>
      <c r="HZ181" s="1717"/>
      <c r="IA181" s="1717"/>
      <c r="IB181" s="1717"/>
      <c r="IC181" s="1717"/>
      <c r="ID181" s="1717"/>
      <c r="IE181" s="1717"/>
      <c r="IF181" s="1717"/>
      <c r="IG181" s="1717"/>
      <c r="IH181" s="1717"/>
      <c r="II181" s="1717"/>
      <c r="IJ181" s="1717"/>
      <c r="IK181" s="1717"/>
      <c r="IL181" s="1717"/>
      <c r="IM181" s="1717"/>
      <c r="IN181" s="1717"/>
      <c r="IO181" s="1717"/>
      <c r="IP181" s="1717"/>
      <c r="IQ181" s="1717"/>
      <c r="IR181" s="1717"/>
      <c r="IS181" s="1717"/>
      <c r="IT181" s="1717"/>
      <c r="IU181" s="1717"/>
      <c r="IV181" s="1717"/>
      <c r="IW181" s="1717"/>
      <c r="IX181" s="1717"/>
      <c r="IY181" s="1717"/>
      <c r="IZ181" s="1717"/>
      <c r="JA181" s="1717"/>
      <c r="JB181" s="1717"/>
      <c r="JC181" s="1717"/>
      <c r="JD181" s="1717"/>
      <c r="JE181" s="1717"/>
      <c r="JF181" s="1717"/>
      <c r="JG181" s="1717"/>
      <c r="JH181" s="1717"/>
      <c r="JI181" s="1717"/>
      <c r="JJ181" s="1717"/>
      <c r="JK181" s="1717"/>
      <c r="JL181" s="1717"/>
      <c r="JM181" s="1717"/>
    </row>
    <row r="182" spans="127:273" s="1717" customFormat="1" ht="15" customHeight="1">
      <c r="DW182" s="1718"/>
      <c r="DX182" s="1718"/>
      <c r="DZ182" s="1718"/>
      <c r="EB182" s="1718"/>
      <c r="ED182" s="1718"/>
      <c r="EF182" s="1718"/>
      <c r="EH182" s="1718"/>
      <c r="EJ182" s="1718"/>
      <c r="EL182" s="1718"/>
      <c r="EN182" s="1718"/>
      <c r="EP182" s="1718"/>
      <c r="ER182" s="1718"/>
      <c r="ES182" s="1718"/>
      <c r="EU182" s="1718"/>
      <c r="EW182" s="1718"/>
      <c r="EY182" s="1718"/>
      <c r="FA182" s="1718"/>
      <c r="FC182" s="1718"/>
      <c r="FE182" s="1718"/>
      <c r="FG182" s="1718"/>
      <c r="FI182" s="1718"/>
      <c r="FK182" s="1718"/>
      <c r="FM182" s="1718"/>
      <c r="FN182" s="1718"/>
      <c r="FP182" s="1718"/>
      <c r="FR182" s="1718"/>
      <c r="FT182" s="1718"/>
      <c r="FV182" s="1718"/>
      <c r="FX182" s="1718"/>
      <c r="FZ182" s="1718"/>
      <c r="GB182" s="1718"/>
      <c r="GD182" s="1718"/>
      <c r="GF182" s="1718"/>
      <c r="GH182" s="1718"/>
      <c r="GI182" s="1718"/>
      <c r="GK182" s="1718"/>
      <c r="GM182" s="1718"/>
      <c r="GO182" s="1718"/>
      <c r="GQ182" s="1718"/>
      <c r="GS182" s="1718"/>
      <c r="GU182" s="1718"/>
      <c r="GW182" s="1718"/>
      <c r="GY182" s="1718"/>
      <c r="HA182" s="1718"/>
      <c r="HC182" s="1718"/>
      <c r="HD182" s="1718"/>
      <c r="HF182" s="1718"/>
      <c r="HJ182" s="1718"/>
      <c r="HL182" s="1718"/>
      <c r="HN182" s="1718"/>
      <c r="HP182" s="1718"/>
      <c r="HR182" s="1718"/>
      <c r="HT182" s="1718"/>
      <c r="HV182" s="1718"/>
      <c r="HX182" s="1718"/>
      <c r="HY182" s="1718"/>
      <c r="IA182" s="1718"/>
      <c r="IC182" s="1718"/>
      <c r="IE182" s="1718"/>
      <c r="IG182" s="1718"/>
      <c r="II182" s="1718"/>
      <c r="IK182" s="1718"/>
      <c r="IM182" s="1718"/>
      <c r="IO182" s="1718"/>
      <c r="IQ182" s="1718"/>
      <c r="IS182" s="1718"/>
      <c r="IT182" s="1718"/>
      <c r="IV182" s="1718"/>
      <c r="IX182" s="1718"/>
      <c r="IZ182" s="1718"/>
      <c r="JB182" s="1718"/>
      <c r="JD182" s="1718"/>
      <c r="JF182" s="1718"/>
      <c r="JH182" s="1718"/>
      <c r="JJ182" s="1718"/>
      <c r="JL182" s="1718"/>
    </row>
    <row r="183" spans="127:273" ht="15" customHeight="1">
      <c r="ES183" s="1717"/>
      <c r="ET183" s="1717"/>
      <c r="EU183" s="1717"/>
      <c r="EV183" s="1717"/>
      <c r="EW183" s="1717"/>
      <c r="EX183" s="1717"/>
      <c r="EY183" s="1717"/>
      <c r="EZ183" s="1717"/>
      <c r="FA183" s="1717"/>
      <c r="FB183" s="1717"/>
      <c r="FC183" s="1717"/>
      <c r="FD183" s="1717"/>
      <c r="FE183" s="1717"/>
      <c r="FF183" s="1717"/>
      <c r="FG183" s="1717"/>
      <c r="FH183" s="1717"/>
      <c r="FI183" s="1717"/>
      <c r="FJ183" s="1717"/>
      <c r="FK183" s="1717"/>
      <c r="FL183" s="1717"/>
      <c r="FM183" s="1717"/>
      <c r="FN183" s="1717"/>
      <c r="FO183" s="1717"/>
      <c r="FP183" s="1717"/>
      <c r="FQ183" s="1717"/>
      <c r="FR183" s="1717"/>
      <c r="FS183" s="1717"/>
      <c r="FT183" s="1717"/>
      <c r="FU183" s="1717"/>
      <c r="FV183" s="1717"/>
      <c r="FW183" s="1717"/>
      <c r="FX183" s="1717"/>
      <c r="FY183" s="1717"/>
      <c r="FZ183" s="1717"/>
      <c r="GA183" s="1717"/>
      <c r="GB183" s="1717"/>
      <c r="GC183" s="1717"/>
      <c r="GD183" s="1717"/>
      <c r="GE183" s="1717"/>
      <c r="GF183" s="1717"/>
      <c r="GG183" s="1717"/>
      <c r="GH183" s="1717"/>
      <c r="GI183" s="1717"/>
      <c r="GJ183" s="1717"/>
      <c r="GK183" s="1717"/>
      <c r="GL183" s="1717"/>
      <c r="GM183" s="1717"/>
      <c r="GN183" s="1717"/>
      <c r="GO183" s="1717"/>
      <c r="GP183" s="1717"/>
      <c r="GQ183" s="1717"/>
      <c r="GR183" s="1717"/>
      <c r="GS183" s="1717"/>
      <c r="GT183" s="1717"/>
      <c r="GU183" s="1717"/>
      <c r="GV183" s="1717"/>
      <c r="GW183" s="1717"/>
      <c r="GX183" s="1717"/>
      <c r="GY183" s="1717"/>
      <c r="GZ183" s="1717"/>
      <c r="HA183" s="1717"/>
      <c r="HB183" s="1717"/>
      <c r="HC183" s="1717"/>
      <c r="HD183" s="1717"/>
      <c r="HE183" s="1717"/>
      <c r="HF183" s="1717"/>
      <c r="HK183" s="1717"/>
      <c r="HL183" s="1717"/>
      <c r="HM183" s="1717"/>
      <c r="HN183" s="1717"/>
      <c r="HO183" s="1717"/>
      <c r="HP183" s="1717"/>
      <c r="HQ183" s="1717"/>
      <c r="HR183" s="1717"/>
      <c r="HS183" s="1717"/>
      <c r="HT183" s="1717"/>
      <c r="HU183" s="1717"/>
      <c r="HV183" s="1717"/>
      <c r="HW183" s="1717"/>
      <c r="HX183" s="1717"/>
      <c r="HY183" s="1717"/>
      <c r="HZ183" s="1717"/>
      <c r="IA183" s="1717"/>
      <c r="IB183" s="1717"/>
      <c r="IC183" s="1717"/>
      <c r="ID183" s="1717"/>
      <c r="IE183" s="1717"/>
      <c r="IF183" s="1717"/>
      <c r="IG183" s="1717"/>
      <c r="IH183" s="1717"/>
      <c r="II183" s="1717"/>
      <c r="IJ183" s="1717"/>
      <c r="IK183" s="1717"/>
      <c r="IL183" s="1717"/>
      <c r="IM183" s="1717"/>
      <c r="IN183" s="1717"/>
      <c r="IO183" s="1717"/>
      <c r="IP183" s="1717"/>
      <c r="IQ183" s="1717"/>
      <c r="IR183" s="1717"/>
      <c r="IS183" s="1717"/>
      <c r="IT183" s="1717"/>
      <c r="IU183" s="1717"/>
      <c r="IV183" s="1717"/>
      <c r="IW183" s="1717"/>
      <c r="IX183" s="1717"/>
      <c r="IY183" s="1717"/>
      <c r="IZ183" s="1717"/>
      <c r="JA183" s="1717"/>
      <c r="JB183" s="1717"/>
      <c r="JC183" s="1717"/>
      <c r="JD183" s="1717"/>
      <c r="JE183" s="1717"/>
      <c r="JF183" s="1717"/>
      <c r="JG183" s="1717"/>
      <c r="JH183" s="1717"/>
      <c r="JI183" s="1717"/>
      <c r="JJ183" s="1717"/>
      <c r="JK183" s="1717"/>
      <c r="JL183" s="1717"/>
      <c r="JM183" s="1717"/>
    </row>
    <row r="184" spans="127:273" ht="15" customHeight="1">
      <c r="ES184" s="1717"/>
      <c r="ET184" s="1717"/>
      <c r="EU184" s="1717"/>
      <c r="EV184" s="1717"/>
      <c r="EW184" s="1717"/>
      <c r="EX184" s="1717"/>
      <c r="EY184" s="1717"/>
      <c r="EZ184" s="1717"/>
      <c r="FA184" s="1717"/>
      <c r="FB184" s="1717"/>
      <c r="FC184" s="1717"/>
      <c r="FD184" s="1717"/>
      <c r="FE184" s="1717"/>
      <c r="FF184" s="1717"/>
      <c r="FG184" s="1717"/>
      <c r="FH184" s="1717"/>
      <c r="FI184" s="1717"/>
      <c r="FJ184" s="1717"/>
      <c r="FK184" s="1717"/>
      <c r="FL184" s="1717"/>
      <c r="FM184" s="1717"/>
      <c r="FN184" s="1717"/>
      <c r="FO184" s="1717"/>
      <c r="FP184" s="1717"/>
      <c r="FQ184" s="1717"/>
      <c r="FR184" s="1717"/>
      <c r="FS184" s="1717"/>
      <c r="FT184" s="1717"/>
      <c r="FU184" s="1717"/>
      <c r="FV184" s="1717"/>
      <c r="FW184" s="1717"/>
      <c r="FX184" s="1717"/>
      <c r="FY184" s="1717"/>
      <c r="FZ184" s="1717"/>
      <c r="GA184" s="1717"/>
      <c r="GB184" s="1717"/>
      <c r="GC184" s="1717"/>
      <c r="GD184" s="1717"/>
      <c r="GE184" s="1717"/>
      <c r="GF184" s="1717"/>
      <c r="GG184" s="1717"/>
      <c r="GH184" s="1717"/>
      <c r="GI184" s="1717"/>
      <c r="GJ184" s="1717"/>
      <c r="GK184" s="1717"/>
      <c r="GL184" s="1717"/>
      <c r="GM184" s="1717"/>
      <c r="GN184" s="1717"/>
      <c r="GO184" s="1717"/>
      <c r="GP184" s="1717"/>
      <c r="GQ184" s="1717"/>
      <c r="GR184" s="1717"/>
      <c r="GS184" s="1717"/>
      <c r="GT184" s="1717"/>
      <c r="GU184" s="1717"/>
      <c r="GV184" s="1717"/>
      <c r="GW184" s="1717"/>
      <c r="GX184" s="1717"/>
      <c r="GY184" s="1717"/>
      <c r="GZ184" s="1717"/>
      <c r="HA184" s="1717"/>
      <c r="HB184" s="1717"/>
      <c r="HC184" s="1717"/>
      <c r="HD184" s="1717"/>
      <c r="HE184" s="1717"/>
      <c r="HF184" s="1717"/>
      <c r="HK184" s="1717"/>
      <c r="HL184" s="1717"/>
      <c r="HM184" s="1717"/>
      <c r="HN184" s="1717"/>
      <c r="HO184" s="1717"/>
      <c r="HP184" s="1717"/>
      <c r="HQ184" s="1717"/>
      <c r="HR184" s="1717"/>
      <c r="HS184" s="1717"/>
      <c r="HT184" s="1717"/>
      <c r="HU184" s="1717"/>
      <c r="HV184" s="1717"/>
      <c r="HW184" s="1717"/>
      <c r="HX184" s="1717"/>
      <c r="HY184" s="1717"/>
      <c r="HZ184" s="1717"/>
      <c r="IA184" s="1717"/>
      <c r="IB184" s="1717"/>
      <c r="IC184" s="1717"/>
      <c r="ID184" s="1717"/>
      <c r="IE184" s="1717"/>
      <c r="IF184" s="1717"/>
      <c r="IG184" s="1717"/>
      <c r="IH184" s="1717"/>
      <c r="II184" s="1717"/>
      <c r="IJ184" s="1717"/>
      <c r="IK184" s="1717"/>
      <c r="IL184" s="1717"/>
      <c r="IM184" s="1717"/>
      <c r="IN184" s="1717"/>
      <c r="IO184" s="1717"/>
      <c r="IP184" s="1717"/>
      <c r="IQ184" s="1717"/>
      <c r="IR184" s="1717"/>
      <c r="IS184" s="1717"/>
      <c r="IT184" s="1717"/>
      <c r="IU184" s="1717"/>
      <c r="IV184" s="1717"/>
      <c r="IW184" s="1717"/>
      <c r="IX184" s="1717"/>
      <c r="IY184" s="1717"/>
      <c r="IZ184" s="1717"/>
      <c r="JA184" s="1717"/>
      <c r="JB184" s="1717"/>
      <c r="JC184" s="1717"/>
      <c r="JD184" s="1717"/>
      <c r="JE184" s="1717"/>
      <c r="JF184" s="1717"/>
      <c r="JG184" s="1717"/>
      <c r="JH184" s="1717"/>
      <c r="JI184" s="1717"/>
      <c r="JJ184" s="1717"/>
      <c r="JK184" s="1717"/>
      <c r="JL184" s="1717"/>
      <c r="JM184" s="1717"/>
    </row>
    <row r="185" spans="127:273" ht="15" customHeight="1">
      <c r="ES185" s="1717"/>
      <c r="ET185" s="1717"/>
      <c r="EU185" s="1717"/>
      <c r="EV185" s="1717"/>
      <c r="EW185" s="1717"/>
      <c r="EX185" s="1717"/>
      <c r="EY185" s="1717"/>
      <c r="EZ185" s="1717"/>
      <c r="FA185" s="1717"/>
      <c r="FB185" s="1717"/>
      <c r="FC185" s="1717"/>
      <c r="FD185" s="1717"/>
      <c r="FE185" s="1717"/>
      <c r="FF185" s="1717"/>
      <c r="FG185" s="1717"/>
      <c r="FH185" s="1717"/>
      <c r="FI185" s="1717"/>
      <c r="FJ185" s="1717"/>
      <c r="FK185" s="1717"/>
      <c r="FL185" s="1717"/>
      <c r="FM185" s="1717"/>
      <c r="FN185" s="1717"/>
      <c r="FO185" s="1717"/>
      <c r="FP185" s="1717"/>
      <c r="FQ185" s="1717"/>
      <c r="FR185" s="1717"/>
      <c r="FS185" s="1717"/>
      <c r="FT185" s="1717"/>
      <c r="FU185" s="1717"/>
      <c r="FV185" s="1717"/>
      <c r="FW185" s="1717"/>
      <c r="FX185" s="1717"/>
      <c r="FY185" s="1717"/>
      <c r="FZ185" s="1717"/>
      <c r="GA185" s="1717"/>
      <c r="GB185" s="1717"/>
      <c r="GC185" s="1717"/>
      <c r="GD185" s="1717"/>
      <c r="GE185" s="1717"/>
      <c r="GF185" s="1717"/>
      <c r="GG185" s="1717"/>
      <c r="GH185" s="1717"/>
      <c r="GI185" s="1717"/>
      <c r="GJ185" s="1717"/>
      <c r="GK185" s="1717"/>
      <c r="GL185" s="1717"/>
      <c r="GM185" s="1717"/>
      <c r="GN185" s="1717"/>
      <c r="GO185" s="1717"/>
      <c r="GP185" s="1717"/>
      <c r="GQ185" s="1717"/>
      <c r="GR185" s="1717"/>
      <c r="GS185" s="1717"/>
      <c r="GT185" s="1717"/>
      <c r="GU185" s="1717"/>
      <c r="GV185" s="1717"/>
      <c r="GW185" s="1717"/>
      <c r="GX185" s="1717"/>
      <c r="GY185" s="1717"/>
      <c r="GZ185" s="1717"/>
      <c r="HA185" s="1717"/>
      <c r="HB185" s="1717"/>
      <c r="HC185" s="1717"/>
      <c r="HD185" s="1717"/>
      <c r="HE185" s="1717"/>
      <c r="HF185" s="1717"/>
      <c r="HH185" s="1717"/>
      <c r="HI185" s="1717"/>
      <c r="HJ185" s="1717"/>
      <c r="HK185" s="1717"/>
      <c r="HL185" s="1717"/>
      <c r="HM185" s="1717"/>
      <c r="HN185" s="1717"/>
      <c r="HO185" s="1717"/>
      <c r="HP185" s="1717"/>
      <c r="HQ185" s="1717"/>
      <c r="HR185" s="1717"/>
      <c r="HS185" s="1717"/>
      <c r="HT185" s="1717"/>
      <c r="HU185" s="1717"/>
      <c r="HV185" s="1717"/>
      <c r="HW185" s="1717"/>
      <c r="HX185" s="1717"/>
      <c r="HY185" s="1717"/>
      <c r="HZ185" s="1717"/>
      <c r="IA185" s="1717"/>
      <c r="IB185" s="1717"/>
      <c r="IC185" s="1717"/>
      <c r="ID185" s="1717"/>
      <c r="IE185" s="1717"/>
      <c r="IF185" s="1717"/>
      <c r="IG185" s="1717"/>
      <c r="IH185" s="1717"/>
      <c r="II185" s="1717"/>
      <c r="IJ185" s="1717"/>
      <c r="IK185" s="1717"/>
      <c r="IL185" s="1717"/>
      <c r="IM185" s="1717"/>
      <c r="IN185" s="1717"/>
      <c r="IO185" s="1717"/>
      <c r="IP185" s="1717"/>
      <c r="IQ185" s="1717"/>
      <c r="IR185" s="1717"/>
      <c r="IS185" s="1717"/>
      <c r="IT185" s="1717"/>
      <c r="IU185" s="1717"/>
      <c r="IV185" s="1717"/>
      <c r="IW185" s="1717"/>
      <c r="IX185" s="1717"/>
      <c r="IY185" s="1717"/>
      <c r="IZ185" s="1717"/>
      <c r="JA185" s="1717"/>
      <c r="JB185" s="1717"/>
      <c r="JC185" s="1717"/>
      <c r="JD185" s="1717"/>
      <c r="JE185" s="1717"/>
      <c r="JF185" s="1717"/>
      <c r="JG185" s="1717"/>
      <c r="JH185" s="1717"/>
      <c r="JI185" s="1717"/>
      <c r="JJ185" s="1717"/>
      <c r="JK185" s="1717"/>
      <c r="JL185" s="1717"/>
      <c r="JM185" s="1717"/>
    </row>
  </sheetData>
  <sheetProtection password="E23E" sheet="1" objects="1" scenarios="1"/>
  <mergeCells count="84">
    <mergeCell ref="A6:B6"/>
    <mergeCell ref="F6:Q6"/>
    <mergeCell ref="FX119:FY119"/>
    <mergeCell ref="DR66:DS66"/>
    <mergeCell ref="DV66:DW66"/>
    <mergeCell ref="EV118:GK118"/>
    <mergeCell ref="EV119:EW119"/>
    <mergeCell ref="EX119:EY119"/>
    <mergeCell ref="CD37:CD38"/>
    <mergeCell ref="EZ119:FA119"/>
    <mergeCell ref="FB119:FC119"/>
    <mergeCell ref="FD119:FE119"/>
    <mergeCell ref="FF119:FG119"/>
    <mergeCell ref="FH119:FI119"/>
    <mergeCell ref="FJ119:FK119"/>
    <mergeCell ref="GJ119:GK119"/>
    <mergeCell ref="GB119:GC119"/>
    <mergeCell ref="GD119:GE119"/>
    <mergeCell ref="GF119:GG119"/>
    <mergeCell ref="GH119:GI119"/>
    <mergeCell ref="FZ119:GA119"/>
    <mergeCell ref="FV119:FW119"/>
    <mergeCell ref="DH66:DI66"/>
    <mergeCell ref="DJ66:DK66"/>
    <mergeCell ref="DL66:DM66"/>
    <mergeCell ref="DN66:DO66"/>
    <mergeCell ref="DP66:DQ66"/>
    <mergeCell ref="FL119:FM119"/>
    <mergeCell ref="FN119:FO119"/>
    <mergeCell ref="FP119:FQ119"/>
    <mergeCell ref="FR119:FS119"/>
    <mergeCell ref="FT119:FU119"/>
    <mergeCell ref="CH65:DW65"/>
    <mergeCell ref="DX65:ER65"/>
    <mergeCell ref="CH66:CI66"/>
    <mergeCell ref="CJ66:CK66"/>
    <mergeCell ref="CL66:CM66"/>
    <mergeCell ref="CN66:CO66"/>
    <mergeCell ref="CP66:CQ66"/>
    <mergeCell ref="CR66:CS66"/>
    <mergeCell ref="CT66:CU66"/>
    <mergeCell ref="CV66:CW66"/>
    <mergeCell ref="DT66:DU66"/>
    <mergeCell ref="CX66:CY66"/>
    <mergeCell ref="CZ66:DA66"/>
    <mergeCell ref="DB66:DC66"/>
    <mergeCell ref="DD66:DE66"/>
    <mergeCell ref="DF66:DG66"/>
    <mergeCell ref="AH37:AI37"/>
    <mergeCell ref="AJ37:AJ38"/>
    <mergeCell ref="AO37:AO38"/>
    <mergeCell ref="AP37:AP38"/>
    <mergeCell ref="AQ37:AS37"/>
    <mergeCell ref="BQ35:CD35"/>
    <mergeCell ref="AJ36:AK36"/>
    <mergeCell ref="AL36:AN36"/>
    <mergeCell ref="AO36:AT36"/>
    <mergeCell ref="AU36:BJ36"/>
    <mergeCell ref="BK36:BK38"/>
    <mergeCell ref="BL36:BP36"/>
    <mergeCell ref="BT36:BU36"/>
    <mergeCell ref="BV36:CD36"/>
    <mergeCell ref="BA37:BA38"/>
    <mergeCell ref="BB37:BB38"/>
    <mergeCell ref="BN37:BN38"/>
    <mergeCell ref="BO37:BO38"/>
    <mergeCell ref="BP37:BP38"/>
    <mergeCell ref="BK35:BP35"/>
    <mergeCell ref="AF6:AF7"/>
    <mergeCell ref="C6:E6"/>
    <mergeCell ref="T7:T8"/>
    <mergeCell ref="U7:U8"/>
    <mergeCell ref="AJ35:BJ35"/>
    <mergeCell ref="R7:R8"/>
    <mergeCell ref="S7:S8"/>
    <mergeCell ref="AD7:AD8"/>
    <mergeCell ref="AE7:AE8"/>
    <mergeCell ref="V7:V8"/>
    <mergeCell ref="Y7:Y8"/>
    <mergeCell ref="AA7:AA8"/>
    <mergeCell ref="AB7:AB8"/>
    <mergeCell ref="AC7:AC8"/>
    <mergeCell ref="W7:W8"/>
    <mergeCell ref="R6:AE6"/>
  </mergeCells>
  <dataValidations count="1">
    <dataValidation allowBlank="1" sqref="FE182 DW182:DX182 DZ182 EB182 ED182 EF182 EH182 EJ182 EL182 EN182 EP182 FG182 FI182 CQ36:CS36 DT105:DU105 DT108:DU108 ER70:ER90 IS182:IT182 DT112:DU113 DX106:EP113 AO37:AP37 EV123:GG124 EV151:GG166 GL159:HD166 GL145:HD157 CG70:CG112 DV98:DW113 IV182 DX92:EP104 CH70:DS71 JL182 GH158:GI158 DX70:EP90 GH161:GI161 HF145:HF157 GJ123:GK124 GH165:GI166 HF159:HF166 GH129:GI130 GH142:GI142 GI150 EV145:GG149 GJ145:GJ149 GJ151:GJ157 GK145:GK155 GJ158:GK166 JD182 CH92:DS96 JF182 JH182 JJ182 CH73:DS89 DT76:DU78 DT89:DU89 DU97 IX182 IZ182 JB182 CH98:DS113 FK182 ER182:ES182 EU182 EW182 EY182 FA182 FC182 FM182:FN182 FP182 FR182 FT182 FV182 FX182 FZ182 GB182 GD182 GF182 GH182:GI182 GK182 GM182 GO182 GQ182 GS182 GU182 GW182 GY182 HA182 HC182:HD182 HF182 DT82:DU82 HJ182 HL182 HN182 HP182 HR182 HT182 HV182 HX182:HY182 IA182 IC182 IE182 IG182 II182 IK182 IM182 IO182 IQ182 DV70:DW71 DV92:DW96 DV73:DW89 ER106:ER113 ER92:ER104 A4 G5:K5 L7:N29 J10:K28 N5:P5 G7:H29 F4:F29 O7:Q9 EU123:EU165 C5:C29 B5 D7:D29 E7:E9 C4:E4 E5 X7:X9 Y9 Y7 Z7:Z9 H4:AF4 AG5 I7:K9 K2 EV126:GG142 HF123:HF143 GJ126:GK142 GL123:HD143 ES123:ES165 R7:W7 R9:W9 AA9:AE9 AA7:AE7" xr:uid="{00000000-0002-0000-15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U67"/>
  <sheetViews>
    <sheetView tabSelected="1" topLeftCell="A13" zoomScale="80" zoomScaleNormal="80" workbookViewId="0">
      <selection activeCell="G29" sqref="G29"/>
    </sheetView>
  </sheetViews>
  <sheetFormatPr defaultColWidth="9.140625" defaultRowHeight="15"/>
  <cols>
    <col min="1" max="1" width="2.7109375" style="500" customWidth="1"/>
    <col min="2" max="2" width="63.7109375" style="500" customWidth="1"/>
    <col min="3" max="11" width="13.28515625" style="500" customWidth="1"/>
    <col min="12" max="12" width="5.7109375" style="501" customWidth="1"/>
    <col min="13" max="15" width="13.28515625" style="500" customWidth="1"/>
    <col min="16" max="16" width="5.7109375" style="500" customWidth="1"/>
    <col min="17" max="17" width="16.7109375" style="500" customWidth="1"/>
    <col min="18" max="18" width="2.7109375" style="500" customWidth="1"/>
    <col min="19" max="19" width="6.7109375" style="500" customWidth="1"/>
    <col min="20" max="27" width="13.7109375" style="500" customWidth="1"/>
    <col min="28" max="29" width="6.7109375" style="500" customWidth="1"/>
    <col min="30" max="37" width="13.7109375" style="500" customWidth="1"/>
    <col min="38" max="39" width="9.140625" style="500" customWidth="1"/>
    <col min="40" max="40" width="14.7109375" style="500" hidden="1" customWidth="1"/>
    <col min="41" max="16384" width="9.140625" style="500"/>
  </cols>
  <sheetData>
    <row r="1" spans="1:47" s="503" customFormat="1" ht="24.95" customHeight="1">
      <c r="A1" s="457"/>
      <c r="B1" s="458" t="s">
        <v>364</v>
      </c>
      <c r="C1" s="1370"/>
      <c r="D1" s="1370"/>
      <c r="E1" s="1370"/>
      <c r="F1" s="1370"/>
      <c r="G1" s="1370"/>
      <c r="H1" s="1370"/>
      <c r="I1" s="1370"/>
      <c r="J1" s="1370"/>
      <c r="K1" s="1370"/>
      <c r="L1" s="1371"/>
      <c r="M1" s="1370"/>
      <c r="N1" s="1370"/>
      <c r="O1" s="1370"/>
      <c r="P1" s="1370"/>
      <c r="Q1" s="1370"/>
      <c r="R1" s="1372"/>
      <c r="S1" s="1373"/>
      <c r="T1" s="1374"/>
      <c r="U1" s="1374"/>
      <c r="V1" s="1374"/>
      <c r="W1" s="1374"/>
      <c r="X1" s="1374"/>
      <c r="Y1" s="1374"/>
      <c r="Z1" s="1374"/>
      <c r="AA1" s="1374"/>
      <c r="AB1" s="1375"/>
      <c r="AC1" s="1392"/>
      <c r="AD1" s="1376"/>
      <c r="AE1" s="1376"/>
      <c r="AF1" s="1376"/>
      <c r="AG1" s="1376"/>
      <c r="AH1" s="1376"/>
      <c r="AI1" s="1376"/>
      <c r="AJ1" s="1376"/>
      <c r="AK1" s="1376"/>
      <c r="AL1" s="1393"/>
      <c r="AM1" s="1394"/>
      <c r="AN1" s="1394"/>
      <c r="AO1" s="1394"/>
      <c r="AP1" s="1394"/>
      <c r="AQ1" s="1394"/>
      <c r="AR1" s="1394"/>
      <c r="AS1" s="1394"/>
      <c r="AT1" s="1394"/>
      <c r="AU1" s="1394"/>
    </row>
    <row r="2" spans="1:47" s="503" customFormat="1" ht="15" customHeight="1" thickBot="1">
      <c r="A2" s="459"/>
      <c r="B2" s="276"/>
      <c r="C2" s="1534"/>
      <c r="D2" s="63"/>
      <c r="E2" s="1377"/>
      <c r="F2" s="1377"/>
      <c r="G2" s="1377"/>
      <c r="H2" s="1377"/>
      <c r="I2" s="1377"/>
      <c r="J2" s="1377"/>
      <c r="K2" s="1377"/>
      <c r="L2" s="1181"/>
      <c r="M2" s="1377"/>
      <c r="N2" s="1377"/>
      <c r="O2" s="1377"/>
      <c r="P2" s="1377"/>
      <c r="Q2" s="1377"/>
      <c r="R2" s="1378"/>
      <c r="S2" s="1379"/>
      <c r="T2" s="1380"/>
      <c r="U2" s="1380"/>
      <c r="V2" s="1380"/>
      <c r="W2" s="1380"/>
      <c r="X2" s="1380"/>
      <c r="Y2" s="1380"/>
      <c r="Z2" s="1380"/>
      <c r="AA2" s="1380"/>
      <c r="AB2" s="1381"/>
      <c r="AC2" s="1382"/>
      <c r="AD2" s="1382"/>
      <c r="AE2" s="1382"/>
      <c r="AF2" s="1382"/>
      <c r="AG2" s="1382"/>
      <c r="AH2" s="1382"/>
      <c r="AI2" s="1382"/>
      <c r="AJ2" s="1382"/>
      <c r="AK2" s="1382"/>
      <c r="AL2" s="1383"/>
    </row>
    <row r="3" spans="1:47" s="502" customFormat="1" ht="30" customHeight="1" thickBot="1">
      <c r="A3" s="459"/>
      <c r="B3" s="305" t="s">
        <v>0</v>
      </c>
      <c r="C3" s="2564" t="str">
        <f>'Background Data'!$G$2</f>
        <v>Glasgow, University of</v>
      </c>
      <c r="D3" s="2565"/>
      <c r="E3" s="2565"/>
      <c r="F3" s="2566"/>
      <c r="G3" s="1377"/>
      <c r="H3" s="1377"/>
      <c r="I3" s="1377"/>
      <c r="J3" s="1377"/>
      <c r="K3" s="1377"/>
      <c r="L3" s="1181"/>
      <c r="M3" s="1377"/>
      <c r="N3" s="1377"/>
      <c r="O3" s="1377"/>
      <c r="P3" s="1377"/>
      <c r="Q3" s="1377"/>
      <c r="R3" s="1378"/>
      <c r="S3" s="1379"/>
      <c r="T3" s="1380"/>
      <c r="U3" s="1380"/>
      <c r="V3" s="1380"/>
      <c r="W3" s="1380"/>
      <c r="X3" s="1380"/>
      <c r="Y3" s="1380"/>
      <c r="Z3" s="1380"/>
      <c r="AA3" s="1380"/>
      <c r="AB3" s="1384"/>
      <c r="AC3" s="1385"/>
      <c r="AD3" s="1385"/>
      <c r="AE3" s="1385"/>
      <c r="AF3" s="1385"/>
      <c r="AG3" s="1385"/>
      <c r="AH3" s="1385"/>
      <c r="AI3" s="1385"/>
      <c r="AJ3" s="1385"/>
      <c r="AK3" s="1385"/>
      <c r="AL3" s="1383"/>
    </row>
    <row r="4" spans="1:47" s="503" customFormat="1" ht="30" customHeight="1">
      <c r="A4" s="460"/>
      <c r="B4" s="306" t="s">
        <v>370</v>
      </c>
      <c r="C4" s="63"/>
      <c r="D4" s="63"/>
      <c r="E4" s="1377"/>
      <c r="F4" s="1377"/>
      <c r="G4" s="1377"/>
      <c r="H4" s="1377"/>
      <c r="I4" s="1377"/>
      <c r="J4" s="1377"/>
      <c r="K4" s="1377"/>
      <c r="L4" s="1181"/>
      <c r="M4" s="1377"/>
      <c r="N4" s="1377"/>
      <c r="O4" s="1377"/>
      <c r="P4" s="1377"/>
      <c r="Q4" s="1377"/>
      <c r="R4" s="1378"/>
      <c r="S4" s="1386"/>
      <c r="T4" s="1390" t="s">
        <v>368</v>
      </c>
      <c r="U4" s="1380"/>
      <c r="V4" s="1380"/>
      <c r="W4" s="1380"/>
      <c r="X4" s="1380"/>
      <c r="Y4" s="1380"/>
      <c r="Z4" s="1380"/>
      <c r="AA4" s="1380"/>
      <c r="AB4" s="1387"/>
      <c r="AC4" s="1388"/>
      <c r="AD4" s="1391" t="s">
        <v>504</v>
      </c>
      <c r="AE4" s="1382"/>
      <c r="AF4" s="1382"/>
      <c r="AG4" s="1382"/>
      <c r="AH4" s="1382"/>
      <c r="AI4" s="1382"/>
      <c r="AJ4" s="1382"/>
      <c r="AK4" s="1388"/>
      <c r="AL4" s="1383"/>
    </row>
    <row r="5" spans="1:47" s="503" customFormat="1" ht="15" customHeight="1" thickBot="1">
      <c r="A5" s="460"/>
      <c r="B5" s="307"/>
      <c r="C5" s="63"/>
      <c r="D5" s="63"/>
      <c r="E5" s="1377"/>
      <c r="F5" s="1377"/>
      <c r="G5" s="1377"/>
      <c r="H5" s="1377"/>
      <c r="I5" s="1377"/>
      <c r="J5" s="1377"/>
      <c r="K5" s="1377"/>
      <c r="L5" s="1377"/>
      <c r="M5" s="1377"/>
      <c r="N5" s="1377"/>
      <c r="O5" s="1377"/>
      <c r="P5" s="1377"/>
      <c r="Q5" s="1377"/>
      <c r="R5" s="1378"/>
      <c r="S5" s="1386"/>
      <c r="T5" s="1367"/>
      <c r="U5" s="1367"/>
      <c r="V5" s="1367"/>
      <c r="W5" s="1367"/>
      <c r="X5" s="1389"/>
      <c r="Y5" s="1389"/>
      <c r="Z5" s="1389"/>
      <c r="AA5" s="1389"/>
      <c r="AB5" s="1387"/>
      <c r="AC5" s="1388"/>
      <c r="AD5" s="1388"/>
      <c r="AE5" s="1388"/>
      <c r="AF5" s="1388"/>
      <c r="AG5" s="1388"/>
      <c r="AH5" s="1388"/>
      <c r="AI5" s="1388"/>
      <c r="AJ5" s="1388"/>
      <c r="AK5" s="1388"/>
      <c r="AL5" s="1383"/>
    </row>
    <row r="6" spans="1:47" s="503" customFormat="1" ht="35.1" customHeight="1" thickBot="1">
      <c r="A6" s="303"/>
      <c r="B6" s="64"/>
      <c r="C6" s="2567" t="s">
        <v>365</v>
      </c>
      <c r="D6" s="2568"/>
      <c r="E6" s="2568"/>
      <c r="F6" s="2568"/>
      <c r="G6" s="2568"/>
      <c r="H6" s="2568"/>
      <c r="I6" s="2568"/>
      <c r="J6" s="2568"/>
      <c r="K6" s="2569"/>
      <c r="L6" s="65"/>
      <c r="M6" s="2574" t="s">
        <v>366</v>
      </c>
      <c r="N6" s="2575"/>
      <c r="O6" s="2576"/>
      <c r="P6" s="63"/>
      <c r="Q6" s="2541" t="s">
        <v>367</v>
      </c>
      <c r="R6" s="309"/>
      <c r="S6" s="462"/>
      <c r="T6" s="2539" t="s">
        <v>256</v>
      </c>
      <c r="U6" s="2540"/>
      <c r="V6" s="2540"/>
      <c r="W6" s="2551" t="s">
        <v>369</v>
      </c>
      <c r="X6" s="2553" t="s">
        <v>147</v>
      </c>
      <c r="Y6" s="2554"/>
      <c r="Z6" s="2554"/>
      <c r="AA6" s="2555"/>
      <c r="AB6" s="310"/>
      <c r="AC6" s="66"/>
      <c r="AD6" s="2543" t="s">
        <v>256</v>
      </c>
      <c r="AE6" s="2544"/>
      <c r="AF6" s="2544"/>
      <c r="AG6" s="2549" t="s">
        <v>369</v>
      </c>
      <c r="AH6" s="2561" t="s">
        <v>147</v>
      </c>
      <c r="AI6" s="2562"/>
      <c r="AJ6" s="2562"/>
      <c r="AK6" s="2563"/>
      <c r="AL6" s="461"/>
      <c r="AN6" s="2534" t="s">
        <v>503</v>
      </c>
    </row>
    <row r="7" spans="1:47" ht="45" customHeight="1" thickBot="1">
      <c r="A7" s="304"/>
      <c r="B7" s="72" t="s">
        <v>155</v>
      </c>
      <c r="C7" s="2570" t="s">
        <v>371</v>
      </c>
      <c r="D7" s="2571"/>
      <c r="E7" s="2572"/>
      <c r="F7" s="2573" t="s">
        <v>68</v>
      </c>
      <c r="G7" s="2568"/>
      <c r="H7" s="2569"/>
      <c r="I7" s="2567" t="s">
        <v>2</v>
      </c>
      <c r="J7" s="2568"/>
      <c r="K7" s="2569"/>
      <c r="L7" s="65"/>
      <c r="M7" s="2577"/>
      <c r="N7" s="2578"/>
      <c r="O7" s="2579"/>
      <c r="P7" s="67"/>
      <c r="Q7" s="2542"/>
      <c r="R7" s="311"/>
      <c r="S7" s="463"/>
      <c r="T7" s="2535" t="s">
        <v>402</v>
      </c>
      <c r="U7" s="2537" t="s">
        <v>194</v>
      </c>
      <c r="V7" s="464" t="s">
        <v>2</v>
      </c>
      <c r="W7" s="2552"/>
      <c r="X7" s="2556" t="s">
        <v>67</v>
      </c>
      <c r="Y7" s="2557"/>
      <c r="Z7" s="2558"/>
      <c r="AA7" s="2559" t="s">
        <v>195</v>
      </c>
      <c r="AB7" s="312"/>
      <c r="AC7" s="68"/>
      <c r="AD7" s="2545" t="s">
        <v>193</v>
      </c>
      <c r="AE7" s="2547" t="s">
        <v>194</v>
      </c>
      <c r="AF7" s="478" t="s">
        <v>2</v>
      </c>
      <c r="AG7" s="2550"/>
      <c r="AH7" s="2545" t="s">
        <v>193</v>
      </c>
      <c r="AI7" s="2547" t="s">
        <v>194</v>
      </c>
      <c r="AJ7" s="478" t="s">
        <v>2</v>
      </c>
      <c r="AK7" s="2560" t="s">
        <v>195</v>
      </c>
      <c r="AL7" s="465"/>
      <c r="AN7" s="2534"/>
    </row>
    <row r="8" spans="1:47" ht="60" customHeight="1">
      <c r="A8" s="304"/>
      <c r="B8" s="69"/>
      <c r="C8" s="2199" t="s">
        <v>60</v>
      </c>
      <c r="D8" s="655" t="s">
        <v>1</v>
      </c>
      <c r="E8" s="656" t="s">
        <v>2</v>
      </c>
      <c r="F8" s="2199" t="s">
        <v>60</v>
      </c>
      <c r="G8" s="655" t="s">
        <v>1</v>
      </c>
      <c r="H8" s="656" t="s">
        <v>2</v>
      </c>
      <c r="I8" s="1529" t="s">
        <v>60</v>
      </c>
      <c r="J8" s="70" t="s">
        <v>1</v>
      </c>
      <c r="K8" s="180" t="s">
        <v>2</v>
      </c>
      <c r="L8" s="71"/>
      <c r="M8" s="1530" t="s">
        <v>60</v>
      </c>
      <c r="N8" s="466" t="s">
        <v>1</v>
      </c>
      <c r="O8" s="467" t="s">
        <v>2</v>
      </c>
      <c r="P8" s="67"/>
      <c r="Q8" s="2542"/>
      <c r="R8" s="311"/>
      <c r="S8" s="462"/>
      <c r="T8" s="2536"/>
      <c r="U8" s="2538"/>
      <c r="V8" s="392"/>
      <c r="W8" s="2552"/>
      <c r="X8" s="2180" t="s">
        <v>402</v>
      </c>
      <c r="Y8" s="2181" t="s">
        <v>194</v>
      </c>
      <c r="Z8" s="464" t="s">
        <v>2</v>
      </c>
      <c r="AA8" s="2552"/>
      <c r="AB8" s="310"/>
      <c r="AC8" s="66"/>
      <c r="AD8" s="2546"/>
      <c r="AE8" s="2548"/>
      <c r="AF8" s="479"/>
      <c r="AG8" s="2550"/>
      <c r="AH8" s="2546"/>
      <c r="AI8" s="2548"/>
      <c r="AJ8" s="479"/>
      <c r="AK8" s="2550"/>
      <c r="AL8" s="465"/>
      <c r="AN8" s="503"/>
    </row>
    <row r="9" spans="1:47" ht="30" customHeight="1">
      <c r="A9" s="304"/>
      <c r="B9" s="75"/>
      <c r="C9" s="76" t="s">
        <v>16</v>
      </c>
      <c r="D9" s="638" t="s">
        <v>16</v>
      </c>
      <c r="E9" s="78" t="s">
        <v>16</v>
      </c>
      <c r="F9" s="76" t="s">
        <v>16</v>
      </c>
      <c r="G9" s="469" t="s">
        <v>16</v>
      </c>
      <c r="H9" s="78" t="s">
        <v>16</v>
      </c>
      <c r="I9" s="77" t="s">
        <v>16</v>
      </c>
      <c r="J9" s="77" t="s">
        <v>16</v>
      </c>
      <c r="K9" s="78" t="s">
        <v>16</v>
      </c>
      <c r="L9" s="79"/>
      <c r="M9" s="80" t="s">
        <v>16</v>
      </c>
      <c r="N9" s="77" t="s">
        <v>16</v>
      </c>
      <c r="O9" s="81" t="s">
        <v>16</v>
      </c>
      <c r="P9" s="67"/>
      <c r="Q9" s="82" t="s">
        <v>16</v>
      </c>
      <c r="R9" s="311"/>
      <c r="S9" s="468"/>
      <c r="T9" s="83" t="s">
        <v>16</v>
      </c>
      <c r="U9" s="84" t="s">
        <v>16</v>
      </c>
      <c r="V9" s="84" t="s">
        <v>16</v>
      </c>
      <c r="W9" s="386" t="s">
        <v>16</v>
      </c>
      <c r="X9" s="83"/>
      <c r="Y9" s="84"/>
      <c r="Z9" s="386"/>
      <c r="AA9" s="390"/>
      <c r="AB9" s="313"/>
      <c r="AC9" s="74"/>
      <c r="AD9" s="85" t="s">
        <v>16</v>
      </c>
      <c r="AE9" s="86" t="s">
        <v>16</v>
      </c>
      <c r="AF9" s="447" t="s">
        <v>16</v>
      </c>
      <c r="AG9" s="489" t="s">
        <v>16</v>
      </c>
      <c r="AH9" s="85"/>
      <c r="AI9" s="86"/>
      <c r="AJ9" s="447"/>
      <c r="AK9" s="152"/>
      <c r="AL9" s="465"/>
    </row>
    <row r="10" spans="1:47" ht="39.950000000000003" customHeight="1">
      <c r="A10" s="304"/>
      <c r="B10" s="75"/>
      <c r="C10" s="88" t="s">
        <v>29</v>
      </c>
      <c r="D10" s="639" t="s">
        <v>80</v>
      </c>
      <c r="E10" s="89" t="s">
        <v>29</v>
      </c>
      <c r="F10" s="88" t="s">
        <v>29</v>
      </c>
      <c r="G10" s="87" t="s">
        <v>29</v>
      </c>
      <c r="H10" s="89" t="s">
        <v>80</v>
      </c>
      <c r="I10" s="90" t="s">
        <v>54</v>
      </c>
      <c r="J10" s="470" t="s">
        <v>54</v>
      </c>
      <c r="K10" s="89" t="s">
        <v>54</v>
      </c>
      <c r="L10" s="79"/>
      <c r="M10" s="88" t="s">
        <v>29</v>
      </c>
      <c r="N10" s="87" t="s">
        <v>29</v>
      </c>
      <c r="O10" s="89" t="s">
        <v>54</v>
      </c>
      <c r="P10" s="67"/>
      <c r="Q10" s="91" t="s">
        <v>54</v>
      </c>
      <c r="R10" s="311"/>
      <c r="S10" s="468"/>
      <c r="T10" s="92" t="s">
        <v>55</v>
      </c>
      <c r="U10" s="93" t="s">
        <v>55</v>
      </c>
      <c r="V10" s="93" t="s">
        <v>55</v>
      </c>
      <c r="W10" s="387" t="s">
        <v>55</v>
      </c>
      <c r="X10" s="92" t="s">
        <v>55</v>
      </c>
      <c r="Y10" s="93" t="s">
        <v>55</v>
      </c>
      <c r="Z10" s="389" t="s">
        <v>55</v>
      </c>
      <c r="AA10" s="94" t="s">
        <v>55</v>
      </c>
      <c r="AB10" s="313"/>
      <c r="AC10" s="74"/>
      <c r="AD10" s="95" t="s">
        <v>55</v>
      </c>
      <c r="AE10" s="96" t="s">
        <v>55</v>
      </c>
      <c r="AF10" s="480" t="s">
        <v>55</v>
      </c>
      <c r="AG10" s="97" t="s">
        <v>55</v>
      </c>
      <c r="AH10" s="95" t="s">
        <v>55</v>
      </c>
      <c r="AI10" s="96" t="s">
        <v>55</v>
      </c>
      <c r="AJ10" s="480" t="s">
        <v>55</v>
      </c>
      <c r="AK10" s="97" t="s">
        <v>55</v>
      </c>
      <c r="AL10" s="465"/>
    </row>
    <row r="11" spans="1:47" ht="30" customHeight="1" thickBot="1">
      <c r="A11" s="304"/>
      <c r="B11" s="75"/>
      <c r="C11" s="403">
        <v>1</v>
      </c>
      <c r="D11" s="402">
        <v>2</v>
      </c>
      <c r="E11" s="404">
        <v>3</v>
      </c>
      <c r="F11" s="403">
        <v>4</v>
      </c>
      <c r="G11" s="401">
        <v>5</v>
      </c>
      <c r="H11" s="404">
        <v>6</v>
      </c>
      <c r="I11" s="401">
        <v>7</v>
      </c>
      <c r="J11" s="401">
        <v>8</v>
      </c>
      <c r="K11" s="404">
        <v>9</v>
      </c>
      <c r="L11" s="79"/>
      <c r="M11" s="403">
        <v>10</v>
      </c>
      <c r="N11" s="401">
        <v>11</v>
      </c>
      <c r="O11" s="404">
        <v>12</v>
      </c>
      <c r="P11" s="67"/>
      <c r="Q11" s="405">
        <v>13</v>
      </c>
      <c r="R11" s="311"/>
      <c r="S11" s="468"/>
      <c r="T11" s="449">
        <v>14</v>
      </c>
      <c r="U11" s="450">
        <v>15</v>
      </c>
      <c r="V11" s="450">
        <v>16</v>
      </c>
      <c r="W11" s="451">
        <v>17</v>
      </c>
      <c r="X11" s="452">
        <v>18</v>
      </c>
      <c r="Y11" s="450">
        <v>19</v>
      </c>
      <c r="Z11" s="450">
        <v>20</v>
      </c>
      <c r="AA11" s="453">
        <v>21</v>
      </c>
      <c r="AB11" s="313"/>
      <c r="AC11" s="74"/>
      <c r="AD11" s="454">
        <v>22</v>
      </c>
      <c r="AE11" s="455">
        <v>23</v>
      </c>
      <c r="AF11" s="456">
        <v>24</v>
      </c>
      <c r="AG11" s="482">
        <v>25</v>
      </c>
      <c r="AH11" s="454">
        <v>26</v>
      </c>
      <c r="AI11" s="455">
        <v>27</v>
      </c>
      <c r="AJ11" s="456">
        <v>28</v>
      </c>
      <c r="AK11" s="482">
        <v>29</v>
      </c>
      <c r="AL11" s="465"/>
    </row>
    <row r="12" spans="1:47" ht="35.1" customHeight="1" thickBot="1">
      <c r="A12" s="304"/>
      <c r="B12" s="98" t="s">
        <v>11</v>
      </c>
      <c r="C12" s="717">
        <v>1498</v>
      </c>
      <c r="D12" s="718"/>
      <c r="E12" s="640">
        <f>SUM(C12:D12)</f>
        <v>1498</v>
      </c>
      <c r="F12" s="99">
        <v>217.37</v>
      </c>
      <c r="G12" s="100">
        <v>21</v>
      </c>
      <c r="H12" s="101">
        <f>SUM(F12:G12)</f>
        <v>238.37</v>
      </c>
      <c r="I12" s="102">
        <f>SUM(C12,F12)</f>
        <v>1715.37</v>
      </c>
      <c r="J12" s="103">
        <f>SUM(D12,G12)</f>
        <v>21</v>
      </c>
      <c r="K12" s="135">
        <f>SUM(I12:J12)</f>
        <v>1736.37</v>
      </c>
      <c r="L12" s="67"/>
      <c r="M12" s="105"/>
      <c r="N12" s="106"/>
      <c r="O12" s="107"/>
      <c r="P12" s="67"/>
      <c r="Q12" s="108"/>
      <c r="R12" s="311"/>
      <c r="S12" s="468"/>
      <c r="T12" s="109">
        <f>VLOOKUP($AN12,Early_Stats_Last_Year,VLOOKUP('Background Data'!$F$2,Inst_Tables,3,FALSE),FALSE)</f>
        <v>1419</v>
      </c>
      <c r="U12" s="110">
        <f>VLOOKUP($AN12,Early_Stats_Last_Year,VLOOKUP('Background Data'!$F$2,Inst_Tables,4,FALSE),FALSE)</f>
        <v>242.3</v>
      </c>
      <c r="V12" s="174">
        <f>SUM(T12:U12)</f>
        <v>1661.3</v>
      </c>
      <c r="W12" s="2256"/>
      <c r="X12" s="398">
        <f>IF(T12&gt;0,($E12-T12)/T12,"")</f>
        <v>5.5673009161381251E-2</v>
      </c>
      <c r="Y12" s="399">
        <f>IF(U12&gt;0,($H12-U12)/U12,"")</f>
        <v>-1.6219562525794498E-2</v>
      </c>
      <c r="Z12" s="400">
        <f>IF(V12&gt;0,($K12-V12)/V12,"")</f>
        <v>4.5187503762113973E-2</v>
      </c>
      <c r="AA12" s="1805"/>
      <c r="AB12" s="313"/>
      <c r="AC12" s="74"/>
      <c r="AD12" s="111">
        <f>VLOOKUP($AN12,Final_Figures,VLOOKUP('Background Data'!$F$2,Inst_Tables,3,FALSE),FALSE)</f>
        <v>1452</v>
      </c>
      <c r="AE12" s="112">
        <f>VLOOKUP($AN12,Final_Figures,VLOOKUP('Background Data'!$F$2,Inst_Tables,4,FALSE),FALSE)</f>
        <v>234</v>
      </c>
      <c r="AF12" s="483">
        <f>SUM(AD12:AE12)</f>
        <v>1686</v>
      </c>
      <c r="AG12" s="2244"/>
      <c r="AH12" s="491">
        <f>IF(AD12&gt;0,($E12-AD12)/AD12,"")</f>
        <v>3.1680440771349863E-2</v>
      </c>
      <c r="AI12" s="492">
        <f>IF(AE12&gt;0,($H12-AE12)/AE12,"")</f>
        <v>1.8675213675213694E-2</v>
      </c>
      <c r="AJ12" s="493">
        <f>IF(AF12&gt;0,($K12-AF12)/AF12,"")</f>
        <v>2.9875444839857587E-2</v>
      </c>
      <c r="AK12" s="2244"/>
      <c r="AL12" s="465"/>
      <c r="AN12" s="504">
        <v>1</v>
      </c>
    </row>
    <row r="13" spans="1:47" ht="35.1" customHeight="1">
      <c r="A13" s="304"/>
      <c r="B13" s="114" t="s">
        <v>8</v>
      </c>
      <c r="C13" s="642"/>
      <c r="D13" s="643"/>
      <c r="E13" s="644"/>
      <c r="F13" s="642"/>
      <c r="G13" s="645"/>
      <c r="H13" s="646"/>
      <c r="I13" s="647"/>
      <c r="J13" s="647"/>
      <c r="K13" s="646"/>
      <c r="L13" s="67"/>
      <c r="M13" s="105"/>
      <c r="N13" s="106"/>
      <c r="O13" s="107"/>
      <c r="P13" s="67"/>
      <c r="Q13" s="115"/>
      <c r="R13" s="311"/>
      <c r="S13" s="468"/>
      <c r="T13" s="124"/>
      <c r="U13" s="125"/>
      <c r="V13" s="125"/>
      <c r="W13" s="127"/>
      <c r="X13" s="126"/>
      <c r="Y13" s="125"/>
      <c r="Z13" s="177"/>
      <c r="AA13" s="151"/>
      <c r="AB13" s="313"/>
      <c r="AC13" s="74"/>
      <c r="AD13" s="128"/>
      <c r="AE13" s="129"/>
      <c r="AF13" s="487"/>
      <c r="AG13" s="495"/>
      <c r="AH13" s="130"/>
      <c r="AI13" s="129"/>
      <c r="AJ13" s="74"/>
      <c r="AK13" s="152"/>
      <c r="AL13" s="465"/>
      <c r="AN13" s="505"/>
    </row>
    <row r="14" spans="1:47" ht="30" customHeight="1">
      <c r="A14" s="304"/>
      <c r="B14" s="121" t="s">
        <v>70</v>
      </c>
      <c r="C14" s="648"/>
      <c r="D14" s="649"/>
      <c r="E14" s="650"/>
      <c r="F14" s="651"/>
      <c r="G14" s="652"/>
      <c r="H14" s="653"/>
      <c r="I14" s="654"/>
      <c r="J14" s="654"/>
      <c r="K14" s="653"/>
      <c r="L14" s="67"/>
      <c r="M14" s="122"/>
      <c r="N14" s="73"/>
      <c r="O14" s="123"/>
      <c r="P14" s="67"/>
      <c r="Q14" s="108"/>
      <c r="R14" s="311"/>
      <c r="S14" s="468"/>
      <c r="T14" s="124"/>
      <c r="U14" s="125"/>
      <c r="V14" s="166"/>
      <c r="W14" s="127"/>
      <c r="X14" s="126"/>
      <c r="Y14" s="125"/>
      <c r="Z14" s="177"/>
      <c r="AA14" s="151"/>
      <c r="AB14" s="313"/>
      <c r="AC14" s="74"/>
      <c r="AD14" s="128"/>
      <c r="AE14" s="129"/>
      <c r="AF14" s="485"/>
      <c r="AG14" s="496"/>
      <c r="AH14" s="130"/>
      <c r="AI14" s="129"/>
      <c r="AJ14" s="74"/>
      <c r="AK14" s="152"/>
      <c r="AL14" s="465"/>
      <c r="AN14" s="505"/>
    </row>
    <row r="15" spans="1:47" ht="30" customHeight="1">
      <c r="A15" s="304"/>
      <c r="B15" s="131" t="s">
        <v>126</v>
      </c>
      <c r="C15" s="133"/>
      <c r="D15" s="132"/>
      <c r="E15" s="641">
        <f>SUM(C15:D15)</f>
        <v>0</v>
      </c>
      <c r="F15" s="133"/>
      <c r="G15" s="132"/>
      <c r="H15" s="471">
        <f>SUM(F15:G15)</f>
        <v>0</v>
      </c>
      <c r="I15" s="134">
        <f>SUM(C15,F15)</f>
        <v>0</v>
      </c>
      <c r="J15" s="103">
        <f>SUM(D15,G15)</f>
        <v>0</v>
      </c>
      <c r="K15" s="135">
        <f>SUM(I15:J15)</f>
        <v>0</v>
      </c>
      <c r="L15" s="67"/>
      <c r="M15" s="160"/>
      <c r="N15" s="132"/>
      <c r="O15" s="154">
        <f>SUM(M15:N15)</f>
        <v>0</v>
      </c>
      <c r="P15" s="67"/>
      <c r="Q15" s="155">
        <f>SUM(K15,O15)</f>
        <v>0</v>
      </c>
      <c r="R15" s="311"/>
      <c r="S15" s="468"/>
      <c r="T15" s="136">
        <f>VLOOKUP($AN15,Early_Stats_Last_Year,VLOOKUP('Background Data'!$F$2,Inst_Tables,3,FALSE),FALSE)</f>
        <v>0</v>
      </c>
      <c r="U15" s="137">
        <f>VLOOKUP($AN15,Early_Stats_Last_Year,VLOOKUP('Background Data'!$F$2,Inst_Tables,4,FALSE),FALSE)</f>
        <v>0</v>
      </c>
      <c r="V15" s="472">
        <f>SUM(T15:U15)</f>
        <v>0</v>
      </c>
      <c r="W15" s="137">
        <f>VLOOKUP($AN15,Early_Stats_Last_Year,VLOOKUP('Background Data'!$F$2,Inst_Tables,5,FALSE),FALSE)</f>
        <v>0</v>
      </c>
      <c r="X15" s="138" t="str">
        <f>IF(T15&gt;0,($E15-T15)/T15,"")</f>
        <v/>
      </c>
      <c r="Y15" s="139" t="str">
        <f>IF(U15&gt;0,($H15-U15)/U15,"")</f>
        <v/>
      </c>
      <c r="Z15" s="393" t="str">
        <f>IF(V15&gt;0,($K15-V15)/V15,"")</f>
        <v/>
      </c>
      <c r="AA15" s="498" t="str">
        <f>IF(W15&gt;0,($O15-W15)/W15,"")</f>
        <v/>
      </c>
      <c r="AB15" s="313"/>
      <c r="AC15" s="74"/>
      <c r="AD15" s="140">
        <f>VLOOKUP($AN15,Final_Figures,VLOOKUP('Background Data'!$F$2,Inst_Tables,3,FALSE),FALSE)</f>
        <v>0</v>
      </c>
      <c r="AE15" s="141">
        <f>VLOOKUP($AN15,Final_Figures,VLOOKUP('Background Data'!$F$2,Inst_Tables,4,FALSE),FALSE)</f>
        <v>0</v>
      </c>
      <c r="AF15" s="486">
        <f>SUM(AD15:AE15)</f>
        <v>0</v>
      </c>
      <c r="AG15" s="497">
        <f>VLOOKUP($AN15,Final_Figures,VLOOKUP('Background Data'!$F$2,Inst_Tables,5,FALSE),FALSE)</f>
        <v>0</v>
      </c>
      <c r="AH15" s="473" t="str">
        <f>IF(AD15&gt;0,($E15-AD15)/AD15,"")</f>
        <v/>
      </c>
      <c r="AI15" s="142" t="str">
        <f>IF(AE15&gt;0,($H15-AE15)/AE15,"")</f>
        <v/>
      </c>
      <c r="AJ15" s="473" t="str">
        <f>IF(AF15&gt;0,($K15-AF15)/AF15,"")</f>
        <v/>
      </c>
      <c r="AK15" s="191" t="str">
        <f>IF(AG15&gt;0,($O15-AG15)/AG15,"")</f>
        <v/>
      </c>
      <c r="AL15" s="465"/>
      <c r="AN15" s="504">
        <v>2</v>
      </c>
    </row>
    <row r="16" spans="1:47" ht="30" customHeight="1" thickBot="1">
      <c r="A16" s="304"/>
      <c r="B16" s="121" t="s">
        <v>72</v>
      </c>
      <c r="C16" s="1759">
        <v>748</v>
      </c>
      <c r="D16" s="1739"/>
      <c r="E16" s="1740">
        <f>SUM(C16:D16)</f>
        <v>748</v>
      </c>
      <c r="F16" s="1759">
        <v>245.14599999999999</v>
      </c>
      <c r="G16" s="1739">
        <v>54.5</v>
      </c>
      <c r="H16" s="1760">
        <f>SUM(F16:G16)</f>
        <v>299.64599999999996</v>
      </c>
      <c r="I16" s="1757">
        <f>SUM(C16,F16)</f>
        <v>993.14599999999996</v>
      </c>
      <c r="J16" s="1741">
        <f>SUM(D16,G16)</f>
        <v>54.5</v>
      </c>
      <c r="K16" s="1742">
        <f>SUM(I16:J16)</f>
        <v>1047.646</v>
      </c>
      <c r="L16" s="67"/>
      <c r="M16" s="122"/>
      <c r="N16" s="73"/>
      <c r="O16" s="123"/>
      <c r="P16" s="67"/>
      <c r="Q16" s="108"/>
      <c r="R16" s="311"/>
      <c r="S16" s="468"/>
      <c r="T16" s="1797">
        <f>VLOOKUP($AN16,Early_Stats_Last_Year,VLOOKUP('Background Data'!$F$2,Inst_Tables,3,FALSE),FALSE)</f>
        <v>1145</v>
      </c>
      <c r="U16" s="1798">
        <f>VLOOKUP($AN16,Early_Stats_Last_Year,VLOOKUP('Background Data'!$F$2,Inst_Tables,4,FALSE),FALSE)</f>
        <v>222.38</v>
      </c>
      <c r="V16" s="1744">
        <f>SUM(T16:U16)</f>
        <v>1367.38</v>
      </c>
      <c r="W16" s="407"/>
      <c r="X16" s="1799">
        <f>IF(T16&gt;0,($E16-T16)/T16,"")</f>
        <v>-0.34672489082969432</v>
      </c>
      <c r="Y16" s="1800">
        <f>IF(U16&gt;0,($H16-U16)/U16,"")</f>
        <v>0.34745031027970125</v>
      </c>
      <c r="Z16" s="1801">
        <f>IF(V16&gt;0,($K16-V16)/V16,"")</f>
        <v>-0.23382965964106547</v>
      </c>
      <c r="AA16" s="407"/>
      <c r="AB16" s="313"/>
      <c r="AC16" s="74"/>
      <c r="AD16" s="2238">
        <f>VLOOKUP($AN16,Final_Figures,VLOOKUP('Background Data'!$F$2,Inst_Tables,3,FALSE),FALSE)</f>
        <v>1130</v>
      </c>
      <c r="AE16" s="2239">
        <f>VLOOKUP($AN16,Final_Figures,VLOOKUP('Background Data'!$F$2,Inst_Tables,4,FALSE),FALSE)</f>
        <v>283.36777599999999</v>
      </c>
      <c r="AF16" s="1745">
        <f>SUM(AD16:AE16)</f>
        <v>1413.367776</v>
      </c>
      <c r="AG16" s="2240"/>
      <c r="AH16" s="2241">
        <f>IF(AD16&gt;0,($E16-AD16)/AD16,"")</f>
        <v>-0.33805309734513272</v>
      </c>
      <c r="AI16" s="2242">
        <f>IF(AE16&gt;0,($H16-AE16)/AE16,"")</f>
        <v>5.7445572075210012E-2</v>
      </c>
      <c r="AJ16" s="2243">
        <f>IF(AF16&gt;0,($K16-AF16)/AF16,"")</f>
        <v>-0.25875910163668547</v>
      </c>
      <c r="AK16" s="2240"/>
      <c r="AL16" s="465"/>
      <c r="AN16" s="504">
        <v>3</v>
      </c>
    </row>
    <row r="17" spans="1:40" ht="35.1" customHeight="1" thickBot="1">
      <c r="A17" s="304"/>
      <c r="B17" s="143" t="s">
        <v>2</v>
      </c>
      <c r="C17" s="172">
        <f>SUM(C15:C16)</f>
        <v>748</v>
      </c>
      <c r="D17" s="102">
        <f t="shared" ref="D17:K17" si="0">SUM(D15:D16)</f>
        <v>0</v>
      </c>
      <c r="E17" s="104">
        <f t="shared" si="0"/>
        <v>748</v>
      </c>
      <c r="F17" s="171">
        <f t="shared" si="0"/>
        <v>245.14599999999999</v>
      </c>
      <c r="G17" s="171">
        <f t="shared" si="0"/>
        <v>54.5</v>
      </c>
      <c r="H17" s="104">
        <f>SUM(H15:H16)</f>
        <v>299.64599999999996</v>
      </c>
      <c r="I17" s="171">
        <f t="shared" si="0"/>
        <v>993.14599999999996</v>
      </c>
      <c r="J17" s="171">
        <f t="shared" si="0"/>
        <v>54.5</v>
      </c>
      <c r="K17" s="104">
        <f t="shared" si="0"/>
        <v>1047.646</v>
      </c>
      <c r="L17" s="67"/>
      <c r="M17" s="144"/>
      <c r="N17" s="145"/>
      <c r="O17" s="146"/>
      <c r="P17" s="67"/>
      <c r="Q17" s="147"/>
      <c r="R17" s="311"/>
      <c r="S17" s="468"/>
      <c r="T17" s="173">
        <f>SUM(T15:T16)</f>
        <v>1145</v>
      </c>
      <c r="U17" s="174">
        <f>SUM(U15:U16)</f>
        <v>222.38</v>
      </c>
      <c r="V17" s="174">
        <f>SUM(V15:V16)</f>
        <v>1367.38</v>
      </c>
      <c r="W17" s="1805"/>
      <c r="X17" s="1802">
        <f>IF(T17&gt;0,($E17-T17)/T17,"")</f>
        <v>-0.34672489082969432</v>
      </c>
      <c r="Y17" s="1803">
        <f>IF(U17&gt;0,($H17-U17)/U17,"")</f>
        <v>0.34745031027970125</v>
      </c>
      <c r="Z17" s="1804">
        <f>IF(V17&gt;0,($K17-V17)/V17,"")</f>
        <v>-0.23382965964106547</v>
      </c>
      <c r="AA17" s="1805"/>
      <c r="AB17" s="313"/>
      <c r="AC17" s="74"/>
      <c r="AD17" s="175">
        <f>SUM(AD15:AD16)</f>
        <v>1130</v>
      </c>
      <c r="AE17" s="176">
        <f>SUM(AE15:AE16)</f>
        <v>283.36777599999999</v>
      </c>
      <c r="AF17" s="483">
        <f>SUM(AF15:AF16)</f>
        <v>1413.367776</v>
      </c>
      <c r="AG17" s="2244"/>
      <c r="AH17" s="705">
        <f>IF(AD17&gt;0,($E17-AD17)/AD17,"")</f>
        <v>-0.33805309734513272</v>
      </c>
      <c r="AI17" s="706">
        <f>IF(AE17&gt;0,($H17-AE17)/AE17,"")</f>
        <v>5.7445572075210012E-2</v>
      </c>
      <c r="AJ17" s="705">
        <f>IF(AF17&gt;0,($K17-AF17)/AF17,"")</f>
        <v>-0.25875910163668547</v>
      </c>
      <c r="AK17" s="2244"/>
      <c r="AL17" s="465"/>
      <c r="AN17" s="505"/>
    </row>
    <row r="18" spans="1:40" ht="35.1" customHeight="1">
      <c r="A18" s="304"/>
      <c r="B18" s="114" t="s">
        <v>9</v>
      </c>
      <c r="C18" s="642"/>
      <c r="D18" s="643"/>
      <c r="E18" s="644"/>
      <c r="F18" s="642"/>
      <c r="G18" s="645"/>
      <c r="H18" s="646"/>
      <c r="I18" s="1746"/>
      <c r="J18" s="1746"/>
      <c r="K18" s="1747"/>
      <c r="L18" s="67"/>
      <c r="M18" s="122"/>
      <c r="N18" s="73"/>
      <c r="O18" s="123"/>
      <c r="P18" s="67"/>
      <c r="Q18" s="108"/>
      <c r="R18" s="311"/>
      <c r="S18" s="468"/>
      <c r="T18" s="116"/>
      <c r="U18" s="117"/>
      <c r="V18" s="117"/>
      <c r="W18" s="1356"/>
      <c r="X18" s="1357"/>
      <c r="Y18" s="117"/>
      <c r="Z18" s="388"/>
      <c r="AA18" s="813"/>
      <c r="AB18" s="313"/>
      <c r="AC18" s="74"/>
      <c r="AD18" s="118"/>
      <c r="AE18" s="119"/>
      <c r="AF18" s="484"/>
      <c r="AG18" s="120"/>
      <c r="AH18" s="448"/>
      <c r="AI18" s="119"/>
      <c r="AJ18" s="448"/>
      <c r="AK18" s="120"/>
      <c r="AL18" s="465"/>
      <c r="AN18" s="505"/>
    </row>
    <row r="19" spans="1:40" ht="30" customHeight="1">
      <c r="A19" s="304"/>
      <c r="B19" s="121" t="s">
        <v>70</v>
      </c>
      <c r="C19" s="648"/>
      <c r="D19" s="1748"/>
      <c r="E19" s="1749"/>
      <c r="F19" s="648"/>
      <c r="G19" s="1750"/>
      <c r="H19" s="1751"/>
      <c r="I19" s="1752"/>
      <c r="J19" s="1752"/>
      <c r="K19" s="1751"/>
      <c r="L19" s="67"/>
      <c r="M19" s="122"/>
      <c r="N19" s="73"/>
      <c r="O19" s="123"/>
      <c r="P19" s="67"/>
      <c r="Q19" s="108"/>
      <c r="R19" s="311"/>
      <c r="S19" s="468"/>
      <c r="T19" s="124"/>
      <c r="U19" s="1348"/>
      <c r="V19" s="1348"/>
      <c r="W19" s="127"/>
      <c r="X19" s="126"/>
      <c r="Y19" s="1348"/>
      <c r="Z19" s="177"/>
      <c r="AA19" s="1349"/>
      <c r="AB19" s="313"/>
      <c r="AC19" s="74"/>
      <c r="AD19" s="128"/>
      <c r="AE19" s="1350"/>
      <c r="AF19" s="1361"/>
      <c r="AG19" s="1351"/>
      <c r="AH19" s="74"/>
      <c r="AI19" s="1350"/>
      <c r="AJ19" s="74"/>
      <c r="AK19" s="1351"/>
      <c r="AL19" s="465"/>
      <c r="AN19" s="505"/>
    </row>
    <row r="20" spans="1:40" ht="30" customHeight="1">
      <c r="A20" s="1345"/>
      <c r="B20" s="1395" t="s">
        <v>91</v>
      </c>
      <c r="C20" s="651"/>
      <c r="D20" s="1753"/>
      <c r="E20" s="1754"/>
      <c r="F20" s="651"/>
      <c r="G20" s="652"/>
      <c r="H20" s="1755"/>
      <c r="I20" s="1756"/>
      <c r="J20" s="654"/>
      <c r="K20" s="653"/>
      <c r="L20" s="67"/>
      <c r="M20" s="122"/>
      <c r="N20" s="1346"/>
      <c r="O20" s="123"/>
      <c r="P20" s="67"/>
      <c r="Q20" s="108"/>
      <c r="R20" s="634"/>
      <c r="S20" s="1347"/>
      <c r="T20" s="1358"/>
      <c r="U20" s="166"/>
      <c r="V20" s="166"/>
      <c r="W20" s="1359"/>
      <c r="X20" s="1358"/>
      <c r="Y20" s="166"/>
      <c r="Z20" s="1359"/>
      <c r="AA20" s="1360"/>
      <c r="AB20" s="636"/>
      <c r="AC20" s="74"/>
      <c r="AD20" s="1362"/>
      <c r="AE20" s="1363"/>
      <c r="AF20" s="485"/>
      <c r="AG20" s="1364"/>
      <c r="AH20" s="1365"/>
      <c r="AI20" s="1363"/>
      <c r="AJ20" s="1365"/>
      <c r="AK20" s="1364"/>
      <c r="AL20" s="637"/>
      <c r="AN20" s="505"/>
    </row>
    <row r="21" spans="1:40" ht="30" customHeight="1">
      <c r="A21" s="304"/>
      <c r="B21" s="159" t="s">
        <v>349</v>
      </c>
      <c r="C21" s="133">
        <v>206</v>
      </c>
      <c r="D21" s="132"/>
      <c r="E21" s="641">
        <f>SUM(C21:D21)</f>
        <v>206</v>
      </c>
      <c r="F21" s="133"/>
      <c r="G21" s="132"/>
      <c r="H21" s="641">
        <f>SUM(F21:G21)</f>
        <v>0</v>
      </c>
      <c r="I21" s="134">
        <f>SUM(C21,F21)</f>
        <v>206</v>
      </c>
      <c r="J21" s="103">
        <f>SUM(D21,G21)</f>
        <v>0</v>
      </c>
      <c r="K21" s="135">
        <f>SUM(I21:J21)</f>
        <v>206</v>
      </c>
      <c r="L21" s="67"/>
      <c r="M21" s="160">
        <v>4</v>
      </c>
      <c r="N21" s="132"/>
      <c r="O21" s="154">
        <f>SUM(M21:N21)</f>
        <v>4</v>
      </c>
      <c r="P21" s="67"/>
      <c r="Q21" s="155">
        <f>SUM(K21,O21)</f>
        <v>210</v>
      </c>
      <c r="R21" s="311"/>
      <c r="S21" s="468"/>
      <c r="T21" s="136">
        <f>VLOOKUP($AN21,Early_Stats_Last_Year,VLOOKUP('Background Data'!$F$2,Inst_Tables,3,FALSE),FALSE)</f>
        <v>189</v>
      </c>
      <c r="U21" s="137">
        <f>VLOOKUP($AN21,Early_Stats_Last_Year,VLOOKUP('Background Data'!$F$2,Inst_Tables,4,FALSE),FALSE)</f>
        <v>0.5</v>
      </c>
      <c r="V21" s="472">
        <f t="shared" ref="V21:V22" si="1">SUM(T21:U21)</f>
        <v>189.5</v>
      </c>
      <c r="W21" s="137">
        <f>VLOOKUP($AN21,Early_Stats_Last_Year,VLOOKUP('Background Data'!$F$2,Inst_Tables,5,FALSE),FALSE)</f>
        <v>2</v>
      </c>
      <c r="X21" s="138">
        <f>IF(T21&gt;0,($E21-T21)/T21,"")</f>
        <v>8.9947089947089942E-2</v>
      </c>
      <c r="Y21" s="139">
        <f>IF(U21&gt;0,($H21-U21)/U21,"")</f>
        <v>-1</v>
      </c>
      <c r="Z21" s="393">
        <f>IF(V21&gt;0,($K21-V21)/V21,"")</f>
        <v>8.7071240105540904E-2</v>
      </c>
      <c r="AA21" s="498">
        <f>IF(W21&gt;0,($O21-W21)/W21,"")</f>
        <v>1</v>
      </c>
      <c r="AB21" s="313"/>
      <c r="AC21" s="74"/>
      <c r="AD21" s="140">
        <f>VLOOKUP($AN21,Final_Figures,VLOOKUP('Background Data'!$F$2,Inst_Tables,3,FALSE),FALSE)</f>
        <v>239</v>
      </c>
      <c r="AE21" s="141">
        <f>VLOOKUP($AN21,Final_Figures,VLOOKUP('Background Data'!$F$2,Inst_Tables,4,FALSE),FALSE)</f>
        <v>0.5</v>
      </c>
      <c r="AF21" s="486">
        <f t="shared" ref="AF21:AF22" si="2">SUM(AD21:AE21)</f>
        <v>239.5</v>
      </c>
      <c r="AG21" s="497">
        <f>VLOOKUP($AN21,Final_Figures,VLOOKUP('Background Data'!$F$2,Inst_Tables,5,FALSE),FALSE)</f>
        <v>2</v>
      </c>
      <c r="AH21" s="473">
        <f>IF(AD21&gt;0,($E21-AD21)/AD21,"")</f>
        <v>-0.13807531380753138</v>
      </c>
      <c r="AI21" s="142">
        <f>IF(AE21&gt;0,($H21-AE21)/AE21,"")</f>
        <v>-1</v>
      </c>
      <c r="AJ21" s="473">
        <f>IF(AF21&gt;0,($K21-AF21)/AF21,"")</f>
        <v>-0.13987473903966596</v>
      </c>
      <c r="AK21" s="191">
        <f>IF(AG21&gt;0,($O21-AG21)/AG21,"")</f>
        <v>1</v>
      </c>
      <c r="AL21" s="465"/>
      <c r="AN21" s="504">
        <v>4</v>
      </c>
    </row>
    <row r="22" spans="1:40" ht="30" customHeight="1">
      <c r="A22" s="1345"/>
      <c r="B22" s="159" t="s">
        <v>311</v>
      </c>
      <c r="C22" s="133"/>
      <c r="D22" s="132"/>
      <c r="E22" s="641">
        <f t="shared" ref="E22" si="3">SUM(C22:D22)</f>
        <v>0</v>
      </c>
      <c r="F22" s="133"/>
      <c r="G22" s="132"/>
      <c r="H22" s="641">
        <f t="shared" ref="H22" si="4">SUM(F22:G22)</f>
        <v>0</v>
      </c>
      <c r="I22" s="134">
        <f>SUM(C22,F22)</f>
        <v>0</v>
      </c>
      <c r="J22" s="103">
        <f>SUM(D22,G22)</f>
        <v>0</v>
      </c>
      <c r="K22" s="135">
        <f>SUM(I22:J22)</f>
        <v>0</v>
      </c>
      <c r="L22" s="67"/>
      <c r="M22" s="160"/>
      <c r="N22" s="132"/>
      <c r="O22" s="154">
        <f t="shared" ref="O22:O23" si="5">SUM(M22:N22)</f>
        <v>0</v>
      </c>
      <c r="P22" s="67"/>
      <c r="Q22" s="155">
        <f t="shared" ref="Q22:Q23" si="6">SUM(K22,O22)</f>
        <v>0</v>
      </c>
      <c r="R22" s="634"/>
      <c r="S22" s="1347"/>
      <c r="T22" s="1797">
        <f>VLOOKUP($AN22,Early_Stats_Last_Year,VLOOKUP('Background Data'!$F$2,Inst_Tables,3,FALSE),FALSE)</f>
        <v>0</v>
      </c>
      <c r="U22" s="1798">
        <f>VLOOKUP($AN22,Early_Stats_Last_Year,VLOOKUP('Background Data'!$F$2,Inst_Tables,4,FALSE),FALSE)</f>
        <v>0</v>
      </c>
      <c r="V22" s="1744">
        <f t="shared" si="1"/>
        <v>0</v>
      </c>
      <c r="W22" s="1798">
        <f>VLOOKUP($AN22,Early_Stats_Last_Year,VLOOKUP('Background Data'!$F$2,Inst_Tables,5,FALSE),FALSE)</f>
        <v>0</v>
      </c>
      <c r="X22" s="1799" t="str">
        <f>IF(T22&gt;0,($E22-T22)/T22,"")</f>
        <v/>
      </c>
      <c r="Y22" s="1800" t="str">
        <f>IF(U22&gt;0,($H22-U22)/U22,"")</f>
        <v/>
      </c>
      <c r="Z22" s="1801" t="str">
        <f>IF(V22&gt;0,($K22-V22)/V22,"")</f>
        <v/>
      </c>
      <c r="AA22" s="1806" t="str">
        <f>IF(W22&gt;0,($O22-W22)/W22,"")</f>
        <v/>
      </c>
      <c r="AB22" s="636"/>
      <c r="AC22" s="74"/>
      <c r="AD22" s="140">
        <f>VLOOKUP($AN22,Final_Figures,VLOOKUP('Background Data'!$F$2,Inst_Tables,3,FALSE),FALSE)</f>
        <v>0</v>
      </c>
      <c r="AE22" s="141">
        <f>VLOOKUP($AN22,Final_Figures,VLOOKUP('Background Data'!$F$2,Inst_Tables,4,FALSE),FALSE)</f>
        <v>0</v>
      </c>
      <c r="AF22" s="1352">
        <f t="shared" si="2"/>
        <v>0</v>
      </c>
      <c r="AG22" s="497">
        <f>VLOOKUP($AN22,Final_Figures,VLOOKUP('Background Data'!$F$2,Inst_Tables,5,FALSE),FALSE)</f>
        <v>0</v>
      </c>
      <c r="AH22" s="1353" t="str">
        <f>IF(AD22&gt;0,($E22-AD22)/AD22,"")</f>
        <v/>
      </c>
      <c r="AI22" s="142" t="str">
        <f>IF(AE22&gt;0,($H22-AE22)/AE22,"")</f>
        <v/>
      </c>
      <c r="AJ22" s="1353" t="str">
        <f>IF(AF22&gt;0,($K22-AF22)/AF22,"")</f>
        <v/>
      </c>
      <c r="AK22" s="191" t="str">
        <f>IF(AG22&gt;0,($O22-AG22)/AG22,"")</f>
        <v/>
      </c>
      <c r="AL22" s="637"/>
      <c r="AN22" s="504">
        <v>5</v>
      </c>
    </row>
    <row r="23" spans="1:40" ht="30" customHeight="1">
      <c r="A23" s="1345"/>
      <c r="B23" s="159" t="s">
        <v>2</v>
      </c>
      <c r="C23" s="1354">
        <f>SUM(C21:C22)</f>
        <v>206</v>
      </c>
      <c r="D23" s="1355">
        <f>SUM(D21:D22)</f>
        <v>0</v>
      </c>
      <c r="E23" s="641">
        <f>SUM(C23:D23)</f>
        <v>206</v>
      </c>
      <c r="F23" s="1354">
        <f>SUM(F21:F22)</f>
        <v>0</v>
      </c>
      <c r="G23" s="1355">
        <f>SUM(G21:G22)</f>
        <v>0</v>
      </c>
      <c r="H23" s="641">
        <f>SUM(F23:G23)</f>
        <v>0</v>
      </c>
      <c r="I23" s="1354">
        <f>SUM(I21:I22)</f>
        <v>206</v>
      </c>
      <c r="J23" s="1355">
        <f>SUM(J21:J22)</f>
        <v>0</v>
      </c>
      <c r="K23" s="641">
        <f>SUM(I23:J23)</f>
        <v>206</v>
      </c>
      <c r="L23" s="67"/>
      <c r="M23" s="1354">
        <f>SUM(M21:M22)</f>
        <v>4</v>
      </c>
      <c r="N23" s="1355">
        <f>SUM(N21:N22)</f>
        <v>0</v>
      </c>
      <c r="O23" s="154">
        <f t="shared" si="5"/>
        <v>4</v>
      </c>
      <c r="P23" s="67"/>
      <c r="Q23" s="155">
        <f t="shared" si="6"/>
        <v>210</v>
      </c>
      <c r="R23" s="634"/>
      <c r="S23" s="1347"/>
      <c r="T23" s="1807">
        <f>SUM(T21:T22)</f>
        <v>189</v>
      </c>
      <c r="U23" s="1744">
        <f>SUM(U21:U22)</f>
        <v>0.5</v>
      </c>
      <c r="V23" s="1744">
        <f>SUM(V21:V22)</f>
        <v>189.5</v>
      </c>
      <c r="W23" s="1821">
        <f>SUM(W21:W22)</f>
        <v>2</v>
      </c>
      <c r="X23" s="1808">
        <f>IF(T23&gt;0,($E23-T23)/T23,"")</f>
        <v>8.9947089947089942E-2</v>
      </c>
      <c r="Y23" s="1809">
        <f>IF(U23&gt;0,($H23-U23)/U23,"")</f>
        <v>-1</v>
      </c>
      <c r="Z23" s="1810">
        <f>IF(V23&gt;0,($K23-V23)/V23,"")</f>
        <v>8.7071240105540904E-2</v>
      </c>
      <c r="AA23" s="1811">
        <f>IF(W23&gt;0,($O23-W23)/W23,"")</f>
        <v>1</v>
      </c>
      <c r="AB23" s="636"/>
      <c r="AC23" s="74"/>
      <c r="AD23" s="140">
        <f>SUM(AD21:AD22)</f>
        <v>239</v>
      </c>
      <c r="AE23" s="141">
        <f>SUM(AE21:AE22)</f>
        <v>0.5</v>
      </c>
      <c r="AF23" s="1352">
        <f>SUM(AF21:AF22)</f>
        <v>239.5</v>
      </c>
      <c r="AG23" s="497">
        <f>SUM(AG21:AG22)</f>
        <v>2</v>
      </c>
      <c r="AH23" s="1353">
        <f>IF(AD23&gt;0,($E23-AD23)/AD23,"")</f>
        <v>-0.13807531380753138</v>
      </c>
      <c r="AI23" s="142">
        <f>IF(AE23&gt;0,($H23-AE23)/AE23,"")</f>
        <v>-1</v>
      </c>
      <c r="AJ23" s="1353">
        <f>IF(AF23&gt;0,($K23-AF23)/AF23,"")</f>
        <v>-0.13987473903966596</v>
      </c>
      <c r="AK23" s="191">
        <f>IF(AG23&gt;0,($O23-AG23)/AG23,"")</f>
        <v>1</v>
      </c>
      <c r="AL23" s="637"/>
      <c r="AN23" s="504"/>
    </row>
    <row r="24" spans="1:40" ht="30" customHeight="1">
      <c r="A24" s="304"/>
      <c r="B24" s="1395" t="s">
        <v>92</v>
      </c>
      <c r="C24" s="651"/>
      <c r="D24" s="1753"/>
      <c r="E24" s="1754"/>
      <c r="F24" s="651"/>
      <c r="G24" s="652"/>
      <c r="H24" s="1755"/>
      <c r="I24" s="1756"/>
      <c r="J24" s="654"/>
      <c r="K24" s="653"/>
      <c r="L24" s="67"/>
      <c r="M24" s="122"/>
      <c r="N24" s="1346"/>
      <c r="O24" s="123"/>
      <c r="P24" s="67"/>
      <c r="Q24" s="108"/>
      <c r="R24" s="311"/>
      <c r="S24" s="468"/>
      <c r="T24" s="1818"/>
      <c r="U24" s="1819"/>
      <c r="V24" s="1819"/>
      <c r="W24" s="1819"/>
      <c r="X24" s="1818"/>
      <c r="Y24" s="1819"/>
      <c r="Z24" s="1819"/>
      <c r="AA24" s="1813"/>
      <c r="AB24" s="2257"/>
      <c r="AC24" s="1368"/>
      <c r="AD24" s="2245"/>
      <c r="AE24" s="2246"/>
      <c r="AF24" s="2247"/>
      <c r="AG24" s="2248"/>
      <c r="AH24" s="2249"/>
      <c r="AI24" s="2246"/>
      <c r="AJ24" s="2249"/>
      <c r="AK24" s="2248"/>
      <c r="AL24" s="465"/>
      <c r="AN24" s="1366"/>
    </row>
    <row r="25" spans="1:40" ht="30" customHeight="1">
      <c r="A25" s="1345"/>
      <c r="B25" s="159" t="s">
        <v>349</v>
      </c>
      <c r="C25" s="133">
        <v>223</v>
      </c>
      <c r="D25" s="132"/>
      <c r="E25" s="641">
        <f>SUM(C25:D25)</f>
        <v>223</v>
      </c>
      <c r="F25" s="133"/>
      <c r="G25" s="132"/>
      <c r="H25" s="641">
        <f>SUM(F25:G25)</f>
        <v>0</v>
      </c>
      <c r="I25" s="134">
        <f>SUM(C25,F25)</f>
        <v>223</v>
      </c>
      <c r="J25" s="103">
        <f>SUM(D25,G25)</f>
        <v>0</v>
      </c>
      <c r="K25" s="135">
        <f>SUM(I25:J25)</f>
        <v>223</v>
      </c>
      <c r="L25" s="67"/>
      <c r="M25" s="160">
        <v>7</v>
      </c>
      <c r="N25" s="132"/>
      <c r="O25" s="154">
        <f>SUM(M25:N25)</f>
        <v>7</v>
      </c>
      <c r="P25" s="67"/>
      <c r="Q25" s="155">
        <f>SUM(K25,O25)</f>
        <v>230</v>
      </c>
      <c r="R25" s="634"/>
      <c r="S25" s="1347"/>
      <c r="T25" s="136">
        <f>VLOOKUP($AN25,Early_Stats_Last_Year,VLOOKUP('Background Data'!$F$2,Inst_Tables,3,FALSE),FALSE)</f>
        <v>226</v>
      </c>
      <c r="U25" s="137">
        <f>VLOOKUP($AN25,Early_Stats_Last_Year,VLOOKUP('Background Data'!$F$2,Inst_Tables,4,FALSE),FALSE)</f>
        <v>1</v>
      </c>
      <c r="V25" s="472">
        <f t="shared" ref="V25:V26" si="7">SUM(T25:U25)</f>
        <v>227</v>
      </c>
      <c r="W25" s="137">
        <f>VLOOKUP($AN25,Early_Stats_Last_Year,VLOOKUP('Background Data'!$F$2,Inst_Tables,5,FALSE),FALSE)</f>
        <v>5</v>
      </c>
      <c r="X25" s="138">
        <f>IF(T25&gt;0,($E25-T25)/T25,"")</f>
        <v>-1.3274336283185841E-2</v>
      </c>
      <c r="Y25" s="139">
        <f>IF(U25&gt;0,($H25-U25)/U25,"")</f>
        <v>-1</v>
      </c>
      <c r="Z25" s="1761">
        <f>IF(V25&gt;0,($K25-V25)/V25,"")</f>
        <v>-1.7621145374449341E-2</v>
      </c>
      <c r="AA25" s="498">
        <f>IF(W25&gt;0,($O25-W25)/W25,"")</f>
        <v>0.4</v>
      </c>
      <c r="AB25" s="313"/>
      <c r="AC25" s="74"/>
      <c r="AD25" s="140">
        <f>VLOOKUP($AN25,Final_Figures,VLOOKUP('Background Data'!$F$2,Inst_Tables,3,FALSE),FALSE)</f>
        <v>223</v>
      </c>
      <c r="AE25" s="141">
        <f>VLOOKUP($AN25,Final_Figures,VLOOKUP('Background Data'!$F$2,Inst_Tables,4,FALSE),FALSE)</f>
        <v>1</v>
      </c>
      <c r="AF25" s="486">
        <f t="shared" ref="AF25:AF26" si="8">SUM(AD25:AE25)</f>
        <v>224</v>
      </c>
      <c r="AG25" s="497">
        <f>VLOOKUP($AN25,Final_Figures,VLOOKUP('Background Data'!$F$2,Inst_Tables,5,FALSE),FALSE)</f>
        <v>5</v>
      </c>
      <c r="AH25" s="473">
        <f>IF(AD25&gt;0,($E25-AD25)/AD25,"")</f>
        <v>0</v>
      </c>
      <c r="AI25" s="142">
        <f>IF(AE25&gt;0,($H25-AE25)/AE25,"")</f>
        <v>-1</v>
      </c>
      <c r="AJ25" s="473">
        <f>IF(AF25&gt;0,($K25-AF25)/AF25,"")</f>
        <v>-4.464285714285714E-3</v>
      </c>
      <c r="AK25" s="191">
        <f>IF(AG25&gt;0,($O25-AG25)/AG25,"")</f>
        <v>0.4</v>
      </c>
      <c r="AL25" s="637"/>
      <c r="AN25" s="504">
        <v>6</v>
      </c>
    </row>
    <row r="26" spans="1:40" ht="30" customHeight="1">
      <c r="A26" s="1345"/>
      <c r="B26" s="159" t="s">
        <v>311</v>
      </c>
      <c r="C26" s="133"/>
      <c r="D26" s="132"/>
      <c r="E26" s="641">
        <f t="shared" ref="E26" si="9">SUM(C26:D26)</f>
        <v>0</v>
      </c>
      <c r="F26" s="133"/>
      <c r="G26" s="132"/>
      <c r="H26" s="641">
        <f t="shared" ref="H26" si="10">SUM(F26:G26)</f>
        <v>0</v>
      </c>
      <c r="I26" s="134">
        <f>SUM(C26,F26)</f>
        <v>0</v>
      </c>
      <c r="J26" s="103">
        <f>SUM(D26,G26)</f>
        <v>0</v>
      </c>
      <c r="K26" s="135">
        <f>SUM(I26:J26)</f>
        <v>0</v>
      </c>
      <c r="L26" s="67"/>
      <c r="M26" s="160"/>
      <c r="N26" s="132"/>
      <c r="O26" s="154">
        <f t="shared" ref="O26:O27" si="11">SUM(M26:N26)</f>
        <v>0</v>
      </c>
      <c r="P26" s="67"/>
      <c r="Q26" s="155">
        <f t="shared" ref="Q26:Q27" si="12">SUM(K26,O26)</f>
        <v>0</v>
      </c>
      <c r="R26" s="634"/>
      <c r="S26" s="1347"/>
      <c r="T26" s="1797">
        <f>VLOOKUP($AN26,Early_Stats_Last_Year,VLOOKUP('Background Data'!$F$2,Inst_Tables,3,FALSE),FALSE)</f>
        <v>0</v>
      </c>
      <c r="U26" s="1798">
        <f>VLOOKUP($AN26,Early_Stats_Last_Year,VLOOKUP('Background Data'!$F$2,Inst_Tables,4,FALSE),FALSE)</f>
        <v>0</v>
      </c>
      <c r="V26" s="1744">
        <f t="shared" si="7"/>
        <v>0</v>
      </c>
      <c r="W26" s="1798">
        <f>VLOOKUP($AN26,Early_Stats_Last_Year,VLOOKUP('Background Data'!$F$2,Inst_Tables,5,FALSE),FALSE)</f>
        <v>0</v>
      </c>
      <c r="X26" s="1799" t="str">
        <f>IF(T26&gt;0,($E26-T26)/T26,"")</f>
        <v/>
      </c>
      <c r="Y26" s="1800" t="str">
        <f>IF(U26&gt;0,($H26-U26)/U26,"")</f>
        <v/>
      </c>
      <c r="Z26" s="1801" t="str">
        <f>IF(V26&gt;0,($K26-V26)/V26,"")</f>
        <v/>
      </c>
      <c r="AA26" s="1806" t="str">
        <f>IF(W26&gt;0,($O26-W26)/W26,"")</f>
        <v/>
      </c>
      <c r="AB26" s="636"/>
      <c r="AC26" s="74"/>
      <c r="AD26" s="140">
        <f>VLOOKUP($AN26,Final_Figures,VLOOKUP('Background Data'!$F$2,Inst_Tables,3,FALSE),FALSE)</f>
        <v>0</v>
      </c>
      <c r="AE26" s="141">
        <f>VLOOKUP($AN26,Final_Figures,VLOOKUP('Background Data'!$F$2,Inst_Tables,4,FALSE),FALSE)</f>
        <v>0</v>
      </c>
      <c r="AF26" s="1352">
        <f t="shared" si="8"/>
        <v>0</v>
      </c>
      <c r="AG26" s="497">
        <f>VLOOKUP($AN26,Final_Figures,VLOOKUP('Background Data'!$F$2,Inst_Tables,5,FALSE),FALSE)</f>
        <v>0</v>
      </c>
      <c r="AH26" s="1353" t="str">
        <f>IF(AD26&gt;0,($E26-AD26)/AD26,"")</f>
        <v/>
      </c>
      <c r="AI26" s="142" t="str">
        <f>IF(AE26&gt;0,($H26-AE26)/AE26,"")</f>
        <v/>
      </c>
      <c r="AJ26" s="1353" t="str">
        <f>IF(AF26&gt;0,($K26-AF26)/AF26,"")</f>
        <v/>
      </c>
      <c r="AK26" s="191" t="str">
        <f>IF(AG26&gt;0,($O26-AG26)/AG26,"")</f>
        <v/>
      </c>
      <c r="AL26" s="637"/>
      <c r="AN26" s="504">
        <v>7</v>
      </c>
    </row>
    <row r="27" spans="1:40" ht="30" customHeight="1">
      <c r="A27" s="1345"/>
      <c r="B27" s="159" t="s">
        <v>2</v>
      </c>
      <c r="C27" s="1354">
        <f>SUM(C25:C26)</f>
        <v>223</v>
      </c>
      <c r="D27" s="1355">
        <f>SUM(D25:D26)</f>
        <v>0</v>
      </c>
      <c r="E27" s="641">
        <f>SUM(C27:D27)</f>
        <v>223</v>
      </c>
      <c r="F27" s="1354">
        <f>SUM(F25:F26)</f>
        <v>0</v>
      </c>
      <c r="G27" s="1355">
        <f>SUM(G25:G26)</f>
        <v>0</v>
      </c>
      <c r="H27" s="641">
        <f>SUM(F27:G27)</f>
        <v>0</v>
      </c>
      <c r="I27" s="1354">
        <f>SUM(I25:I26)</f>
        <v>223</v>
      </c>
      <c r="J27" s="1355">
        <f>SUM(J25:J26)</f>
        <v>0</v>
      </c>
      <c r="K27" s="641">
        <f>SUM(I27:J27)</f>
        <v>223</v>
      </c>
      <c r="L27" s="67"/>
      <c r="M27" s="1354">
        <f>SUM(M25:M26)</f>
        <v>7</v>
      </c>
      <c r="N27" s="1355">
        <f>SUM(N25:N26)</f>
        <v>0</v>
      </c>
      <c r="O27" s="154">
        <f t="shared" si="11"/>
        <v>7</v>
      </c>
      <c r="P27" s="67"/>
      <c r="Q27" s="155">
        <f t="shared" si="12"/>
        <v>230</v>
      </c>
      <c r="R27" s="634"/>
      <c r="S27" s="1347"/>
      <c r="T27" s="1812">
        <f>SUM(T25:T26)</f>
        <v>226</v>
      </c>
      <c r="U27" s="472">
        <f>SUM(U25:U26)</f>
        <v>1</v>
      </c>
      <c r="V27" s="472">
        <f>SUM(V25:V26)</f>
        <v>227</v>
      </c>
      <c r="W27" s="1821">
        <f>SUM(W25:W26)</f>
        <v>5</v>
      </c>
      <c r="X27" s="1814">
        <f>IF(T27&gt;0,($E27-T27)/T27,"")</f>
        <v>-1.3274336283185841E-2</v>
      </c>
      <c r="Y27" s="1815">
        <f>IF(U27&gt;0,($H27-U27)/U27,"")</f>
        <v>-1</v>
      </c>
      <c r="Z27" s="1816">
        <f>IF(V27&gt;0,($K27-V27)/V27,"")</f>
        <v>-1.7621145374449341E-2</v>
      </c>
      <c r="AA27" s="1811">
        <f>IF(W27&gt;0,($O27-W27)/W27,"")</f>
        <v>0.4</v>
      </c>
      <c r="AB27" s="636"/>
      <c r="AC27" s="74"/>
      <c r="AD27" s="140">
        <f>SUM(AD25:AD26)</f>
        <v>223</v>
      </c>
      <c r="AE27" s="141">
        <f>SUM(AE25:AE26)</f>
        <v>1</v>
      </c>
      <c r="AF27" s="1352">
        <f>SUM(AF25:AF26)</f>
        <v>224</v>
      </c>
      <c r="AG27" s="497">
        <f>SUM(AG25:AG26)</f>
        <v>5</v>
      </c>
      <c r="AH27" s="1353">
        <f>IF(AD27&gt;0,($E27-AD27)/AD27,"")</f>
        <v>0</v>
      </c>
      <c r="AI27" s="142">
        <f>IF(AE27&gt;0,($H27-AE27)/AE27,"")</f>
        <v>-1</v>
      </c>
      <c r="AJ27" s="1353">
        <f>IF(AF27&gt;0,($K27-AF27)/AF27,"")</f>
        <v>-4.464285714285714E-3</v>
      </c>
      <c r="AK27" s="191">
        <f>IF(AG27&gt;0,($O27-AG27)/AG27,"")</f>
        <v>0.4</v>
      </c>
      <c r="AL27" s="637"/>
      <c r="AN27" s="504"/>
    </row>
    <row r="28" spans="1:40" s="577" customFormat="1" ht="30" customHeight="1">
      <c r="A28" s="720"/>
      <c r="B28" s="1395" t="s">
        <v>470</v>
      </c>
      <c r="C28" s="651"/>
      <c r="D28" s="1753"/>
      <c r="E28" s="1754"/>
      <c r="F28" s="651"/>
      <c r="G28" s="652"/>
      <c r="H28" s="1755"/>
      <c r="I28" s="1756"/>
      <c r="J28" s="654"/>
      <c r="K28" s="653"/>
      <c r="L28" s="379"/>
      <c r="M28" s="687"/>
      <c r="N28" s="663"/>
      <c r="O28" s="676"/>
      <c r="P28" s="688"/>
      <c r="Q28" s="689"/>
      <c r="R28" s="727"/>
      <c r="S28" s="774"/>
      <c r="T28" s="1818"/>
      <c r="U28" s="1819"/>
      <c r="V28" s="1819"/>
      <c r="W28" s="1819"/>
      <c r="X28" s="1818"/>
      <c r="Y28" s="1819"/>
      <c r="Z28" s="1820"/>
      <c r="AA28" s="1813"/>
      <c r="AB28" s="2257"/>
      <c r="AC28" s="1368"/>
      <c r="AD28" s="2245"/>
      <c r="AE28" s="2246"/>
      <c r="AF28" s="2247"/>
      <c r="AG28" s="2248"/>
      <c r="AH28" s="2249"/>
      <c r="AI28" s="2246"/>
      <c r="AJ28" s="2249"/>
      <c r="AK28" s="2248"/>
      <c r="AL28" s="730"/>
      <c r="AN28" s="812"/>
    </row>
    <row r="29" spans="1:40" s="577" customFormat="1" ht="30" customHeight="1">
      <c r="A29" s="1769"/>
      <c r="B29" s="159" t="s">
        <v>471</v>
      </c>
      <c r="C29" s="2149"/>
      <c r="D29" s="2150"/>
      <c r="E29" s="721">
        <f t="shared" ref="E29:E30" si="13">SUM(C29:D29)</f>
        <v>0</v>
      </c>
      <c r="F29" s="2149">
        <v>3</v>
      </c>
      <c r="G29" s="2151">
        <v>1</v>
      </c>
      <c r="H29" s="721">
        <f t="shared" ref="H29:H30" si="14">SUM(F29:G29)</f>
        <v>4</v>
      </c>
      <c r="I29" s="722">
        <f t="shared" ref="I29:I30" si="15">SUM(C29,F29)</f>
        <v>3</v>
      </c>
      <c r="J29" s="723">
        <f t="shared" ref="J29:J30" si="16">SUM(D29,G29)</f>
        <v>1</v>
      </c>
      <c r="K29" s="724">
        <f t="shared" ref="K29:K30" si="17">SUM(I29:J29)</f>
        <v>4</v>
      </c>
      <c r="L29" s="379"/>
      <c r="M29" s="160"/>
      <c r="N29" s="132"/>
      <c r="O29" s="154">
        <f t="shared" ref="O29:O30" si="18">SUM(M29:N29)</f>
        <v>0</v>
      </c>
      <c r="P29" s="379"/>
      <c r="Q29" s="155">
        <f t="shared" ref="Q29:Q30" si="19">SUM(K29,O29)</f>
        <v>4</v>
      </c>
      <c r="R29" s="727"/>
      <c r="S29" s="1770"/>
      <c r="T29" s="136">
        <f>VLOOKUP($AN29,Early_Stats_Last_Year,VLOOKUP('Background Data'!$F$2,Inst_Tables,3,FALSE),FALSE)</f>
        <v>60</v>
      </c>
      <c r="U29" s="137">
        <f>VLOOKUP($AN29,Early_Stats_Last_Year,VLOOKUP('Background Data'!$F$2,Inst_Tables,4,FALSE),FALSE)</f>
        <v>0</v>
      </c>
      <c r="V29" s="472">
        <f t="shared" ref="V29" si="20">SUM(T29:U29)</f>
        <v>60</v>
      </c>
      <c r="W29" s="137">
        <f>VLOOKUP($AN29,Early_Stats_Last_Year,VLOOKUP('Background Data'!$F$2,Inst_Tables,5,FALSE),FALSE)</f>
        <v>0</v>
      </c>
      <c r="X29" s="138">
        <f>IF(T29&gt;0,($E29-T29)/T29,"")</f>
        <v>-1</v>
      </c>
      <c r="Y29" s="139" t="str">
        <f>IF(U29&gt;0,($H29-U29)/U29,"")</f>
        <v/>
      </c>
      <c r="Z29" s="1761">
        <f>IF(V29&gt;0,($K29-V29)/V29,"")</f>
        <v>-0.93333333333333335</v>
      </c>
      <c r="AA29" s="498" t="str">
        <f>IF(W29&gt;0,($O29-W29)/W29,"")</f>
        <v/>
      </c>
      <c r="AB29" s="636"/>
      <c r="AC29" s="74"/>
      <c r="AD29" s="140">
        <f>VLOOKUP($AN29,Final_Figures,VLOOKUP('Background Data'!$F$2,Inst_Tables,3,FALSE),FALSE)</f>
        <v>9</v>
      </c>
      <c r="AE29" s="141">
        <f>VLOOKUP($AN29,Final_Figures,VLOOKUP('Background Data'!$F$2,Inst_Tables,4,FALSE),FALSE)</f>
        <v>0</v>
      </c>
      <c r="AF29" s="486">
        <f t="shared" ref="AF29" si="21">SUM(AD29:AE29)</f>
        <v>9</v>
      </c>
      <c r="AG29" s="497">
        <f>VLOOKUP($AN29,Final_Figures,VLOOKUP('Background Data'!$F$2,Inst_Tables,5,FALSE),FALSE)</f>
        <v>0</v>
      </c>
      <c r="AH29" s="473">
        <f>IF(AD29&gt;0,($E29-AD29)/AD29,"")</f>
        <v>-1</v>
      </c>
      <c r="AI29" s="142" t="str">
        <f>IF(AE29&gt;0,($H29-AE29)/AE29,"")</f>
        <v/>
      </c>
      <c r="AJ29" s="473">
        <f>IF(AF29&gt;0,($K29-AF29)/AF29,"")</f>
        <v>-0.55555555555555558</v>
      </c>
      <c r="AK29" s="191" t="str">
        <f>IF(AG29&gt;0,($O29-AG29)/AG29,"")</f>
        <v/>
      </c>
      <c r="AL29" s="730"/>
      <c r="AN29" s="504">
        <v>8</v>
      </c>
    </row>
    <row r="30" spans="1:40" s="577" customFormat="1" ht="30" customHeight="1">
      <c r="A30" s="1769"/>
      <c r="B30" s="159" t="s">
        <v>401</v>
      </c>
      <c r="C30" s="2149"/>
      <c r="D30" s="2150"/>
      <c r="E30" s="721">
        <f t="shared" si="13"/>
        <v>0</v>
      </c>
      <c r="F30" s="2149"/>
      <c r="G30" s="2151"/>
      <c r="H30" s="721">
        <f t="shared" si="14"/>
        <v>0</v>
      </c>
      <c r="I30" s="722">
        <f t="shared" si="15"/>
        <v>0</v>
      </c>
      <c r="J30" s="723">
        <f t="shared" si="16"/>
        <v>0</v>
      </c>
      <c r="K30" s="724">
        <f t="shared" si="17"/>
        <v>0</v>
      </c>
      <c r="L30" s="379"/>
      <c r="M30" s="160"/>
      <c r="N30" s="132"/>
      <c r="O30" s="154">
        <f t="shared" si="18"/>
        <v>0</v>
      </c>
      <c r="P30" s="379"/>
      <c r="Q30" s="155">
        <f t="shared" si="19"/>
        <v>0</v>
      </c>
      <c r="R30" s="727"/>
      <c r="S30" s="1770"/>
      <c r="T30" s="1818"/>
      <c r="U30" s="1819"/>
      <c r="V30" s="1819"/>
      <c r="W30" s="2250"/>
      <c r="X30" s="1818"/>
      <c r="Y30" s="1819"/>
      <c r="Z30" s="2258"/>
      <c r="AA30" s="2251"/>
      <c r="AB30" s="2257"/>
      <c r="AC30" s="1368"/>
      <c r="AD30" s="2245"/>
      <c r="AE30" s="2246"/>
      <c r="AF30" s="2247"/>
      <c r="AG30" s="2254"/>
      <c r="AH30" s="2249"/>
      <c r="AI30" s="2246"/>
      <c r="AJ30" s="2249"/>
      <c r="AK30" s="2240"/>
      <c r="AL30" s="730"/>
      <c r="AN30" s="504"/>
    </row>
    <row r="31" spans="1:40" ht="30" customHeight="1">
      <c r="A31" s="304"/>
      <c r="B31" s="121" t="s">
        <v>72</v>
      </c>
      <c r="C31" s="651"/>
      <c r="D31" s="1753"/>
      <c r="E31" s="1754"/>
      <c r="F31" s="651"/>
      <c r="G31" s="652"/>
      <c r="H31" s="1755"/>
      <c r="I31" s="1756"/>
      <c r="J31" s="654"/>
      <c r="K31" s="653"/>
      <c r="L31" s="67"/>
      <c r="M31" s="687"/>
      <c r="N31" s="663"/>
      <c r="O31" s="676"/>
      <c r="P31" s="688"/>
      <c r="Q31" s="689"/>
      <c r="R31" s="311"/>
      <c r="S31" s="468"/>
      <c r="T31" s="136">
        <f>VLOOKUP($AN31,Early_Stats_Last_Year,VLOOKUP('Background Data'!$F$2,Inst_Tables,3,FALSE),FALSE)</f>
        <v>6</v>
      </c>
      <c r="U31" s="137">
        <f>VLOOKUP($AN31,Early_Stats_Last_Year,VLOOKUP('Background Data'!$F$2,Inst_Tables,4,FALSE),FALSE)</f>
        <v>171.91833500000001</v>
      </c>
      <c r="V31" s="472">
        <f t="shared" ref="V31" si="22">SUM(T31:U31)</f>
        <v>177.91833500000001</v>
      </c>
      <c r="W31" s="2251"/>
      <c r="X31" s="138">
        <f>IF(T31&gt;0,(SUM($E32:$E33)-T31)/T31,"")</f>
        <v>0</v>
      </c>
      <c r="Y31" s="139">
        <f>IF(U31&gt;0,(SUM($H32:$H33)-U31)/U31,"")</f>
        <v>-0.54164283873503083</v>
      </c>
      <c r="Z31" s="393">
        <f>IF(V31&gt;0,(SUM($K32:$K33)-V31)/V31,"")</f>
        <v>-0.52337683465844043</v>
      </c>
      <c r="AA31" s="407"/>
      <c r="AB31" s="313"/>
      <c r="AC31" s="74"/>
      <c r="AD31" s="140">
        <f>VLOOKUP($AN31,Final_Figures,VLOOKUP('Background Data'!$F$2,Inst_Tables,3,FALSE),FALSE)</f>
        <v>25</v>
      </c>
      <c r="AE31" s="141">
        <f>VLOOKUP($AN31,Final_Figures,VLOOKUP('Background Data'!$F$2,Inst_Tables,4,FALSE),FALSE)</f>
        <v>151.75166999999999</v>
      </c>
      <c r="AF31" s="486">
        <f t="shared" ref="AF31" si="23">SUM(AD31:AE31)</f>
        <v>176.75166999999999</v>
      </c>
      <c r="AG31" s="2240"/>
      <c r="AH31" s="473">
        <f>IF(AD31&gt;0,(SUM($E32:$E33)-AD31)/AD31,"")</f>
        <v>-0.76</v>
      </c>
      <c r="AI31" s="142">
        <f>IF(AE31&gt;0,(SUM($H32:$H33)-AE31)/AE31,"")</f>
        <v>-0.48073059097142057</v>
      </c>
      <c r="AJ31" s="473">
        <f>IF(AF31&gt;0,(SUM($K32:$K33)-AF31)/AF31,"")</f>
        <v>-0.5202308413832808</v>
      </c>
      <c r="AK31" s="496"/>
      <c r="AL31" s="465"/>
      <c r="AN31" s="504">
        <v>9</v>
      </c>
    </row>
    <row r="32" spans="1:40" ht="30" customHeight="1">
      <c r="A32" s="1737"/>
      <c r="B32" s="131" t="s">
        <v>398</v>
      </c>
      <c r="C32" s="1738"/>
      <c r="D32" s="1739"/>
      <c r="E32" s="641">
        <f>SUM(C32:D32)</f>
        <v>0</v>
      </c>
      <c r="F32" s="1738"/>
      <c r="G32" s="1739"/>
      <c r="H32" s="641">
        <f t="shared" ref="H32:H33" si="24">SUM(F32:G32)</f>
        <v>0</v>
      </c>
      <c r="I32" s="134">
        <f>SUM(C32,F32)</f>
        <v>0</v>
      </c>
      <c r="J32" s="103">
        <f>SUM(D32,G32)</f>
        <v>0</v>
      </c>
      <c r="K32" s="135">
        <f>SUM(I32:J32)</f>
        <v>0</v>
      </c>
      <c r="L32" s="67"/>
      <c r="M32" s="687"/>
      <c r="N32" s="1743"/>
      <c r="O32" s="676"/>
      <c r="P32" s="688"/>
      <c r="Q32" s="689"/>
      <c r="R32" s="634"/>
      <c r="S32" s="1347"/>
      <c r="T32" s="2259"/>
      <c r="U32" s="2260"/>
      <c r="V32" s="2261"/>
      <c r="W32" s="2251"/>
      <c r="X32" s="2259"/>
      <c r="Y32" s="2260"/>
      <c r="Z32" s="1367"/>
      <c r="AA32" s="2251"/>
      <c r="AB32" s="2257"/>
      <c r="AC32" s="1368"/>
      <c r="AD32" s="2262"/>
      <c r="AE32" s="2263"/>
      <c r="AF32" s="2264"/>
      <c r="AG32" s="2240"/>
      <c r="AH32" s="1368"/>
      <c r="AI32" s="2263"/>
      <c r="AJ32" s="1368"/>
      <c r="AK32" s="2240"/>
      <c r="AL32" s="637"/>
      <c r="AN32" s="504"/>
    </row>
    <row r="33" spans="1:40" ht="30" customHeight="1" thickBot="1">
      <c r="A33" s="1737"/>
      <c r="B33" s="131" t="s">
        <v>536</v>
      </c>
      <c r="C33" s="1738">
        <v>6</v>
      </c>
      <c r="D33" s="1739"/>
      <c r="E33" s="1740">
        <f t="shared" ref="E33" si="25">SUM(C33:D33)</f>
        <v>6</v>
      </c>
      <c r="F33" s="1738">
        <v>78.8</v>
      </c>
      <c r="G33" s="1739"/>
      <c r="H33" s="1740">
        <f t="shared" si="24"/>
        <v>78.8</v>
      </c>
      <c r="I33" s="1757">
        <f>SUM(C33,F33)</f>
        <v>84.8</v>
      </c>
      <c r="J33" s="1741">
        <f>SUM(D33,G33)</f>
        <v>0</v>
      </c>
      <c r="K33" s="1742">
        <f>SUM(I33:J33)</f>
        <v>84.8</v>
      </c>
      <c r="L33" s="67"/>
      <c r="M33" s="687"/>
      <c r="N33" s="1743"/>
      <c r="O33" s="676"/>
      <c r="P33" s="688"/>
      <c r="Q33" s="689"/>
      <c r="R33" s="634"/>
      <c r="S33" s="1347"/>
      <c r="T33" s="2259"/>
      <c r="U33" s="2260"/>
      <c r="V33" s="2260"/>
      <c r="W33" s="2252"/>
      <c r="X33" s="2259"/>
      <c r="Y33" s="2260"/>
      <c r="Z33" s="1367"/>
      <c r="AA33" s="2251"/>
      <c r="AB33" s="2257"/>
      <c r="AC33" s="1368"/>
      <c r="AD33" s="2265"/>
      <c r="AE33" s="2266"/>
      <c r="AF33" s="2267"/>
      <c r="AG33" s="2255"/>
      <c r="AH33" s="2268"/>
      <c r="AI33" s="2266"/>
      <c r="AJ33" s="2268"/>
      <c r="AK33" s="2255"/>
      <c r="AL33" s="637"/>
      <c r="AN33" s="504"/>
    </row>
    <row r="34" spans="1:40" ht="35.1" customHeight="1" thickBot="1">
      <c r="A34" s="304"/>
      <c r="B34" s="143" t="s">
        <v>2</v>
      </c>
      <c r="C34" s="1758">
        <f>SUM(C23,C27:C33)</f>
        <v>435</v>
      </c>
      <c r="D34" s="171">
        <f t="shared" ref="D34:J34" si="26">SUM(D23,D27:D33)</f>
        <v>0</v>
      </c>
      <c r="E34" s="104">
        <f t="shared" si="26"/>
        <v>435</v>
      </c>
      <c r="F34" s="1758">
        <f t="shared" si="26"/>
        <v>81.8</v>
      </c>
      <c r="G34" s="171">
        <f t="shared" si="26"/>
        <v>1</v>
      </c>
      <c r="H34" s="104">
        <f t="shared" si="26"/>
        <v>82.8</v>
      </c>
      <c r="I34" s="1758">
        <f t="shared" si="26"/>
        <v>516.79999999999995</v>
      </c>
      <c r="J34" s="171">
        <f t="shared" si="26"/>
        <v>1</v>
      </c>
      <c r="K34" s="104">
        <f>SUM(K23,K27:K33)</f>
        <v>517.79999999999995</v>
      </c>
      <c r="L34" s="67"/>
      <c r="M34" s="687"/>
      <c r="N34" s="663"/>
      <c r="O34" s="676"/>
      <c r="P34" s="688"/>
      <c r="Q34" s="689"/>
      <c r="R34" s="311"/>
      <c r="S34" s="468"/>
      <c r="T34" s="173">
        <f>SUM(T23,T27:T31)</f>
        <v>481</v>
      </c>
      <c r="U34" s="174">
        <f>SUM(U23,U27:U31)</f>
        <v>173.41833500000001</v>
      </c>
      <c r="V34" s="174">
        <f>SUM(V23,V27:V31)</f>
        <v>654.41833500000007</v>
      </c>
      <c r="W34" s="397"/>
      <c r="X34" s="1802">
        <f>IF(T34&gt;0,($E34-T34)/T34,"")</f>
        <v>-9.5634095634095639E-2</v>
      </c>
      <c r="Y34" s="1803">
        <f>IF(U34&gt;0,($H34-U34)/U34,"")</f>
        <v>-0.52254183503722373</v>
      </c>
      <c r="Z34" s="1817">
        <f>IF(V34&gt;0,($K34-V34)/V34,"")</f>
        <v>-0.20876300019925342</v>
      </c>
      <c r="AA34" s="408"/>
      <c r="AB34" s="313"/>
      <c r="AC34" s="74"/>
      <c r="AD34" s="175">
        <f>SUM(AD23,AD27:AD31)</f>
        <v>496</v>
      </c>
      <c r="AE34" s="176">
        <f>SUM(AE23,AE27:AE31)</f>
        <v>153.25166999999999</v>
      </c>
      <c r="AF34" s="483">
        <f>SUM(AF23,AF27:AF31)</f>
        <v>649.25166999999999</v>
      </c>
      <c r="AG34" s="2253"/>
      <c r="AH34" s="705">
        <f>IF(AD34&gt;0,($E34-AD34)/AD34,"")</f>
        <v>-0.12298387096774194</v>
      </c>
      <c r="AI34" s="706">
        <f>IF(AE34&gt;0,($H34-AE34)/AE34,"")</f>
        <v>-0.45971224979147046</v>
      </c>
      <c r="AJ34" s="705">
        <f>IF(AF34&gt;0,($K34-AF34)/AF34,"")</f>
        <v>-0.20246643339400272</v>
      </c>
      <c r="AK34" s="494"/>
      <c r="AL34" s="465"/>
      <c r="AN34" s="505"/>
    </row>
    <row r="35" spans="1:40" ht="35.1" customHeight="1">
      <c r="A35" s="304"/>
      <c r="B35" s="157" t="s">
        <v>10</v>
      </c>
      <c r="C35" s="657"/>
      <c r="D35" s="658"/>
      <c r="E35" s="659"/>
      <c r="F35" s="657"/>
      <c r="G35" s="661"/>
      <c r="H35" s="662"/>
      <c r="I35" s="672"/>
      <c r="J35" s="672"/>
      <c r="K35" s="662"/>
      <c r="L35" s="67"/>
      <c r="M35" s="690"/>
      <c r="N35" s="672"/>
      <c r="O35" s="660"/>
      <c r="P35" s="688"/>
      <c r="Q35" s="691"/>
      <c r="R35" s="311"/>
      <c r="S35" s="468"/>
      <c r="T35" s="116"/>
      <c r="U35" s="117"/>
      <c r="V35" s="117"/>
      <c r="W35" s="813"/>
      <c r="X35" s="388"/>
      <c r="Y35" s="117"/>
      <c r="Z35" s="388"/>
      <c r="AA35" s="151"/>
      <c r="AB35" s="313"/>
      <c r="AC35" s="74"/>
      <c r="AD35" s="128"/>
      <c r="AE35" s="129"/>
      <c r="AF35" s="702"/>
      <c r="AG35" s="152"/>
      <c r="AH35" s="74"/>
      <c r="AI35" s="129"/>
      <c r="AJ35" s="74"/>
      <c r="AK35" s="152"/>
      <c r="AL35" s="465"/>
      <c r="AN35" s="505"/>
    </row>
    <row r="36" spans="1:40" ht="30" customHeight="1">
      <c r="A36" s="304"/>
      <c r="B36" s="121" t="s">
        <v>70</v>
      </c>
      <c r="C36" s="673"/>
      <c r="D36" s="674"/>
      <c r="E36" s="675"/>
      <c r="F36" s="673"/>
      <c r="G36" s="677"/>
      <c r="H36" s="664"/>
      <c r="I36" s="663"/>
      <c r="J36" s="663"/>
      <c r="K36" s="664"/>
      <c r="L36" s="67"/>
      <c r="M36" s="687"/>
      <c r="N36" s="663"/>
      <c r="O36" s="676"/>
      <c r="P36" s="688"/>
      <c r="Q36" s="689"/>
      <c r="R36" s="311"/>
      <c r="S36" s="468"/>
      <c r="T36" s="124"/>
      <c r="U36" s="125"/>
      <c r="V36" s="125"/>
      <c r="W36" s="151"/>
      <c r="X36" s="177"/>
      <c r="Y36" s="125"/>
      <c r="Z36" s="177"/>
      <c r="AA36" s="151"/>
      <c r="AB36" s="313"/>
      <c r="AC36" s="74"/>
      <c r="AD36" s="128"/>
      <c r="AE36" s="129"/>
      <c r="AF36" s="487"/>
      <c r="AG36" s="152"/>
      <c r="AH36" s="74"/>
      <c r="AI36" s="129"/>
      <c r="AJ36" s="74"/>
      <c r="AK36" s="152"/>
      <c r="AL36" s="465"/>
      <c r="AN36" s="505"/>
    </row>
    <row r="37" spans="1:40" ht="30" customHeight="1">
      <c r="A37" s="304"/>
      <c r="B37" s="158" t="s">
        <v>75</v>
      </c>
      <c r="C37" s="665"/>
      <c r="D37" s="666"/>
      <c r="E37" s="667"/>
      <c r="F37" s="665"/>
      <c r="G37" s="669"/>
      <c r="H37" s="670"/>
      <c r="I37" s="671"/>
      <c r="J37" s="671"/>
      <c r="K37" s="670"/>
      <c r="L37" s="67"/>
      <c r="M37" s="678"/>
      <c r="N37" s="669"/>
      <c r="O37" s="668"/>
      <c r="P37" s="688"/>
      <c r="Q37" s="692"/>
      <c r="R37" s="311"/>
      <c r="S37" s="468"/>
      <c r="T37" s="124"/>
      <c r="U37" s="125"/>
      <c r="V37" s="166"/>
      <c r="W37" s="151"/>
      <c r="X37" s="177"/>
      <c r="Y37" s="125"/>
      <c r="Z37" s="177"/>
      <c r="AA37" s="151"/>
      <c r="AB37" s="313"/>
      <c r="AC37" s="74"/>
      <c r="AD37" s="128"/>
      <c r="AE37" s="129"/>
      <c r="AF37" s="485"/>
      <c r="AG37" s="152"/>
      <c r="AH37" s="74"/>
      <c r="AI37" s="129"/>
      <c r="AJ37" s="74"/>
      <c r="AK37" s="152"/>
      <c r="AL37" s="465"/>
      <c r="AN37" s="505"/>
    </row>
    <row r="38" spans="1:40" ht="30" customHeight="1">
      <c r="A38" s="304"/>
      <c r="B38" s="159" t="s">
        <v>31</v>
      </c>
      <c r="C38" s="133">
        <v>540</v>
      </c>
      <c r="D38" s="132"/>
      <c r="E38" s="641">
        <f t="shared" ref="E38:E43" si="27">SUM(C38:D38)</f>
        <v>540</v>
      </c>
      <c r="F38" s="133">
        <v>0</v>
      </c>
      <c r="G38" s="132"/>
      <c r="H38" s="153">
        <f t="shared" ref="H38:H43" si="28">SUM(F38:G38)</f>
        <v>0</v>
      </c>
      <c r="I38" s="134">
        <f t="shared" ref="I38:I40" si="29">SUM(C38,F38)</f>
        <v>540</v>
      </c>
      <c r="J38" s="103">
        <f t="shared" ref="J38:J40" si="30">SUM(D38,G38)</f>
        <v>0</v>
      </c>
      <c r="K38" s="135">
        <f t="shared" ref="K38:K40" si="31">SUM(I38:J38)</f>
        <v>540</v>
      </c>
      <c r="L38" s="67"/>
      <c r="M38" s="160">
        <v>186</v>
      </c>
      <c r="N38" s="132"/>
      <c r="O38" s="154">
        <f t="shared" ref="O38:O43" si="32">SUM(M38:N38)</f>
        <v>186</v>
      </c>
      <c r="P38" s="67"/>
      <c r="Q38" s="155">
        <f t="shared" ref="Q38:Q43" si="33">SUM(K38,O38)</f>
        <v>726</v>
      </c>
      <c r="R38" s="311"/>
      <c r="S38" s="468"/>
      <c r="T38" s="136">
        <f>VLOOKUP($AN38,Early_Stats_Last_Year,VLOOKUP('Background Data'!$F$2,Inst_Tables,3,FALSE),FALSE)</f>
        <v>531</v>
      </c>
      <c r="U38" s="137">
        <f>VLOOKUP($AN38,Early_Stats_Last_Year,VLOOKUP('Background Data'!$F$2,Inst_Tables,4,FALSE),FALSE)</f>
        <v>0</v>
      </c>
      <c r="V38" s="472">
        <f t="shared" ref="V38:V43" si="34">SUM(T38:U38)</f>
        <v>531</v>
      </c>
      <c r="W38" s="137">
        <f>VLOOKUP($AN38,Early_Stats_Last_Year,VLOOKUP('Background Data'!$F$2,Inst_Tables,5,FALSE),FALSE)</f>
        <v>173</v>
      </c>
      <c r="X38" s="138">
        <f>IF(T38&gt;0,($E38-T38)/T38,"")</f>
        <v>1.6949152542372881E-2</v>
      </c>
      <c r="Y38" s="139" t="str">
        <f>IF(U38&gt;0,($H38-U38)/U38,"")</f>
        <v/>
      </c>
      <c r="Z38" s="393">
        <f>IF(V38&gt;0,($K38-V38)/V38,"")</f>
        <v>1.6949152542372881E-2</v>
      </c>
      <c r="AA38" s="498">
        <f>IF(W38&gt;0,($O38-W38)/W38,"")</f>
        <v>7.5144508670520235E-2</v>
      </c>
      <c r="AB38" s="313"/>
      <c r="AC38" s="74"/>
      <c r="AD38" s="140">
        <f>VLOOKUP($AN38,Final_Figures,VLOOKUP('Background Data'!$F$2,Inst_Tables,3,FALSE),FALSE)</f>
        <v>531</v>
      </c>
      <c r="AE38" s="141">
        <f>VLOOKUP($AN38,Final_Figures,VLOOKUP('Background Data'!$F$2,Inst_Tables,4,FALSE),FALSE)</f>
        <v>0</v>
      </c>
      <c r="AF38" s="486">
        <f t="shared" ref="AF38" si="35">SUM(AD38:AE38)</f>
        <v>531</v>
      </c>
      <c r="AG38" s="497">
        <f>VLOOKUP($AN38,Final_Figures,VLOOKUP('Background Data'!$F$2,Inst_Tables,5,FALSE),FALSE)</f>
        <v>175</v>
      </c>
      <c r="AH38" s="473">
        <f>IF(AD38&gt;0,($E38-AD38)/AD38,"")</f>
        <v>1.6949152542372881E-2</v>
      </c>
      <c r="AI38" s="142" t="str">
        <f>IF(AE38&gt;0,($H38-AE38)/AE38,"")</f>
        <v/>
      </c>
      <c r="AJ38" s="473">
        <f>IF(AF38&gt;0,($K38-AF38)/AF38,"")</f>
        <v>1.6949152542372881E-2</v>
      </c>
      <c r="AK38" s="191">
        <f>IF(AG38&gt;0,($O38-AG38)/AG38,"")</f>
        <v>6.2857142857142861E-2</v>
      </c>
      <c r="AL38" s="465"/>
      <c r="AN38" s="504">
        <v>10</v>
      </c>
    </row>
    <row r="39" spans="1:40" ht="30" customHeight="1">
      <c r="A39" s="1737"/>
      <c r="B39" s="159" t="s">
        <v>400</v>
      </c>
      <c r="C39" s="133"/>
      <c r="D39" s="132"/>
      <c r="E39" s="641">
        <f t="shared" si="27"/>
        <v>0</v>
      </c>
      <c r="F39" s="133"/>
      <c r="G39" s="132"/>
      <c r="H39" s="153">
        <f t="shared" si="28"/>
        <v>0</v>
      </c>
      <c r="I39" s="134">
        <f t="shared" si="29"/>
        <v>0</v>
      </c>
      <c r="J39" s="103">
        <f t="shared" si="30"/>
        <v>0</v>
      </c>
      <c r="K39" s="135">
        <f t="shared" si="31"/>
        <v>0</v>
      </c>
      <c r="L39" s="67"/>
      <c r="M39" s="160"/>
      <c r="N39" s="132"/>
      <c r="O39" s="154">
        <f t="shared" si="32"/>
        <v>0</v>
      </c>
      <c r="P39" s="67"/>
      <c r="Q39" s="155">
        <f t="shared" si="33"/>
        <v>0</v>
      </c>
      <c r="R39" s="634"/>
      <c r="S39" s="1347"/>
      <c r="T39" s="1818"/>
      <c r="U39" s="1819"/>
      <c r="V39" s="1819"/>
      <c r="W39" s="1819"/>
      <c r="X39" s="1818"/>
      <c r="Y39" s="1819"/>
      <c r="Z39" s="1820"/>
      <c r="AA39" s="1813"/>
      <c r="AB39" s="636"/>
      <c r="AC39" s="74"/>
      <c r="AD39" s="140"/>
      <c r="AE39" s="141"/>
      <c r="AF39" s="1352"/>
      <c r="AG39" s="497"/>
      <c r="AH39" s="1353"/>
      <c r="AI39" s="142"/>
      <c r="AJ39" s="1353"/>
      <c r="AK39" s="191"/>
      <c r="AL39" s="637"/>
      <c r="AN39" s="812"/>
    </row>
    <row r="40" spans="1:40" ht="30" customHeight="1">
      <c r="A40" s="304"/>
      <c r="B40" s="159" t="s">
        <v>32</v>
      </c>
      <c r="C40" s="133">
        <v>209</v>
      </c>
      <c r="D40" s="132"/>
      <c r="E40" s="641">
        <f t="shared" si="27"/>
        <v>209</v>
      </c>
      <c r="F40" s="133"/>
      <c r="G40" s="132"/>
      <c r="H40" s="153">
        <f t="shared" si="28"/>
        <v>0</v>
      </c>
      <c r="I40" s="134">
        <f t="shared" si="29"/>
        <v>209</v>
      </c>
      <c r="J40" s="103">
        <f t="shared" si="30"/>
        <v>0</v>
      </c>
      <c r="K40" s="135">
        <f t="shared" si="31"/>
        <v>209</v>
      </c>
      <c r="L40" s="67"/>
      <c r="M40" s="160">
        <v>53</v>
      </c>
      <c r="N40" s="132"/>
      <c r="O40" s="154">
        <f t="shared" si="32"/>
        <v>53</v>
      </c>
      <c r="P40" s="67"/>
      <c r="Q40" s="155">
        <f t="shared" si="33"/>
        <v>262</v>
      </c>
      <c r="R40" s="311"/>
      <c r="S40" s="468"/>
      <c r="T40" s="136">
        <f>VLOOKUP($AN40,Early_Stats_Last_Year,VLOOKUP('Background Data'!$F$2,Inst_Tables,3,FALSE),FALSE)</f>
        <v>200</v>
      </c>
      <c r="U40" s="137">
        <f>VLOOKUP($AN40,Early_Stats_Last_Year,VLOOKUP('Background Data'!$F$2,Inst_Tables,4,FALSE),FALSE)</f>
        <v>0</v>
      </c>
      <c r="V40" s="472">
        <f t="shared" si="34"/>
        <v>200</v>
      </c>
      <c r="W40" s="137">
        <f>VLOOKUP($AN40,Early_Stats_Last_Year,VLOOKUP('Background Data'!$F$2,Inst_Tables,5,FALSE),FALSE)</f>
        <v>53</v>
      </c>
      <c r="X40" s="138">
        <f>IF(T40&gt;0,($E40-T40)/T40,"")</f>
        <v>4.4999999999999998E-2</v>
      </c>
      <c r="Y40" s="139" t="str">
        <f>IF(U40&gt;0,($H40-U40)/U40,"")</f>
        <v/>
      </c>
      <c r="Z40" s="393">
        <f>IF(V40&gt;0,($K40-V40)/V40,"")</f>
        <v>4.4999999999999998E-2</v>
      </c>
      <c r="AA40" s="498">
        <f>IF(W40&gt;0,($O40-W40)/W40,"")</f>
        <v>0</v>
      </c>
      <c r="AB40" s="313"/>
      <c r="AC40" s="74"/>
      <c r="AD40" s="140">
        <f>VLOOKUP($AN40,Final_Figures,VLOOKUP('Background Data'!$F$2,Inst_Tables,3,FALSE),FALSE)</f>
        <v>200</v>
      </c>
      <c r="AE40" s="141">
        <f>VLOOKUP($AN40,Final_Figures,VLOOKUP('Background Data'!$F$2,Inst_Tables,4,FALSE),FALSE)</f>
        <v>0</v>
      </c>
      <c r="AF40" s="486">
        <f t="shared" ref="AF40:AF43" si="36">SUM(AD40:AE40)</f>
        <v>200</v>
      </c>
      <c r="AG40" s="497">
        <f>VLOOKUP($AN40,Final_Figures,VLOOKUP('Background Data'!$F$2,Inst_Tables,5,FALSE),FALSE)</f>
        <v>53</v>
      </c>
      <c r="AH40" s="473">
        <f>IF(AD40&gt;0,($E40-AD40)/AD40,"")</f>
        <v>4.4999999999999998E-2</v>
      </c>
      <c r="AI40" s="142" t="str">
        <f>IF(AE40&gt;0,($H40-AE40)/AE40,"")</f>
        <v/>
      </c>
      <c r="AJ40" s="473">
        <f>IF(AF40&gt;0,($K40-AF40)/AF40,"")</f>
        <v>4.4999999999999998E-2</v>
      </c>
      <c r="AK40" s="191">
        <f>IF(AG40&gt;0,($O40-AG40)/AG40,"")</f>
        <v>0</v>
      </c>
      <c r="AL40" s="465"/>
      <c r="AN40" s="504">
        <v>11</v>
      </c>
    </row>
    <row r="41" spans="1:40" ht="30" customHeight="1">
      <c r="A41" s="304"/>
      <c r="B41" s="159" t="s">
        <v>5</v>
      </c>
      <c r="C41" s="133">
        <v>399</v>
      </c>
      <c r="D41" s="132"/>
      <c r="E41" s="641">
        <f t="shared" si="27"/>
        <v>399</v>
      </c>
      <c r="F41" s="133"/>
      <c r="G41" s="132"/>
      <c r="H41" s="153">
        <f t="shared" si="28"/>
        <v>0</v>
      </c>
      <c r="I41" s="134">
        <f t="shared" ref="I41:J43" si="37">SUM(C41,F41)</f>
        <v>399</v>
      </c>
      <c r="J41" s="103">
        <f t="shared" si="37"/>
        <v>0</v>
      </c>
      <c r="K41" s="135">
        <f>SUM(I41:J41)</f>
        <v>399</v>
      </c>
      <c r="L41" s="67"/>
      <c r="M41" s="160">
        <v>112</v>
      </c>
      <c r="N41" s="132"/>
      <c r="O41" s="154">
        <f t="shared" si="32"/>
        <v>112</v>
      </c>
      <c r="P41" s="67"/>
      <c r="Q41" s="155">
        <f t="shared" si="33"/>
        <v>511</v>
      </c>
      <c r="R41" s="311"/>
      <c r="S41" s="468"/>
      <c r="T41" s="136">
        <f>VLOOKUP($AN41,Early_Stats_Last_Year,VLOOKUP('Background Data'!$F$2,Inst_Tables,3,FALSE),FALSE)</f>
        <v>359</v>
      </c>
      <c r="U41" s="137">
        <f>VLOOKUP($AN41,Early_Stats_Last_Year,VLOOKUP('Background Data'!$F$2,Inst_Tables,4,FALSE),FALSE)</f>
        <v>0</v>
      </c>
      <c r="V41" s="472">
        <f t="shared" si="34"/>
        <v>359</v>
      </c>
      <c r="W41" s="137">
        <f>VLOOKUP($AN41,Early_Stats_Last_Year,VLOOKUP('Background Data'!$F$2,Inst_Tables,5,FALSE),FALSE)</f>
        <v>118</v>
      </c>
      <c r="X41" s="138">
        <f>IF(T41&gt;0,($E41-T41)/T41,"")</f>
        <v>0.11142061281337047</v>
      </c>
      <c r="Y41" s="139" t="str">
        <f>IF(U41&gt;0,($H41-U41)/U41,"")</f>
        <v/>
      </c>
      <c r="Z41" s="393">
        <f>IF(V41&gt;0,($K41-V41)/V41,"")</f>
        <v>0.11142061281337047</v>
      </c>
      <c r="AA41" s="498">
        <f>IF(W41&gt;0,($O41-W41)/W41,"")</f>
        <v>-5.0847457627118647E-2</v>
      </c>
      <c r="AB41" s="313"/>
      <c r="AC41" s="74"/>
      <c r="AD41" s="140">
        <f>VLOOKUP($AN41,Final_Figures,VLOOKUP('Background Data'!$F$2,Inst_Tables,3,FALSE),FALSE)</f>
        <v>358</v>
      </c>
      <c r="AE41" s="141">
        <f>VLOOKUP($AN41,Final_Figures,VLOOKUP('Background Data'!$F$2,Inst_Tables,4,FALSE),FALSE)</f>
        <v>0</v>
      </c>
      <c r="AF41" s="486">
        <f t="shared" si="36"/>
        <v>358</v>
      </c>
      <c r="AG41" s="497">
        <f>VLOOKUP($AN41,Final_Figures,VLOOKUP('Background Data'!$F$2,Inst_Tables,5,FALSE),FALSE)</f>
        <v>117</v>
      </c>
      <c r="AH41" s="473">
        <f>IF(AD41&gt;0,($E41-AD41)/AD41,"")</f>
        <v>0.11452513966480447</v>
      </c>
      <c r="AI41" s="142" t="str">
        <f>IF(AE41&gt;0,($H41-AE41)/AE41,"")</f>
        <v/>
      </c>
      <c r="AJ41" s="473">
        <f>IF(AF41&gt;0,($K41-AF41)/AF41,"")</f>
        <v>0.11452513966480447</v>
      </c>
      <c r="AK41" s="191">
        <f>IF(AG41&gt;0,($O41-AG41)/AG41,"")</f>
        <v>-4.2735042735042736E-2</v>
      </c>
      <c r="AL41" s="465"/>
      <c r="AN41" s="504">
        <v>12</v>
      </c>
    </row>
    <row r="42" spans="1:40" ht="30" customHeight="1">
      <c r="A42" s="304"/>
      <c r="B42" s="159" t="s">
        <v>399</v>
      </c>
      <c r="C42" s="133"/>
      <c r="D42" s="731"/>
      <c r="E42" s="641">
        <f t="shared" si="27"/>
        <v>0</v>
      </c>
      <c r="F42" s="133"/>
      <c r="G42" s="132"/>
      <c r="H42" s="153">
        <f t="shared" si="28"/>
        <v>0</v>
      </c>
      <c r="I42" s="134">
        <f t="shared" si="37"/>
        <v>0</v>
      </c>
      <c r="J42" s="103">
        <f t="shared" si="37"/>
        <v>0</v>
      </c>
      <c r="K42" s="135">
        <f>SUM(I42:J42)</f>
        <v>0</v>
      </c>
      <c r="L42" s="67"/>
      <c r="M42" s="160"/>
      <c r="N42" s="132"/>
      <c r="O42" s="154">
        <f t="shared" si="32"/>
        <v>0</v>
      </c>
      <c r="P42" s="67"/>
      <c r="Q42" s="155">
        <f t="shared" si="33"/>
        <v>0</v>
      </c>
      <c r="R42" s="634"/>
      <c r="S42" s="807"/>
      <c r="T42" s="136">
        <f>VLOOKUP($AN42,Early_Stats_Last_Year,VLOOKUP('Background Data'!$F$2,Inst_Tables,3,FALSE),FALSE)</f>
        <v>0</v>
      </c>
      <c r="U42" s="137">
        <f>VLOOKUP($AN42,Early_Stats_Last_Year,VLOOKUP('Background Data'!$F$2,Inst_Tables,4,FALSE),FALSE)</f>
        <v>0</v>
      </c>
      <c r="V42" s="472">
        <f t="shared" si="34"/>
        <v>0</v>
      </c>
      <c r="W42" s="137">
        <f>VLOOKUP($AN42,Early_Stats_Last_Year,VLOOKUP('Background Data'!$F$2,Inst_Tables,5,FALSE),FALSE)</f>
        <v>0</v>
      </c>
      <c r="X42" s="138" t="str">
        <f>IF(T42&gt;0,($E42-T42)/T42,"")</f>
        <v/>
      </c>
      <c r="Y42" s="139" t="str">
        <f>IF(U42&gt;0,($H42-U42)/U42,"")</f>
        <v/>
      </c>
      <c r="Z42" s="393" t="str">
        <f>IF(V42&gt;0,($K42-V42)/V42,"")</f>
        <v/>
      </c>
      <c r="AA42" s="498" t="str">
        <f>IF(W42&gt;0,($O42-W42)/W42,"")</f>
        <v/>
      </c>
      <c r="AB42" s="636"/>
      <c r="AC42" s="74"/>
      <c r="AD42" s="140">
        <f>VLOOKUP($AN42,Final_Figures,VLOOKUP('Background Data'!$F$2,Inst_Tables,3,FALSE),FALSE)</f>
        <v>0</v>
      </c>
      <c r="AE42" s="141">
        <f>VLOOKUP($AN42,Final_Figures,VLOOKUP('Background Data'!$F$2,Inst_Tables,4,FALSE),FALSE)</f>
        <v>0</v>
      </c>
      <c r="AF42" s="486">
        <f t="shared" si="36"/>
        <v>0</v>
      </c>
      <c r="AG42" s="808">
        <f>VLOOKUP($AN42,Final_Figures,VLOOKUP('Background Data'!$F$2,Inst_Tables,5,FALSE),FALSE)</f>
        <v>0</v>
      </c>
      <c r="AH42" s="809" t="str">
        <f>IF(AD42&gt;0,($E42-AD42)/AD42,"")</f>
        <v/>
      </c>
      <c r="AI42" s="810" t="str">
        <f>IF(AE42&gt;0,($H42-AE42)/AE42,"")</f>
        <v/>
      </c>
      <c r="AJ42" s="809" t="str">
        <f>IF(AF42&gt;0,($K42-AF42)/AF42,"")</f>
        <v/>
      </c>
      <c r="AK42" s="811" t="str">
        <f>IF(AG42&gt;0,($O42-AG42)/AG42,"")</f>
        <v/>
      </c>
      <c r="AL42" s="637"/>
      <c r="AN42" s="504">
        <v>13</v>
      </c>
    </row>
    <row r="43" spans="1:40" ht="30" customHeight="1">
      <c r="A43" s="304"/>
      <c r="B43" s="159" t="s">
        <v>6</v>
      </c>
      <c r="C43" s="133">
        <v>55</v>
      </c>
      <c r="D43" s="132"/>
      <c r="E43" s="641">
        <f t="shared" si="27"/>
        <v>55</v>
      </c>
      <c r="F43" s="133"/>
      <c r="G43" s="132"/>
      <c r="H43" s="153">
        <f t="shared" si="28"/>
        <v>0</v>
      </c>
      <c r="I43" s="134">
        <f t="shared" si="37"/>
        <v>55</v>
      </c>
      <c r="J43" s="103">
        <f t="shared" si="37"/>
        <v>0</v>
      </c>
      <c r="K43" s="135">
        <f>SUM(I43:J43)</f>
        <v>55</v>
      </c>
      <c r="L43" s="67"/>
      <c r="M43" s="160">
        <v>13</v>
      </c>
      <c r="N43" s="132"/>
      <c r="O43" s="154">
        <f t="shared" si="32"/>
        <v>13</v>
      </c>
      <c r="P43" s="67"/>
      <c r="Q43" s="155">
        <f t="shared" si="33"/>
        <v>68</v>
      </c>
      <c r="R43" s="311"/>
      <c r="S43" s="468"/>
      <c r="T43" s="136">
        <f>VLOOKUP($AN43,Early_Stats_Last_Year,VLOOKUP('Background Data'!$F$2,Inst_Tables,3,FALSE),FALSE)</f>
        <v>61</v>
      </c>
      <c r="U43" s="137">
        <f>VLOOKUP($AN43,Early_Stats_Last_Year,VLOOKUP('Background Data'!$F$2,Inst_Tables,4,FALSE),FALSE)</f>
        <v>0</v>
      </c>
      <c r="V43" s="472">
        <f t="shared" si="34"/>
        <v>61</v>
      </c>
      <c r="W43" s="137">
        <f>VLOOKUP($AN43,Early_Stats_Last_Year,VLOOKUP('Background Data'!$F$2,Inst_Tables,5,FALSE),FALSE)</f>
        <v>14</v>
      </c>
      <c r="X43" s="138">
        <f>IF(T43&gt;0,($E43-T43)/T43,"")</f>
        <v>-9.8360655737704916E-2</v>
      </c>
      <c r="Y43" s="139" t="str">
        <f>IF(U43&gt;0,($H43-U43)/U43,"")</f>
        <v/>
      </c>
      <c r="Z43" s="393">
        <f>IF(V43&gt;0,($K43-V43)/V43,"")</f>
        <v>-9.8360655737704916E-2</v>
      </c>
      <c r="AA43" s="498">
        <f>IF(W43&gt;0,($O43-W43)/W43,"")</f>
        <v>-7.1428571428571425E-2</v>
      </c>
      <c r="AB43" s="313"/>
      <c r="AC43" s="74"/>
      <c r="AD43" s="140">
        <f>VLOOKUP($AN43,Final_Figures,VLOOKUP('Background Data'!$F$2,Inst_Tables,3,FALSE),FALSE)</f>
        <v>60</v>
      </c>
      <c r="AE43" s="141">
        <f>VLOOKUP($AN43,Final_Figures,VLOOKUP('Background Data'!$F$2,Inst_Tables,4,FALSE),FALSE)</f>
        <v>0</v>
      </c>
      <c r="AF43" s="486">
        <f t="shared" si="36"/>
        <v>60</v>
      </c>
      <c r="AG43" s="497">
        <f>VLOOKUP($AN43,Final_Figures,VLOOKUP('Background Data'!$F$2,Inst_Tables,5,FALSE),FALSE)</f>
        <v>14</v>
      </c>
      <c r="AH43" s="473">
        <f>IF(AD43&gt;0,($E43-AD43)/AD43,"")</f>
        <v>-8.3333333333333329E-2</v>
      </c>
      <c r="AI43" s="142" t="str">
        <f>IF(AE43&gt;0,($H43-AE43)/AE43,"")</f>
        <v/>
      </c>
      <c r="AJ43" s="473">
        <f>IF(AF43&gt;0,($K43-AF43)/AF43,"")</f>
        <v>-8.3333333333333329E-2</v>
      </c>
      <c r="AK43" s="191">
        <f>IF(AG43&gt;0,($O43-AG43)/AG43,"")</f>
        <v>-7.1428571428571425E-2</v>
      </c>
      <c r="AL43" s="465"/>
      <c r="AN43" s="504">
        <v>14</v>
      </c>
    </row>
    <row r="44" spans="1:40" ht="30" customHeight="1">
      <c r="A44" s="304"/>
      <c r="B44" s="158" t="s">
        <v>7</v>
      </c>
      <c r="C44" s="679"/>
      <c r="D44" s="680"/>
      <c r="E44" s="681"/>
      <c r="F44" s="682"/>
      <c r="G44" s="683"/>
      <c r="H44" s="684"/>
      <c r="I44" s="685"/>
      <c r="J44" s="685"/>
      <c r="K44" s="684"/>
      <c r="L44" s="67"/>
      <c r="M44" s="693"/>
      <c r="N44" s="683"/>
      <c r="O44" s="694"/>
      <c r="P44" s="688"/>
      <c r="Q44" s="689"/>
      <c r="R44" s="311"/>
      <c r="S44" s="468"/>
      <c r="T44" s="161"/>
      <c r="U44" s="162"/>
      <c r="V44" s="162"/>
      <c r="W44" s="163"/>
      <c r="X44" s="177"/>
      <c r="Y44" s="125"/>
      <c r="Z44" s="177"/>
      <c r="AA44" s="151"/>
      <c r="AB44" s="313"/>
      <c r="AC44" s="74"/>
      <c r="AD44" s="164"/>
      <c r="AE44" s="165"/>
      <c r="AF44" s="488"/>
      <c r="AG44" s="152"/>
      <c r="AH44" s="74"/>
      <c r="AI44" s="129"/>
      <c r="AJ44" s="74"/>
      <c r="AK44" s="152"/>
      <c r="AL44" s="465"/>
      <c r="AN44" s="505"/>
    </row>
    <row r="45" spans="1:40" ht="30" customHeight="1">
      <c r="A45" s="304"/>
      <c r="B45" s="2153" t="s">
        <v>289</v>
      </c>
      <c r="C45" s="679"/>
      <c r="D45" s="680"/>
      <c r="E45" s="681"/>
      <c r="F45" s="682"/>
      <c r="G45" s="683"/>
      <c r="H45" s="684"/>
      <c r="I45" s="685"/>
      <c r="J45" s="685"/>
      <c r="K45" s="684"/>
      <c r="L45" s="67"/>
      <c r="M45" s="693"/>
      <c r="N45" s="683"/>
      <c r="O45" s="694"/>
      <c r="P45" s="688"/>
      <c r="Q45" s="689"/>
      <c r="R45" s="311"/>
      <c r="S45" s="468"/>
      <c r="T45" s="161"/>
      <c r="U45" s="162"/>
      <c r="V45" s="162"/>
      <c r="W45" s="163"/>
      <c r="X45" s="177"/>
      <c r="Y45" s="125"/>
      <c r="Z45" s="177"/>
      <c r="AA45" s="151"/>
      <c r="AB45" s="313"/>
      <c r="AC45" s="74"/>
      <c r="AD45" s="164"/>
      <c r="AE45" s="165"/>
      <c r="AF45" s="488"/>
      <c r="AG45" s="152"/>
      <c r="AH45" s="74"/>
      <c r="AI45" s="129"/>
      <c r="AJ45" s="74"/>
      <c r="AK45" s="152"/>
      <c r="AL45" s="465"/>
      <c r="AN45" s="505"/>
    </row>
    <row r="46" spans="1:40" ht="30" customHeight="1">
      <c r="A46" s="1737"/>
      <c r="B46" s="2154" t="s">
        <v>349</v>
      </c>
      <c r="C46" s="133">
        <v>573</v>
      </c>
      <c r="D46" s="132"/>
      <c r="E46" s="641">
        <f t="shared" ref="E46:E47" si="38">SUM(C46:D46)</f>
        <v>573</v>
      </c>
      <c r="F46" s="133">
        <v>4.95</v>
      </c>
      <c r="G46" s="132"/>
      <c r="H46" s="153">
        <f t="shared" ref="H46:H47" si="39">SUM(F46:G46)</f>
        <v>4.95</v>
      </c>
      <c r="I46" s="134">
        <f t="shared" ref="I46:I47" si="40">SUM(C46,F46)</f>
        <v>577.95000000000005</v>
      </c>
      <c r="J46" s="103">
        <f t="shared" ref="J46:J47" si="41">SUM(D46,G46)</f>
        <v>0</v>
      </c>
      <c r="K46" s="135">
        <f t="shared" ref="K46:K47" si="42">SUM(I46:J46)</f>
        <v>577.95000000000005</v>
      </c>
      <c r="L46" s="67"/>
      <c r="M46" s="160">
        <v>4</v>
      </c>
      <c r="N46" s="132"/>
      <c r="O46" s="154">
        <f>SUM(M46:N46)</f>
        <v>4</v>
      </c>
      <c r="P46" s="67"/>
      <c r="Q46" s="155">
        <f t="shared" ref="Q46:Q47" si="43">SUM(K46,O46)</f>
        <v>581.95000000000005</v>
      </c>
      <c r="R46" s="634"/>
      <c r="S46" s="1347"/>
      <c r="T46" s="136">
        <f>VLOOKUP($AN46,Early_Stats_Last_Year,VLOOKUP('Background Data'!$F$2,Inst_Tables,3,FALSE),FALSE)</f>
        <v>566</v>
      </c>
      <c r="U46" s="137">
        <f>VLOOKUP($AN46,Early_Stats_Last_Year,VLOOKUP('Background Data'!$F$2,Inst_Tables,4,FALSE),FALSE)</f>
        <v>2.46</v>
      </c>
      <c r="V46" s="472">
        <f t="shared" ref="V46" si="44">SUM(T46:U46)</f>
        <v>568.46</v>
      </c>
      <c r="W46" s="137">
        <f>VLOOKUP($AN46,Early_Stats_Last_Year,VLOOKUP('Background Data'!$F$2,Inst_Tables,5,FALSE),FALSE)</f>
        <v>6</v>
      </c>
      <c r="X46" s="138">
        <f>IF(T46&gt;0,($E46-T46)/T46,"")</f>
        <v>1.2367491166077738E-2</v>
      </c>
      <c r="Y46" s="139">
        <f>IF(U46&gt;0,($H46-U46)/U46,"")</f>
        <v>1.0121951219512195</v>
      </c>
      <c r="Z46" s="393">
        <f>IF(V46&gt;0,($K46-V46)/V46,"")</f>
        <v>1.6694226506702332E-2</v>
      </c>
      <c r="AA46" s="498">
        <f>IF(W46&gt;0,($O46-W46)/W46,"")</f>
        <v>-0.33333333333333331</v>
      </c>
      <c r="AB46" s="313"/>
      <c r="AC46" s="74"/>
      <c r="AD46" s="140">
        <f>VLOOKUP($AN46,Final_Figures,VLOOKUP('Background Data'!$F$2,Inst_Tables,3,FALSE),FALSE)</f>
        <v>561</v>
      </c>
      <c r="AE46" s="141">
        <f>VLOOKUP($AN46,Final_Figures,VLOOKUP('Background Data'!$F$2,Inst_Tables,4,FALSE),FALSE)</f>
        <v>2.46</v>
      </c>
      <c r="AF46" s="486">
        <f t="shared" ref="AF46" si="45">SUM(AD46:AE46)</f>
        <v>563.46</v>
      </c>
      <c r="AG46" s="497">
        <f>VLOOKUP($AN46,Final_Figures,VLOOKUP('Background Data'!$F$2,Inst_Tables,5,FALSE),FALSE)</f>
        <v>6</v>
      </c>
      <c r="AH46" s="473">
        <f>IF(AD46&gt;0,($E46-AD46)/AD46,"")</f>
        <v>2.1390374331550801E-2</v>
      </c>
      <c r="AI46" s="142">
        <f>IF(AE46&gt;0,($H46-AE46)/AE46,"")</f>
        <v>1.0121951219512195</v>
      </c>
      <c r="AJ46" s="473">
        <f>IF(AF46&gt;0,($K46-AF46)/AF46,"")</f>
        <v>2.571611117026942E-2</v>
      </c>
      <c r="AK46" s="191">
        <f>IF(AG46&gt;0,($O46-AG46)/AG46,"")</f>
        <v>-0.33333333333333331</v>
      </c>
      <c r="AL46" s="637"/>
      <c r="AN46" s="504">
        <v>15</v>
      </c>
    </row>
    <row r="47" spans="1:40" ht="30" customHeight="1">
      <c r="A47" s="1737"/>
      <c r="B47" s="2154" t="s">
        <v>311</v>
      </c>
      <c r="C47" s="133"/>
      <c r="D47" s="132"/>
      <c r="E47" s="641">
        <f t="shared" si="38"/>
        <v>0</v>
      </c>
      <c r="F47" s="133"/>
      <c r="G47" s="132"/>
      <c r="H47" s="153">
        <f t="shared" si="39"/>
        <v>0</v>
      </c>
      <c r="I47" s="134">
        <f t="shared" si="40"/>
        <v>0</v>
      </c>
      <c r="J47" s="103">
        <f t="shared" si="41"/>
        <v>0</v>
      </c>
      <c r="K47" s="135">
        <f t="shared" si="42"/>
        <v>0</v>
      </c>
      <c r="L47" s="67"/>
      <c r="M47" s="160"/>
      <c r="N47" s="132"/>
      <c r="O47" s="154">
        <f>SUM(M47:N47)</f>
        <v>0</v>
      </c>
      <c r="P47" s="67"/>
      <c r="Q47" s="155">
        <f t="shared" si="43"/>
        <v>0</v>
      </c>
      <c r="R47" s="634"/>
      <c r="S47" s="1347"/>
      <c r="T47" s="136"/>
      <c r="U47" s="137"/>
      <c r="V47" s="472"/>
      <c r="W47" s="137"/>
      <c r="X47" s="138"/>
      <c r="Y47" s="139"/>
      <c r="Z47" s="1761"/>
      <c r="AA47" s="498"/>
      <c r="AB47" s="636"/>
      <c r="AC47" s="74"/>
      <c r="AD47" s="140"/>
      <c r="AE47" s="141"/>
      <c r="AF47" s="1352"/>
      <c r="AG47" s="497"/>
      <c r="AH47" s="1353"/>
      <c r="AI47" s="142"/>
      <c r="AJ47" s="1353"/>
      <c r="AK47" s="191"/>
      <c r="AL47" s="637"/>
      <c r="AN47" s="504"/>
    </row>
    <row r="48" spans="1:40" ht="30" customHeight="1">
      <c r="A48" s="1345"/>
      <c r="B48" s="2154" t="s">
        <v>2</v>
      </c>
      <c r="C48" s="1354">
        <f>SUM(C46:C47)</f>
        <v>573</v>
      </c>
      <c r="D48" s="1355">
        <f>SUM(D46:D47)</f>
        <v>0</v>
      </c>
      <c r="E48" s="641">
        <f>SUM(C48:D48)</f>
        <v>573</v>
      </c>
      <c r="F48" s="1354">
        <f>SUM(F46:F47)</f>
        <v>4.95</v>
      </c>
      <c r="G48" s="1355">
        <f>SUM(G46:G47)</f>
        <v>0</v>
      </c>
      <c r="H48" s="641">
        <f>SUM(F48:G48)</f>
        <v>4.95</v>
      </c>
      <c r="I48" s="1354">
        <f>SUM(I46:I47)</f>
        <v>577.95000000000005</v>
      </c>
      <c r="J48" s="1355">
        <f>SUM(J46:J47)</f>
        <v>0</v>
      </c>
      <c r="K48" s="641">
        <f>SUM(I48:J48)</f>
        <v>577.95000000000005</v>
      </c>
      <c r="L48" s="67"/>
      <c r="M48" s="1354">
        <f>SUM(M46:M47)</f>
        <v>4</v>
      </c>
      <c r="N48" s="1355">
        <f>SUM(N46:N47)</f>
        <v>0</v>
      </c>
      <c r="O48" s="154">
        <f>SUM(M48:N48)</f>
        <v>4</v>
      </c>
      <c r="P48" s="67"/>
      <c r="Q48" s="155">
        <f>SUM(K48,O48)</f>
        <v>581.95000000000005</v>
      </c>
      <c r="R48" s="634"/>
      <c r="S48" s="1347"/>
      <c r="T48" s="136"/>
      <c r="U48" s="137"/>
      <c r="V48" s="472"/>
      <c r="W48" s="137"/>
      <c r="X48" s="138"/>
      <c r="Y48" s="139"/>
      <c r="Z48" s="1761"/>
      <c r="AA48" s="498"/>
      <c r="AB48" s="636"/>
      <c r="AC48" s="74"/>
      <c r="AD48" s="140"/>
      <c r="AE48" s="141"/>
      <c r="AF48" s="1352"/>
      <c r="AG48" s="497"/>
      <c r="AH48" s="1353"/>
      <c r="AI48" s="142"/>
      <c r="AJ48" s="1353"/>
      <c r="AK48" s="191"/>
      <c r="AL48" s="637"/>
      <c r="AN48" s="504"/>
    </row>
    <row r="49" spans="1:40" ht="30" customHeight="1">
      <c r="A49" s="1737"/>
      <c r="B49" s="2153" t="s">
        <v>313</v>
      </c>
      <c r="C49" s="679"/>
      <c r="D49" s="680"/>
      <c r="E49" s="681"/>
      <c r="F49" s="682"/>
      <c r="G49" s="683"/>
      <c r="H49" s="684"/>
      <c r="I49" s="685"/>
      <c r="J49" s="685"/>
      <c r="K49" s="684"/>
      <c r="L49" s="67"/>
      <c r="M49" s="693"/>
      <c r="N49" s="683"/>
      <c r="O49" s="2152"/>
      <c r="P49" s="67"/>
      <c r="Q49" s="155"/>
      <c r="R49" s="634"/>
      <c r="S49" s="1347"/>
      <c r="T49" s="136"/>
      <c r="U49" s="137"/>
      <c r="V49" s="472"/>
      <c r="W49" s="137"/>
      <c r="X49" s="138"/>
      <c r="Y49" s="139"/>
      <c r="Z49" s="1761"/>
      <c r="AA49" s="498"/>
      <c r="AB49" s="636"/>
      <c r="AC49" s="74"/>
      <c r="AD49" s="140"/>
      <c r="AE49" s="141"/>
      <c r="AF49" s="1352"/>
      <c r="AG49" s="497"/>
      <c r="AH49" s="1353"/>
      <c r="AI49" s="142"/>
      <c r="AJ49" s="1353"/>
      <c r="AK49" s="191"/>
      <c r="AL49" s="637"/>
      <c r="AN49" s="504"/>
    </row>
    <row r="50" spans="1:40" ht="30" customHeight="1">
      <c r="A50" s="304"/>
      <c r="B50" s="2154" t="s">
        <v>19</v>
      </c>
      <c r="C50" s="133"/>
      <c r="D50" s="132"/>
      <c r="E50" s="641">
        <f t="shared" ref="E50:E56" si="46">SUM(C50:D50)</f>
        <v>0</v>
      </c>
      <c r="F50" s="133"/>
      <c r="G50" s="132"/>
      <c r="H50" s="153">
        <f t="shared" ref="H50:H56" si="47">SUM(F50:G50)</f>
        <v>0</v>
      </c>
      <c r="I50" s="134">
        <f t="shared" ref="I50:J56" si="48">SUM(C50,F50)</f>
        <v>0</v>
      </c>
      <c r="J50" s="103">
        <f t="shared" si="48"/>
        <v>0</v>
      </c>
      <c r="K50" s="135">
        <f t="shared" ref="K50:K56" si="49">SUM(I50:J50)</f>
        <v>0</v>
      </c>
      <c r="L50" s="67"/>
      <c r="M50" s="160"/>
      <c r="N50" s="132"/>
      <c r="O50" s="154">
        <f t="shared" ref="O50:O56" si="50">SUM(M50:N50)</f>
        <v>0</v>
      </c>
      <c r="P50" s="67"/>
      <c r="Q50" s="155">
        <f>SUM(K50,O50)</f>
        <v>0</v>
      </c>
      <c r="R50" s="311"/>
      <c r="S50" s="468"/>
      <c r="T50" s="136">
        <f>VLOOKUP($AN50,Early_Stats_Last_Year,VLOOKUP('Background Data'!$F$2,Inst_Tables,3,FALSE),FALSE)</f>
        <v>0</v>
      </c>
      <c r="U50" s="137">
        <f>VLOOKUP($AN50,Early_Stats_Last_Year,VLOOKUP('Background Data'!$F$2,Inst_Tables,4,FALSE),FALSE)</f>
        <v>0</v>
      </c>
      <c r="V50" s="472">
        <f t="shared" ref="V50:V56" si="51">SUM(T50:U50)</f>
        <v>0</v>
      </c>
      <c r="W50" s="137">
        <f>VLOOKUP($AN50,Early_Stats_Last_Year,VLOOKUP('Background Data'!$F$2,Inst_Tables,5,FALSE),FALSE)</f>
        <v>0</v>
      </c>
      <c r="X50" s="138" t="str">
        <f>IF(T50&gt;0,($E50-T50)/T50,"")</f>
        <v/>
      </c>
      <c r="Y50" s="139" t="str">
        <f>IF(U50&gt;0,($H50-U50)/U50,"")</f>
        <v/>
      </c>
      <c r="Z50" s="393" t="str">
        <f>IF(V50&gt;0,($K50-V50)/V50,"")</f>
        <v/>
      </c>
      <c r="AA50" s="498" t="str">
        <f>IF(W50&gt;0,($O50-W50)/W50,"")</f>
        <v/>
      </c>
      <c r="AB50" s="313"/>
      <c r="AC50" s="74"/>
      <c r="AD50" s="140">
        <f>VLOOKUP($AN50,Final_Figures,VLOOKUP('Background Data'!$F$2,Inst_Tables,3,FALSE),FALSE)</f>
        <v>0</v>
      </c>
      <c r="AE50" s="141">
        <f>VLOOKUP($AN50,Final_Figures,VLOOKUP('Background Data'!$F$2,Inst_Tables,4,FALSE),FALSE)</f>
        <v>0</v>
      </c>
      <c r="AF50" s="486">
        <f t="shared" ref="AF50:AF56" si="52">SUM(AD50:AE50)</f>
        <v>0</v>
      </c>
      <c r="AG50" s="497">
        <f>VLOOKUP($AN50,Final_Figures,VLOOKUP('Background Data'!$F$2,Inst_Tables,5,FALSE),FALSE)</f>
        <v>0</v>
      </c>
      <c r="AH50" s="473" t="str">
        <f>IF(AD50&gt;0,($E50-AD50)/AD50,"")</f>
        <v/>
      </c>
      <c r="AI50" s="142" t="str">
        <f>IF(AE50&gt;0,($H50-AE50)/AE50,"")</f>
        <v/>
      </c>
      <c r="AJ50" s="473" t="str">
        <f>IF(AF50&gt;0,($K50-AF50)/AF50,"")</f>
        <v/>
      </c>
      <c r="AK50" s="191" t="str">
        <f>IF(AG50&gt;0,($O50-AG50)/AG50,"")</f>
        <v/>
      </c>
      <c r="AL50" s="465"/>
      <c r="AN50" s="504">
        <v>16</v>
      </c>
    </row>
    <row r="51" spans="1:40" ht="30" customHeight="1">
      <c r="A51" s="304"/>
      <c r="B51" s="2154" t="s">
        <v>20</v>
      </c>
      <c r="C51" s="133"/>
      <c r="D51" s="132"/>
      <c r="E51" s="641">
        <f t="shared" si="46"/>
        <v>0</v>
      </c>
      <c r="F51" s="133"/>
      <c r="G51" s="132"/>
      <c r="H51" s="153">
        <f t="shared" si="47"/>
        <v>0</v>
      </c>
      <c r="I51" s="134">
        <f t="shared" si="48"/>
        <v>0</v>
      </c>
      <c r="J51" s="103">
        <f t="shared" si="48"/>
        <v>0</v>
      </c>
      <c r="K51" s="135">
        <f t="shared" si="49"/>
        <v>0</v>
      </c>
      <c r="L51" s="67"/>
      <c r="M51" s="160"/>
      <c r="N51" s="132"/>
      <c r="O51" s="154">
        <f t="shared" si="50"/>
        <v>0</v>
      </c>
      <c r="P51" s="67"/>
      <c r="Q51" s="155">
        <f>SUM(K51,O51)</f>
        <v>0</v>
      </c>
      <c r="R51" s="311"/>
      <c r="S51" s="468"/>
      <c r="T51" s="136">
        <f>VLOOKUP($AN51,Early_Stats_Last_Year,VLOOKUP('Background Data'!$F$2,Inst_Tables,3,FALSE),FALSE)</f>
        <v>0</v>
      </c>
      <c r="U51" s="137">
        <f>VLOOKUP($AN51,Early_Stats_Last_Year,VLOOKUP('Background Data'!$F$2,Inst_Tables,4,FALSE),FALSE)</f>
        <v>0</v>
      </c>
      <c r="V51" s="472">
        <f t="shared" si="51"/>
        <v>0</v>
      </c>
      <c r="W51" s="137">
        <f>VLOOKUP($AN51,Early_Stats_Last_Year,VLOOKUP('Background Data'!$F$2,Inst_Tables,5,FALSE),FALSE)</f>
        <v>0</v>
      </c>
      <c r="X51" s="138" t="str">
        <f>IF(T51&gt;0,($E51-T51)/T51,"")</f>
        <v/>
      </c>
      <c r="Y51" s="139" t="str">
        <f>IF(U51&gt;0,($H51-U51)/U51,"")</f>
        <v/>
      </c>
      <c r="Z51" s="393" t="str">
        <f>IF(V51&gt;0,($K51-V51)/V51,"")</f>
        <v/>
      </c>
      <c r="AA51" s="498" t="str">
        <f>IF(W51&gt;0,($O51-W51)/W51,"")</f>
        <v/>
      </c>
      <c r="AB51" s="313"/>
      <c r="AC51" s="74"/>
      <c r="AD51" s="140">
        <f>VLOOKUP($AN51,Final_Figures,VLOOKUP('Background Data'!$F$2,Inst_Tables,3,FALSE),FALSE)</f>
        <v>0</v>
      </c>
      <c r="AE51" s="141">
        <f>VLOOKUP($AN51,Final_Figures,VLOOKUP('Background Data'!$F$2,Inst_Tables,4,FALSE),FALSE)</f>
        <v>0</v>
      </c>
      <c r="AF51" s="486">
        <f t="shared" si="52"/>
        <v>0</v>
      </c>
      <c r="AG51" s="497">
        <f>VLOOKUP($AN51,Final_Figures,VLOOKUP('Background Data'!$F$2,Inst_Tables,5,FALSE),FALSE)</f>
        <v>0</v>
      </c>
      <c r="AH51" s="473" t="str">
        <f>IF(AD51&gt;0,($E51-AD51)/AD51,"")</f>
        <v/>
      </c>
      <c r="AI51" s="142" t="str">
        <f>IF(AE51&gt;0,($H51-AE51)/AE51,"")</f>
        <v/>
      </c>
      <c r="AJ51" s="473" t="str">
        <f>IF(AF51&gt;0,($K51-AF51)/AF51,"")</f>
        <v/>
      </c>
      <c r="AK51" s="191" t="str">
        <f>IF(AG51&gt;0,($O51-AG51)/AG51,"")</f>
        <v/>
      </c>
      <c r="AL51" s="465"/>
      <c r="AN51" s="504">
        <v>17</v>
      </c>
    </row>
    <row r="52" spans="1:40" ht="30" customHeight="1">
      <c r="A52" s="304"/>
      <c r="B52" s="2154" t="s">
        <v>21</v>
      </c>
      <c r="C52" s="133">
        <v>76</v>
      </c>
      <c r="D52" s="132"/>
      <c r="E52" s="641">
        <f t="shared" si="46"/>
        <v>76</v>
      </c>
      <c r="F52" s="133"/>
      <c r="G52" s="132"/>
      <c r="H52" s="153">
        <f t="shared" si="47"/>
        <v>0</v>
      </c>
      <c r="I52" s="134">
        <f t="shared" si="48"/>
        <v>76</v>
      </c>
      <c r="J52" s="103">
        <f t="shared" si="48"/>
        <v>0</v>
      </c>
      <c r="K52" s="135">
        <f t="shared" si="49"/>
        <v>76</v>
      </c>
      <c r="L52" s="67"/>
      <c r="M52" s="160"/>
      <c r="N52" s="132"/>
      <c r="O52" s="154">
        <f t="shared" si="50"/>
        <v>0</v>
      </c>
      <c r="P52" s="67"/>
      <c r="Q52" s="155">
        <f>SUM(K52,O52)</f>
        <v>76</v>
      </c>
      <c r="R52" s="311"/>
      <c r="S52" s="468"/>
      <c r="T52" s="136">
        <f>VLOOKUP($AN52,Early_Stats_Last_Year,VLOOKUP('Background Data'!$F$2,Inst_Tables,3,FALSE),FALSE)</f>
        <v>82</v>
      </c>
      <c r="U52" s="137">
        <f>VLOOKUP($AN52,Early_Stats_Last_Year,VLOOKUP('Background Data'!$F$2,Inst_Tables,4,FALSE),FALSE)</f>
        <v>0</v>
      </c>
      <c r="V52" s="472">
        <f t="shared" si="51"/>
        <v>82</v>
      </c>
      <c r="W52" s="137">
        <f>VLOOKUP($AN52,Early_Stats_Last_Year,VLOOKUP('Background Data'!$F$2,Inst_Tables,5,FALSE),FALSE)</f>
        <v>0</v>
      </c>
      <c r="X52" s="138">
        <f>IF(T52&gt;0,($E52-T52)/T52,"")</f>
        <v>-7.3170731707317069E-2</v>
      </c>
      <c r="Y52" s="139" t="str">
        <f>IF(U52&gt;0,($H52-U52)/U52,"")</f>
        <v/>
      </c>
      <c r="Z52" s="393">
        <f>IF(V52&gt;0,($K52-V52)/V52,"")</f>
        <v>-7.3170731707317069E-2</v>
      </c>
      <c r="AA52" s="498" t="str">
        <f>IF(W52&gt;0,($O52-W52)/W52,"")</f>
        <v/>
      </c>
      <c r="AB52" s="313"/>
      <c r="AC52" s="74"/>
      <c r="AD52" s="140">
        <f>VLOOKUP($AN52,Final_Figures,VLOOKUP('Background Data'!$F$2,Inst_Tables,3,FALSE),FALSE)</f>
        <v>83</v>
      </c>
      <c r="AE52" s="141">
        <f>VLOOKUP($AN52,Final_Figures,VLOOKUP('Background Data'!$F$2,Inst_Tables,4,FALSE),FALSE)</f>
        <v>0</v>
      </c>
      <c r="AF52" s="486">
        <f t="shared" si="52"/>
        <v>83</v>
      </c>
      <c r="AG52" s="497">
        <f>VLOOKUP($AN52,Final_Figures,VLOOKUP('Background Data'!$F$2,Inst_Tables,5,FALSE),FALSE)</f>
        <v>0</v>
      </c>
      <c r="AH52" s="473">
        <f>IF(AD52&gt;0,($E52-AD52)/AD52,"")</f>
        <v>-8.4337349397590355E-2</v>
      </c>
      <c r="AI52" s="142" t="str">
        <f>IF(AE52&gt;0,($H52-AE52)/AE52,"")</f>
        <v/>
      </c>
      <c r="AJ52" s="473">
        <f>IF(AF52&gt;0,($K52-AF52)/AF52,"")</f>
        <v>-8.4337349397590355E-2</v>
      </c>
      <c r="AK52" s="191" t="str">
        <f>IF(AG52&gt;0,($O52-AG52)/AG52,"")</f>
        <v/>
      </c>
      <c r="AL52" s="465"/>
      <c r="AN52" s="504">
        <v>18</v>
      </c>
    </row>
    <row r="53" spans="1:40" ht="30" customHeight="1">
      <c r="A53" s="1737"/>
      <c r="B53" s="2153" t="s">
        <v>507</v>
      </c>
      <c r="C53" s="679"/>
      <c r="D53" s="680"/>
      <c r="E53" s="681"/>
      <c r="F53" s="682"/>
      <c r="G53" s="683"/>
      <c r="H53" s="684"/>
      <c r="I53" s="685"/>
      <c r="J53" s="685"/>
      <c r="K53" s="684"/>
      <c r="L53" s="67"/>
      <c r="M53" s="693"/>
      <c r="N53" s="683"/>
      <c r="O53" s="2152"/>
      <c r="P53" s="67"/>
      <c r="Q53" s="155"/>
      <c r="R53" s="634"/>
      <c r="S53" s="1347"/>
      <c r="T53" s="136"/>
      <c r="U53" s="137"/>
      <c r="V53" s="472"/>
      <c r="W53" s="137"/>
      <c r="X53" s="138"/>
      <c r="Y53" s="139"/>
      <c r="Z53" s="1761"/>
      <c r="AA53" s="498"/>
      <c r="AB53" s="636"/>
      <c r="AC53" s="74"/>
      <c r="AD53" s="140"/>
      <c r="AE53" s="141"/>
      <c r="AF53" s="1352"/>
      <c r="AG53" s="497"/>
      <c r="AH53" s="1353"/>
      <c r="AI53" s="142"/>
      <c r="AJ53" s="1353"/>
      <c r="AK53" s="191"/>
      <c r="AL53" s="637"/>
      <c r="AN53" s="504"/>
    </row>
    <row r="54" spans="1:40" s="577" customFormat="1" ht="30" customHeight="1">
      <c r="A54" s="720"/>
      <c r="B54" s="2155" t="s">
        <v>316</v>
      </c>
      <c r="C54" s="133"/>
      <c r="D54" s="731"/>
      <c r="E54" s="721">
        <f t="shared" si="46"/>
        <v>0</v>
      </c>
      <c r="F54" s="133"/>
      <c r="G54" s="132"/>
      <c r="H54" s="734">
        <f t="shared" si="47"/>
        <v>0</v>
      </c>
      <c r="I54" s="722">
        <f t="shared" si="48"/>
        <v>0</v>
      </c>
      <c r="J54" s="723">
        <f t="shared" si="48"/>
        <v>0</v>
      </c>
      <c r="K54" s="724">
        <f t="shared" si="49"/>
        <v>0</v>
      </c>
      <c r="L54" s="379"/>
      <c r="M54" s="732"/>
      <c r="N54" s="733"/>
      <c r="O54" s="725">
        <f t="shared" si="50"/>
        <v>0</v>
      </c>
      <c r="P54" s="379"/>
      <c r="Q54" s="726">
        <f>SUM(K54,O54)</f>
        <v>0</v>
      </c>
      <c r="R54" s="727"/>
      <c r="S54" s="774"/>
      <c r="T54" s="136">
        <f>VLOOKUP($AN54,Early_Stats_Last_Year,VLOOKUP('Background Data'!$F$2,Inst_Tables,3,FALSE),FALSE)</f>
        <v>0</v>
      </c>
      <c r="U54" s="137">
        <f>VLOOKUP($AN54,Early_Stats_Last_Year,VLOOKUP('Background Data'!$F$2,Inst_Tables,4,FALSE),FALSE)</f>
        <v>0</v>
      </c>
      <c r="V54" s="472">
        <f t="shared" si="51"/>
        <v>0</v>
      </c>
      <c r="W54" s="137">
        <f>VLOOKUP($AN54,Early_Stats_Last_Year,VLOOKUP('Background Data'!$F$2,Inst_Tables,5,FALSE),FALSE)</f>
        <v>0</v>
      </c>
      <c r="X54" s="138" t="str">
        <f>IF(T54&gt;0,($E54-T54)/T54,"")</f>
        <v/>
      </c>
      <c r="Y54" s="139" t="str">
        <f>IF(U54&gt;0,($H54-U54)/U54,"")</f>
        <v/>
      </c>
      <c r="Z54" s="393" t="str">
        <f>IF(V54&gt;0,($K54-V54)/V54,"")</f>
        <v/>
      </c>
      <c r="AA54" s="498" t="str">
        <f>IF(W54&gt;0,($O54-W54)/W54,"")</f>
        <v/>
      </c>
      <c r="AB54" s="728"/>
      <c r="AC54" s="729"/>
      <c r="AD54" s="140">
        <f>VLOOKUP($AN54,Final_Figures,VLOOKUP('Background Data'!$F$2,Inst_Tables,3,FALSE),FALSE)</f>
        <v>0</v>
      </c>
      <c r="AE54" s="141">
        <f>VLOOKUP($AN54,Final_Figures,VLOOKUP('Background Data'!$F$2,Inst_Tables,4,FALSE),FALSE)</f>
        <v>0</v>
      </c>
      <c r="AF54" s="486">
        <f t="shared" si="52"/>
        <v>0</v>
      </c>
      <c r="AG54" s="497">
        <f>VLOOKUP($AN54,Final_Figures,VLOOKUP('Background Data'!$F$2,Inst_Tables,5,FALSE),FALSE)</f>
        <v>0</v>
      </c>
      <c r="AH54" s="473" t="str">
        <f>IF(AD54&gt;0,($E54-AD54)/AD54,"")</f>
        <v/>
      </c>
      <c r="AI54" s="142" t="str">
        <f>IF(AE54&gt;0,($H54-AE54)/AE54,"")</f>
        <v/>
      </c>
      <c r="AJ54" s="473" t="str">
        <f>IF(AF54&gt;0,($K54-AF54)/AF54,"")</f>
        <v/>
      </c>
      <c r="AK54" s="191" t="str">
        <f>IF(AG54&gt;0,($O54-AG54)/AG54,"")</f>
        <v/>
      </c>
      <c r="AL54" s="730"/>
      <c r="AN54" s="504">
        <v>19</v>
      </c>
    </row>
    <row r="55" spans="1:40" s="577" customFormat="1" ht="30" customHeight="1">
      <c r="A55" s="720"/>
      <c r="B55" s="2155" t="s">
        <v>317</v>
      </c>
      <c r="C55" s="133"/>
      <c r="D55" s="731"/>
      <c r="E55" s="721">
        <f t="shared" ref="E55" si="53">SUM(C55:D55)</f>
        <v>0</v>
      </c>
      <c r="F55" s="133"/>
      <c r="G55" s="132"/>
      <c r="H55" s="734">
        <f t="shared" ref="H55" si="54">SUM(F55:G55)</f>
        <v>0</v>
      </c>
      <c r="I55" s="722">
        <f t="shared" si="48"/>
        <v>0</v>
      </c>
      <c r="J55" s="723">
        <f t="shared" si="48"/>
        <v>0</v>
      </c>
      <c r="K55" s="724">
        <f t="shared" ref="K55" si="55">SUM(I55:J55)</f>
        <v>0</v>
      </c>
      <c r="L55" s="379"/>
      <c r="M55" s="732"/>
      <c r="N55" s="733"/>
      <c r="O55" s="725">
        <f t="shared" ref="O55" si="56">SUM(M55:N55)</f>
        <v>0</v>
      </c>
      <c r="P55" s="379"/>
      <c r="Q55" s="726">
        <f t="shared" ref="Q55:Q56" si="57">SUM(K55,O55)</f>
        <v>0</v>
      </c>
      <c r="R55" s="727"/>
      <c r="S55" s="774"/>
      <c r="T55" s="136">
        <f>VLOOKUP($AN55,Early_Stats_Last_Year,VLOOKUP('Background Data'!$F$2,Inst_Tables,3,FALSE),FALSE)</f>
        <v>0</v>
      </c>
      <c r="U55" s="137">
        <f>VLOOKUP($AN55,Early_Stats_Last_Year,VLOOKUP('Background Data'!$F$2,Inst_Tables,4,FALSE),FALSE)</f>
        <v>0</v>
      </c>
      <c r="V55" s="472">
        <f t="shared" si="51"/>
        <v>0</v>
      </c>
      <c r="W55" s="137">
        <f>VLOOKUP($AN55,Early_Stats_Last_Year,VLOOKUP('Background Data'!$F$2,Inst_Tables,5,FALSE),FALSE)</f>
        <v>0</v>
      </c>
      <c r="X55" s="138" t="str">
        <f>IF(T55&gt;0,($E55-T55)/T55,"")</f>
        <v/>
      </c>
      <c r="Y55" s="139" t="str">
        <f>IF(U55&gt;0,($H55-U55)/U55,"")</f>
        <v/>
      </c>
      <c r="Z55" s="393" t="str">
        <f>IF(V55&gt;0,($K55-V55)/V55,"")</f>
        <v/>
      </c>
      <c r="AA55" s="498" t="str">
        <f>IF(W55&gt;0,($O55-W55)/W55,"")</f>
        <v/>
      </c>
      <c r="AB55" s="728"/>
      <c r="AC55" s="729"/>
      <c r="AD55" s="140">
        <f>VLOOKUP($AN55,Final_Figures,VLOOKUP('Background Data'!$F$2,Inst_Tables,3,FALSE),FALSE)</f>
        <v>0</v>
      </c>
      <c r="AE55" s="141">
        <f>VLOOKUP($AN55,Final_Figures,VLOOKUP('Background Data'!$F$2,Inst_Tables,4,FALSE),FALSE)</f>
        <v>0</v>
      </c>
      <c r="AF55" s="486">
        <f t="shared" si="52"/>
        <v>0</v>
      </c>
      <c r="AG55" s="497">
        <f>VLOOKUP($AN55,Final_Figures,VLOOKUP('Background Data'!$F$2,Inst_Tables,5,FALSE),FALSE)</f>
        <v>0</v>
      </c>
      <c r="AH55" s="473" t="str">
        <f>IF(AD55&gt;0,($E55-AD55)/AD55,"")</f>
        <v/>
      </c>
      <c r="AI55" s="142" t="str">
        <f>IF(AE55&gt;0,($H55-AE55)/AE55,"")</f>
        <v/>
      </c>
      <c r="AJ55" s="473" t="str">
        <f>IF(AF55&gt;0,($K55-AF55)/AF55,"")</f>
        <v/>
      </c>
      <c r="AK55" s="191" t="str">
        <f>IF(AG55&gt;0,($O55-AG55)/AG55,"")</f>
        <v/>
      </c>
      <c r="AL55" s="730"/>
      <c r="AN55" s="504">
        <v>20</v>
      </c>
    </row>
    <row r="56" spans="1:40" s="577" customFormat="1" ht="30" customHeight="1">
      <c r="A56" s="720"/>
      <c r="B56" s="2155" t="s">
        <v>471</v>
      </c>
      <c r="C56" s="133"/>
      <c r="D56" s="731"/>
      <c r="E56" s="721">
        <f t="shared" si="46"/>
        <v>0</v>
      </c>
      <c r="F56" s="133"/>
      <c r="G56" s="132"/>
      <c r="H56" s="734">
        <f t="shared" si="47"/>
        <v>0</v>
      </c>
      <c r="I56" s="722">
        <f t="shared" si="48"/>
        <v>0</v>
      </c>
      <c r="J56" s="723">
        <f t="shared" si="48"/>
        <v>0</v>
      </c>
      <c r="K56" s="724">
        <f t="shared" si="49"/>
        <v>0</v>
      </c>
      <c r="L56" s="379"/>
      <c r="M56" s="732"/>
      <c r="N56" s="733"/>
      <c r="O56" s="725">
        <f t="shared" si="50"/>
        <v>0</v>
      </c>
      <c r="P56" s="379"/>
      <c r="Q56" s="726">
        <f t="shared" si="57"/>
        <v>0</v>
      </c>
      <c r="R56" s="727"/>
      <c r="S56" s="774"/>
      <c r="T56" s="136">
        <f>VLOOKUP($AN56,Early_Stats_Last_Year,VLOOKUP('Background Data'!$F$2,Inst_Tables,3,FALSE),FALSE)</f>
        <v>0</v>
      </c>
      <c r="U56" s="137">
        <f>VLOOKUP($AN56,Early_Stats_Last_Year,VLOOKUP('Background Data'!$F$2,Inst_Tables,4,FALSE),FALSE)</f>
        <v>0</v>
      </c>
      <c r="V56" s="472">
        <f t="shared" si="51"/>
        <v>0</v>
      </c>
      <c r="W56" s="137">
        <f>VLOOKUP($AN56,Early_Stats_Last_Year,VLOOKUP('Background Data'!$F$2,Inst_Tables,5,FALSE),FALSE)</f>
        <v>0</v>
      </c>
      <c r="X56" s="138" t="str">
        <f>IF(T56&gt;0,($E56-T56)/T56,"")</f>
        <v/>
      </c>
      <c r="Y56" s="139" t="str">
        <f>IF(U56&gt;0,($H56-U56)/U56,"")</f>
        <v/>
      </c>
      <c r="Z56" s="393" t="str">
        <f>IF(V56&gt;0,($K56-V56)/V56,"")</f>
        <v/>
      </c>
      <c r="AA56" s="498" t="str">
        <f>IF(W56&gt;0,($O56-W56)/W56,"")</f>
        <v/>
      </c>
      <c r="AB56" s="728"/>
      <c r="AC56" s="729"/>
      <c r="AD56" s="140">
        <f>VLOOKUP($AN56,Final_Figures,VLOOKUP('Background Data'!$F$2,Inst_Tables,3,FALSE),FALSE)</f>
        <v>0</v>
      </c>
      <c r="AE56" s="141">
        <f>VLOOKUP($AN56,Final_Figures,VLOOKUP('Background Data'!$F$2,Inst_Tables,4,FALSE),FALSE)</f>
        <v>0</v>
      </c>
      <c r="AF56" s="486">
        <f t="shared" si="52"/>
        <v>0</v>
      </c>
      <c r="AG56" s="497">
        <f>VLOOKUP($AN56,Final_Figures,VLOOKUP('Background Data'!$F$2,Inst_Tables,5,FALSE),FALSE)</f>
        <v>0</v>
      </c>
      <c r="AH56" s="473" t="str">
        <f>IF(AD56&gt;0,($E56-AD56)/AD56,"")</f>
        <v/>
      </c>
      <c r="AI56" s="142" t="str">
        <f>IF(AE56&gt;0,($H56-AE56)/AE56,"")</f>
        <v/>
      </c>
      <c r="AJ56" s="473" t="str">
        <f>IF(AF56&gt;0,($K56-AF56)/AF56,"")</f>
        <v/>
      </c>
      <c r="AK56" s="191" t="str">
        <f>IF(AG56&gt;0,($O56-AG56)/AG56,"")</f>
        <v/>
      </c>
      <c r="AL56" s="730"/>
      <c r="AN56" s="504">
        <v>21</v>
      </c>
    </row>
    <row r="57" spans="1:40" ht="30" customHeight="1">
      <c r="A57" s="304"/>
      <c r="B57" s="158" t="s">
        <v>126</v>
      </c>
      <c r="C57" s="679"/>
      <c r="D57" s="680"/>
      <c r="E57" s="681"/>
      <c r="F57" s="682"/>
      <c r="G57" s="683"/>
      <c r="H57" s="684"/>
      <c r="I57" s="685"/>
      <c r="J57" s="685"/>
      <c r="K57" s="684"/>
      <c r="L57" s="67"/>
      <c r="M57" s="695"/>
      <c r="N57" s="696"/>
      <c r="O57" s="697"/>
      <c r="P57" s="688"/>
      <c r="Q57" s="689"/>
      <c r="R57" s="311"/>
      <c r="S57" s="468"/>
      <c r="T57" s="136"/>
      <c r="U57" s="137"/>
      <c r="V57" s="472"/>
      <c r="W57" s="475"/>
      <c r="X57" s="138"/>
      <c r="Y57" s="139"/>
      <c r="Z57" s="393"/>
      <c r="AA57" s="395"/>
      <c r="AB57" s="313"/>
      <c r="AC57" s="74"/>
      <c r="AD57" s="140"/>
      <c r="AE57" s="141"/>
      <c r="AF57" s="486"/>
      <c r="AG57" s="490"/>
      <c r="AH57" s="473"/>
      <c r="AI57" s="142"/>
      <c r="AJ57" s="473"/>
      <c r="AK57" s="152"/>
      <c r="AL57" s="465"/>
      <c r="AN57" s="812"/>
    </row>
    <row r="58" spans="1:40" ht="30" customHeight="1">
      <c r="A58" s="304"/>
      <c r="B58" s="159" t="s">
        <v>205</v>
      </c>
      <c r="C58" s="133"/>
      <c r="D58" s="132"/>
      <c r="E58" s="641">
        <f>SUM(C58:D58)</f>
        <v>0</v>
      </c>
      <c r="F58" s="474"/>
      <c r="G58" s="132"/>
      <c r="H58" s="153">
        <f>SUM(F58:G58)</f>
        <v>0</v>
      </c>
      <c r="I58" s="134">
        <f>SUM(C58,F58)</f>
        <v>0</v>
      </c>
      <c r="J58" s="103">
        <f>SUM(D58,G58)</f>
        <v>0</v>
      </c>
      <c r="K58" s="135">
        <f>SUM(I58:J58)</f>
        <v>0</v>
      </c>
      <c r="L58" s="67"/>
      <c r="M58" s="160"/>
      <c r="N58" s="132"/>
      <c r="O58" s="154">
        <f>SUM(M58:N58)</f>
        <v>0</v>
      </c>
      <c r="P58" s="67"/>
      <c r="Q58" s="155">
        <f>SUM(K58,O58)</f>
        <v>0</v>
      </c>
      <c r="R58" s="311"/>
      <c r="S58" s="468"/>
      <c r="T58" s="136">
        <f>VLOOKUP($AN58,Early_Stats_Last_Year,VLOOKUP('Background Data'!$F$2,Inst_Tables,3,FALSE),FALSE)</f>
        <v>0</v>
      </c>
      <c r="U58" s="137">
        <f>VLOOKUP($AN58,Early_Stats_Last_Year,VLOOKUP('Background Data'!$F$2,Inst_Tables,4,FALSE),FALSE)</f>
        <v>0</v>
      </c>
      <c r="V58" s="472">
        <f t="shared" ref="V58:V59" si="58">SUM(T58:U58)</f>
        <v>0</v>
      </c>
      <c r="W58" s="137">
        <f>VLOOKUP($AN58,Early_Stats_Last_Year,VLOOKUP('Background Data'!$F$2,Inst_Tables,5,FALSE),FALSE)</f>
        <v>0</v>
      </c>
      <c r="X58" s="138" t="str">
        <f>IF(T58&gt;0,($E58-T58)/T58,"")</f>
        <v/>
      </c>
      <c r="Y58" s="139" t="str">
        <f>IF(U58&gt;0,($H58-U58)/U58,"")</f>
        <v/>
      </c>
      <c r="Z58" s="393" t="str">
        <f>IF(V58&gt;0,($K58-V58)/V58,"")</f>
        <v/>
      </c>
      <c r="AA58" s="498" t="str">
        <f>IF(W58&gt;0,($O58-W58)/W58,"")</f>
        <v/>
      </c>
      <c r="AB58" s="313"/>
      <c r="AC58" s="74"/>
      <c r="AD58" s="140">
        <f>VLOOKUP($AN58,Final_Figures,VLOOKUP('Background Data'!$F$2,Inst_Tables,3,FALSE),FALSE)</f>
        <v>0</v>
      </c>
      <c r="AE58" s="141">
        <f>VLOOKUP($AN58,Final_Figures,VLOOKUP('Background Data'!$F$2,Inst_Tables,4,FALSE),FALSE)</f>
        <v>0</v>
      </c>
      <c r="AF58" s="486">
        <f t="shared" ref="AF58:AF59" si="59">SUM(AD58:AE58)</f>
        <v>0</v>
      </c>
      <c r="AG58" s="497">
        <f>VLOOKUP($AN58,Final_Figures,VLOOKUP('Background Data'!$F$2,Inst_Tables,5,FALSE),FALSE)</f>
        <v>0</v>
      </c>
      <c r="AH58" s="473" t="str">
        <f>IF(AD58&gt;0,($E58-AD58)/AD58,"")</f>
        <v/>
      </c>
      <c r="AI58" s="142" t="str">
        <f>IF(AE58&gt;0,($H58-AE58)/AE58,"")</f>
        <v/>
      </c>
      <c r="AJ58" s="473" t="str">
        <f>IF(AF58&gt;0,($K58-AF58)/AF58,"")</f>
        <v/>
      </c>
      <c r="AK58" s="191" t="str">
        <f>IF(AG58&gt;0,($O58-AG58)/AG58,"")</f>
        <v/>
      </c>
      <c r="AL58" s="465"/>
      <c r="AN58" s="504">
        <v>22</v>
      </c>
    </row>
    <row r="59" spans="1:40" ht="30" customHeight="1">
      <c r="A59" s="304"/>
      <c r="B59" s="159" t="s">
        <v>219</v>
      </c>
      <c r="C59" s="133">
        <v>162</v>
      </c>
      <c r="D59" s="132"/>
      <c r="E59" s="641">
        <f>SUM(C59:D59)</f>
        <v>162</v>
      </c>
      <c r="F59" s="474"/>
      <c r="G59" s="132"/>
      <c r="H59" s="153">
        <f>SUM(F59:G59)</f>
        <v>0</v>
      </c>
      <c r="I59" s="134">
        <f>SUM(C59,F59)</f>
        <v>162</v>
      </c>
      <c r="J59" s="103">
        <f>SUM(D59,G59)</f>
        <v>0</v>
      </c>
      <c r="K59" s="135">
        <f>SUM(I59:J59)</f>
        <v>162</v>
      </c>
      <c r="L59" s="67"/>
      <c r="M59" s="160">
        <v>6</v>
      </c>
      <c r="N59" s="132"/>
      <c r="O59" s="154">
        <f>SUM(M59:N59)</f>
        <v>6</v>
      </c>
      <c r="P59" s="67"/>
      <c r="Q59" s="155">
        <f>SUM(K59,O59)</f>
        <v>168</v>
      </c>
      <c r="R59" s="311"/>
      <c r="S59" s="468"/>
      <c r="T59" s="136">
        <f>VLOOKUP($AN59,Early_Stats_Last_Year,VLOOKUP('Background Data'!$F$2,Inst_Tables,3,FALSE),FALSE)</f>
        <v>141</v>
      </c>
      <c r="U59" s="137">
        <f>VLOOKUP($AN59,Early_Stats_Last_Year,VLOOKUP('Background Data'!$F$2,Inst_Tables,4,FALSE),FALSE)</f>
        <v>0.16700000000000001</v>
      </c>
      <c r="V59" s="472">
        <f t="shared" si="58"/>
        <v>141.167</v>
      </c>
      <c r="W59" s="137">
        <f>VLOOKUP($AN59,Early_Stats_Last_Year,VLOOKUP('Background Data'!$F$2,Inst_Tables,5,FALSE),FALSE)</f>
        <v>6</v>
      </c>
      <c r="X59" s="138">
        <f>IF(T59&gt;0,($E59-T59)/T59,"")</f>
        <v>0.14893617021276595</v>
      </c>
      <c r="Y59" s="139">
        <f>IF(U59&gt;0,($H59-U59)/U59,"")</f>
        <v>-1</v>
      </c>
      <c r="Z59" s="393">
        <f>IF(V59&gt;0,($K59-V59)/V59,"")</f>
        <v>0.14757698328929564</v>
      </c>
      <c r="AA59" s="498">
        <f>IF(W59&gt;0,($O59-W59)/W59,"")</f>
        <v>0</v>
      </c>
      <c r="AB59" s="313"/>
      <c r="AC59" s="74"/>
      <c r="AD59" s="140">
        <f>VLOOKUP($AN59,Final_Figures,VLOOKUP('Background Data'!$F$2,Inst_Tables,3,FALSE),FALSE)</f>
        <v>140</v>
      </c>
      <c r="AE59" s="141">
        <f>VLOOKUP($AN59,Final_Figures,VLOOKUP('Background Data'!$F$2,Inst_Tables,4,FALSE),FALSE)</f>
        <v>0.16700000000000001</v>
      </c>
      <c r="AF59" s="486">
        <f t="shared" si="59"/>
        <v>140.167</v>
      </c>
      <c r="AG59" s="497">
        <f>VLOOKUP($AN59,Final_Figures,VLOOKUP('Background Data'!$F$2,Inst_Tables,5,FALSE),FALSE)</f>
        <v>6</v>
      </c>
      <c r="AH59" s="473">
        <f>IF(AD59&gt;0,($E59-AD59)/AD59,"")</f>
        <v>0.15714285714285714</v>
      </c>
      <c r="AI59" s="142">
        <f>IF(AE59&gt;0,($H59-AE59)/AE59,"")</f>
        <v>-1</v>
      </c>
      <c r="AJ59" s="473">
        <f>IF(AF59&gt;0,($K59-AF59)/AF59,"")</f>
        <v>0.15576419556671683</v>
      </c>
      <c r="AK59" s="191">
        <f>IF(AG59&gt;0,($O59-AG59)/AG59,"")</f>
        <v>0</v>
      </c>
      <c r="AL59" s="465"/>
      <c r="AN59" s="504">
        <v>23</v>
      </c>
    </row>
    <row r="60" spans="1:40" ht="30" customHeight="1">
      <c r="A60" s="304"/>
      <c r="B60" s="121" t="s">
        <v>72</v>
      </c>
      <c r="C60" s="679"/>
      <c r="D60" s="680"/>
      <c r="E60" s="681"/>
      <c r="F60" s="682"/>
      <c r="G60" s="683"/>
      <c r="H60" s="684"/>
      <c r="I60" s="685"/>
      <c r="J60" s="685"/>
      <c r="K60" s="684"/>
      <c r="L60" s="67"/>
      <c r="M60" s="122"/>
      <c r="N60" s="73"/>
      <c r="O60" s="123"/>
      <c r="P60" s="67"/>
      <c r="Q60" s="108"/>
      <c r="R60" s="311"/>
      <c r="S60" s="468"/>
      <c r="T60" s="698"/>
      <c r="U60" s="699"/>
      <c r="V60" s="699"/>
      <c r="W60" s="127"/>
      <c r="X60" s="126"/>
      <c r="Y60" s="125"/>
      <c r="Z60" s="177"/>
      <c r="AA60" s="151"/>
      <c r="AB60" s="313"/>
      <c r="AC60" s="74"/>
      <c r="AD60" s="700"/>
      <c r="AE60" s="701"/>
      <c r="AF60" s="701"/>
      <c r="AG60" s="152"/>
      <c r="AH60" s="74"/>
      <c r="AI60" s="129"/>
      <c r="AJ60" s="74"/>
      <c r="AK60" s="152"/>
      <c r="AL60" s="465"/>
      <c r="AN60" s="505"/>
    </row>
    <row r="61" spans="1:40" ht="30" customHeight="1">
      <c r="A61" s="304"/>
      <c r="B61" s="131" t="s">
        <v>246</v>
      </c>
      <c r="C61" s="133">
        <v>26</v>
      </c>
      <c r="D61" s="132"/>
      <c r="E61" s="641">
        <f>SUM(C61:D61)</f>
        <v>26</v>
      </c>
      <c r="F61" s="474"/>
      <c r="G61" s="132"/>
      <c r="H61" s="153">
        <f>SUM(F61:G61)</f>
        <v>0</v>
      </c>
      <c r="I61" s="134">
        <f>SUM(C61,F61)</f>
        <v>26</v>
      </c>
      <c r="J61" s="103">
        <f>SUM(D61,G61)</f>
        <v>0</v>
      </c>
      <c r="K61" s="135">
        <f>SUM(I61:J61)</f>
        <v>26</v>
      </c>
      <c r="L61" s="67"/>
      <c r="M61" s="122"/>
      <c r="N61" s="73"/>
      <c r="O61" s="123"/>
      <c r="P61" s="67"/>
      <c r="Q61" s="108"/>
      <c r="R61" s="634"/>
      <c r="S61" s="635"/>
      <c r="T61" s="136">
        <f>VLOOKUP($AN61,Early_Stats_Last_Year,VLOOKUP('Background Data'!$F$2,Inst_Tables,3,FALSE),FALSE)</f>
        <v>23</v>
      </c>
      <c r="U61" s="137">
        <f>VLOOKUP($AN61,Early_Stats_Last_Year,VLOOKUP('Background Data'!$F$2,Inst_Tables,4,FALSE),FALSE)</f>
        <v>0</v>
      </c>
      <c r="V61" s="472">
        <f t="shared" ref="V61" si="60">SUM(T61:U61)</f>
        <v>23</v>
      </c>
      <c r="W61" s="406"/>
      <c r="X61" s="138">
        <f>IF(T61&gt;0,($E61-T61)/T61,"")</f>
        <v>0.13043478260869565</v>
      </c>
      <c r="Y61" s="139" t="str">
        <f>IF(U61&gt;0,($H61-U61)/U61,"")</f>
        <v/>
      </c>
      <c r="Z61" s="393">
        <f>IF(V61&gt;0,($K61-V61)/V61,"")</f>
        <v>0.13043478260869565</v>
      </c>
      <c r="AA61" s="151"/>
      <c r="AB61" s="636"/>
      <c r="AC61" s="74"/>
      <c r="AD61" s="140">
        <f>VLOOKUP($AN61,Final_Figures,VLOOKUP('Background Data'!$F$2,Inst_Tables,3,FALSE),FALSE)</f>
        <v>23</v>
      </c>
      <c r="AE61" s="141">
        <f>VLOOKUP($AN61,Final_Figures,VLOOKUP('Background Data'!$F$2,Inst_Tables,4,FALSE),FALSE)</f>
        <v>0</v>
      </c>
      <c r="AF61" s="486">
        <f t="shared" ref="AF61:AF63" si="61">SUM(AD61:AE61)</f>
        <v>23</v>
      </c>
      <c r="AG61" s="490"/>
      <c r="AH61" s="473">
        <f>IF(AD61&gt;0,($E61-AD61)/AD61,"")</f>
        <v>0.13043478260869565</v>
      </c>
      <c r="AI61" s="142" t="str">
        <f>IF(AE61&gt;0,($H61-AE61)/AE61,"")</f>
        <v/>
      </c>
      <c r="AJ61" s="473">
        <f>IF(AF61&gt;0,($K61-AF61)/AF61,"")</f>
        <v>0.13043478260869565</v>
      </c>
      <c r="AK61" s="152"/>
      <c r="AL61" s="637"/>
      <c r="AN61" s="505">
        <v>24</v>
      </c>
    </row>
    <row r="62" spans="1:40" ht="30" customHeight="1">
      <c r="A62" s="304"/>
      <c r="B62" s="131" t="s">
        <v>247</v>
      </c>
      <c r="C62" s="133">
        <v>4862.1909999999998</v>
      </c>
      <c r="D62" s="132"/>
      <c r="E62" s="641">
        <f>SUM(C62:D62)</f>
        <v>4862.1909999999998</v>
      </c>
      <c r="F62" s="133">
        <v>11.006500000000001</v>
      </c>
      <c r="G62" s="132">
        <v>0.88649999999999995</v>
      </c>
      <c r="H62" s="153">
        <f>SUM(F62:G62)</f>
        <v>11.893000000000001</v>
      </c>
      <c r="I62" s="134">
        <f t="shared" ref="I62:I63" si="62">SUM(C62,F62)</f>
        <v>4873.1975000000002</v>
      </c>
      <c r="J62" s="103">
        <f t="shared" ref="J62:J63" si="63">SUM(D62,G62)</f>
        <v>0.88649999999999995</v>
      </c>
      <c r="K62" s="135">
        <f t="shared" ref="K62:K63" si="64">SUM(I62:J62)</f>
        <v>4874.0839999999998</v>
      </c>
      <c r="L62" s="67"/>
      <c r="M62" s="122"/>
      <c r="N62" s="73"/>
      <c r="O62" s="123"/>
      <c r="P62" s="67"/>
      <c r="Q62" s="108"/>
      <c r="R62" s="311"/>
      <c r="S62" s="468"/>
      <c r="T62" s="136">
        <f>VLOOKUP($AN62,Early_Stats_Last_Year,VLOOKUP('Background Data'!$F$2,Inst_Tables,3,FALSE),FALSE)</f>
        <v>4910.4300000000103</v>
      </c>
      <c r="U62" s="137">
        <f>VLOOKUP($AN62,Early_Stats_Last_Year,VLOOKUP('Background Data'!$F$2,Inst_Tables,4,FALSE),FALSE)</f>
        <v>9.077</v>
      </c>
      <c r="V62" s="472">
        <f t="shared" ref="V62:V63" si="65">SUM(T62:U62)</f>
        <v>4919.5070000000105</v>
      </c>
      <c r="W62" s="406"/>
      <c r="X62" s="138">
        <f>IF(T62&gt;0,($E62-T62)/T62,"")</f>
        <v>-9.8237832531999011E-3</v>
      </c>
      <c r="Y62" s="139">
        <f>IF(U62&gt;0,($H62-U62)/U62,"")</f>
        <v>0.31023465902831338</v>
      </c>
      <c r="Z62" s="393">
        <f>IF(V62&gt;0,($K62-V62)/V62,"")</f>
        <v>-9.2332422740755513E-3</v>
      </c>
      <c r="AA62" s="395"/>
      <c r="AB62" s="313"/>
      <c r="AC62" s="74"/>
      <c r="AD62" s="140">
        <f>VLOOKUP($AN62,Final_Figures,VLOOKUP('Background Data'!$F$2,Inst_Tables,3,FALSE),FALSE)</f>
        <v>4901.2790000000005</v>
      </c>
      <c r="AE62" s="141">
        <f>VLOOKUP($AN62,Final_Figures,VLOOKUP('Background Data'!$F$2,Inst_Tables,4,FALSE),FALSE)</f>
        <v>9.9634999999999998</v>
      </c>
      <c r="AF62" s="486">
        <f t="shared" si="61"/>
        <v>4911.2425000000003</v>
      </c>
      <c r="AG62" s="490"/>
      <c r="AH62" s="473">
        <f>IF(AD62&gt;0,($E62-AD62)/AD62,"")</f>
        <v>-7.9750612034125475E-3</v>
      </c>
      <c r="AI62" s="142">
        <f>IF(AE62&gt;0,($H62-AE62)/AE62,"")</f>
        <v>0.19365684749335083</v>
      </c>
      <c r="AJ62" s="473">
        <f>IF(AF62&gt;0,($K62-AF62)/AF62,"")</f>
        <v>-7.5660079908496589E-3</v>
      </c>
      <c r="AK62" s="152"/>
      <c r="AL62" s="465"/>
      <c r="AN62" s="504">
        <v>25</v>
      </c>
    </row>
    <row r="63" spans="1:40" ht="30" customHeight="1" thickBot="1">
      <c r="A63" s="304"/>
      <c r="B63" s="131" t="s">
        <v>128</v>
      </c>
      <c r="C63" s="1759">
        <v>6536.7089999999998</v>
      </c>
      <c r="D63" s="1739">
        <v>16.751000000000001</v>
      </c>
      <c r="E63" s="1740">
        <f>SUM(C63:D63)</f>
        <v>6553.46</v>
      </c>
      <c r="F63" s="1759">
        <v>218.1935</v>
      </c>
      <c r="G63" s="1739">
        <v>22.2515</v>
      </c>
      <c r="H63" s="1762">
        <f>SUM(F63:G63)</f>
        <v>240.44499999999999</v>
      </c>
      <c r="I63" s="1757">
        <f t="shared" si="62"/>
        <v>6754.9025000000001</v>
      </c>
      <c r="J63" s="1741">
        <f t="shared" si="63"/>
        <v>39.002499999999998</v>
      </c>
      <c r="K63" s="1742">
        <f t="shared" si="64"/>
        <v>6793.9049999999997</v>
      </c>
      <c r="L63" s="67"/>
      <c r="M63" s="122"/>
      <c r="N63" s="73"/>
      <c r="O63" s="123"/>
      <c r="P63" s="67"/>
      <c r="Q63" s="108"/>
      <c r="R63" s="311"/>
      <c r="S63" s="468"/>
      <c r="T63" s="136">
        <f>VLOOKUP($AN63,Early_Stats_Last_Year,VLOOKUP('Background Data'!$F$2,Inst_Tables,3,FALSE),FALSE)</f>
        <v>6431.27</v>
      </c>
      <c r="U63" s="137">
        <f>VLOOKUP($AN63,Early_Stats_Last_Year,VLOOKUP('Background Data'!$F$2,Inst_Tables,4,FALSE),FALSE)</f>
        <v>223.81300000000002</v>
      </c>
      <c r="V63" s="472">
        <f t="shared" si="65"/>
        <v>6655.0830000000005</v>
      </c>
      <c r="W63" s="406"/>
      <c r="X63" s="138">
        <f>IF(T63&gt;0,($E63-T63)/T63,"")</f>
        <v>1.8999357825126233E-2</v>
      </c>
      <c r="Y63" s="139">
        <f>IF(U63&gt;0,($H63-U63)/U63,"")</f>
        <v>7.431203728112297E-2</v>
      </c>
      <c r="Z63" s="393">
        <f>IF(V63&gt;0,($K63-V63)/V63,"")</f>
        <v>2.0859544501548546E-2</v>
      </c>
      <c r="AA63" s="395"/>
      <c r="AB63" s="313"/>
      <c r="AC63" s="74"/>
      <c r="AD63" s="140">
        <f>VLOOKUP($AN63,Final_Figures,VLOOKUP('Background Data'!$F$2,Inst_Tables,3,FALSE),FALSE)</f>
        <v>6448.0209999999997</v>
      </c>
      <c r="AE63" s="141">
        <f>VLOOKUP($AN63,Final_Figures,VLOOKUP('Background Data'!$F$2,Inst_Tables,4,FALSE),FALSE)</f>
        <v>230.2645</v>
      </c>
      <c r="AF63" s="486">
        <f t="shared" si="61"/>
        <v>6678.2855</v>
      </c>
      <c r="AG63" s="490"/>
      <c r="AH63" s="473">
        <f>IF(AD63&gt;0,($E63-AD63)/AD63,"")</f>
        <v>1.6352148977182349E-2</v>
      </c>
      <c r="AI63" s="142">
        <f>IF(AE63&gt;0,($H63-AE63)/AE63,"")</f>
        <v>4.4212199448894617E-2</v>
      </c>
      <c r="AJ63" s="473">
        <f>IF(AF63&gt;0,($K63-AF63)/AF63,"")</f>
        <v>1.7312751903164336E-2</v>
      </c>
      <c r="AK63" s="152"/>
      <c r="AL63" s="465"/>
      <c r="AN63" s="504">
        <v>26</v>
      </c>
    </row>
    <row r="64" spans="1:40" ht="35.1" customHeight="1" thickBot="1">
      <c r="A64" s="304"/>
      <c r="B64" s="167" t="s">
        <v>2</v>
      </c>
      <c r="C64" s="1763">
        <f t="shared" ref="C64:K64" si="66">SUM(C38:C43,C48:C63)</f>
        <v>13438.9</v>
      </c>
      <c r="D64" s="1764">
        <f t="shared" si="66"/>
        <v>16.751000000000001</v>
      </c>
      <c r="E64" s="1765">
        <f t="shared" si="66"/>
        <v>13455.651</v>
      </c>
      <c r="F64" s="1766">
        <f t="shared" si="66"/>
        <v>234.15</v>
      </c>
      <c r="G64" s="1767">
        <f t="shared" si="66"/>
        <v>23.138000000000002</v>
      </c>
      <c r="H64" s="1768">
        <f t="shared" si="66"/>
        <v>257.28800000000001</v>
      </c>
      <c r="I64" s="1766">
        <f t="shared" si="66"/>
        <v>13673.05</v>
      </c>
      <c r="J64" s="1767">
        <f t="shared" si="66"/>
        <v>39.888999999999996</v>
      </c>
      <c r="K64" s="1765">
        <f t="shared" si="66"/>
        <v>13712.938999999998</v>
      </c>
      <c r="L64" s="67"/>
      <c r="M64" s="144"/>
      <c r="N64" s="145"/>
      <c r="O64" s="146"/>
      <c r="P64" s="67"/>
      <c r="Q64" s="147"/>
      <c r="R64" s="311"/>
      <c r="S64" s="468"/>
      <c r="T64" s="168">
        <f>SUM(T38:T63)</f>
        <v>13304.700000000012</v>
      </c>
      <c r="U64" s="148">
        <f t="shared" ref="U64:V64" si="67">SUM(U38:U63)</f>
        <v>235.51700000000002</v>
      </c>
      <c r="V64" s="148">
        <f t="shared" si="67"/>
        <v>13540.217000000011</v>
      </c>
      <c r="W64" s="391"/>
      <c r="X64" s="149">
        <f>IF(T64&gt;0,($E64-T64)/T64,"")</f>
        <v>1.1345689868992767E-2</v>
      </c>
      <c r="Y64" s="150">
        <f>IF(U64&gt;0,($H64-U64)/U64,"")</f>
        <v>9.2439186980133009E-2</v>
      </c>
      <c r="Z64" s="394">
        <f>IF(V64&gt;0,($K64-V64)/V64,"")</f>
        <v>1.2756220967506419E-2</v>
      </c>
      <c r="AA64" s="396"/>
      <c r="AB64" s="313"/>
      <c r="AC64" s="74"/>
      <c r="AD64" s="703">
        <f>SUM(AD38:AD63)</f>
        <v>13305.3</v>
      </c>
      <c r="AE64" s="704">
        <f t="shared" ref="AE64" si="68">SUM(AE38:AE63)</f>
        <v>242.85499999999999</v>
      </c>
      <c r="AF64" s="704">
        <f t="shared" ref="AF64" si="69">SUM(AF38:AF63)</f>
        <v>13548.155000000001</v>
      </c>
      <c r="AG64" s="490"/>
      <c r="AH64" s="481">
        <f>IF(AD64&gt;0,($E64-AD64)/AD64,"")</f>
        <v>1.130008342540195E-2</v>
      </c>
      <c r="AI64" s="156">
        <f>IF(AE64&gt;0,($H64-AE64)/AE64,"")</f>
        <v>5.9430524386979974E-2</v>
      </c>
      <c r="AJ64" s="481">
        <f>IF(AF64&gt;0,($K64-AF64)/AF64,"")</f>
        <v>1.2162836932408718E-2</v>
      </c>
      <c r="AK64" s="152"/>
      <c r="AL64" s="465"/>
      <c r="AN64" s="506"/>
    </row>
    <row r="65" spans="1:40" ht="35.1" customHeight="1" thickBot="1">
      <c r="A65" s="304"/>
      <c r="B65" s="98" t="s">
        <v>77</v>
      </c>
      <c r="C65" s="170">
        <f>SUM(C12,C17,C34,C64)</f>
        <v>16119.9</v>
      </c>
      <c r="D65" s="169">
        <f t="shared" ref="D65:K65" si="70">SUM(D12,D17,D34,D64)</f>
        <v>16.751000000000001</v>
      </c>
      <c r="E65" s="104">
        <f>SUM(E12,E17,E34,E64)</f>
        <v>16136.651</v>
      </c>
      <c r="F65" s="170">
        <f t="shared" si="70"/>
        <v>778.46599999999989</v>
      </c>
      <c r="G65" s="171">
        <f t="shared" si="70"/>
        <v>99.638000000000005</v>
      </c>
      <c r="H65" s="169">
        <f t="shared" si="70"/>
        <v>878.10399999999993</v>
      </c>
      <c r="I65" s="172">
        <f t="shared" si="70"/>
        <v>16898.365999999998</v>
      </c>
      <c r="J65" s="171">
        <f t="shared" si="70"/>
        <v>116.389</v>
      </c>
      <c r="K65" s="104">
        <f t="shared" si="70"/>
        <v>17014.754999999997</v>
      </c>
      <c r="L65" s="67"/>
      <c r="M65" s="172">
        <f>SUM(M15,M23,M27:M30,M38:M43,M48:M59)</f>
        <v>385</v>
      </c>
      <c r="N65" s="171">
        <f>SUM(N15,N23,N27:N30,N38:N43,N48:N59)</f>
        <v>0</v>
      </c>
      <c r="O65" s="104">
        <f>SUM(O15,O23,O27:O30,O38:O43,O48:O59)</f>
        <v>385</v>
      </c>
      <c r="P65" s="67"/>
      <c r="Q65" s="686">
        <f>SUM(Q15,Q23,Q27:Q30,Q38:Q43,Q48:Q59)</f>
        <v>2836.95</v>
      </c>
      <c r="R65" s="311"/>
      <c r="S65" s="468"/>
      <c r="T65" s="173">
        <f>SUM(T12,T17,T34,T64)</f>
        <v>16349.700000000012</v>
      </c>
      <c r="U65" s="174">
        <f>SUM(U12,U17,U34,U64)</f>
        <v>873.61533500000007</v>
      </c>
      <c r="V65" s="174">
        <f>SUM(T65:U65)</f>
        <v>17223.31533500001</v>
      </c>
      <c r="W65" s="391">
        <f>SUM(W15,W23,W27,W28,W38,W40:W43,W45:W56,W58:W59)</f>
        <v>377</v>
      </c>
      <c r="X65" s="149">
        <f>IF(T65&gt;0,($E65-T65)/T65,"")</f>
        <v>-1.3030758974171492E-2</v>
      </c>
      <c r="Y65" s="150">
        <f>IF(U65&gt;0,($H65-U65)/U65,"")</f>
        <v>5.1380336632939885E-3</v>
      </c>
      <c r="Z65" s="394">
        <f>IF(V65&gt;0,($K65-V65)/V65,"")</f>
        <v>-1.210918635253639E-2</v>
      </c>
      <c r="AA65" s="408"/>
      <c r="AB65" s="313"/>
      <c r="AC65" s="74"/>
      <c r="AD65" s="175">
        <f>SUM(AD12,AD17,AD34,AD64)</f>
        <v>16383.3</v>
      </c>
      <c r="AE65" s="176">
        <f>SUM(AE12,AE17,AE34,AE64)</f>
        <v>913.47444600000006</v>
      </c>
      <c r="AF65" s="483">
        <f>SUM(AD65:AE65)</f>
        <v>17296.774445999999</v>
      </c>
      <c r="AG65" s="113">
        <f>SUM(AG15,AG23,AG27,AG28,AG38,AG40:AG43,AG45:AG56,AG58:AG59)</f>
        <v>378</v>
      </c>
      <c r="AH65" s="705">
        <f>IF(AD65&gt;0,($E65-AD65)/AD65,"")</f>
        <v>-1.5054903468776097E-2</v>
      </c>
      <c r="AI65" s="706">
        <f>IF(AE65&gt;0,($H65-AE65)/AE65,"")</f>
        <v>-3.8720783219370024E-2</v>
      </c>
      <c r="AJ65" s="705">
        <f>IF(AF65&gt;0,($K65-AF65)/AF65,"")</f>
        <v>-1.63047420708675E-2</v>
      </c>
      <c r="AK65" s="494"/>
      <c r="AL65" s="465"/>
      <c r="AN65" s="812"/>
    </row>
    <row r="66" spans="1:40" ht="24.95" customHeight="1">
      <c r="A66" s="476"/>
      <c r="B66" s="379" t="s">
        <v>78</v>
      </c>
      <c r="C66" s="379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311"/>
      <c r="S66" s="468"/>
      <c r="T66" s="179"/>
      <c r="U66" s="179"/>
      <c r="V66" s="179"/>
      <c r="W66" s="179"/>
      <c r="X66" s="177"/>
      <c r="Y66" s="177"/>
      <c r="Z66" s="177"/>
      <c r="AA66" s="177"/>
      <c r="AB66" s="313"/>
      <c r="AC66" s="74"/>
      <c r="AD66" s="178"/>
      <c r="AE66" s="178"/>
      <c r="AF66" s="178"/>
      <c r="AG66" s="178"/>
      <c r="AH66" s="74"/>
      <c r="AI66" s="74"/>
      <c r="AJ66" s="74"/>
      <c r="AK66" s="74"/>
      <c r="AL66" s="465"/>
      <c r="AN66" s="504">
        <v>27</v>
      </c>
    </row>
    <row r="67" spans="1:40">
      <c r="A67" s="308"/>
      <c r="B67" s="1369"/>
      <c r="C67" s="1369"/>
      <c r="D67" s="1369"/>
      <c r="E67" s="1369"/>
      <c r="F67" s="1369"/>
      <c r="G67" s="1369"/>
      <c r="H67" s="1369"/>
      <c r="I67" s="1369"/>
      <c r="J67" s="1369"/>
      <c r="K67" s="1369"/>
      <c r="L67" s="1369"/>
      <c r="M67" s="1369"/>
      <c r="N67" s="1369"/>
      <c r="O67" s="1369"/>
      <c r="P67" s="1369"/>
      <c r="Q67" s="1369"/>
      <c r="R67" s="314"/>
      <c r="S67" s="315"/>
      <c r="T67" s="1359"/>
      <c r="U67" s="1359"/>
      <c r="V67" s="1359"/>
      <c r="W67" s="1359"/>
      <c r="X67" s="1359"/>
      <c r="Y67" s="1359"/>
      <c r="Z67" s="1359"/>
      <c r="AA67" s="1359"/>
      <c r="AB67" s="316"/>
      <c r="AC67" s="1365"/>
      <c r="AD67" s="1365"/>
      <c r="AE67" s="1365"/>
      <c r="AF67" s="1365"/>
      <c r="AG67" s="1365"/>
      <c r="AH67" s="1365"/>
      <c r="AI67" s="1365"/>
      <c r="AJ67" s="1365"/>
      <c r="AK67" s="1365"/>
      <c r="AL67" s="477"/>
    </row>
  </sheetData>
  <sheetProtection password="E23E" sheet="1" objects="1" scenarios="1"/>
  <mergeCells count="23">
    <mergeCell ref="AH6:AK6"/>
    <mergeCell ref="C3:F3"/>
    <mergeCell ref="C6:K6"/>
    <mergeCell ref="C7:E7"/>
    <mergeCell ref="F7:H7"/>
    <mergeCell ref="M6:O7"/>
    <mergeCell ref="I7:K7"/>
    <mergeCell ref="AN6:AN7"/>
    <mergeCell ref="T7:T8"/>
    <mergeCell ref="U7:U8"/>
    <mergeCell ref="T6:V6"/>
    <mergeCell ref="Q6:Q8"/>
    <mergeCell ref="AD6:AF6"/>
    <mergeCell ref="AD7:AD8"/>
    <mergeCell ref="AE7:AE8"/>
    <mergeCell ref="AH7:AH8"/>
    <mergeCell ref="AI7:AI8"/>
    <mergeCell ref="AG6:AG8"/>
    <mergeCell ref="W6:W8"/>
    <mergeCell ref="X6:AA6"/>
    <mergeCell ref="X7:Z7"/>
    <mergeCell ref="AA7:AA8"/>
    <mergeCell ref="AK7:AK8"/>
  </mergeCells>
  <dataValidations count="3">
    <dataValidation allowBlank="1" sqref="B6:B7 T1:T4 M1:O3 P1:P4 N4:O5 I2:J4 F4:H4 G2:H3 F65:K65 P5:R6 R1:R4 M4:M6 AA7 T6:T7 X6:X8 X5:AA5 Y8:Z8 F7:F11 AD4 I7:I11 AI7:AJ7 AD6:AD7 AH6:AH7 AD5:AJ5 J8:O11 AE7:AF7 AN9:AN11 U7:V7 AK4:AK5 M57:N57 M44:N45 M16:N20 M31:N37 M12:N14 C6:C8 C13:G14 C17:G20 C44:G45 C57:G57 C60:G60 F64:G64 I12:K22 C24:K24 I25:K26 I32:K33 M60:N65 M24:N24 AL2:AU3 F34:K34 F35:G37 M53:N53 Z2 AV1:DX3 C34:E37 C64:E65 C9:E11 D8:E8 T9:AA43 AB4:AC43 S1:S43 R7:R43 H8:H20 G8:G11 P7:P11 F5:L5 C31:K31 W2 I29:K30 C28:K28 C49:G49 AO7:DV65 C53:G53 O12:P43 AL4:DU6 AK7:AM43 AD9:AJ43 Q9:Q43 M49:N49 M28:N28 B12:B65 H49:K64 H35:K47 L12:L65 O44:AM65" xr:uid="{00000000-0002-0000-0200-000000000000}"/>
    <dataValidation type="whole" operator="greaterThanOrEqual" allowBlank="1" showInputMessage="1" showErrorMessage="1" errorTitle="ERROR!" error="Invalid Entry" sqref="E58:E59 E61:E63 H32:H33 E12 E15:E16 E38:E43 E21:E23 K23 H21:H23 K27 H25:H27 E29:E30 E32:E33 H29:H30 E25:E27 E54:E56 E50:E52 H48 K48 E46:E48" xr:uid="{00000000-0002-0000-0200-000001000000}">
      <formula1>0</formula1>
    </dataValidation>
    <dataValidation type="decimal" operator="greaterThanOrEqual" allowBlank="1" showInputMessage="1" showErrorMessage="1" errorTitle="ERROR!" error="Invalid Entry" sqref="C12:D12 F12:G12 F15:G16 M15:N15 M58:N59 M29:N30 C58:D59 F58:G59 F61:G63 C38:D43 F32:G33 C21:D23 I23:J23 F21:G23 I27:J27 C32:D33 C15:D16 M21:N23 F54:G56 C54:D56 C29:D30 C61:D63 F29:G30 M38:N43 F38:G43 F25:G27 C25:D27 M46:N48 C46:D48 C50:D52 F50:G52 M25:N27 M54:N56 M50:N52 I48:J48 F46:G48" xr:uid="{00000000-0002-0000-0200-000002000000}">
      <formula1>0</formula1>
    </dataValidation>
  </dataValidations>
  <pageMargins left="0.19685039370078741" right="0.19685039370078741" top="0.19685039370078741" bottom="0.39370078740157483" header="0" footer="0"/>
  <pageSetup paperSize="8" scale="62" fitToHeight="2" orientation="landscape" r:id="rId1"/>
  <headerFooter alignWithMargins="0"/>
  <rowBreaks count="1" manualBreakCount="1">
    <brk id="34" min="1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W75"/>
  <sheetViews>
    <sheetView topLeftCell="A58" zoomScale="80" zoomScaleNormal="80" workbookViewId="0">
      <selection activeCell="D80" sqref="D80"/>
    </sheetView>
  </sheetViews>
  <sheetFormatPr defaultColWidth="9.140625" defaultRowHeight="15"/>
  <cols>
    <col min="1" max="1" width="2.7109375" style="507" customWidth="1"/>
    <col min="2" max="2" width="45.85546875" style="507" customWidth="1"/>
    <col min="3" max="7" width="12.7109375" style="507" customWidth="1"/>
    <col min="8" max="8" width="15.7109375" style="507" customWidth="1"/>
    <col min="9" max="9" width="3.7109375" style="812" customWidth="1"/>
    <col min="10" max="15" width="12.7109375" style="507" customWidth="1"/>
    <col min="16" max="17" width="4.7109375" style="509" customWidth="1"/>
    <col min="18" max="18" width="33.28515625" style="507" customWidth="1"/>
    <col min="19" max="19" width="2.7109375" style="510" customWidth="1"/>
    <col min="20" max="21" width="12.7109375" style="507" customWidth="1"/>
    <col min="22" max="22" width="25.7109375" style="507" customWidth="1"/>
    <col min="23" max="23" width="5.7109375" style="507" customWidth="1"/>
    <col min="24" max="16384" width="9.140625" style="507"/>
  </cols>
  <sheetData>
    <row r="1" spans="1:23" ht="39.950000000000003" customHeight="1">
      <c r="A1" s="446"/>
      <c r="B1" s="192" t="str">
        <f>IF($H$4=0,"Your Institution Does Not Complete This Table","")</f>
        <v/>
      </c>
      <c r="C1" s="2"/>
      <c r="D1" s="2"/>
      <c r="E1" s="2"/>
      <c r="F1" s="2"/>
      <c r="G1" s="2"/>
      <c r="H1" s="2"/>
      <c r="I1" s="224"/>
      <c r="J1" s="2"/>
      <c r="K1" s="2"/>
      <c r="L1" s="2"/>
      <c r="M1" s="2"/>
      <c r="N1" s="2"/>
      <c r="O1" s="2"/>
      <c r="P1" s="3"/>
      <c r="Q1" s="3"/>
      <c r="R1" s="2"/>
      <c r="S1" s="40"/>
      <c r="T1" s="2"/>
      <c r="U1" s="2"/>
      <c r="V1" s="2"/>
      <c r="W1" s="184"/>
    </row>
    <row r="2" spans="1:23" ht="30" customHeight="1">
      <c r="A2" s="1484"/>
      <c r="B2" s="458" t="s">
        <v>257</v>
      </c>
      <c r="C2" s="1447"/>
      <c r="D2" s="1447"/>
      <c r="E2" s="1447"/>
      <c r="F2" s="1447"/>
      <c r="G2" s="1447"/>
      <c r="H2" s="1447"/>
      <c r="I2" s="1828"/>
      <c r="J2" s="1447"/>
      <c r="K2" s="1447"/>
      <c r="L2" s="1447"/>
      <c r="M2" s="1447"/>
      <c r="N2" s="1447"/>
      <c r="O2" s="1829"/>
      <c r="P2" s="1830"/>
      <c r="Q2" s="290"/>
      <c r="R2" s="5"/>
      <c r="S2" s="828"/>
      <c r="T2" s="5"/>
      <c r="U2" s="5"/>
      <c r="V2" s="5"/>
      <c r="W2" s="184"/>
    </row>
    <row r="3" spans="1:23" ht="15" customHeight="1" thickBot="1">
      <c r="A3" s="1025"/>
      <c r="B3" s="317"/>
      <c r="C3" s="6"/>
      <c r="D3" s="6"/>
      <c r="E3" s="6"/>
      <c r="F3" s="6"/>
      <c r="G3" s="6"/>
      <c r="H3" s="6"/>
      <c r="I3" s="1053"/>
      <c r="J3" s="6"/>
      <c r="K3" s="6"/>
      <c r="L3" s="6"/>
      <c r="M3" s="6"/>
      <c r="N3" s="6"/>
      <c r="O3" s="6"/>
      <c r="P3" s="1058"/>
      <c r="Q3" s="15"/>
      <c r="R3" s="5"/>
      <c r="S3" s="828"/>
      <c r="T3" s="5"/>
      <c r="U3" s="5"/>
      <c r="V3" s="5"/>
      <c r="W3" s="184"/>
    </row>
    <row r="4" spans="1:23" ht="35.1" customHeight="1" thickBot="1">
      <c r="A4" s="1025"/>
      <c r="B4" s="633" t="s">
        <v>0</v>
      </c>
      <c r="C4" s="2580" t="str">
        <f>'Background Data'!$G$2</f>
        <v>Glasgow, University of</v>
      </c>
      <c r="D4" s="2581"/>
      <c r="E4" s="2581"/>
      <c r="F4" s="2581"/>
      <c r="G4" s="2582"/>
      <c r="H4" s="632">
        <f>VLOOKUP('Background Data'!$F$2,Inst_Tables,6,FALSE)</f>
        <v>1</v>
      </c>
      <c r="I4" s="1062"/>
      <c r="J4" s="7"/>
      <c r="K4" s="183"/>
      <c r="L4" s="6"/>
      <c r="M4" s="6"/>
      <c r="N4" s="6"/>
      <c r="O4" s="6"/>
      <c r="P4" s="1058"/>
      <c r="Q4" s="15"/>
      <c r="R4" s="5"/>
      <c r="S4" s="828"/>
      <c r="T4" s="5"/>
      <c r="U4" s="5"/>
      <c r="V4" s="5"/>
      <c r="W4" s="184"/>
    </row>
    <row r="5" spans="1:23" ht="30" customHeight="1">
      <c r="A5" s="1025"/>
      <c r="B5" s="11" t="s">
        <v>495</v>
      </c>
      <c r="C5" s="8"/>
      <c r="D5" s="8"/>
      <c r="E5" s="8"/>
      <c r="F5" s="8"/>
      <c r="G5" s="9"/>
      <c r="H5" s="9"/>
      <c r="I5" s="224"/>
      <c r="J5" s="10"/>
      <c r="K5" s="6"/>
      <c r="L5" s="6"/>
      <c r="M5" s="6"/>
      <c r="N5" s="6"/>
      <c r="O5" s="6"/>
      <c r="P5" s="1058"/>
      <c r="Q5" s="15"/>
      <c r="R5" s="5"/>
      <c r="S5" s="828"/>
      <c r="T5" s="5"/>
      <c r="U5" s="5"/>
      <c r="V5" s="5"/>
      <c r="W5" s="184"/>
    </row>
    <row r="6" spans="1:23" ht="24.95" customHeight="1">
      <c r="A6" s="1025"/>
      <c r="B6" s="11" t="s">
        <v>537</v>
      </c>
      <c r="C6" s="8"/>
      <c r="D6" s="8"/>
      <c r="E6" s="8"/>
      <c r="F6" s="8"/>
      <c r="G6" s="9"/>
      <c r="H6" s="9"/>
      <c r="I6" s="224"/>
      <c r="J6" s="10"/>
      <c r="K6" s="6"/>
      <c r="L6" s="6"/>
      <c r="M6" s="6"/>
      <c r="N6" s="6"/>
      <c r="O6" s="6"/>
      <c r="P6" s="1058"/>
      <c r="Q6" s="15"/>
      <c r="R6" s="5"/>
      <c r="S6" s="828"/>
      <c r="T6" s="5"/>
      <c r="U6" s="5"/>
      <c r="V6" s="5"/>
      <c r="W6" s="184"/>
    </row>
    <row r="7" spans="1:23" ht="15" customHeight="1" thickBot="1">
      <c r="A7" s="1025"/>
      <c r="B7" s="318"/>
      <c r="C7" s="6"/>
      <c r="D7" s="6"/>
      <c r="E7" s="6"/>
      <c r="F7" s="6"/>
      <c r="G7" s="291"/>
      <c r="H7" s="6"/>
      <c r="I7" s="1053"/>
      <c r="J7" s="6"/>
      <c r="K7" s="6"/>
      <c r="L7" s="6"/>
      <c r="M7" s="6"/>
      <c r="N7" s="6"/>
      <c r="O7" s="6"/>
      <c r="P7" s="1058"/>
      <c r="Q7" s="15"/>
      <c r="R7" s="5"/>
      <c r="S7" s="828"/>
      <c r="T7" s="5"/>
      <c r="U7" s="5"/>
      <c r="V7" s="5"/>
      <c r="W7" s="184"/>
    </row>
    <row r="8" spans="1:23" ht="35.1" customHeight="1">
      <c r="A8" s="1025"/>
      <c r="B8" s="320"/>
      <c r="C8" s="2589" t="s">
        <v>403</v>
      </c>
      <c r="D8" s="2590"/>
      <c r="E8" s="2590"/>
      <c r="F8" s="2590"/>
      <c r="G8" s="2590"/>
      <c r="H8" s="2591"/>
      <c r="I8" s="1053"/>
      <c r="J8" s="2586" t="s">
        <v>365</v>
      </c>
      <c r="K8" s="2587"/>
      <c r="L8" s="2587"/>
      <c r="M8" s="2587"/>
      <c r="N8" s="2587"/>
      <c r="O8" s="2588"/>
      <c r="P8" s="1058"/>
      <c r="Q8" s="15"/>
      <c r="R8" s="5"/>
      <c r="S8" s="828"/>
      <c r="T8" s="5"/>
      <c r="U8" s="5"/>
      <c r="V8" s="5"/>
      <c r="W8" s="184"/>
    </row>
    <row r="9" spans="1:23" ht="35.1" customHeight="1">
      <c r="A9" s="1025"/>
      <c r="B9" s="2604" t="s">
        <v>151</v>
      </c>
      <c r="C9" s="2594" t="s">
        <v>133</v>
      </c>
      <c r="D9" s="2595"/>
      <c r="E9" s="2596"/>
      <c r="F9" s="2605" t="s">
        <v>286</v>
      </c>
      <c r="G9" s="2607" t="s">
        <v>217</v>
      </c>
      <c r="H9" s="2592" t="s">
        <v>310</v>
      </c>
      <c r="I9" s="1063"/>
      <c r="J9" s="2583" t="s">
        <v>26</v>
      </c>
      <c r="K9" s="2584"/>
      <c r="L9" s="2584"/>
      <c r="M9" s="2584"/>
      <c r="N9" s="2584"/>
      <c r="O9" s="2585"/>
      <c r="P9" s="1058"/>
      <c r="Q9" s="15"/>
      <c r="R9" s="5"/>
      <c r="S9" s="828"/>
      <c r="T9" s="5"/>
      <c r="U9" s="5"/>
      <c r="V9" s="5"/>
      <c r="W9" s="184"/>
    </row>
    <row r="10" spans="1:23" ht="45" customHeight="1" thickBot="1">
      <c r="A10" s="1025"/>
      <c r="B10" s="2604"/>
      <c r="C10" s="1446" t="s">
        <v>352</v>
      </c>
      <c r="D10" s="1531" t="s">
        <v>353</v>
      </c>
      <c r="E10" s="1452" t="s">
        <v>2</v>
      </c>
      <c r="F10" s="2606"/>
      <c r="G10" s="2607"/>
      <c r="H10" s="2593"/>
      <c r="I10" s="1053"/>
      <c r="J10" s="1831">
        <v>1</v>
      </c>
      <c r="K10" s="1832" t="s">
        <v>12</v>
      </c>
      <c r="L10" s="1832" t="s">
        <v>13</v>
      </c>
      <c r="M10" s="1832" t="s">
        <v>14</v>
      </c>
      <c r="N10" s="1833" t="s">
        <v>15</v>
      </c>
      <c r="O10" s="1834" t="s">
        <v>2</v>
      </c>
      <c r="P10" s="1059"/>
      <c r="Q10" s="19"/>
      <c r="R10" s="1532" t="s">
        <v>404</v>
      </c>
      <c r="S10" s="828"/>
      <c r="T10" s="1822" t="s">
        <v>405</v>
      </c>
      <c r="U10" s="1822"/>
      <c r="V10" s="1822"/>
      <c r="W10" s="184"/>
    </row>
    <row r="11" spans="1:23" ht="24.95" customHeight="1">
      <c r="A11" s="1025"/>
      <c r="B11" s="321"/>
      <c r="C11" s="13" t="s">
        <v>16</v>
      </c>
      <c r="D11" s="1470" t="s">
        <v>16</v>
      </c>
      <c r="E11" s="1471" t="s">
        <v>16</v>
      </c>
      <c r="F11" s="364" t="s">
        <v>16</v>
      </c>
      <c r="G11" s="531" t="s">
        <v>16</v>
      </c>
      <c r="H11" s="531" t="s">
        <v>25</v>
      </c>
      <c r="I11" s="1053"/>
      <c r="J11" s="13" t="s">
        <v>16</v>
      </c>
      <c r="K11" s="1470" t="s">
        <v>16</v>
      </c>
      <c r="L11" s="1470" t="s">
        <v>16</v>
      </c>
      <c r="M11" s="1470" t="s">
        <v>16</v>
      </c>
      <c r="N11" s="1055" t="s">
        <v>16</v>
      </c>
      <c r="O11" s="1471" t="s">
        <v>16</v>
      </c>
      <c r="P11" s="1059"/>
      <c r="Q11" s="12"/>
      <c r="R11" s="2599" t="s">
        <v>146</v>
      </c>
      <c r="S11" s="828"/>
      <c r="T11" s="2601" t="s">
        <v>152</v>
      </c>
      <c r="U11" s="2602"/>
      <c r="V11" s="2603"/>
      <c r="W11" s="184"/>
    </row>
    <row r="12" spans="1:23" ht="24.95" customHeight="1" thickBot="1">
      <c r="A12" s="1025"/>
      <c r="B12" s="322"/>
      <c r="C12" s="22" t="s">
        <v>29</v>
      </c>
      <c r="D12" s="1060" t="s">
        <v>29</v>
      </c>
      <c r="E12" s="1835" t="s">
        <v>54</v>
      </c>
      <c r="F12" s="562" t="s">
        <v>29</v>
      </c>
      <c r="G12" s="532" t="s">
        <v>54</v>
      </c>
      <c r="H12" s="532" t="s">
        <v>29</v>
      </c>
      <c r="I12" s="1053"/>
      <c r="J12" s="22" t="s">
        <v>29</v>
      </c>
      <c r="K12" s="1836" t="s">
        <v>29</v>
      </c>
      <c r="L12" s="1836" t="s">
        <v>29</v>
      </c>
      <c r="M12" s="1836" t="s">
        <v>29</v>
      </c>
      <c r="N12" s="1836" t="s">
        <v>29</v>
      </c>
      <c r="O12" s="1835" t="s">
        <v>54</v>
      </c>
      <c r="P12" s="1058"/>
      <c r="Q12" s="15"/>
      <c r="R12" s="2600"/>
      <c r="S12" s="828"/>
      <c r="T12" s="1823" t="s">
        <v>58</v>
      </c>
      <c r="U12" s="2597" t="s">
        <v>153</v>
      </c>
      <c r="V12" s="1824" t="s">
        <v>66</v>
      </c>
      <c r="W12" s="184"/>
    </row>
    <row r="13" spans="1:23" ht="24.95" customHeight="1" thickBot="1">
      <c r="A13" s="1025"/>
      <c r="B13" s="323"/>
      <c r="C13" s="410">
        <v>1</v>
      </c>
      <c r="D13" s="422">
        <v>2</v>
      </c>
      <c r="E13" s="533">
        <v>3</v>
      </c>
      <c r="F13" s="563">
        <v>4</v>
      </c>
      <c r="G13" s="533">
        <v>5</v>
      </c>
      <c r="H13" s="533">
        <v>6</v>
      </c>
      <c r="I13" s="1064"/>
      <c r="J13" s="410">
        <v>7</v>
      </c>
      <c r="K13" s="411">
        <v>8</v>
      </c>
      <c r="L13" s="411">
        <v>9</v>
      </c>
      <c r="M13" s="411">
        <v>10</v>
      </c>
      <c r="N13" s="411">
        <v>11</v>
      </c>
      <c r="O13" s="412">
        <v>12</v>
      </c>
      <c r="P13" s="1058"/>
      <c r="Q13" s="15"/>
      <c r="R13" s="1091"/>
      <c r="S13" s="828"/>
      <c r="T13" s="1825"/>
      <c r="U13" s="2598"/>
      <c r="V13" s="1248"/>
      <c r="W13" s="184"/>
    </row>
    <row r="14" spans="1:23" s="812" customFormat="1" ht="15" customHeight="1">
      <c r="A14" s="1082"/>
      <c r="B14" s="1053"/>
      <c r="C14" s="1053"/>
      <c r="D14" s="1053"/>
      <c r="E14" s="1053"/>
      <c r="F14" s="1053"/>
      <c r="G14" s="1053"/>
      <c r="H14" s="1053"/>
      <c r="I14" s="1053"/>
      <c r="J14" s="1053"/>
      <c r="K14" s="1053"/>
      <c r="L14" s="1053"/>
      <c r="M14" s="1053"/>
      <c r="N14" s="1053"/>
      <c r="O14" s="1053"/>
      <c r="P14" s="1246"/>
      <c r="Q14" s="1081"/>
      <c r="R14" s="224"/>
      <c r="S14" s="224"/>
      <c r="T14" s="224"/>
      <c r="U14" s="224"/>
      <c r="V14" s="224"/>
      <c r="W14" s="224"/>
    </row>
    <row r="15" spans="1:23" ht="30" customHeight="1" thickBot="1">
      <c r="A15" s="1025"/>
      <c r="B15" s="1929" t="s">
        <v>91</v>
      </c>
      <c r="C15" s="1515"/>
      <c r="D15" s="1515"/>
      <c r="E15" s="1515"/>
      <c r="F15" s="1515"/>
      <c r="G15" s="1516"/>
      <c r="H15" s="1516"/>
      <c r="I15" s="1053"/>
      <c r="J15" s="1517"/>
      <c r="K15" s="1517"/>
      <c r="L15" s="1517"/>
      <c r="M15" s="1517"/>
      <c r="N15" s="1517"/>
      <c r="O15" s="1517"/>
      <c r="P15" s="1058"/>
      <c r="Q15" s="15"/>
      <c r="R15" s="828"/>
      <c r="S15" s="828"/>
      <c r="T15" s="828"/>
      <c r="U15" s="828"/>
      <c r="V15" s="828"/>
      <c r="W15" s="184"/>
    </row>
    <row r="16" spans="1:23" ht="30" customHeight="1" thickBot="1">
      <c r="A16" s="2473">
        <f>VLOOKUP('Background Data'!$F$2,Inst_Tables,18,FALSE)</f>
        <v>1</v>
      </c>
      <c r="B16" s="324" t="s">
        <v>348</v>
      </c>
      <c r="C16" s="2278"/>
      <c r="D16" s="2279"/>
      <c r="E16" s="2279"/>
      <c r="F16" s="2279"/>
      <c r="G16" s="2280"/>
      <c r="H16" s="2281"/>
      <c r="I16" s="1053"/>
      <c r="J16" s="1074"/>
      <c r="K16" s="34"/>
      <c r="L16" s="34"/>
      <c r="M16" s="34"/>
      <c r="N16" s="34"/>
      <c r="O16" s="1075"/>
      <c r="P16" s="1058"/>
      <c r="Q16" s="15"/>
      <c r="R16" s="270"/>
      <c r="S16" s="828"/>
      <c r="T16" s="270"/>
      <c r="U16" s="270"/>
      <c r="V16" s="270"/>
      <c r="W16" s="184"/>
    </row>
    <row r="17" spans="1:23" ht="30" customHeight="1">
      <c r="A17" s="1025"/>
      <c r="B17" s="1329" t="s">
        <v>41</v>
      </c>
      <c r="C17" s="1066">
        <v>196</v>
      </c>
      <c r="D17" s="1449">
        <v>6</v>
      </c>
      <c r="E17" s="1454">
        <f>SUM(C17:D17)</f>
        <v>202</v>
      </c>
      <c r="F17" s="899">
        <v>4</v>
      </c>
      <c r="G17" s="1453">
        <f>SUM(E17:F17)</f>
        <v>206</v>
      </c>
      <c r="H17" s="1098">
        <v>2</v>
      </c>
      <c r="I17" s="224"/>
      <c r="J17" s="1067">
        <v>206</v>
      </c>
      <c r="K17" s="1837"/>
      <c r="L17" s="1838"/>
      <c r="M17" s="1838"/>
      <c r="N17" s="2287"/>
      <c r="O17" s="1453">
        <f>J17</f>
        <v>206</v>
      </c>
      <c r="P17" s="1061"/>
      <c r="Q17" s="18"/>
      <c r="R17" s="1094" t="str">
        <f>IF(AND(E17&gt;0,O17=0),"No enrolments",IF(AND(E17=0,O17&gt;0),"No intake?",IF(AND(E17&gt;O17,O17&gt;0),"Intake larger than enrolments","OK")))</f>
        <v>OK</v>
      </c>
      <c r="S17" s="828"/>
      <c r="T17" s="1826">
        <f>'T1 Main Table'!$E$21</f>
        <v>206</v>
      </c>
      <c r="U17" s="1088">
        <f>O17-T17</f>
        <v>0</v>
      </c>
      <c r="V17" s="1089" t="str">
        <f>IF(ABS(U17)&gt;0.1,"Does not equal Table 1","OK")</f>
        <v>OK</v>
      </c>
      <c r="W17" s="184"/>
    </row>
    <row r="18" spans="1:23" ht="30" customHeight="1" thickBot="1">
      <c r="A18" s="1025"/>
      <c r="B18" s="1329" t="s">
        <v>30</v>
      </c>
      <c r="C18" s="1066"/>
      <c r="D18" s="1449"/>
      <c r="E18" s="1454">
        <f>SUM(C18:D18)</f>
        <v>0</v>
      </c>
      <c r="F18" s="899"/>
      <c r="G18" s="1453">
        <f>SUM(E18:F18)</f>
        <v>0</v>
      </c>
      <c r="H18" s="1098"/>
      <c r="I18" s="224"/>
      <c r="J18" s="1067"/>
      <c r="K18" s="900"/>
      <c r="L18" s="1839"/>
      <c r="M18" s="1838"/>
      <c r="N18" s="2287"/>
      <c r="O18" s="1453">
        <f>SUM(J18:K18)</f>
        <v>0</v>
      </c>
      <c r="P18" s="1061"/>
      <c r="Q18" s="18"/>
      <c r="R18" s="1095" t="str">
        <f>IF(AND(E18&gt;0,O18=0),"No enrolments",IF(AND(E18=0,O18&gt;0),"No intake?",IF(AND(E18&gt;O18,O18&gt;0),"Intake larger than enrolments",IF(AND(E18=O18,K18&gt;0),"Intake same as enrolments?","OK"))))</f>
        <v>OK</v>
      </c>
      <c r="S18" s="828"/>
      <c r="T18" s="1827">
        <f>'T1 Main Table'!$H$21</f>
        <v>0</v>
      </c>
      <c r="U18" s="1102">
        <f>O18-T18</f>
        <v>0</v>
      </c>
      <c r="V18" s="21" t="str">
        <f>IF(ABS(U18)&gt;0.1,"Does not equal Table 1","OK")</f>
        <v>OK</v>
      </c>
      <c r="W18" s="184"/>
    </row>
    <row r="19" spans="1:23" ht="30" customHeight="1">
      <c r="A19" s="1025"/>
      <c r="B19" s="325" t="s">
        <v>2</v>
      </c>
      <c r="C19" s="1457">
        <f t="shared" ref="C19:H19" si="0">SUM(C17:C18)</f>
        <v>196</v>
      </c>
      <c r="D19" s="1458">
        <f t="shared" si="0"/>
        <v>6</v>
      </c>
      <c r="E19" s="1459">
        <f t="shared" si="0"/>
        <v>202</v>
      </c>
      <c r="F19" s="2176">
        <f t="shared" si="0"/>
        <v>4</v>
      </c>
      <c r="G19" s="1460">
        <f t="shared" si="0"/>
        <v>206</v>
      </c>
      <c r="H19" s="1461">
        <f t="shared" si="0"/>
        <v>2</v>
      </c>
      <c r="I19" s="1053"/>
      <c r="J19" s="1069">
        <f>SUM(J17:J18)</f>
        <v>206</v>
      </c>
      <c r="K19" s="1070">
        <f>K18</f>
        <v>0</v>
      </c>
      <c r="L19" s="1839"/>
      <c r="M19" s="1838"/>
      <c r="N19" s="2287"/>
      <c r="O19" s="1453">
        <f>SUM(O17:O18)</f>
        <v>206</v>
      </c>
      <c r="P19" s="1061"/>
      <c r="Q19" s="18"/>
      <c r="R19" s="1091"/>
      <c r="S19" s="828"/>
      <c r="T19" s="881"/>
      <c r="U19" s="881"/>
      <c r="V19" s="881"/>
      <c r="W19" s="184"/>
    </row>
    <row r="20" spans="1:23" ht="30" customHeight="1" thickBot="1">
      <c r="A20" s="2473">
        <f>VLOOKUP('Background Data'!$F$2,Inst_Tables,19,FALSE)</f>
        <v>1</v>
      </c>
      <c r="B20" s="1462" t="s">
        <v>311</v>
      </c>
      <c r="C20" s="1076"/>
      <c r="D20" s="1451"/>
      <c r="E20" s="1451"/>
      <c r="F20" s="1451"/>
      <c r="G20" s="1840"/>
      <c r="H20" s="1463"/>
      <c r="I20" s="1053"/>
      <c r="J20" s="1077"/>
      <c r="K20" s="1840"/>
      <c r="L20" s="1840"/>
      <c r="M20" s="1840"/>
      <c r="N20" s="1840"/>
      <c r="O20" s="1463"/>
      <c r="P20" s="1058"/>
      <c r="Q20" s="15"/>
      <c r="R20" s="1397"/>
      <c r="S20" s="828"/>
      <c r="T20" s="225"/>
      <c r="U20" s="225"/>
      <c r="V20" s="225"/>
      <c r="W20" s="184"/>
    </row>
    <row r="21" spans="1:23" ht="30" customHeight="1">
      <c r="A21" s="1025"/>
      <c r="B21" s="1329" t="s">
        <v>41</v>
      </c>
      <c r="C21" s="1066"/>
      <c r="D21" s="1449"/>
      <c r="E21" s="1454">
        <f>SUM(C21:D21)</f>
        <v>0</v>
      </c>
      <c r="F21" s="899"/>
      <c r="G21" s="1453">
        <f>SUM(E21:F21)</f>
        <v>0</v>
      </c>
      <c r="H21" s="1098"/>
      <c r="I21" s="224"/>
      <c r="J21" s="1067"/>
      <c r="K21" s="1837"/>
      <c r="L21" s="1838"/>
      <c r="M21" s="1838"/>
      <c r="N21" s="2287"/>
      <c r="O21" s="1453">
        <f>J21</f>
        <v>0</v>
      </c>
      <c r="P21" s="1061"/>
      <c r="Q21" s="18"/>
      <c r="R21" s="1094" t="str">
        <f>IF(AND(E21&gt;0,O21=0),"No enrolments",IF(AND(E21=0,O21&gt;0),"No intake?",IF(AND(E21&gt;O21,O21&gt;0),"Intake larger than enrolments","OK")))</f>
        <v>OK</v>
      </c>
      <c r="S21" s="828"/>
      <c r="T21" s="1826">
        <f>'T1 Main Table'!$E$22</f>
        <v>0</v>
      </c>
      <c r="U21" s="1088">
        <f>O21-T21</f>
        <v>0</v>
      </c>
      <c r="V21" s="1089" t="str">
        <f>IF(ABS(U21)&gt;0.1,"Does not equal Table 1","OK")</f>
        <v>OK</v>
      </c>
      <c r="W21" s="184"/>
    </row>
    <row r="22" spans="1:23" ht="30" customHeight="1" thickBot="1">
      <c r="A22" s="1025"/>
      <c r="B22" s="1329" t="s">
        <v>30</v>
      </c>
      <c r="C22" s="1066"/>
      <c r="D22" s="1449"/>
      <c r="E22" s="1454">
        <f>SUM(C22:D22)</f>
        <v>0</v>
      </c>
      <c r="F22" s="899"/>
      <c r="G22" s="1453">
        <f>SUM(E22:F22)</f>
        <v>0</v>
      </c>
      <c r="H22" s="1098"/>
      <c r="I22" s="224"/>
      <c r="J22" s="1067"/>
      <c r="K22" s="900"/>
      <c r="L22" s="1839"/>
      <c r="M22" s="1838"/>
      <c r="N22" s="2287"/>
      <c r="O22" s="1453">
        <f>SUM(J22:K22)</f>
        <v>0</v>
      </c>
      <c r="P22" s="1061"/>
      <c r="Q22" s="18"/>
      <c r="R22" s="1096" t="str">
        <f>IF(AND(E22&gt;0,O22=0),"No enrolments",IF(AND(E22=0,O22&gt;0),"No intake?",IF(AND(E22&gt;O22,O22&gt;0),"Intake larger than enrolments",IF(AND(E22=O22,K22&gt;0),"Intake same as enrolments?","OK"))))</f>
        <v>OK</v>
      </c>
      <c r="S22" s="828"/>
      <c r="T22" s="1827">
        <f>'T1 Main Table'!$H$22</f>
        <v>0</v>
      </c>
      <c r="U22" s="1102">
        <f>O22-T22</f>
        <v>0</v>
      </c>
      <c r="V22" s="21" t="str">
        <f>IF(ABS(U22)&gt;0.1,"Does not equal Table 1","OK")</f>
        <v>OK</v>
      </c>
      <c r="W22" s="184"/>
    </row>
    <row r="23" spans="1:23" ht="30" customHeight="1">
      <c r="A23" s="1025"/>
      <c r="B23" s="1464" t="s">
        <v>2</v>
      </c>
      <c r="C23" s="1068">
        <f t="shared" ref="C23:H23" si="1">SUM(C21:C22)</f>
        <v>0</v>
      </c>
      <c r="D23" s="1450">
        <f t="shared" si="1"/>
        <v>0</v>
      </c>
      <c r="E23" s="1454">
        <f t="shared" si="1"/>
        <v>0</v>
      </c>
      <c r="F23" s="2177">
        <f t="shared" si="1"/>
        <v>0</v>
      </c>
      <c r="G23" s="1453">
        <f t="shared" si="1"/>
        <v>0</v>
      </c>
      <c r="H23" s="1099">
        <f t="shared" si="1"/>
        <v>0</v>
      </c>
      <c r="I23" s="1053"/>
      <c r="J23" s="1069">
        <f>SUM(J21:J22)</f>
        <v>0</v>
      </c>
      <c r="K23" s="1070">
        <f>K22</f>
        <v>0</v>
      </c>
      <c r="L23" s="1839"/>
      <c r="M23" s="1838"/>
      <c r="N23" s="2287"/>
      <c r="O23" s="1453">
        <f>SUM(O21:O22)</f>
        <v>0</v>
      </c>
      <c r="P23" s="1061"/>
      <c r="Q23" s="18"/>
      <c r="R23" s="828"/>
      <c r="S23" s="828"/>
      <c r="T23" s="225"/>
      <c r="U23" s="225"/>
      <c r="V23" s="225"/>
      <c r="W23" s="184"/>
    </row>
    <row r="24" spans="1:23" ht="30" customHeight="1">
      <c r="A24" s="1025"/>
      <c r="B24" s="324" t="s">
        <v>312</v>
      </c>
      <c r="C24" s="1076"/>
      <c r="D24" s="1451"/>
      <c r="E24" s="1451"/>
      <c r="F24" s="1451"/>
      <c r="G24" s="1840"/>
      <c r="H24" s="1463"/>
      <c r="I24" s="1053"/>
      <c r="J24" s="1077"/>
      <c r="K24" s="1840"/>
      <c r="L24" s="1840"/>
      <c r="M24" s="1840"/>
      <c r="N24" s="1840"/>
      <c r="O24" s="1463"/>
      <c r="P24" s="1058"/>
      <c r="Q24" s="351"/>
      <c r="R24" s="224"/>
      <c r="S24" s="224"/>
      <c r="T24" s="224"/>
      <c r="U24" s="224"/>
      <c r="V24" s="224"/>
      <c r="W24" s="184"/>
    </row>
    <row r="25" spans="1:23" ht="30" customHeight="1">
      <c r="A25" s="1025"/>
      <c r="B25" s="1329" t="s">
        <v>41</v>
      </c>
      <c r="C25" s="1455">
        <f>SUM(C17,C21)</f>
        <v>196</v>
      </c>
      <c r="D25" s="571">
        <f>SUM(D17,D21)</f>
        <v>6</v>
      </c>
      <c r="E25" s="1454">
        <f>SUM(C25:D25)</f>
        <v>202</v>
      </c>
      <c r="F25" s="708">
        <f>SUM(F17,F21)</f>
        <v>4</v>
      </c>
      <c r="G25" s="1453">
        <f>SUM(E25:F25)</f>
        <v>206</v>
      </c>
      <c r="H25" s="1100">
        <f>SUM(H17,H21)</f>
        <v>2</v>
      </c>
      <c r="I25" s="224"/>
      <c r="J25" s="1080">
        <f>SUM(J17,J21)</f>
        <v>206</v>
      </c>
      <c r="K25" s="1837"/>
      <c r="L25" s="1838"/>
      <c r="M25" s="1838"/>
      <c r="N25" s="2287"/>
      <c r="O25" s="1453">
        <f>J25</f>
        <v>206</v>
      </c>
      <c r="P25" s="1061"/>
      <c r="Q25" s="1087"/>
      <c r="R25" s="224"/>
      <c r="S25" s="224"/>
      <c r="T25" s="224"/>
      <c r="U25" s="224"/>
      <c r="V25" s="224"/>
      <c r="W25" s="184"/>
    </row>
    <row r="26" spans="1:23" ht="30" customHeight="1">
      <c r="A26" s="1025"/>
      <c r="B26" s="1329" t="s">
        <v>30</v>
      </c>
      <c r="C26" s="1455">
        <f>SUM(C18,C22)</f>
        <v>0</v>
      </c>
      <c r="D26" s="571">
        <f>SUM(D18,D22)</f>
        <v>0</v>
      </c>
      <c r="E26" s="1454">
        <f>SUM(C26:D26)</f>
        <v>0</v>
      </c>
      <c r="F26" s="708">
        <f>SUM(F18,F22)</f>
        <v>0</v>
      </c>
      <c r="G26" s="1453">
        <f>SUM(E26:F26)</f>
        <v>0</v>
      </c>
      <c r="H26" s="1100">
        <f>SUM(H18,H22)</f>
        <v>0</v>
      </c>
      <c r="I26" s="224"/>
      <c r="J26" s="1080">
        <f>SUM(J18,J22)</f>
        <v>0</v>
      </c>
      <c r="K26" s="1841">
        <f>SUM(K18,K22)</f>
        <v>0</v>
      </c>
      <c r="L26" s="1839"/>
      <c r="M26" s="1838"/>
      <c r="N26" s="2287"/>
      <c r="O26" s="1453">
        <f>SUM(J26:K26)</f>
        <v>0</v>
      </c>
      <c r="P26" s="1061"/>
      <c r="Q26" s="1087"/>
      <c r="R26" s="224"/>
      <c r="S26" s="224"/>
      <c r="T26" s="224"/>
      <c r="U26" s="224"/>
      <c r="V26" s="224"/>
      <c r="W26" s="184"/>
    </row>
    <row r="27" spans="1:23" ht="30" customHeight="1" thickBot="1">
      <c r="A27" s="1025"/>
      <c r="B27" s="326" t="s">
        <v>2</v>
      </c>
      <c r="C27" s="1456">
        <f t="shared" ref="C27:H27" si="2">SUM(C25:C26)</f>
        <v>196</v>
      </c>
      <c r="D27" s="1073">
        <f t="shared" si="2"/>
        <v>6</v>
      </c>
      <c r="E27" s="1103">
        <f t="shared" si="2"/>
        <v>202</v>
      </c>
      <c r="F27" s="2178">
        <f t="shared" si="2"/>
        <v>4</v>
      </c>
      <c r="G27" s="1072">
        <f t="shared" si="2"/>
        <v>206</v>
      </c>
      <c r="H27" s="1101">
        <f t="shared" si="2"/>
        <v>2</v>
      </c>
      <c r="I27" s="1053"/>
      <c r="J27" s="1071">
        <f>SUM(J25:J26)</f>
        <v>206</v>
      </c>
      <c r="K27" s="1073">
        <f>K26</f>
        <v>0</v>
      </c>
      <c r="L27" s="1078"/>
      <c r="M27" s="1079"/>
      <c r="N27" s="2288"/>
      <c r="O27" s="1072">
        <f>SUM(O25:O26)</f>
        <v>206</v>
      </c>
      <c r="P27" s="1061"/>
      <c r="Q27" s="1081"/>
      <c r="R27" s="224"/>
      <c r="S27" s="224"/>
      <c r="T27" s="224"/>
      <c r="U27" s="224"/>
      <c r="V27" s="224"/>
      <c r="W27" s="184"/>
    </row>
    <row r="28" spans="1:23" s="812" customFormat="1" ht="15" customHeight="1">
      <c r="A28" s="1082"/>
      <c r="B28" s="1053"/>
      <c r="C28" s="1053"/>
      <c r="D28" s="1053"/>
      <c r="E28" s="1053"/>
      <c r="F28" s="1053"/>
      <c r="G28" s="1053"/>
      <c r="H28" s="1053"/>
      <c r="I28" s="1053"/>
      <c r="J28" s="1053"/>
      <c r="K28" s="1053"/>
      <c r="L28" s="1053"/>
      <c r="M28" s="1053"/>
      <c r="N28" s="1053"/>
      <c r="O28" s="1053"/>
      <c r="P28" s="1246"/>
      <c r="Q28" s="1081"/>
      <c r="R28" s="224"/>
      <c r="S28" s="224"/>
      <c r="T28" s="224"/>
      <c r="U28" s="224"/>
      <c r="V28" s="224"/>
      <c r="W28" s="224"/>
    </row>
    <row r="29" spans="1:23" s="506" customFormat="1" ht="30" customHeight="1" thickBot="1">
      <c r="A29" s="1025"/>
      <c r="B29" s="1929" t="s">
        <v>92</v>
      </c>
      <c r="C29" s="1515"/>
      <c r="D29" s="1515"/>
      <c r="E29" s="1515"/>
      <c r="F29" s="1515"/>
      <c r="G29" s="1516"/>
      <c r="H29" s="1516"/>
      <c r="I29" s="1053"/>
      <c r="J29" s="1517"/>
      <c r="K29" s="1517"/>
      <c r="L29" s="1517"/>
      <c r="M29" s="1517"/>
      <c r="N29" s="1517"/>
      <c r="O29" s="1517"/>
      <c r="P29" s="1058"/>
      <c r="Q29" s="1053"/>
      <c r="R29" s="224"/>
      <c r="S29" s="224"/>
      <c r="T29" s="224"/>
      <c r="U29" s="224"/>
      <c r="V29" s="224"/>
      <c r="W29" s="183"/>
    </row>
    <row r="30" spans="1:23" ht="30" customHeight="1" thickBot="1">
      <c r="A30" s="2473">
        <f>VLOOKUP('Background Data'!$F$2,Inst_Tables,20,FALSE)</f>
        <v>1</v>
      </c>
      <c r="B30" s="324" t="s">
        <v>348</v>
      </c>
      <c r="C30" s="2278"/>
      <c r="D30" s="2279"/>
      <c r="E30" s="2279"/>
      <c r="F30" s="2279"/>
      <c r="G30" s="2280"/>
      <c r="H30" s="2281"/>
      <c r="I30" s="1053"/>
      <c r="J30" s="1074"/>
      <c r="K30" s="34"/>
      <c r="L30" s="34"/>
      <c r="M30" s="34"/>
      <c r="N30" s="34"/>
      <c r="O30" s="1075"/>
      <c r="P30" s="1058"/>
      <c r="Q30" s="1053"/>
      <c r="R30" s="1090"/>
      <c r="S30" s="224"/>
      <c r="T30" s="1090"/>
      <c r="U30" s="1090"/>
      <c r="V30" s="1090"/>
      <c r="W30" s="184"/>
    </row>
    <row r="31" spans="1:23" ht="30" customHeight="1">
      <c r="A31" s="1025"/>
      <c r="B31" s="1329" t="s">
        <v>41</v>
      </c>
      <c r="C31" s="1066">
        <v>210</v>
      </c>
      <c r="D31" s="1449">
        <v>9</v>
      </c>
      <c r="E31" s="1454">
        <f>SUM(C31:D31)</f>
        <v>219</v>
      </c>
      <c r="F31" s="899">
        <v>7</v>
      </c>
      <c r="G31" s="1453">
        <f>SUM(E31:F31)</f>
        <v>226</v>
      </c>
      <c r="H31" s="1098">
        <v>1</v>
      </c>
      <c r="I31" s="224"/>
      <c r="J31" s="1067">
        <v>223</v>
      </c>
      <c r="K31" s="1837"/>
      <c r="L31" s="1838"/>
      <c r="M31" s="1838"/>
      <c r="N31" s="2287"/>
      <c r="O31" s="1453">
        <f>J31</f>
        <v>223</v>
      </c>
      <c r="P31" s="1061"/>
      <c r="Q31" s="1081"/>
      <c r="R31" s="1094" t="str">
        <f>IF(AND(E31&gt;0,O31=0),"No enrolments",IF(AND(E31=0,O31&gt;0),"No intake",IF(AND(E31&gt;O31,O31&gt;0),"Intake larger than enrolments","OK")))</f>
        <v>OK</v>
      </c>
      <c r="S31" s="828"/>
      <c r="T31" s="1826">
        <f>'T1 Main Table'!$E$25</f>
        <v>223</v>
      </c>
      <c r="U31" s="1088">
        <f>O31-T31</f>
        <v>0</v>
      </c>
      <c r="V31" s="1089" t="str">
        <f>IF(ABS(U31)&gt;0.1,"Does not equal Table 1","OK")</f>
        <v>OK</v>
      </c>
      <c r="W31" s="184"/>
    </row>
    <row r="32" spans="1:23" ht="30" customHeight="1" thickBot="1">
      <c r="A32" s="1025"/>
      <c r="B32" s="1329" t="s">
        <v>30</v>
      </c>
      <c r="C32" s="1066"/>
      <c r="D32" s="1449"/>
      <c r="E32" s="1454">
        <f>SUM(C32:D32)</f>
        <v>0</v>
      </c>
      <c r="F32" s="899"/>
      <c r="G32" s="1453">
        <f>SUM(E32:F32)</f>
        <v>0</v>
      </c>
      <c r="H32" s="1098"/>
      <c r="I32" s="224"/>
      <c r="J32" s="1067"/>
      <c r="K32" s="900"/>
      <c r="L32" s="1839"/>
      <c r="M32" s="1838"/>
      <c r="N32" s="2287"/>
      <c r="O32" s="1453">
        <f>SUM(J32:K32)</f>
        <v>0</v>
      </c>
      <c r="P32" s="1061"/>
      <c r="Q32" s="1081"/>
      <c r="R32" s="1096" t="str">
        <f>IF(AND(E32&gt;0,O32=0),"No enrolments",IF(AND(E32=0,O32&gt;0),"No intake",IF(AND(E32&gt;O32,O32&gt;0),"Intake larger than enrolments",IF(AND(E32=O32,K32&gt;0),"Intake same as enrolments?","OK"))))</f>
        <v>OK</v>
      </c>
      <c r="S32" s="828"/>
      <c r="T32" s="1827">
        <f>'T1 Main Table'!$H$25</f>
        <v>0</v>
      </c>
      <c r="U32" s="1102">
        <f>O32-T32</f>
        <v>0</v>
      </c>
      <c r="V32" s="21" t="str">
        <f>IF(ABS(U32)&gt;0.1,"Does not equal Table 1","OK")</f>
        <v>OK</v>
      </c>
      <c r="W32" s="184"/>
    </row>
    <row r="33" spans="1:23" ht="30" customHeight="1">
      <c r="A33" s="1025"/>
      <c r="B33" s="325" t="s">
        <v>2</v>
      </c>
      <c r="C33" s="1457">
        <f t="shared" ref="C33:H33" si="3">SUM(C31:C32)</f>
        <v>210</v>
      </c>
      <c r="D33" s="1458">
        <f t="shared" si="3"/>
        <v>9</v>
      </c>
      <c r="E33" s="1459">
        <f t="shared" si="3"/>
        <v>219</v>
      </c>
      <c r="F33" s="2176">
        <f t="shared" si="3"/>
        <v>7</v>
      </c>
      <c r="G33" s="1460">
        <f t="shared" si="3"/>
        <v>226</v>
      </c>
      <c r="H33" s="1461">
        <f t="shared" si="3"/>
        <v>1</v>
      </c>
      <c r="I33" s="1053"/>
      <c r="J33" s="1069">
        <f>SUM(J31:J32)</f>
        <v>223</v>
      </c>
      <c r="K33" s="1070">
        <f>K32</f>
        <v>0</v>
      </c>
      <c r="L33" s="1839"/>
      <c r="M33" s="1838"/>
      <c r="N33" s="2287"/>
      <c r="O33" s="1453">
        <f>SUM(O31:O32)</f>
        <v>223</v>
      </c>
      <c r="P33" s="1061"/>
      <c r="Q33" s="1081"/>
      <c r="R33" s="1091"/>
      <c r="S33" s="828"/>
      <c r="T33" s="881"/>
      <c r="U33" s="881"/>
      <c r="V33" s="881"/>
      <c r="W33" s="184"/>
    </row>
    <row r="34" spans="1:23" ht="30" customHeight="1" thickBot="1">
      <c r="A34" s="2473">
        <f>VLOOKUP('Background Data'!$F$2,Inst_Tables,21,FALSE)</f>
        <v>0</v>
      </c>
      <c r="B34" s="1462" t="s">
        <v>311</v>
      </c>
      <c r="C34" s="1076"/>
      <c r="D34" s="1451"/>
      <c r="E34" s="1451"/>
      <c r="F34" s="1451"/>
      <c r="G34" s="1840"/>
      <c r="H34" s="1463"/>
      <c r="I34" s="1053"/>
      <c r="J34" s="1077"/>
      <c r="K34" s="1840"/>
      <c r="L34" s="1840"/>
      <c r="M34" s="1840"/>
      <c r="N34" s="1840"/>
      <c r="O34" s="1463"/>
      <c r="P34" s="1058"/>
      <c r="Q34" s="1053"/>
      <c r="R34" s="1397"/>
      <c r="S34" s="828"/>
      <c r="T34" s="225"/>
      <c r="U34" s="225"/>
      <c r="V34" s="225"/>
      <c r="W34" s="184"/>
    </row>
    <row r="35" spans="1:23" ht="30" customHeight="1">
      <c r="A35" s="1025"/>
      <c r="B35" s="1329" t="s">
        <v>41</v>
      </c>
      <c r="C35" s="1066"/>
      <c r="D35" s="1449"/>
      <c r="E35" s="1454">
        <f>SUM(C35:D35)</f>
        <v>0</v>
      </c>
      <c r="F35" s="899"/>
      <c r="G35" s="1453">
        <f>SUM(E35:F35)</f>
        <v>0</v>
      </c>
      <c r="H35" s="1098"/>
      <c r="I35" s="224"/>
      <c r="J35" s="1067"/>
      <c r="K35" s="1837"/>
      <c r="L35" s="1838"/>
      <c r="M35" s="1838"/>
      <c r="N35" s="2287"/>
      <c r="O35" s="1453">
        <f>J35</f>
        <v>0</v>
      </c>
      <c r="P35" s="1061"/>
      <c r="Q35" s="1081"/>
      <c r="R35" s="1094" t="str">
        <f>IF(AND(E35&gt;0,O35=0),"No enrolments",IF(AND(E35=0,O35&gt;0),"No intake",IF(AND(E35&gt;O35,O35&gt;0),"Intake larger than enrolments","OK")))</f>
        <v>OK</v>
      </c>
      <c r="S35" s="828"/>
      <c r="T35" s="1826">
        <f>'T1 Main Table'!$E$26</f>
        <v>0</v>
      </c>
      <c r="U35" s="1088">
        <f>O35-T35</f>
        <v>0</v>
      </c>
      <c r="V35" s="1089" t="str">
        <f>IF(ABS(U35)&gt;0.1,"Does not equal Table 1","OK")</f>
        <v>OK</v>
      </c>
      <c r="W35" s="184"/>
    </row>
    <row r="36" spans="1:23" ht="30" customHeight="1" thickBot="1">
      <c r="A36" s="1025"/>
      <c r="B36" s="1329" t="s">
        <v>30</v>
      </c>
      <c r="C36" s="1066"/>
      <c r="D36" s="1449"/>
      <c r="E36" s="1454">
        <f>SUM(C36:D36)</f>
        <v>0</v>
      </c>
      <c r="F36" s="899"/>
      <c r="G36" s="1453">
        <f>SUM(E36:F36)</f>
        <v>0</v>
      </c>
      <c r="H36" s="1098"/>
      <c r="I36" s="224"/>
      <c r="J36" s="1067"/>
      <c r="K36" s="900"/>
      <c r="L36" s="1839"/>
      <c r="M36" s="1838"/>
      <c r="N36" s="2287"/>
      <c r="O36" s="1453">
        <f>SUM(J36:K36)</f>
        <v>0</v>
      </c>
      <c r="P36" s="1061"/>
      <c r="Q36" s="1081"/>
      <c r="R36" s="1096" t="str">
        <f>IF(AND(E36&gt;0,O36=0),"No enrolments",IF(AND(E36=0,O36&gt;0),"No intake",IF(AND(E36&gt;O36,O36&gt;0),"Intake larger than enrolments",IF(AND(E36=O36,K36&gt;0),"Intake same as enrolments?","OK"))))</f>
        <v>OK</v>
      </c>
      <c r="S36" s="828"/>
      <c r="T36" s="1827">
        <f>'T1 Main Table'!$H$26</f>
        <v>0</v>
      </c>
      <c r="U36" s="1102">
        <f>O36-T36</f>
        <v>0</v>
      </c>
      <c r="V36" s="21" t="str">
        <f>IF(ABS(U36)&gt;0.1,"Does not equal Table 1","OK")</f>
        <v>OK</v>
      </c>
      <c r="W36" s="184"/>
    </row>
    <row r="37" spans="1:23" ht="30" customHeight="1">
      <c r="A37" s="1025"/>
      <c r="B37" s="1464" t="s">
        <v>2</v>
      </c>
      <c r="C37" s="1068">
        <f t="shared" ref="C37:H37" si="4">SUM(C35:C36)</f>
        <v>0</v>
      </c>
      <c r="D37" s="1450">
        <f t="shared" si="4"/>
        <v>0</v>
      </c>
      <c r="E37" s="1454">
        <f t="shared" si="4"/>
        <v>0</v>
      </c>
      <c r="F37" s="2177">
        <f t="shared" si="4"/>
        <v>0</v>
      </c>
      <c r="G37" s="1453">
        <f t="shared" si="4"/>
        <v>0</v>
      </c>
      <c r="H37" s="1099">
        <f t="shared" si="4"/>
        <v>0</v>
      </c>
      <c r="I37" s="1053"/>
      <c r="J37" s="1069">
        <f>SUM(J35:J36)</f>
        <v>0</v>
      </c>
      <c r="K37" s="1070">
        <f>K36</f>
        <v>0</v>
      </c>
      <c r="L37" s="1839"/>
      <c r="M37" s="1838"/>
      <c r="N37" s="2287"/>
      <c r="O37" s="1453">
        <f>SUM(O35:O36)</f>
        <v>0</v>
      </c>
      <c r="P37" s="1061"/>
      <c r="Q37" s="1081"/>
      <c r="R37" s="828"/>
      <c r="S37" s="828"/>
      <c r="T37" s="225"/>
      <c r="U37" s="225"/>
      <c r="V37" s="225"/>
      <c r="W37" s="184"/>
    </row>
    <row r="38" spans="1:23" ht="30" customHeight="1">
      <c r="A38" s="1025"/>
      <c r="B38" s="324" t="s">
        <v>553</v>
      </c>
      <c r="C38" s="1076"/>
      <c r="D38" s="1451"/>
      <c r="E38" s="1451"/>
      <c r="F38" s="1451"/>
      <c r="G38" s="1840"/>
      <c r="H38" s="1463"/>
      <c r="I38" s="1053"/>
      <c r="J38" s="1077"/>
      <c r="K38" s="1840"/>
      <c r="L38" s="1840"/>
      <c r="M38" s="1840"/>
      <c r="N38" s="1840"/>
      <c r="O38" s="1463"/>
      <c r="P38" s="1058"/>
      <c r="Q38" s="1053"/>
      <c r="R38" s="224"/>
      <c r="S38" s="224"/>
      <c r="T38" s="224"/>
      <c r="U38" s="224"/>
      <c r="V38" s="224"/>
      <c r="W38" s="184"/>
    </row>
    <row r="39" spans="1:23" ht="30" customHeight="1">
      <c r="A39" s="1025"/>
      <c r="B39" s="1329" t="s">
        <v>41</v>
      </c>
      <c r="C39" s="1455">
        <f>SUM(C31,C35)</f>
        <v>210</v>
      </c>
      <c r="D39" s="571">
        <f>SUM(D31,D35)</f>
        <v>9</v>
      </c>
      <c r="E39" s="1454">
        <f>SUM(C39:D39)</f>
        <v>219</v>
      </c>
      <c r="F39" s="708">
        <f>SUM(F31,F35)</f>
        <v>7</v>
      </c>
      <c r="G39" s="1453">
        <f>SUM(E39:F39)</f>
        <v>226</v>
      </c>
      <c r="H39" s="1100">
        <f>SUM(H31,H35)</f>
        <v>1</v>
      </c>
      <c r="I39" s="224"/>
      <c r="J39" s="1080">
        <f>SUM(J31,J35)</f>
        <v>223</v>
      </c>
      <c r="K39" s="1837"/>
      <c r="L39" s="1838"/>
      <c r="M39" s="1838"/>
      <c r="N39" s="2287"/>
      <c r="O39" s="1453">
        <f>J39</f>
        <v>223</v>
      </c>
      <c r="P39" s="1061"/>
      <c r="Q39" s="1081"/>
      <c r="R39" s="224"/>
      <c r="S39" s="224"/>
      <c r="T39" s="224"/>
      <c r="U39" s="224"/>
      <c r="V39" s="224"/>
      <c r="W39" s="184"/>
    </row>
    <row r="40" spans="1:23" ht="30" customHeight="1">
      <c r="A40" s="1025"/>
      <c r="B40" s="1329" t="s">
        <v>30</v>
      </c>
      <c r="C40" s="1455">
        <f>SUM(C32,C36)</f>
        <v>0</v>
      </c>
      <c r="D40" s="571">
        <f>SUM(D32,D36)</f>
        <v>0</v>
      </c>
      <c r="E40" s="1454">
        <f>SUM(C40:D40)</f>
        <v>0</v>
      </c>
      <c r="F40" s="708">
        <f>SUM(F32,F36)</f>
        <v>0</v>
      </c>
      <c r="G40" s="1453">
        <f>SUM(E40:F40)</f>
        <v>0</v>
      </c>
      <c r="H40" s="1100">
        <f>SUM(H32,H36)</f>
        <v>0</v>
      </c>
      <c r="I40" s="224"/>
      <c r="J40" s="1080">
        <f>SUM(J32,J36)</f>
        <v>0</v>
      </c>
      <c r="K40" s="1841">
        <f>SUM(K32,K36)</f>
        <v>0</v>
      </c>
      <c r="L40" s="1839"/>
      <c r="M40" s="1838"/>
      <c r="N40" s="2287"/>
      <c r="O40" s="1453">
        <f>SUM(J40:K40)</f>
        <v>0</v>
      </c>
      <c r="P40" s="1061"/>
      <c r="Q40" s="1081"/>
      <c r="R40" s="224"/>
      <c r="S40" s="224"/>
      <c r="T40" s="224"/>
      <c r="U40" s="224"/>
      <c r="V40" s="224"/>
      <c r="W40" s="184"/>
    </row>
    <row r="41" spans="1:23" ht="30" customHeight="1" thickBot="1">
      <c r="A41" s="1025"/>
      <c r="B41" s="326" t="s">
        <v>2</v>
      </c>
      <c r="C41" s="1456">
        <f t="shared" ref="C41:H41" si="5">SUM(C39:C40)</f>
        <v>210</v>
      </c>
      <c r="D41" s="1073">
        <f t="shared" si="5"/>
        <v>9</v>
      </c>
      <c r="E41" s="1103">
        <f t="shared" si="5"/>
        <v>219</v>
      </c>
      <c r="F41" s="2178">
        <f t="shared" si="5"/>
        <v>7</v>
      </c>
      <c r="G41" s="1072">
        <f t="shared" si="5"/>
        <v>226</v>
      </c>
      <c r="H41" s="1101">
        <f t="shared" si="5"/>
        <v>1</v>
      </c>
      <c r="I41" s="1053"/>
      <c r="J41" s="1071">
        <f>SUM(J39:J40)</f>
        <v>223</v>
      </c>
      <c r="K41" s="1073">
        <f>K40</f>
        <v>0</v>
      </c>
      <c r="L41" s="1078"/>
      <c r="M41" s="1079"/>
      <c r="N41" s="2288"/>
      <c r="O41" s="1072">
        <f>SUM(O39:O40)</f>
        <v>223</v>
      </c>
      <c r="P41" s="1061"/>
      <c r="Q41" s="1081"/>
      <c r="R41" s="224"/>
      <c r="S41" s="224"/>
      <c r="T41" s="224"/>
      <c r="U41" s="224"/>
      <c r="V41" s="224"/>
      <c r="W41" s="184"/>
    </row>
    <row r="42" spans="1:23" s="812" customFormat="1" ht="15" customHeight="1">
      <c r="A42" s="1082"/>
      <c r="B42" s="1053"/>
      <c r="C42" s="1053"/>
      <c r="D42" s="1053"/>
      <c r="E42" s="1053"/>
      <c r="F42" s="1053"/>
      <c r="G42" s="1053"/>
      <c r="H42" s="1053"/>
      <c r="I42" s="1053"/>
      <c r="J42" s="1053"/>
      <c r="K42" s="1053"/>
      <c r="L42" s="1053"/>
      <c r="M42" s="1053"/>
      <c r="N42" s="1053"/>
      <c r="O42" s="1053"/>
      <c r="P42" s="1246"/>
      <c r="Q42" s="1081"/>
      <c r="R42" s="224"/>
      <c r="S42" s="224"/>
      <c r="T42" s="224"/>
      <c r="U42" s="224"/>
      <c r="V42" s="224"/>
      <c r="W42" s="224"/>
    </row>
    <row r="43" spans="1:23" s="506" customFormat="1" ht="30" customHeight="1" thickBot="1">
      <c r="A43" s="1025"/>
      <c r="B43" s="1929" t="s">
        <v>289</v>
      </c>
      <c r="C43" s="1515"/>
      <c r="D43" s="1515"/>
      <c r="E43" s="1515"/>
      <c r="F43" s="1515"/>
      <c r="G43" s="1516"/>
      <c r="H43" s="1516"/>
      <c r="I43" s="1053"/>
      <c r="J43" s="1517"/>
      <c r="K43" s="1517"/>
      <c r="L43" s="1517"/>
      <c r="M43" s="1517"/>
      <c r="N43" s="1517"/>
      <c r="O43" s="1517"/>
      <c r="P43" s="1058"/>
      <c r="Q43" s="1053"/>
      <c r="R43" s="224"/>
      <c r="S43" s="224"/>
      <c r="T43" s="224"/>
      <c r="U43" s="224"/>
      <c r="V43" s="224"/>
      <c r="W43" s="183"/>
    </row>
    <row r="44" spans="1:23" ht="30" customHeight="1">
      <c r="A44" s="2473">
        <f>VLOOKUP('Background Data'!$F$2,Inst_Tables,22,FALSE)</f>
        <v>1</v>
      </c>
      <c r="B44" s="324" t="s">
        <v>348</v>
      </c>
      <c r="C44" s="2296">
        <v>140</v>
      </c>
      <c r="D44" s="2297"/>
      <c r="E44" s="2290">
        <f>SUM(C44:D44)</f>
        <v>140</v>
      </c>
      <c r="F44" s="2291">
        <v>1</v>
      </c>
      <c r="G44" s="2292">
        <f>SUM(E44:F44)</f>
        <v>141</v>
      </c>
      <c r="H44" s="2299">
        <v>1</v>
      </c>
      <c r="I44" s="224"/>
      <c r="J44" s="2296">
        <v>146.32</v>
      </c>
      <c r="K44" s="2297">
        <v>124</v>
      </c>
      <c r="L44" s="2297">
        <v>127.83</v>
      </c>
      <c r="M44" s="2297">
        <v>115.8</v>
      </c>
      <c r="N44" s="2298">
        <v>64</v>
      </c>
      <c r="O44" s="2292">
        <f>SUM(J44:N44)</f>
        <v>577.94999999999993</v>
      </c>
      <c r="P44" s="1061"/>
      <c r="Q44" s="1081"/>
      <c r="R44" s="1396" t="str">
        <f>IF(AND(E44&gt;0,O44=0),"No enrolments",IF(AND(E44=0,O44&gt;0),"No intake?",IF(AND(E44&gt;O44,O44&gt;0),"Intake larger than enrolments",IF(AND(E44=O44,SUM(K44:M44)&gt;0),"Intake same as enrolments?","OK"))))</f>
        <v>OK</v>
      </c>
      <c r="S44" s="828"/>
      <c r="T44" s="2293">
        <f>'T1 Main Table'!$K$46</f>
        <v>577.95000000000005</v>
      </c>
      <c r="U44" s="2294">
        <f>O44-T44</f>
        <v>0</v>
      </c>
      <c r="V44" s="2295" t="str">
        <f>IF(ABS(U44)&gt;0.1,"Does not equal Table 1","OK")</f>
        <v>OK</v>
      </c>
      <c r="W44" s="184"/>
    </row>
    <row r="45" spans="1:23" ht="30" customHeight="1" thickBot="1">
      <c r="A45" s="2473">
        <f>VLOOKUP('Background Data'!$F$2,Inst_Tables,23,FALSE)</f>
        <v>0</v>
      </c>
      <c r="B45" s="324" t="s">
        <v>311</v>
      </c>
      <c r="C45" s="2289"/>
      <c r="D45" s="2082"/>
      <c r="E45" s="1459">
        <f>SUM(C45:D45)</f>
        <v>0</v>
      </c>
      <c r="F45" s="2080"/>
      <c r="G45" s="2292">
        <f>SUM(E45:F45)</f>
        <v>0</v>
      </c>
      <c r="H45" s="2302"/>
      <c r="I45" s="224"/>
      <c r="J45" s="2289"/>
      <c r="K45" s="2082"/>
      <c r="L45" s="2082"/>
      <c r="M45" s="2082"/>
      <c r="N45" s="2307"/>
      <c r="O45" s="2292">
        <f>SUM(J45:N45)</f>
        <v>0</v>
      </c>
      <c r="P45" s="1061"/>
      <c r="Q45" s="1081"/>
      <c r="R45" s="1096" t="str">
        <f>IF(AND(E45&gt;0,O45=0),"No enrolments",IF(AND(E45=0,O45&gt;0),"No intake?",IF(AND(E45&gt;O45,O45&gt;0),"Intake larger than enrolments",IF(AND(E45=O45,SUM(K45:M45)&gt;0),"Intake same as enrolments?","OK"))))</f>
        <v>OK</v>
      </c>
      <c r="S45" s="828"/>
      <c r="T45" s="1827">
        <f>'T1 Main Table'!$K$47</f>
        <v>0</v>
      </c>
      <c r="U45" s="1102">
        <f>O45-T45</f>
        <v>0</v>
      </c>
      <c r="V45" s="1252" t="str">
        <f>IF(ABS(U45)&gt;0.1,"Does not equal Table 1","OK")</f>
        <v>OK</v>
      </c>
      <c r="W45" s="184"/>
    </row>
    <row r="46" spans="1:23" ht="30" customHeight="1" thickBot="1">
      <c r="A46" s="1025"/>
      <c r="B46" s="1328" t="s">
        <v>2</v>
      </c>
      <c r="C46" s="2303">
        <f>SUM(C44:C45)</f>
        <v>140</v>
      </c>
      <c r="D46" s="1468">
        <f t="shared" ref="D46:H46" si="6">SUM(D44:D45)</f>
        <v>0</v>
      </c>
      <c r="E46" s="1465">
        <f t="shared" si="6"/>
        <v>140</v>
      </c>
      <c r="F46" s="2304">
        <f t="shared" si="6"/>
        <v>1</v>
      </c>
      <c r="G46" s="2305">
        <f t="shared" si="6"/>
        <v>141</v>
      </c>
      <c r="H46" s="2306">
        <f t="shared" si="6"/>
        <v>1</v>
      </c>
      <c r="I46" s="1053"/>
      <c r="J46" s="1467">
        <f>SUM(J44:J45)</f>
        <v>146.32</v>
      </c>
      <c r="K46" s="1468">
        <f t="shared" ref="K46:N46" si="7">SUM(K44:K45)</f>
        <v>124</v>
      </c>
      <c r="L46" s="1468">
        <f t="shared" si="7"/>
        <v>127.83</v>
      </c>
      <c r="M46" s="1468">
        <f t="shared" si="7"/>
        <v>115.8</v>
      </c>
      <c r="N46" s="1465">
        <f t="shared" si="7"/>
        <v>64</v>
      </c>
      <c r="O46" s="2305">
        <f>SUM(O44:O45)</f>
        <v>577.94999999999993</v>
      </c>
      <c r="P46" s="1061"/>
      <c r="Q46" s="1081"/>
      <c r="R46" s="224"/>
      <c r="S46" s="224"/>
      <c r="T46" s="224"/>
      <c r="U46" s="224"/>
      <c r="V46" s="224"/>
      <c r="W46" s="184"/>
    </row>
    <row r="47" spans="1:23" ht="20.100000000000001" customHeight="1">
      <c r="A47" s="1082"/>
      <c r="B47" s="1053"/>
      <c r="C47" s="1828"/>
      <c r="D47" s="1828"/>
      <c r="E47" s="1053"/>
      <c r="F47" s="1828"/>
      <c r="G47" s="1828"/>
      <c r="H47" s="1828"/>
      <c r="I47" s="1053"/>
      <c r="J47" s="1828"/>
      <c r="K47" s="1828"/>
      <c r="L47" s="1828"/>
      <c r="M47" s="1828"/>
      <c r="N47" s="1828"/>
      <c r="O47" s="1828"/>
      <c r="P47" s="1246"/>
      <c r="Q47" s="1081"/>
      <c r="R47" s="224"/>
      <c r="S47" s="224"/>
      <c r="T47" s="224"/>
      <c r="U47" s="224"/>
      <c r="V47" s="224"/>
      <c r="W47" s="184"/>
    </row>
    <row r="48" spans="1:23" ht="30" customHeight="1" thickBot="1">
      <c r="A48" s="1025"/>
      <c r="B48" s="1930" t="s">
        <v>313</v>
      </c>
      <c r="C48" s="1515"/>
      <c r="D48" s="1515"/>
      <c r="E48" s="1515"/>
      <c r="F48" s="1515"/>
      <c r="G48" s="1516"/>
      <c r="H48" s="1051"/>
      <c r="I48" s="1053"/>
      <c r="J48" s="1517"/>
      <c r="K48" s="1517"/>
      <c r="L48" s="1517"/>
      <c r="M48" s="1517"/>
      <c r="N48" s="1517"/>
      <c r="O48" s="1517"/>
      <c r="P48" s="1058"/>
      <c r="Q48" s="1053"/>
      <c r="R48" s="224"/>
      <c r="S48" s="224"/>
      <c r="T48" s="224"/>
      <c r="U48" s="224"/>
      <c r="V48" s="224"/>
      <c r="W48" s="184"/>
    </row>
    <row r="49" spans="1:23" ht="30" customHeight="1">
      <c r="A49" s="2473">
        <f>VLOOKUP('Background Data'!$F$2,Inst_Tables,24,FALSE)</f>
        <v>0</v>
      </c>
      <c r="B49" s="324" t="s">
        <v>19</v>
      </c>
      <c r="C49" s="1290"/>
      <c r="D49" s="1291"/>
      <c r="E49" s="1466">
        <f>SUM(C49:D49)</f>
        <v>0</v>
      </c>
      <c r="F49" s="1975"/>
      <c r="G49" s="1292">
        <f>SUM(E49:F49)</f>
        <v>0</v>
      </c>
      <c r="H49" s="1057"/>
      <c r="I49" s="1053"/>
      <c r="J49" s="1293"/>
      <c r="K49" s="1294"/>
      <c r="L49" s="1294"/>
      <c r="M49" s="1294"/>
      <c r="N49" s="2284"/>
      <c r="O49" s="1292">
        <f>SUM(J49:M49)</f>
        <v>0</v>
      </c>
      <c r="P49" s="1061"/>
      <c r="Q49" s="1081"/>
      <c r="R49" s="1094" t="str">
        <f>IF(AND(E49&gt;0,O49=0),"No enrolments",IF(AND(E49=0,O49&gt;0),"No intake?",IF(AND(E49&gt;O49,O49&gt;0),"Intake larger than enrolments",IF(AND(E49=O49,SUM(K49:M49)&gt;0),"Intake same as enrolments?","OK"))))</f>
        <v>OK</v>
      </c>
      <c r="S49" s="828"/>
      <c r="T49" s="1826">
        <f>'T1 Main Table'!$K$50</f>
        <v>0</v>
      </c>
      <c r="U49" s="1088">
        <f t="shared" ref="U49:U51" si="8">O49-T49</f>
        <v>0</v>
      </c>
      <c r="V49" s="1250" t="str">
        <f t="shared" ref="V49:V51" si="9">IF(ABS(U49)&gt;0.1,"Does not equal Table 1","OK")</f>
        <v>OK</v>
      </c>
      <c r="W49" s="184"/>
    </row>
    <row r="50" spans="1:23" ht="30" customHeight="1">
      <c r="A50" s="2473">
        <f>VLOOKUP('Background Data'!$F$2,Inst_Tables,25,FALSE)</f>
        <v>0</v>
      </c>
      <c r="B50" s="324" t="s">
        <v>20</v>
      </c>
      <c r="C50" s="1066"/>
      <c r="D50" s="1449"/>
      <c r="E50" s="1454">
        <f>SUM(C50:D50)</f>
        <v>0</v>
      </c>
      <c r="F50" s="899"/>
      <c r="G50" s="1842">
        <f>SUM(E50:F50)</f>
        <v>0</v>
      </c>
      <c r="H50" s="1057"/>
      <c r="I50" s="1053"/>
      <c r="J50" s="1067"/>
      <c r="K50" s="900"/>
      <c r="L50" s="900"/>
      <c r="M50" s="900"/>
      <c r="N50" s="2285"/>
      <c r="O50" s="1842">
        <f>SUM(J50:M50)</f>
        <v>0</v>
      </c>
      <c r="P50" s="1061"/>
      <c r="Q50" s="1081"/>
      <c r="R50" s="1095" t="str">
        <f>IF(AND(E50&gt;0,O50=0),"No enrolments",IF(AND(E50=0,O50&gt;0),"No intake?",IF(AND(E50&gt;O50,O50&gt;0),"Intake larger than enrolments",IF(AND(E50=O50,SUM(K50:M50)&gt;0),"Intake same as enrolments?","OK"))))</f>
        <v>OK</v>
      </c>
      <c r="S50" s="828"/>
      <c r="T50" s="1844">
        <f>'T1 Main Table'!$K$51</f>
        <v>0</v>
      </c>
      <c r="U50" s="212">
        <f t="shared" si="8"/>
        <v>0</v>
      </c>
      <c r="V50" s="1251" t="str">
        <f t="shared" si="9"/>
        <v>OK</v>
      </c>
      <c r="W50" s="184"/>
    </row>
    <row r="51" spans="1:23" ht="30" customHeight="1" thickBot="1">
      <c r="A51" s="2473">
        <f>VLOOKUP('Background Data'!$F$2,Inst_Tables,26,FALSE)</f>
        <v>1</v>
      </c>
      <c r="B51" s="1328" t="s">
        <v>21</v>
      </c>
      <c r="C51" s="1085">
        <v>26</v>
      </c>
      <c r="D51" s="848"/>
      <c r="E51" s="1103">
        <f>SUM(C51:D51)</f>
        <v>26</v>
      </c>
      <c r="F51" s="1437"/>
      <c r="G51" s="20">
        <f>SUM(E51:F51)</f>
        <v>26</v>
      </c>
      <c r="H51" s="1057"/>
      <c r="I51" s="1053"/>
      <c r="J51" s="1086">
        <v>26</v>
      </c>
      <c r="K51" s="849">
        <v>14</v>
      </c>
      <c r="L51" s="849">
        <v>18</v>
      </c>
      <c r="M51" s="849">
        <v>18</v>
      </c>
      <c r="N51" s="2286"/>
      <c r="O51" s="20">
        <f>SUM(J51:M51)</f>
        <v>76</v>
      </c>
      <c r="P51" s="1061"/>
      <c r="Q51" s="1081"/>
      <c r="R51" s="1096" t="str">
        <f>IF(AND(E51&gt;0,O51=0),"No enrolments",IF(AND(E51=0,O51&gt;0),"No intake?",IF(AND(E51&gt;O51,O51&gt;0),"Intake larger than enrolments",IF(AND(E51=O51,SUM(K51:M51)&gt;0),"Intake same as enrolments?","OK"))))</f>
        <v>OK</v>
      </c>
      <c r="S51" s="828"/>
      <c r="T51" s="1827">
        <f>'T1 Main Table'!$K$52</f>
        <v>76</v>
      </c>
      <c r="U51" s="1102">
        <f t="shared" si="8"/>
        <v>0</v>
      </c>
      <c r="V51" s="1252" t="str">
        <f t="shared" si="9"/>
        <v>OK</v>
      </c>
      <c r="W51" s="184"/>
    </row>
    <row r="52" spans="1:23" s="506" customFormat="1" ht="20.100000000000001" customHeight="1">
      <c r="A52" s="1082"/>
      <c r="B52" s="1053"/>
      <c r="C52" s="1053"/>
      <c r="D52" s="1053"/>
      <c r="E52" s="1053"/>
      <c r="F52" s="1053"/>
      <c r="G52" s="1053"/>
      <c r="H52" s="1053"/>
      <c r="I52" s="1053"/>
      <c r="J52" s="1053"/>
      <c r="K52" s="1053"/>
      <c r="L52" s="1053"/>
      <c r="M52" s="1053"/>
      <c r="N52" s="1053"/>
      <c r="O52" s="1053"/>
      <c r="P52" s="1246"/>
      <c r="Q52" s="1081"/>
      <c r="R52" s="224"/>
      <c r="S52" s="224"/>
      <c r="T52" s="224"/>
      <c r="U52" s="224"/>
      <c r="V52" s="224"/>
      <c r="W52" s="183"/>
    </row>
    <row r="53" spans="1:23" ht="30" customHeight="1" thickBot="1">
      <c r="A53" s="1025"/>
      <c r="B53" s="1930" t="s">
        <v>22</v>
      </c>
      <c r="C53" s="1515"/>
      <c r="D53" s="1515"/>
      <c r="E53" s="1515"/>
      <c r="F53" s="1515"/>
      <c r="G53" s="1516"/>
      <c r="H53" s="1516"/>
      <c r="I53" s="1053"/>
      <c r="J53" s="1517"/>
      <c r="K53" s="1517"/>
      <c r="L53" s="1517"/>
      <c r="M53" s="1517"/>
      <c r="N53" s="1517"/>
      <c r="O53" s="1517"/>
      <c r="P53" s="1058"/>
      <c r="Q53" s="1053"/>
      <c r="R53" s="224"/>
      <c r="S53" s="224"/>
      <c r="T53" s="224"/>
      <c r="U53" s="224"/>
      <c r="V53" s="224"/>
      <c r="W53" s="184"/>
    </row>
    <row r="54" spans="1:23" ht="30" customHeight="1" thickBot="1">
      <c r="A54" s="2473">
        <f>VLOOKUP('Background Data'!$F$2,Inst_Tables,27,FALSE)</f>
        <v>1</v>
      </c>
      <c r="B54" s="324" t="s">
        <v>348</v>
      </c>
      <c r="C54" s="2278"/>
      <c r="D54" s="2279"/>
      <c r="E54" s="2279"/>
      <c r="F54" s="2279"/>
      <c r="G54" s="2280"/>
      <c r="H54" s="2281"/>
      <c r="I54" s="224"/>
      <c r="J54" s="1074"/>
      <c r="K54" s="34"/>
      <c r="L54" s="34"/>
      <c r="M54" s="34"/>
      <c r="N54" s="34"/>
      <c r="O54" s="1075"/>
      <c r="P54" s="1061"/>
      <c r="Q54" s="1081"/>
      <c r="R54" s="224"/>
      <c r="S54" s="224"/>
      <c r="T54" s="224"/>
      <c r="U54" s="224"/>
      <c r="V54" s="224"/>
      <c r="W54" s="184"/>
    </row>
    <row r="55" spans="1:23" ht="30" customHeight="1">
      <c r="A55" s="1025"/>
      <c r="B55" s="325" t="s">
        <v>17</v>
      </c>
      <c r="C55" s="1066">
        <v>50</v>
      </c>
      <c r="D55" s="1449">
        <v>1</v>
      </c>
      <c r="E55" s="1454">
        <f>SUM(C55:D55)</f>
        <v>51</v>
      </c>
      <c r="F55" s="899"/>
      <c r="G55" s="1453">
        <f>SUM(E55:F55)</f>
        <v>51</v>
      </c>
      <c r="H55" s="1098"/>
      <c r="I55" s="224"/>
      <c r="J55" s="1067">
        <v>51</v>
      </c>
      <c r="K55" s="900">
        <v>50</v>
      </c>
      <c r="L55" s="900">
        <v>43.167000000000002</v>
      </c>
      <c r="M55" s="900">
        <v>31.8</v>
      </c>
      <c r="N55" s="2282"/>
      <c r="O55" s="1453">
        <f>SUM(J55:N55)</f>
        <v>175.96700000000001</v>
      </c>
      <c r="P55" s="1061"/>
      <c r="Q55" s="1081"/>
      <c r="R55" s="1396" t="str">
        <f>IF(AND(E55&gt;0,O55=0),"No enrolments",IF(AND(E55=0,O55&gt;0),"No intake?",IF(AND(E55&gt;O55,O55&gt;0),"Intake larger than enrolments",IF(AND(E55=O55,SUM(K55:N55)&gt;0),"Intake same as enrolments?","OK"))))</f>
        <v>OK</v>
      </c>
      <c r="S55" s="828"/>
      <c r="T55" s="224"/>
      <c r="U55" s="224"/>
      <c r="V55" s="224"/>
      <c r="W55" s="184"/>
    </row>
    <row r="56" spans="1:23" ht="30" customHeight="1" thickBot="1">
      <c r="A56" s="1025"/>
      <c r="B56" s="325" t="s">
        <v>18</v>
      </c>
      <c r="C56" s="1066"/>
      <c r="D56" s="1449"/>
      <c r="E56" s="1454">
        <f>SUM(C56:D56)</f>
        <v>0</v>
      </c>
      <c r="F56" s="899"/>
      <c r="G56" s="1453">
        <f>SUM(E56:F56)</f>
        <v>0</v>
      </c>
      <c r="H56" s="1098"/>
      <c r="I56" s="224"/>
      <c r="J56" s="1067"/>
      <c r="K56" s="900">
        <v>12</v>
      </c>
      <c r="L56" s="900">
        <v>10</v>
      </c>
      <c r="M56" s="900">
        <v>11</v>
      </c>
      <c r="N56" s="2282"/>
      <c r="O56" s="1453">
        <f>SUM(J56:N56)</f>
        <v>33</v>
      </c>
      <c r="P56" s="1061"/>
      <c r="Q56" s="1081"/>
      <c r="R56" s="1096" t="str">
        <f>IF(AND(E56&gt;0,O56=0),"No enrolments",IF(AND(E56=0,O56&gt;0),"No intake?",IF(AND(E56&gt;O56,O56&gt;0),"Intake larger than enrolments",IF(AND(E56=O56,SUM(K56:N56)&gt;0),"Intake same as enrolments?","OK"))))</f>
        <v>No intake?</v>
      </c>
      <c r="S56" s="828"/>
      <c r="T56" s="224"/>
      <c r="U56" s="224"/>
      <c r="V56" s="224"/>
      <c r="W56" s="184"/>
    </row>
    <row r="57" spans="1:23" ht="30" customHeight="1">
      <c r="A57" s="1025"/>
      <c r="B57" s="325" t="s">
        <v>2</v>
      </c>
      <c r="C57" s="1068">
        <f t="shared" ref="C57:H57" si="10">SUM(C55:C56)</f>
        <v>50</v>
      </c>
      <c r="D57" s="1070">
        <f t="shared" si="10"/>
        <v>1</v>
      </c>
      <c r="E57" s="1454">
        <f t="shared" si="10"/>
        <v>51</v>
      </c>
      <c r="F57" s="2176">
        <f t="shared" si="10"/>
        <v>0</v>
      </c>
      <c r="G57" s="1460">
        <f t="shared" si="10"/>
        <v>51</v>
      </c>
      <c r="H57" s="1461">
        <f t="shared" si="10"/>
        <v>0</v>
      </c>
      <c r="I57" s="224"/>
      <c r="J57" s="1069">
        <f t="shared" ref="J57:O57" si="11">SUM(J55:J56)</f>
        <v>51</v>
      </c>
      <c r="K57" s="1070">
        <f t="shared" si="11"/>
        <v>62</v>
      </c>
      <c r="L57" s="1070">
        <f t="shared" si="11"/>
        <v>53.167000000000002</v>
      </c>
      <c r="M57" s="1070">
        <f t="shared" si="11"/>
        <v>42.8</v>
      </c>
      <c r="N57" s="1454">
        <f t="shared" si="11"/>
        <v>0</v>
      </c>
      <c r="O57" s="1453">
        <f t="shared" si="11"/>
        <v>208.96700000000001</v>
      </c>
      <c r="P57" s="1061"/>
      <c r="Q57" s="1081"/>
      <c r="R57" s="224"/>
      <c r="S57" s="224"/>
      <c r="T57" s="224"/>
      <c r="U57" s="224"/>
      <c r="V57" s="224"/>
      <c r="W57" s="184"/>
    </row>
    <row r="58" spans="1:23" ht="30" customHeight="1" thickBot="1">
      <c r="A58" s="1025"/>
      <c r="B58" s="1462" t="s">
        <v>311</v>
      </c>
      <c r="C58" s="1076"/>
      <c r="D58" s="1451"/>
      <c r="E58" s="1451"/>
      <c r="F58" s="1451"/>
      <c r="G58" s="1840"/>
      <c r="H58" s="1463"/>
      <c r="I58" s="224"/>
      <c r="J58" s="1077"/>
      <c r="K58" s="1840"/>
      <c r="L58" s="1840"/>
      <c r="M58" s="1840"/>
      <c r="N58" s="1840"/>
      <c r="O58" s="1463"/>
      <c r="P58" s="1061"/>
      <c r="Q58" s="1081"/>
      <c r="R58" s="224"/>
      <c r="S58" s="224"/>
      <c r="T58" s="224"/>
      <c r="U58" s="224"/>
      <c r="V58" s="224"/>
      <c r="W58" s="184"/>
    </row>
    <row r="59" spans="1:23" ht="30" customHeight="1">
      <c r="A59" s="2473">
        <f>VLOOKUP('Background Data'!$F$2,Inst_Tables,28,FALSE)</f>
        <v>0</v>
      </c>
      <c r="B59" s="325" t="s">
        <v>17</v>
      </c>
      <c r="C59" s="1066"/>
      <c r="D59" s="1449"/>
      <c r="E59" s="1454">
        <f>SUM(C59:D59)</f>
        <v>0</v>
      </c>
      <c r="F59" s="899"/>
      <c r="G59" s="1453">
        <f>SUM(E59:F59)</f>
        <v>0</v>
      </c>
      <c r="H59" s="1098"/>
      <c r="I59" s="224"/>
      <c r="J59" s="1067"/>
      <c r="K59" s="900"/>
      <c r="L59" s="900"/>
      <c r="M59" s="900"/>
      <c r="N59" s="2282"/>
      <c r="O59" s="1453">
        <f>SUM(J59:N59)</f>
        <v>0</v>
      </c>
      <c r="P59" s="1061"/>
      <c r="Q59" s="1081"/>
      <c r="R59" s="1396" t="str">
        <f>IF(AND(E59&gt;0,O59=0),"No enrolments",IF(AND(E59=0,O59&gt;0),"No intake?",IF(AND(E59&gt;O59,O59&gt;0),"Intake larger than enrolments",IF(AND(E59=O59,SUM(K59:N59)&gt;0),"Intake same as enrolments?","OK"))))</f>
        <v>OK</v>
      </c>
      <c r="S59" s="828"/>
      <c r="T59" s="1826">
        <f>'T1 Main Table'!$K$54</f>
        <v>0</v>
      </c>
      <c r="U59" s="1088">
        <f t="shared" ref="U59:U60" si="12">O59-T59</f>
        <v>0</v>
      </c>
      <c r="V59" s="1089" t="str">
        <f t="shared" ref="V59:V60" si="13">IF(ABS(U59)&gt;0.1,"Does not equal Table 1","OK")</f>
        <v>OK</v>
      </c>
      <c r="W59" s="184"/>
    </row>
    <row r="60" spans="1:23" ht="30" customHeight="1" thickBot="1">
      <c r="A60" s="2473">
        <f>VLOOKUP('Background Data'!$F$2,Inst_Tables,29,FALSE)</f>
        <v>0</v>
      </c>
      <c r="B60" s="325" t="s">
        <v>18</v>
      </c>
      <c r="C60" s="1066"/>
      <c r="D60" s="1449"/>
      <c r="E60" s="1454">
        <f>SUM(C60:D60)</f>
        <v>0</v>
      </c>
      <c r="F60" s="899"/>
      <c r="G60" s="1453">
        <f>SUM(E60:F60)</f>
        <v>0</v>
      </c>
      <c r="H60" s="1098"/>
      <c r="I60" s="224"/>
      <c r="J60" s="1067"/>
      <c r="K60" s="900"/>
      <c r="L60" s="900"/>
      <c r="M60" s="900"/>
      <c r="N60" s="2282"/>
      <c r="O60" s="1453">
        <f>SUM(J60:N60)</f>
        <v>0</v>
      </c>
      <c r="P60" s="1061"/>
      <c r="Q60" s="1081"/>
      <c r="R60" s="1096" t="str">
        <f>IF(AND(E60&gt;0,O60=0),"No enrolments",IF(AND(E60=0,O60&gt;0),"No intake?",IF(AND(E60&gt;O60,O60&gt;0),"Intake larger than enrolments",IF(AND(E60=O60,SUM(K60:N60)&gt;0),"Intake same as enrolments?","OK"))))</f>
        <v>OK</v>
      </c>
      <c r="S60" s="828"/>
      <c r="T60" s="1827">
        <f>'T1 Main Table'!$K$55</f>
        <v>0</v>
      </c>
      <c r="U60" s="1102">
        <f t="shared" si="12"/>
        <v>0</v>
      </c>
      <c r="V60" s="21" t="str">
        <f t="shared" si="13"/>
        <v>OK</v>
      </c>
      <c r="W60" s="184"/>
    </row>
    <row r="61" spans="1:23" ht="30" customHeight="1">
      <c r="A61" s="1025"/>
      <c r="B61" s="1464" t="s">
        <v>2</v>
      </c>
      <c r="C61" s="1068">
        <f t="shared" ref="C61:H61" si="14">SUM(C59:C60)</f>
        <v>0</v>
      </c>
      <c r="D61" s="1070">
        <f t="shared" si="14"/>
        <v>0</v>
      </c>
      <c r="E61" s="1454">
        <f t="shared" si="14"/>
        <v>0</v>
      </c>
      <c r="F61" s="2177">
        <f t="shared" si="14"/>
        <v>0</v>
      </c>
      <c r="G61" s="1453">
        <f t="shared" si="14"/>
        <v>0</v>
      </c>
      <c r="H61" s="1099">
        <f t="shared" si="14"/>
        <v>0</v>
      </c>
      <c r="I61" s="224"/>
      <c r="J61" s="1069">
        <f t="shared" ref="J61:O61" si="15">SUM(J59:J60)</f>
        <v>0</v>
      </c>
      <c r="K61" s="1070">
        <f t="shared" si="15"/>
        <v>0</v>
      </c>
      <c r="L61" s="1070">
        <f t="shared" si="15"/>
        <v>0</v>
      </c>
      <c r="M61" s="1070">
        <f t="shared" si="15"/>
        <v>0</v>
      </c>
      <c r="N61" s="1454">
        <f t="shared" si="15"/>
        <v>0</v>
      </c>
      <c r="O61" s="1453">
        <f t="shared" si="15"/>
        <v>0</v>
      </c>
      <c r="P61" s="1061"/>
      <c r="Q61" s="1081"/>
      <c r="R61" s="224"/>
      <c r="S61" s="224"/>
      <c r="T61" s="224"/>
      <c r="U61" s="224"/>
      <c r="V61" s="224"/>
      <c r="W61" s="184"/>
    </row>
    <row r="62" spans="1:23" ht="30" customHeight="1">
      <c r="A62" s="1025"/>
      <c r="B62" s="324" t="s">
        <v>315</v>
      </c>
      <c r="C62" s="1076"/>
      <c r="D62" s="1451"/>
      <c r="E62" s="1451"/>
      <c r="F62" s="1451"/>
      <c r="G62" s="1840"/>
      <c r="H62" s="1463"/>
      <c r="I62" s="224"/>
      <c r="J62" s="1077"/>
      <c r="K62" s="1840"/>
      <c r="L62" s="1840"/>
      <c r="M62" s="1840"/>
      <c r="N62" s="1840"/>
      <c r="O62" s="1463"/>
      <c r="P62" s="1061"/>
      <c r="Q62" s="1081"/>
      <c r="R62" s="224"/>
      <c r="S62" s="224"/>
      <c r="T62" s="224"/>
      <c r="U62" s="224"/>
      <c r="V62" s="224"/>
      <c r="W62" s="184"/>
    </row>
    <row r="63" spans="1:23" ht="30" customHeight="1">
      <c r="A63" s="1025"/>
      <c r="B63" s="325" t="s">
        <v>17</v>
      </c>
      <c r="C63" s="1455">
        <f>SUM(C55,C59)</f>
        <v>50</v>
      </c>
      <c r="D63" s="571">
        <f>SUM(D55,D59)</f>
        <v>1</v>
      </c>
      <c r="E63" s="1454">
        <f>SUM(C63:D63)</f>
        <v>51</v>
      </c>
      <c r="F63" s="708">
        <f>SUM(F55,F59)</f>
        <v>0</v>
      </c>
      <c r="G63" s="1453">
        <f>SUM(E63:F63)</f>
        <v>51</v>
      </c>
      <c r="H63" s="1100">
        <f>SUM(H55,H59)</f>
        <v>0</v>
      </c>
      <c r="I63" s="224"/>
      <c r="J63" s="1080">
        <f>SUM(J55,J59)</f>
        <v>51</v>
      </c>
      <c r="K63" s="1841">
        <f>SUM(K55,K59)</f>
        <v>50</v>
      </c>
      <c r="L63" s="1841">
        <f t="shared" ref="L63:N63" si="16">SUM(L55,L59)</f>
        <v>43.167000000000002</v>
      </c>
      <c r="M63" s="1841">
        <f t="shared" si="16"/>
        <v>31.8</v>
      </c>
      <c r="N63" s="2283">
        <f t="shared" si="16"/>
        <v>0</v>
      </c>
      <c r="O63" s="1453">
        <f>SUM(J63:N63)</f>
        <v>175.96700000000001</v>
      </c>
      <c r="P63" s="1061"/>
      <c r="Q63" s="1081"/>
      <c r="R63" s="224"/>
      <c r="S63" s="224"/>
      <c r="T63" s="224"/>
      <c r="U63" s="224"/>
      <c r="V63" s="224"/>
      <c r="W63" s="184"/>
    </row>
    <row r="64" spans="1:23" ht="30" customHeight="1">
      <c r="A64" s="1025"/>
      <c r="B64" s="325" t="s">
        <v>18</v>
      </c>
      <c r="C64" s="1455">
        <f>SUM(C56,C60)</f>
        <v>0</v>
      </c>
      <c r="D64" s="571">
        <f>SUM(D56,D60)</f>
        <v>0</v>
      </c>
      <c r="E64" s="1454">
        <f>SUM(C64:D64)</f>
        <v>0</v>
      </c>
      <c r="F64" s="708">
        <f>SUM(F56,F60)</f>
        <v>0</v>
      </c>
      <c r="G64" s="1453">
        <f>SUM(E64:F64)</f>
        <v>0</v>
      </c>
      <c r="H64" s="1100">
        <f>SUM(H56,H60)</f>
        <v>0</v>
      </c>
      <c r="I64" s="224"/>
      <c r="J64" s="1080">
        <f>SUM(J56,J60)</f>
        <v>0</v>
      </c>
      <c r="K64" s="1841">
        <f>SUM(K56,K60)</f>
        <v>12</v>
      </c>
      <c r="L64" s="1841">
        <f t="shared" ref="L64:N64" si="17">SUM(L56,L60)</f>
        <v>10</v>
      </c>
      <c r="M64" s="1841">
        <f t="shared" si="17"/>
        <v>11</v>
      </c>
      <c r="N64" s="2283">
        <f t="shared" si="17"/>
        <v>0</v>
      </c>
      <c r="O64" s="1453">
        <f>SUM(J64:N64)</f>
        <v>33</v>
      </c>
      <c r="P64" s="1061"/>
      <c r="Q64" s="1081"/>
      <c r="R64" s="224"/>
      <c r="S64" s="224"/>
      <c r="T64" s="224"/>
      <c r="U64" s="224"/>
      <c r="V64" s="224"/>
      <c r="W64" s="184"/>
    </row>
    <row r="65" spans="1:23" ht="30" customHeight="1" thickBot="1">
      <c r="A65" s="1025"/>
      <c r="B65" s="326" t="s">
        <v>2</v>
      </c>
      <c r="C65" s="1456">
        <f t="shared" ref="C65:H65" si="18">SUM(C63:C64)</f>
        <v>50</v>
      </c>
      <c r="D65" s="1073">
        <f t="shared" si="18"/>
        <v>1</v>
      </c>
      <c r="E65" s="1103">
        <f t="shared" si="18"/>
        <v>51</v>
      </c>
      <c r="F65" s="2178">
        <f t="shared" si="18"/>
        <v>0</v>
      </c>
      <c r="G65" s="1072">
        <f t="shared" si="18"/>
        <v>51</v>
      </c>
      <c r="H65" s="1101">
        <f t="shared" si="18"/>
        <v>0</v>
      </c>
      <c r="I65" s="1083"/>
      <c r="J65" s="1071">
        <f>SUM(J63:J64)</f>
        <v>51</v>
      </c>
      <c r="K65" s="1073">
        <f t="shared" ref="K65:N65" si="19">SUM(K63:K64)</f>
        <v>62</v>
      </c>
      <c r="L65" s="1073">
        <f t="shared" si="19"/>
        <v>53.167000000000002</v>
      </c>
      <c r="M65" s="1073">
        <f t="shared" si="19"/>
        <v>42.8</v>
      </c>
      <c r="N65" s="1103">
        <f t="shared" si="19"/>
        <v>0</v>
      </c>
      <c r="O65" s="1072">
        <f>SUM(O63:O64)</f>
        <v>208.96700000000001</v>
      </c>
      <c r="P65" s="1061"/>
      <c r="Q65" s="1087"/>
      <c r="R65" s="292"/>
      <c r="S65" s="292"/>
      <c r="T65" s="224"/>
      <c r="U65" s="224"/>
      <c r="V65" s="224"/>
      <c r="W65" s="184"/>
    </row>
    <row r="66" spans="1:23" ht="20.100000000000001" customHeight="1">
      <c r="A66" s="1025"/>
      <c r="B66" s="183"/>
      <c r="C66" s="182"/>
      <c r="D66" s="182"/>
      <c r="E66" s="182"/>
      <c r="F66" s="182"/>
      <c r="G66" s="182"/>
      <c r="H66" s="182"/>
      <c r="I66" s="224"/>
      <c r="J66" s="182"/>
      <c r="K66" s="182"/>
      <c r="L66" s="182"/>
      <c r="M66" s="182"/>
      <c r="N66" s="182"/>
      <c r="O66" s="182"/>
      <c r="P66" s="1247"/>
      <c r="Q66" s="292"/>
      <c r="R66" s="292"/>
      <c r="S66" s="292"/>
      <c r="T66" s="292"/>
      <c r="U66" s="292"/>
      <c r="V66" s="292"/>
      <c r="W66" s="184"/>
    </row>
    <row r="67" spans="1:23" ht="30" customHeight="1" thickBot="1">
      <c r="A67" s="2473">
        <f>VLOOKUP('Background Data'!$F$2,Inst_Tables,30,FALSE)</f>
        <v>1</v>
      </c>
      <c r="B67" s="1930" t="s">
        <v>314</v>
      </c>
      <c r="C67" s="1515"/>
      <c r="D67" s="1515"/>
      <c r="E67" s="1515"/>
      <c r="F67" s="1515"/>
      <c r="G67" s="1516"/>
      <c r="H67" s="1053"/>
      <c r="I67" s="1053"/>
      <c r="J67" s="1517"/>
      <c r="K67" s="1517"/>
      <c r="L67" s="1517"/>
      <c r="M67" s="1517"/>
      <c r="N67" s="1517"/>
      <c r="O67" s="1517"/>
      <c r="P67" s="1058"/>
      <c r="Q67" s="1053"/>
      <c r="R67" s="224"/>
      <c r="S67" s="224"/>
      <c r="T67" s="224"/>
      <c r="U67" s="224"/>
      <c r="V67" s="224"/>
      <c r="W67" s="184"/>
    </row>
    <row r="68" spans="1:23" ht="30" customHeight="1">
      <c r="A68" s="1130"/>
      <c r="B68" s="324" t="s">
        <v>8</v>
      </c>
      <c r="C68" s="1290">
        <v>3</v>
      </c>
      <c r="D68" s="1291"/>
      <c r="E68" s="1454">
        <f>SUM(C68:D68)</f>
        <v>3</v>
      </c>
      <c r="F68" s="1975"/>
      <c r="G68" s="1292">
        <f>SUM(E68:F68)</f>
        <v>3</v>
      </c>
      <c r="H68" s="1285"/>
      <c r="I68" s="1284"/>
      <c r="J68" s="1293"/>
      <c r="K68" s="1294">
        <v>3</v>
      </c>
      <c r="L68" s="2308"/>
      <c r="M68" s="2308"/>
      <c r="N68" s="2275"/>
      <c r="O68" s="1292">
        <f>SUM(J68:M68)</f>
        <v>3</v>
      </c>
      <c r="P68" s="1061"/>
      <c r="Q68" s="1081"/>
      <c r="R68" s="1396" t="str">
        <f>IF(AND(E68&gt;0,O68=0),"No enrolments",IF(AND(E68=0,O68&gt;0),"No intake?",IF(AND(E68&gt;O68,O68&gt;0),"Intake larger than enrolments",IF(AND(E68=O68,SUM(K68:K68)&gt;0),"Intake same as enrolments?","OK"))))</f>
        <v>Intake same as enrolments?</v>
      </c>
      <c r="S68" s="828"/>
      <c r="T68" s="1826">
        <f>'T1 Main Table'!$K$29</f>
        <v>4</v>
      </c>
      <c r="U68" s="1088">
        <f t="shared" ref="U68:U69" si="20">O68-T68</f>
        <v>-1</v>
      </c>
      <c r="V68" s="1089" t="str">
        <f t="shared" ref="V68:V69" si="21">IF(ABS(U68)&gt;0.1,"Does not equal Table 1","OK")</f>
        <v>Does not equal Table 1</v>
      </c>
      <c r="W68" s="184"/>
    </row>
    <row r="69" spans="1:23" ht="30" customHeight="1" thickBot="1">
      <c r="A69" s="1130"/>
      <c r="B69" s="1328" t="s">
        <v>10</v>
      </c>
      <c r="C69" s="1085"/>
      <c r="D69" s="848"/>
      <c r="E69" s="1454">
        <f>SUM(C69:D69)</f>
        <v>0</v>
      </c>
      <c r="F69" s="1437"/>
      <c r="G69" s="20">
        <f>SUM(E69:F69)</f>
        <v>0</v>
      </c>
      <c r="H69" s="1285"/>
      <c r="I69" s="1284"/>
      <c r="J69" s="1086"/>
      <c r="K69" s="849"/>
      <c r="L69" s="849"/>
      <c r="M69" s="849"/>
      <c r="N69" s="2276"/>
      <c r="O69" s="20">
        <f>SUM(J69:M69)</f>
        <v>0</v>
      </c>
      <c r="P69" s="1061"/>
      <c r="Q69" s="1081"/>
      <c r="R69" s="1096" t="str">
        <f>IF(AND(E69&gt;0,O69=0),"No enrolments",IF(AND(E69=0,O69&gt;0),"No intake?",IF(AND(E69&gt;O69,O69&gt;0),"Intake larger than enrolments",IF(AND(E69=O69,SUM(K69:N69)&gt;0),"Intake same as enrolments?","OK"))))</f>
        <v>OK</v>
      </c>
      <c r="S69" s="828"/>
      <c r="T69" s="1827">
        <f>'T1 Main Table'!$K$56</f>
        <v>0</v>
      </c>
      <c r="U69" s="1102">
        <f t="shared" si="20"/>
        <v>0</v>
      </c>
      <c r="V69" s="21" t="str">
        <f t="shared" si="21"/>
        <v>OK</v>
      </c>
      <c r="W69" s="184"/>
    </row>
    <row r="70" spans="1:23" ht="30" customHeight="1" thickBot="1">
      <c r="A70" s="1025"/>
      <c r="B70" s="1328" t="s">
        <v>2</v>
      </c>
      <c r="C70" s="1467">
        <f>SUM(C68:C69)</f>
        <v>3</v>
      </c>
      <c r="D70" s="1468">
        <f t="shared" ref="D70" si="22">SUM(D68:D69)</f>
        <v>0</v>
      </c>
      <c r="E70" s="1465">
        <f>SUM(E68:E69)</f>
        <v>3</v>
      </c>
      <c r="F70" s="2178">
        <f>SUM(F68:F69)</f>
        <v>0</v>
      </c>
      <c r="G70" s="1072">
        <f>SUM(G68:G69)</f>
        <v>3</v>
      </c>
      <c r="H70" s="1063"/>
      <c r="I70" s="1284"/>
      <c r="J70" s="1071">
        <f>SUM(J68:J69)</f>
        <v>0</v>
      </c>
      <c r="K70" s="1073">
        <f t="shared" ref="K70:M70" si="23">SUM(K68:K69)</f>
        <v>3</v>
      </c>
      <c r="L70" s="1073">
        <f t="shared" si="23"/>
        <v>0</v>
      </c>
      <c r="M70" s="1073">
        <f t="shared" si="23"/>
        <v>0</v>
      </c>
      <c r="N70" s="2277"/>
      <c r="O70" s="1072">
        <f>SUM(O68:O69)</f>
        <v>3</v>
      </c>
      <c r="P70" s="1061"/>
      <c r="Q70" s="1087"/>
      <c r="R70" s="292"/>
      <c r="S70" s="292"/>
      <c r="T70" s="224"/>
      <c r="U70" s="224"/>
      <c r="V70" s="224"/>
      <c r="W70" s="184"/>
    </row>
    <row r="71" spans="1:23" ht="20.100000000000001" customHeight="1">
      <c r="A71" s="1025"/>
      <c r="B71" s="15"/>
      <c r="C71" s="1845"/>
      <c r="D71" s="1845"/>
      <c r="E71" s="1845"/>
      <c r="F71" s="1845"/>
      <c r="G71" s="19"/>
      <c r="H71" s="19"/>
      <c r="I71" s="1053"/>
      <c r="J71" s="19"/>
      <c r="K71" s="19"/>
      <c r="L71" s="19"/>
      <c r="M71" s="19"/>
      <c r="N71" s="19"/>
      <c r="O71" s="19"/>
      <c r="P71" s="1059"/>
      <c r="Q71" s="1053"/>
      <c r="R71" s="224"/>
      <c r="S71" s="224"/>
      <c r="T71" s="224"/>
      <c r="U71" s="224"/>
      <c r="V71" s="224"/>
      <c r="W71" s="184"/>
    </row>
    <row r="72" spans="1:23" ht="30" customHeight="1" thickBot="1">
      <c r="A72" s="1025"/>
      <c r="B72" s="1930" t="s">
        <v>472</v>
      </c>
      <c r="C72" s="1515"/>
      <c r="D72" s="1515"/>
      <c r="E72" s="1515"/>
      <c r="F72" s="1515"/>
      <c r="G72" s="1516"/>
      <c r="H72" s="1053"/>
      <c r="I72" s="1053"/>
      <c r="J72" s="1517"/>
      <c r="K72" s="1517"/>
      <c r="L72" s="1517"/>
      <c r="M72" s="1517"/>
      <c r="N72" s="1517"/>
      <c r="O72" s="1517"/>
      <c r="P72" s="1058"/>
      <c r="Q72" s="1053"/>
      <c r="R72" s="224"/>
      <c r="S72" s="224"/>
      <c r="T72" s="224"/>
      <c r="U72" s="224"/>
      <c r="V72" s="224"/>
      <c r="W72" s="184"/>
    </row>
    <row r="73" spans="1:23" ht="30" customHeight="1" thickBot="1">
      <c r="A73" s="2473">
        <f>VLOOKUP('Background Data'!$F$2,Inst_Tables,31,FALSE)</f>
        <v>0</v>
      </c>
      <c r="B73" s="1846" t="s">
        <v>8</v>
      </c>
      <c r="C73" s="1847"/>
      <c r="D73" s="1848"/>
      <c r="E73" s="1465">
        <f>SUM(C73:D73)</f>
        <v>0</v>
      </c>
      <c r="F73" s="2179"/>
      <c r="G73" s="1849">
        <f>SUM(E73:F73)</f>
        <v>0</v>
      </c>
      <c r="H73" s="1285"/>
      <c r="I73" s="224"/>
      <c r="J73" s="1850"/>
      <c r="K73" s="1851"/>
      <c r="L73" s="1851"/>
      <c r="M73" s="1851"/>
      <c r="N73" s="2274"/>
      <c r="O73" s="1849">
        <f>SUM(J73:M73)</f>
        <v>0</v>
      </c>
      <c r="P73" s="1061"/>
      <c r="Q73" s="1081"/>
      <c r="R73" s="1097" t="str">
        <f>IF(AND(E73&gt;0,O73=0),"No enrolments",IF(AND(E73=0,O73&gt;0),"No intake?",IF(AND(E73&gt;O73,O73&gt;0),"Intake larger than enrolments",IF(AND(E73=O73,SUM(K73:M73)&gt;0),"Intake same as enrolments?","OK"))))</f>
        <v>OK</v>
      </c>
      <c r="S73" s="828"/>
      <c r="T73" s="1843">
        <f>'T1 Main Table'!$K$30</f>
        <v>0</v>
      </c>
      <c r="U73" s="1092">
        <f t="shared" ref="U73" si="24">O73-T73</f>
        <v>0</v>
      </c>
      <c r="V73" s="1249" t="str">
        <f t="shared" ref="V73" si="25">IF(ABS(U73)&gt;0.1,"Does not equal Table 1","OK")</f>
        <v>OK</v>
      </c>
      <c r="W73" s="184"/>
    </row>
    <row r="74" spans="1:23" s="506" customFormat="1" ht="15" customHeight="1">
      <c r="A74" s="1884"/>
      <c r="B74" s="1065"/>
      <c r="C74" s="1065"/>
      <c r="D74" s="1065"/>
      <c r="E74" s="1065"/>
      <c r="F74" s="1065"/>
      <c r="G74" s="1065"/>
      <c r="H74" s="1065"/>
      <c r="I74" s="1065"/>
      <c r="J74" s="1065"/>
      <c r="K74" s="1065"/>
      <c r="L74" s="1065"/>
      <c r="M74" s="1065"/>
      <c r="N74" s="1065"/>
      <c r="O74" s="1065"/>
      <c r="P74" s="1885"/>
      <c r="Q74" s="1081"/>
      <c r="R74" s="224"/>
      <c r="S74" s="224"/>
      <c r="T74" s="224"/>
      <c r="U74" s="224"/>
      <c r="V74" s="224"/>
      <c r="W74" s="183"/>
    </row>
    <row r="75" spans="1:23">
      <c r="A75" s="184"/>
      <c r="B75" s="184"/>
      <c r="C75" s="184"/>
      <c r="D75" s="184"/>
      <c r="E75" s="184"/>
      <c r="F75" s="184"/>
      <c r="G75" s="184"/>
      <c r="H75" s="184"/>
      <c r="I75" s="224"/>
      <c r="J75" s="184"/>
      <c r="K75" s="184"/>
      <c r="L75" s="184"/>
      <c r="M75" s="184"/>
      <c r="N75" s="184"/>
      <c r="O75" s="184"/>
      <c r="P75" s="851"/>
      <c r="Q75" s="851"/>
      <c r="R75" s="184"/>
      <c r="S75" s="292"/>
      <c r="T75" s="184"/>
      <c r="U75" s="184"/>
      <c r="V75" s="184"/>
      <c r="W75" s="184"/>
    </row>
  </sheetData>
  <sheetProtection password="E23E" sheet="1" objects="1" scenarios="1"/>
  <mergeCells count="12">
    <mergeCell ref="U12:U13"/>
    <mergeCell ref="R11:R12"/>
    <mergeCell ref="T11:V11"/>
    <mergeCell ref="B9:B10"/>
    <mergeCell ref="F9:F10"/>
    <mergeCell ref="G9:G10"/>
    <mergeCell ref="C4:G4"/>
    <mergeCell ref="J9:O9"/>
    <mergeCell ref="J8:O8"/>
    <mergeCell ref="C8:H8"/>
    <mergeCell ref="H9:H10"/>
    <mergeCell ref="C9:E9"/>
  </mergeCells>
  <conditionalFormatting sqref="A1:P1">
    <cfRule type="expression" dxfId="157" priority="201" stopIfTrue="1">
      <formula>$H$4=0</formula>
    </cfRule>
  </conditionalFormatting>
  <conditionalFormatting sqref="R17:S18 R21:S22 V17:V18 V31:V32 R44:S44 V44 R49:S51 V49:V51">
    <cfRule type="expression" dxfId="156" priority="30">
      <formula>R17&lt;&gt;"OK"</formula>
    </cfRule>
  </conditionalFormatting>
  <conditionalFormatting sqref="R31:S32 R35:S36">
    <cfRule type="expression" dxfId="155" priority="29">
      <formula>R31&lt;&gt;"OK"</formula>
    </cfRule>
  </conditionalFormatting>
  <conditionalFormatting sqref="R55:S56">
    <cfRule type="expression" dxfId="154" priority="22">
      <formula>R55&lt;&gt;"OK"</formula>
    </cfRule>
  </conditionalFormatting>
  <conditionalFormatting sqref="V59:V60">
    <cfRule type="expression" dxfId="153" priority="26">
      <formula>V59&lt;&gt;"OK"</formula>
    </cfRule>
  </conditionalFormatting>
  <conditionalFormatting sqref="R59:S60">
    <cfRule type="expression" dxfId="152" priority="21">
      <formula>R59&lt;&gt;"OK"</formula>
    </cfRule>
  </conditionalFormatting>
  <conditionalFormatting sqref="V68:V69">
    <cfRule type="expression" dxfId="151" priority="24">
      <formula>V68&lt;&gt;"OK"</formula>
    </cfRule>
  </conditionalFormatting>
  <conditionalFormatting sqref="R68:S69">
    <cfRule type="expression" dxfId="150" priority="20">
      <formula>R68&lt;&gt;"OK"</formula>
    </cfRule>
  </conditionalFormatting>
  <conditionalFormatting sqref="V35:V36">
    <cfRule type="expression" dxfId="149" priority="19">
      <formula>V35&lt;&gt;"OK"</formula>
    </cfRule>
  </conditionalFormatting>
  <conditionalFormatting sqref="V21:V22">
    <cfRule type="expression" dxfId="148" priority="18">
      <formula>V21&lt;&gt;"OK"</formula>
    </cfRule>
  </conditionalFormatting>
  <conditionalFormatting sqref="C73:D73 F73 J73:M73">
    <cfRule type="expression" dxfId="147" priority="16">
      <formula>$A$73=1</formula>
    </cfRule>
  </conditionalFormatting>
  <conditionalFormatting sqref="R73:S73 V73">
    <cfRule type="expression" dxfId="146" priority="15">
      <formula>R73&lt;&gt;"OK"</formula>
    </cfRule>
  </conditionalFormatting>
  <conditionalFormatting sqref="C17:D18 F17:F18 H17:H18 J17:J18 K18">
    <cfRule type="expression" dxfId="145" priority="14">
      <formula>$A$16=1</formula>
    </cfRule>
  </conditionalFormatting>
  <conditionalFormatting sqref="C21:D22 F21:F22 H21:H22 J21:J22 K22">
    <cfRule type="expression" dxfId="144" priority="13">
      <formula>$A$20=1</formula>
    </cfRule>
  </conditionalFormatting>
  <conditionalFormatting sqref="C31:D32 F31:F32 H31:H32 J31:J32 K32">
    <cfRule type="expression" dxfId="143" priority="11">
      <formula>$A$30=1</formula>
    </cfRule>
  </conditionalFormatting>
  <conditionalFormatting sqref="C35:D36 F35:F36 H35:H36 J35:J36 K36">
    <cfRule type="expression" dxfId="142" priority="10">
      <formula>$A$34=1</formula>
    </cfRule>
  </conditionalFormatting>
  <conditionalFormatting sqref="C44:D44 F44 H44 J44:N44">
    <cfRule type="expression" dxfId="141" priority="9">
      <formula>$A$44=1</formula>
    </cfRule>
  </conditionalFormatting>
  <conditionalFormatting sqref="C49:D51 F49:F51 J49:M51">
    <cfRule type="expression" dxfId="140" priority="8">
      <formula>$A49=1</formula>
    </cfRule>
  </conditionalFormatting>
  <conditionalFormatting sqref="C55:D56 F55:F56 H55:H56 J55:N56">
    <cfRule type="expression" dxfId="139" priority="7">
      <formula>$A$54=1</formula>
    </cfRule>
  </conditionalFormatting>
  <conditionalFormatting sqref="C59:D60 F59:F60 H59:H60 J59:N60">
    <cfRule type="expression" dxfId="138" priority="6">
      <formula>$A59=1</formula>
    </cfRule>
  </conditionalFormatting>
  <conditionalFormatting sqref="C68:D69 F68:F69 J68:M69">
    <cfRule type="expression" dxfId="137" priority="5">
      <formula>$A$67=1</formula>
    </cfRule>
  </conditionalFormatting>
  <conditionalFormatting sqref="R45:S45 V45">
    <cfRule type="expression" dxfId="136" priority="4">
      <formula>R45&lt;&gt;"OK"</formula>
    </cfRule>
  </conditionalFormatting>
  <conditionalFormatting sqref="C45:D45 F45 H45 J45:N45">
    <cfRule type="expression" dxfId="135" priority="3">
      <formula>$A$45=1</formula>
    </cfRule>
  </conditionalFormatting>
  <conditionalFormatting sqref="N44">
    <cfRule type="expression" dxfId="134" priority="2">
      <formula>$A$44=1</formula>
    </cfRule>
  </conditionalFormatting>
  <dataValidations count="2">
    <dataValidation type="decimal" operator="greaterThanOrEqual" allowBlank="1" showInputMessage="1" showErrorMessage="1" errorTitle="ERROR!" error="Invalid Entry" sqref="L69:M69 J17 J18:K18 C73:F73 C63:F64 J49:M51 H39:H40 C17:F18 J21 J22:K22 C21:F22 J25:J26 H25:H26 K26 J39:J40 J31 J32:K32 J55:N56 J35 J36:K36 J63:N64 C39:F40 C25:F26 K40 J68:K69 J59:N60 C59:F60 C49:F51 C55:F56 C31:F32 C35:F36 H63:H64 C68:F69 J73:M73 J44:N45 C44:F45" xr:uid="{00000000-0002-0000-0300-000000000000}">
      <formula1>0</formula1>
    </dataValidation>
    <dataValidation type="whole" operator="greaterThanOrEqual" allowBlank="1" showInputMessage="1" showErrorMessage="1" sqref="H17:I18 I39:I40 I73 H21:I22 I25:I26 H31:I32 H59:H60 I54:I64 H55:H56 H35:I36 H44:I45" xr:uid="{00000000-0002-0000-0300-000001000000}">
      <formula1>0</formula1>
    </dataValidation>
  </dataValidations>
  <pageMargins left="0.19685039370078741" right="0.19685039370078741" top="0.19685039370078741" bottom="0.39370078740157483" header="0" footer="0"/>
  <pageSetup paperSize="9" scale="62" fitToHeight="4" orientation="landscape" r:id="rId1"/>
  <headerFooter alignWithMargins="0"/>
  <rowBreaks count="3" manualBreakCount="3">
    <brk id="28" max="15" man="1"/>
    <brk id="47" max="15" man="1"/>
    <brk id="66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8"/>
  <sheetViews>
    <sheetView topLeftCell="A61" zoomScale="80" zoomScaleNormal="80" workbookViewId="0">
      <selection activeCell="J66" sqref="J66"/>
    </sheetView>
  </sheetViews>
  <sheetFormatPr defaultColWidth="9.140625" defaultRowHeight="15"/>
  <cols>
    <col min="1" max="1" width="2.7109375" style="577" customWidth="1"/>
    <col min="2" max="2" width="100.7109375" style="577" customWidth="1"/>
    <col min="3" max="7" width="12.7109375" style="577" customWidth="1"/>
    <col min="8" max="8" width="3.7109375" style="1122" customWidth="1"/>
    <col min="9" max="14" width="11.7109375" style="577" customWidth="1"/>
    <col min="15" max="16" width="4.7109375" style="768" customWidth="1"/>
    <col min="17" max="17" width="33.28515625" style="507" customWidth="1"/>
    <col min="18" max="18" width="6" style="577" customWidth="1"/>
    <col min="19" max="16384" width="9.140625" style="577"/>
  </cols>
  <sheetData>
    <row r="1" spans="1:18" ht="39.950000000000003" customHeight="1">
      <c r="A1" s="735"/>
      <c r="B1" s="736" t="str">
        <f>IF(H4=0,"Your Institution Does Not Complete This Table","")</f>
        <v/>
      </c>
      <c r="C1" s="737"/>
      <c r="D1" s="737"/>
      <c r="E1" s="737"/>
      <c r="F1" s="737"/>
      <c r="G1" s="737"/>
      <c r="H1" s="1105"/>
      <c r="I1" s="737"/>
      <c r="J1" s="737"/>
      <c r="K1" s="737"/>
      <c r="L1" s="737"/>
      <c r="M1" s="737"/>
      <c r="N1" s="737"/>
      <c r="O1" s="738"/>
      <c r="P1" s="738"/>
      <c r="Q1" s="2"/>
      <c r="R1" s="737"/>
    </row>
    <row r="2" spans="1:18" ht="30" customHeight="1">
      <c r="A2" s="1407"/>
      <c r="B2" s="1408" t="s">
        <v>424</v>
      </c>
      <c r="C2" s="1409"/>
      <c r="D2" s="1409"/>
      <c r="E2" s="1409"/>
      <c r="F2" s="1409"/>
      <c r="G2" s="1409"/>
      <c r="H2" s="1410"/>
      <c r="I2" s="1409"/>
      <c r="J2" s="1409"/>
      <c r="K2" s="1409"/>
      <c r="L2" s="1409"/>
      <c r="M2" s="1409"/>
      <c r="N2" s="1411"/>
      <c r="O2" s="1412"/>
      <c r="P2" s="740"/>
      <c r="Q2" s="5"/>
      <c r="R2" s="741"/>
    </row>
    <row r="3" spans="1:18" ht="15" customHeight="1" thickBot="1">
      <c r="A3" s="1107"/>
      <c r="B3" s="742"/>
      <c r="C3" s="743"/>
      <c r="D3" s="743"/>
      <c r="E3" s="743"/>
      <c r="F3" s="743"/>
      <c r="G3" s="743"/>
      <c r="H3" s="1108"/>
      <c r="I3" s="743"/>
      <c r="J3" s="743"/>
      <c r="K3" s="743"/>
      <c r="L3" s="743"/>
      <c r="M3" s="743"/>
      <c r="N3" s="743"/>
      <c r="O3" s="744"/>
      <c r="P3" s="745"/>
      <c r="Q3" s="5"/>
      <c r="R3" s="741"/>
    </row>
    <row r="4" spans="1:18" ht="35.1" customHeight="1" thickBot="1">
      <c r="A4" s="1107"/>
      <c r="B4" s="746" t="s">
        <v>0</v>
      </c>
      <c r="C4" s="2608" t="str">
        <f>'Background Data'!$G$2</f>
        <v>Glasgow, University of</v>
      </c>
      <c r="D4" s="2609"/>
      <c r="E4" s="2609"/>
      <c r="F4" s="2609"/>
      <c r="G4" s="2610"/>
      <c r="H4" s="747">
        <f>VLOOKUP('Background Data'!$F$2,Inst_Tables,7,FALSE)</f>
        <v>1</v>
      </c>
      <c r="I4" s="743"/>
      <c r="J4" s="591"/>
      <c r="K4" s="743"/>
      <c r="L4" s="743"/>
      <c r="M4" s="743"/>
      <c r="N4" s="743"/>
      <c r="O4" s="744"/>
      <c r="P4" s="745"/>
      <c r="Q4" s="5"/>
      <c r="R4" s="741"/>
    </row>
    <row r="5" spans="1:18" ht="30" customHeight="1">
      <c r="A5" s="1107"/>
      <c r="B5" s="748" t="s">
        <v>496</v>
      </c>
      <c r="C5" s="749"/>
      <c r="D5" s="749"/>
      <c r="E5" s="749"/>
      <c r="F5" s="749"/>
      <c r="G5" s="750"/>
      <c r="H5" s="1105"/>
      <c r="I5" s="751"/>
      <c r="J5" s="743"/>
      <c r="K5" s="743"/>
      <c r="L5" s="743"/>
      <c r="M5" s="743"/>
      <c r="N5" s="743"/>
      <c r="O5" s="744"/>
      <c r="P5" s="745"/>
      <c r="Q5" s="5"/>
      <c r="R5" s="741"/>
    </row>
    <row r="6" spans="1:18" ht="24.95" customHeight="1">
      <c r="A6" s="1107"/>
      <c r="B6" s="11" t="s">
        <v>538</v>
      </c>
      <c r="C6" s="749"/>
      <c r="D6" s="749"/>
      <c r="E6" s="749"/>
      <c r="F6" s="749"/>
      <c r="G6" s="750"/>
      <c r="H6" s="1105"/>
      <c r="I6" s="751"/>
      <c r="J6" s="743"/>
      <c r="K6" s="743"/>
      <c r="L6" s="743"/>
      <c r="M6" s="743"/>
      <c r="N6" s="743"/>
      <c r="O6" s="744"/>
      <c r="P6" s="745"/>
      <c r="Q6" s="5"/>
      <c r="R6" s="741"/>
    </row>
    <row r="7" spans="1:18" ht="15" customHeight="1" thickBot="1">
      <c r="A7" s="1107"/>
      <c r="B7" s="752"/>
      <c r="C7" s="743"/>
      <c r="D7" s="743"/>
      <c r="E7" s="743"/>
      <c r="F7" s="743"/>
      <c r="G7" s="753"/>
      <c r="H7" s="1108"/>
      <c r="I7" s="743"/>
      <c r="J7" s="743"/>
      <c r="K7" s="743"/>
      <c r="L7" s="743"/>
      <c r="M7" s="743"/>
      <c r="N7" s="743"/>
      <c r="O7" s="744"/>
      <c r="P7" s="745"/>
      <c r="Q7" s="5"/>
      <c r="R7" s="741"/>
    </row>
    <row r="8" spans="1:18" ht="35.1" customHeight="1">
      <c r="A8" s="1107"/>
      <c r="B8" s="754"/>
      <c r="C8" s="2611" t="s">
        <v>403</v>
      </c>
      <c r="D8" s="2612"/>
      <c r="E8" s="2612"/>
      <c r="F8" s="2612"/>
      <c r="G8" s="2613"/>
      <c r="H8" s="1108"/>
      <c r="I8" s="2614" t="s">
        <v>365</v>
      </c>
      <c r="J8" s="2615"/>
      <c r="K8" s="2615"/>
      <c r="L8" s="2615"/>
      <c r="M8" s="2615"/>
      <c r="N8" s="2616"/>
      <c r="O8" s="744"/>
      <c r="P8" s="745"/>
      <c r="Q8" s="5"/>
      <c r="R8" s="741"/>
    </row>
    <row r="9" spans="1:18" ht="35.1" customHeight="1">
      <c r="A9" s="1107"/>
      <c r="B9" s="2617" t="s">
        <v>354</v>
      </c>
      <c r="C9" s="2594" t="s">
        <v>133</v>
      </c>
      <c r="D9" s="2595"/>
      <c r="E9" s="2596"/>
      <c r="F9" s="2619" t="s">
        <v>124</v>
      </c>
      <c r="G9" s="2621" t="s">
        <v>217</v>
      </c>
      <c r="H9" s="1108"/>
      <c r="I9" s="2623" t="s">
        <v>26</v>
      </c>
      <c r="J9" s="2624"/>
      <c r="K9" s="2624"/>
      <c r="L9" s="2624"/>
      <c r="M9" s="2624"/>
      <c r="N9" s="2625"/>
      <c r="O9" s="744"/>
      <c r="P9" s="745"/>
      <c r="Q9" s="1397" t="s">
        <v>343</v>
      </c>
      <c r="R9" s="741"/>
    </row>
    <row r="10" spans="1:18" ht="39.950000000000003" customHeight="1" thickBot="1">
      <c r="A10" s="1107"/>
      <c r="B10" s="2618"/>
      <c r="C10" s="1446" t="s">
        <v>352</v>
      </c>
      <c r="D10" s="1448" t="s">
        <v>353</v>
      </c>
      <c r="E10" s="1452" t="s">
        <v>2</v>
      </c>
      <c r="F10" s="2620"/>
      <c r="G10" s="2622"/>
      <c r="H10" s="1123"/>
      <c r="I10" s="1931">
        <v>1</v>
      </c>
      <c r="J10" s="1932" t="s">
        <v>12</v>
      </c>
      <c r="K10" s="1932" t="s">
        <v>13</v>
      </c>
      <c r="L10" s="1932" t="s">
        <v>14</v>
      </c>
      <c r="M10" s="1933" t="s">
        <v>15</v>
      </c>
      <c r="N10" s="1934" t="s">
        <v>2</v>
      </c>
      <c r="O10" s="755"/>
      <c r="P10" s="756"/>
      <c r="Q10" s="1253"/>
      <c r="R10" s="741"/>
    </row>
    <row r="11" spans="1:18" ht="24.95" customHeight="1">
      <c r="A11" s="1107"/>
      <c r="B11" s="757"/>
      <c r="C11" s="13" t="s">
        <v>16</v>
      </c>
      <c r="D11" s="1470" t="s">
        <v>16</v>
      </c>
      <c r="E11" s="1471" t="s">
        <v>16</v>
      </c>
      <c r="F11" s="2185" t="s">
        <v>16</v>
      </c>
      <c r="G11" s="2182" t="s">
        <v>16</v>
      </c>
      <c r="H11" s="1123"/>
      <c r="I11" s="758" t="s">
        <v>16</v>
      </c>
      <c r="J11" s="1109" t="s">
        <v>16</v>
      </c>
      <c r="K11" s="1109" t="s">
        <v>16</v>
      </c>
      <c r="L11" s="1109" t="s">
        <v>16</v>
      </c>
      <c r="M11" s="1124" t="s">
        <v>16</v>
      </c>
      <c r="N11" s="1110" t="s">
        <v>16</v>
      </c>
      <c r="O11" s="755"/>
      <c r="P11" s="756"/>
      <c r="Q11" s="2599" t="s">
        <v>344</v>
      </c>
      <c r="R11" s="741"/>
    </row>
    <row r="12" spans="1:18" ht="24.95" customHeight="1" thickBot="1">
      <c r="A12" s="1107"/>
      <c r="B12" s="759"/>
      <c r="C12" s="22" t="s">
        <v>29</v>
      </c>
      <c r="D12" s="1060" t="s">
        <v>29</v>
      </c>
      <c r="E12" s="1056" t="s">
        <v>54</v>
      </c>
      <c r="F12" s="2186" t="s">
        <v>29</v>
      </c>
      <c r="G12" s="2183" t="s">
        <v>54</v>
      </c>
      <c r="H12" s="1125"/>
      <c r="I12" s="760" t="s">
        <v>29</v>
      </c>
      <c r="J12" s="1112" t="s">
        <v>29</v>
      </c>
      <c r="K12" s="1112" t="s">
        <v>29</v>
      </c>
      <c r="L12" s="1112" t="s">
        <v>29</v>
      </c>
      <c r="M12" s="1112" t="s">
        <v>29</v>
      </c>
      <c r="N12" s="1111" t="s">
        <v>54</v>
      </c>
      <c r="O12" s="744"/>
      <c r="P12" s="745"/>
      <c r="Q12" s="2600"/>
      <c r="R12" s="761"/>
    </row>
    <row r="13" spans="1:18" ht="26.25" customHeight="1" thickBot="1">
      <c r="A13" s="1107"/>
      <c r="B13" s="762"/>
      <c r="C13" s="410">
        <v>1</v>
      </c>
      <c r="D13" s="422">
        <v>2</v>
      </c>
      <c r="E13" s="533">
        <v>3</v>
      </c>
      <c r="F13" s="2187">
        <v>4</v>
      </c>
      <c r="G13" s="2184">
        <v>5</v>
      </c>
      <c r="H13" s="1126"/>
      <c r="I13" s="763">
        <v>6</v>
      </c>
      <c r="J13" s="764">
        <v>7</v>
      </c>
      <c r="K13" s="764">
        <v>8</v>
      </c>
      <c r="L13" s="764">
        <v>9</v>
      </c>
      <c r="M13" s="764">
        <v>10</v>
      </c>
      <c r="N13" s="765">
        <v>11</v>
      </c>
      <c r="O13" s="744"/>
      <c r="P13" s="745"/>
      <c r="Q13" s="1397"/>
      <c r="R13" s="761"/>
    </row>
    <row r="14" spans="1:18" ht="15" customHeight="1">
      <c r="A14" s="1107"/>
      <c r="B14" s="1402"/>
      <c r="C14" s="1403"/>
      <c r="D14" s="1403"/>
      <c r="E14" s="1403"/>
      <c r="F14" s="1403"/>
      <c r="G14" s="1403"/>
      <c r="H14" s="1113"/>
      <c r="I14" s="1403"/>
      <c r="J14" s="1403"/>
      <c r="K14" s="1403"/>
      <c r="L14" s="1403"/>
      <c r="M14" s="1403"/>
      <c r="N14" s="1403"/>
      <c r="O14" s="744"/>
      <c r="P14" s="745"/>
      <c r="Q14" s="183"/>
      <c r="R14" s="761"/>
    </row>
    <row r="15" spans="1:18" ht="30" customHeight="1" thickBot="1">
      <c r="A15" s="949">
        <f>VLOOKUP('Background Data'!$F$2,Inst_Tables,19,FALSE)</f>
        <v>1</v>
      </c>
      <c r="B15" s="1930" t="s">
        <v>91</v>
      </c>
      <c r="C15" s="1404"/>
      <c r="D15" s="1404"/>
      <c r="E15" s="1404"/>
      <c r="F15" s="1404"/>
      <c r="G15" s="1405"/>
      <c r="H15" s="1116"/>
      <c r="I15" s="1406"/>
      <c r="J15" s="1406"/>
      <c r="K15" s="1406"/>
      <c r="L15" s="1406"/>
      <c r="M15" s="1406"/>
      <c r="N15" s="1406"/>
      <c r="O15" s="744"/>
      <c r="P15" s="745"/>
      <c r="Q15" s="828"/>
      <c r="R15" s="761"/>
    </row>
    <row r="16" spans="1:18" ht="30" customHeight="1">
      <c r="A16" s="1107"/>
      <c r="B16" s="1295"/>
      <c r="C16" s="1296"/>
      <c r="D16" s="1297"/>
      <c r="E16" s="1473">
        <f>SUM(C16:D16)</f>
        <v>0</v>
      </c>
      <c r="F16" s="2188"/>
      <c r="G16" s="1298">
        <f>SUM(E16:F16)</f>
        <v>0</v>
      </c>
      <c r="H16" s="1116"/>
      <c r="I16" s="1296"/>
      <c r="J16" s="1299"/>
      <c r="K16" s="1300"/>
      <c r="L16" s="1301"/>
      <c r="M16" s="1935"/>
      <c r="N16" s="1302">
        <f>SUM(I16:J16)</f>
        <v>0</v>
      </c>
      <c r="O16" s="766"/>
      <c r="P16" s="767"/>
      <c r="Q16" s="1094" t="str">
        <f>IF(AND(E16&gt;0,N16=0),"No enrolments",IF(AND(E16=0,N16&gt;0),"No intake?",IF(AND(E16&gt;N16,N16&gt;0),"Intake larger than enrolments",IF(AND(E16=N16,J16&gt;0),"Intake same as enrolments?","OK"))))</f>
        <v>OK</v>
      </c>
      <c r="R16" s="741"/>
    </row>
    <row r="17" spans="1:18" ht="30" customHeight="1">
      <c r="A17" s="1107"/>
      <c r="B17" s="1114"/>
      <c r="C17" s="1115"/>
      <c r="D17" s="1413"/>
      <c r="E17" s="1474">
        <f>SUM(C17:D17)</f>
        <v>0</v>
      </c>
      <c r="F17" s="2189"/>
      <c r="G17" s="1414">
        <f>SUM(E17:F17)</f>
        <v>0</v>
      </c>
      <c r="H17" s="1116"/>
      <c r="I17" s="1115"/>
      <c r="J17" s="1117"/>
      <c r="K17" s="1415"/>
      <c r="L17" s="1416"/>
      <c r="M17" s="1936"/>
      <c r="N17" s="1417">
        <f t="shared" ref="N17:N20" si="0">SUM(I17:J17)</f>
        <v>0</v>
      </c>
      <c r="O17" s="766"/>
      <c r="P17" s="767"/>
      <c r="Q17" s="1095" t="str">
        <f t="shared" ref="Q17:Q20" si="1">IF(AND(E17&gt;0,N17=0),"No enrolments",IF(AND(E17=0,N17&gt;0),"No intake?",IF(AND(E17&gt;N17,N17&gt;0),"Intake larger than enrolments",IF(AND(E17=N17,J17&gt;0),"Intake same as enrolments?","OK"))))</f>
        <v>OK</v>
      </c>
      <c r="R17" s="741"/>
    </row>
    <row r="18" spans="1:18" ht="30" customHeight="1">
      <c r="A18" s="1107"/>
      <c r="B18" s="1114"/>
      <c r="C18" s="1115"/>
      <c r="D18" s="1413"/>
      <c r="E18" s="1474">
        <f>SUM(C18:D18)</f>
        <v>0</v>
      </c>
      <c r="F18" s="2189"/>
      <c r="G18" s="1414">
        <f>SUM(E18:F18)</f>
        <v>0</v>
      </c>
      <c r="H18" s="1116"/>
      <c r="I18" s="1115"/>
      <c r="J18" s="1117"/>
      <c r="K18" s="1415"/>
      <c r="L18" s="1416"/>
      <c r="M18" s="1936"/>
      <c r="N18" s="1417">
        <f t="shared" si="0"/>
        <v>0</v>
      </c>
      <c r="O18" s="766"/>
      <c r="P18" s="767"/>
      <c r="Q18" s="1095" t="str">
        <f t="shared" si="1"/>
        <v>OK</v>
      </c>
      <c r="R18" s="741"/>
    </row>
    <row r="19" spans="1:18" ht="30" customHeight="1">
      <c r="A19" s="1107"/>
      <c r="B19" s="1114"/>
      <c r="C19" s="1115"/>
      <c r="D19" s="1413"/>
      <c r="E19" s="1474">
        <f>SUM(C19:D19)</f>
        <v>0</v>
      </c>
      <c r="F19" s="2189"/>
      <c r="G19" s="1414">
        <f t="shared" ref="G19" si="2">SUM(E19:F19)</f>
        <v>0</v>
      </c>
      <c r="H19" s="1116"/>
      <c r="I19" s="1115"/>
      <c r="J19" s="1117"/>
      <c r="K19" s="1415"/>
      <c r="L19" s="1416"/>
      <c r="M19" s="1936"/>
      <c r="N19" s="1417">
        <f t="shared" si="0"/>
        <v>0</v>
      </c>
      <c r="O19" s="766"/>
      <c r="P19" s="767"/>
      <c r="Q19" s="1095" t="str">
        <f t="shared" si="1"/>
        <v>OK</v>
      </c>
      <c r="R19" s="741"/>
    </row>
    <row r="20" spans="1:18" ht="30" customHeight="1" thickBot="1">
      <c r="A20" s="1107"/>
      <c r="B20" s="1286"/>
      <c r="C20" s="1418"/>
      <c r="D20" s="1419"/>
      <c r="E20" s="1475">
        <f>SUM(C20:D20)</f>
        <v>0</v>
      </c>
      <c r="F20" s="2190"/>
      <c r="G20" s="1275">
        <f>SUM(E20:F20)</f>
        <v>0</v>
      </c>
      <c r="H20" s="1116"/>
      <c r="I20" s="1418"/>
      <c r="J20" s="1420"/>
      <c r="K20" s="1421"/>
      <c r="L20" s="1422"/>
      <c r="M20" s="1937"/>
      <c r="N20" s="1279">
        <f t="shared" si="0"/>
        <v>0</v>
      </c>
      <c r="O20" s="766"/>
      <c r="P20" s="767"/>
      <c r="Q20" s="1283" t="str">
        <f t="shared" si="1"/>
        <v>OK</v>
      </c>
      <c r="R20" s="741"/>
    </row>
    <row r="21" spans="1:18" ht="30" customHeight="1" thickBot="1">
      <c r="A21" s="1107"/>
      <c r="B21" s="1276" t="s">
        <v>2</v>
      </c>
      <c r="C21" s="1277">
        <f>SUM(C16:C20)</f>
        <v>0</v>
      </c>
      <c r="D21" s="1280">
        <f>SUM(D16:D20)</f>
        <v>0</v>
      </c>
      <c r="E21" s="1472">
        <f>SUM(E16:E20)</f>
        <v>0</v>
      </c>
      <c r="F21" s="2191">
        <f>SUM(F16:F20)</f>
        <v>0</v>
      </c>
      <c r="G21" s="1278">
        <f>SUM(G16:G20)</f>
        <v>0</v>
      </c>
      <c r="H21" s="1108"/>
      <c r="I21" s="1277">
        <f>SUM(I16:I20)</f>
        <v>0</v>
      </c>
      <c r="J21" s="1280">
        <f>SUM(J16:J20)</f>
        <v>0</v>
      </c>
      <c r="K21" s="1281"/>
      <c r="L21" s="1282"/>
      <c r="M21" s="1938"/>
      <c r="N21" s="1278">
        <f>SUM(N16:N20)</f>
        <v>0</v>
      </c>
      <c r="O21" s="766"/>
      <c r="P21" s="767"/>
      <c r="Q21" s="1091"/>
      <c r="R21" s="741"/>
    </row>
    <row r="22" spans="1:18" ht="9.9499999999999993" customHeight="1" thickBot="1">
      <c r="A22" s="1107"/>
      <c r="B22" s="1118"/>
      <c r="C22" s="1119"/>
      <c r="D22" s="1119"/>
      <c r="E22" s="1119"/>
      <c r="F22" s="1119"/>
      <c r="G22" s="1119"/>
      <c r="H22" s="1108"/>
      <c r="I22" s="1119"/>
      <c r="J22" s="1119"/>
      <c r="K22" s="1119"/>
      <c r="L22" s="1119"/>
      <c r="M22" s="1119"/>
      <c r="N22" s="1119"/>
      <c r="O22" s="766"/>
      <c r="P22" s="767"/>
      <c r="Q22" s="828"/>
      <c r="R22" s="741"/>
    </row>
    <row r="23" spans="1:18" ht="30" customHeight="1" thickBot="1">
      <c r="A23" s="1107"/>
      <c r="B23" s="1276" t="s">
        <v>342</v>
      </c>
      <c r="C23" s="1398">
        <f>'T2a ITE'!$C$23</f>
        <v>0</v>
      </c>
      <c r="D23" s="1399">
        <f>'T2a ITE'!$D$23</f>
        <v>0</v>
      </c>
      <c r="E23" s="1400">
        <f>'T2a ITE'!$E$23</f>
        <v>0</v>
      </c>
      <c r="F23" s="2192">
        <f>'T2a ITE'!$F$23</f>
        <v>0</v>
      </c>
      <c r="G23" s="1401">
        <f>'T2a ITE'!$G$23</f>
        <v>0</v>
      </c>
      <c r="H23" s="1108"/>
      <c r="I23" s="1398">
        <f>'T2a ITE'!$J$23</f>
        <v>0</v>
      </c>
      <c r="J23" s="1399">
        <f>'T2a ITE'!$K$23</f>
        <v>0</v>
      </c>
      <c r="K23" s="1281"/>
      <c r="L23" s="1282"/>
      <c r="M23" s="1938"/>
      <c r="N23" s="1401">
        <f>'T2a ITE'!$O$23</f>
        <v>0</v>
      </c>
      <c r="O23" s="766"/>
      <c r="P23" s="767"/>
      <c r="Q23" s="828"/>
      <c r="R23" s="741"/>
    </row>
    <row r="24" spans="1:18" ht="20.100000000000001" customHeight="1">
      <c r="A24" s="1107"/>
      <c r="B24" s="1118"/>
      <c r="C24" s="1119"/>
      <c r="D24" s="1119"/>
      <c r="E24" s="1119"/>
      <c r="F24" s="1119"/>
      <c r="G24" s="1119"/>
      <c r="H24" s="1108"/>
      <c r="I24" s="1119"/>
      <c r="J24" s="1119"/>
      <c r="K24" s="1119"/>
      <c r="L24" s="1119"/>
      <c r="M24" s="1119"/>
      <c r="N24" s="1119"/>
      <c r="O24" s="766"/>
      <c r="P24" s="767"/>
      <c r="Q24" s="828"/>
      <c r="R24" s="741"/>
    </row>
    <row r="25" spans="1:18" ht="30" customHeight="1" thickBot="1">
      <c r="A25" s="949">
        <f>VLOOKUP('Background Data'!$F$2,Inst_Tables,21,FALSE)</f>
        <v>0</v>
      </c>
      <c r="B25" s="1930" t="s">
        <v>92</v>
      </c>
      <c r="C25" s="1404"/>
      <c r="D25" s="1404"/>
      <c r="E25" s="1404"/>
      <c r="F25" s="1404"/>
      <c r="G25" s="1405"/>
      <c r="H25" s="1116"/>
      <c r="I25" s="1406"/>
      <c r="J25" s="1406"/>
      <c r="K25" s="1406"/>
      <c r="L25" s="1406"/>
      <c r="M25" s="1406"/>
      <c r="N25" s="1406"/>
      <c r="O25" s="744"/>
      <c r="P25" s="745"/>
      <c r="Q25" s="225"/>
      <c r="R25" s="761"/>
    </row>
    <row r="26" spans="1:18" ht="30" customHeight="1">
      <c r="A26" s="1107"/>
      <c r="B26" s="1295"/>
      <c r="C26" s="1296"/>
      <c r="D26" s="1297"/>
      <c r="E26" s="1473">
        <f>SUM(C26:D26)</f>
        <v>0</v>
      </c>
      <c r="F26" s="2188"/>
      <c r="G26" s="1298">
        <f>SUM(E26:F26)</f>
        <v>0</v>
      </c>
      <c r="H26" s="1116"/>
      <c r="I26" s="1296"/>
      <c r="J26" s="1299"/>
      <c r="K26" s="1300"/>
      <c r="L26" s="1301"/>
      <c r="M26" s="1935"/>
      <c r="N26" s="1302">
        <f>SUM(I26:J26)</f>
        <v>0</v>
      </c>
      <c r="O26" s="766"/>
      <c r="P26" s="767"/>
      <c r="Q26" s="1094" t="str">
        <f>IF(AND(E26&gt;0,N26=0),"No enrolments",IF(AND(E26=0,N26&gt;0),"No intake?",IF(AND(E26&gt;N26,N26&gt;0),"Intake larger than enrolments",IF(AND(E26=N26,J26&gt;0),"Intake same as enrolments?","OK"))))</f>
        <v>OK</v>
      </c>
      <c r="R26" s="741"/>
    </row>
    <row r="27" spans="1:18" ht="30" customHeight="1">
      <c r="A27" s="1107"/>
      <c r="B27" s="1114"/>
      <c r="C27" s="1115"/>
      <c r="D27" s="1413"/>
      <c r="E27" s="1474">
        <f>SUM(C27:D27)</f>
        <v>0</v>
      </c>
      <c r="F27" s="2189"/>
      <c r="G27" s="1414">
        <f t="shared" ref="G27:G29" si="3">SUM(E27:F27)</f>
        <v>0</v>
      </c>
      <c r="H27" s="1116"/>
      <c r="I27" s="1115"/>
      <c r="J27" s="1117"/>
      <c r="K27" s="1415"/>
      <c r="L27" s="1416"/>
      <c r="M27" s="1936"/>
      <c r="N27" s="1417">
        <f t="shared" ref="N27:N30" si="4">SUM(I27:J27)</f>
        <v>0</v>
      </c>
      <c r="O27" s="766"/>
      <c r="P27" s="767"/>
      <c r="Q27" s="1095" t="str">
        <f t="shared" ref="Q27:Q30" si="5">IF(AND(E27&gt;0,N27=0),"No enrolments",IF(AND(E27=0,N27&gt;0),"No intake?",IF(AND(E27&gt;N27,N27&gt;0),"Intake larger than enrolments",IF(AND(E27=N27,J27&gt;0),"Intake same as enrolments?","OK"))))</f>
        <v>OK</v>
      </c>
      <c r="R27" s="741"/>
    </row>
    <row r="28" spans="1:18" ht="30" customHeight="1">
      <c r="A28" s="1107"/>
      <c r="B28" s="1114"/>
      <c r="C28" s="1115"/>
      <c r="D28" s="1413"/>
      <c r="E28" s="1474">
        <f>SUM(C28:D28)</f>
        <v>0</v>
      </c>
      <c r="F28" s="2189"/>
      <c r="G28" s="1414">
        <f t="shared" si="3"/>
        <v>0</v>
      </c>
      <c r="H28" s="1116"/>
      <c r="I28" s="1115"/>
      <c r="J28" s="1117"/>
      <c r="K28" s="1415"/>
      <c r="L28" s="1416"/>
      <c r="M28" s="1936"/>
      <c r="N28" s="1417">
        <f t="shared" si="4"/>
        <v>0</v>
      </c>
      <c r="O28" s="766"/>
      <c r="P28" s="767"/>
      <c r="Q28" s="1095" t="str">
        <f t="shared" si="5"/>
        <v>OK</v>
      </c>
      <c r="R28" s="741"/>
    </row>
    <row r="29" spans="1:18" ht="30" customHeight="1">
      <c r="A29" s="1107"/>
      <c r="B29" s="1114"/>
      <c r="C29" s="1115"/>
      <c r="D29" s="1413"/>
      <c r="E29" s="1474">
        <f>SUM(C29:D29)</f>
        <v>0</v>
      </c>
      <c r="F29" s="2189"/>
      <c r="G29" s="1414">
        <f t="shared" si="3"/>
        <v>0</v>
      </c>
      <c r="H29" s="1116"/>
      <c r="I29" s="1115"/>
      <c r="J29" s="1117"/>
      <c r="K29" s="1415"/>
      <c r="L29" s="1416"/>
      <c r="M29" s="1936"/>
      <c r="N29" s="1417">
        <f t="shared" si="4"/>
        <v>0</v>
      </c>
      <c r="O29" s="766"/>
      <c r="P29" s="767"/>
      <c r="Q29" s="1095" t="str">
        <f t="shared" si="5"/>
        <v>OK</v>
      </c>
      <c r="R29" s="741"/>
    </row>
    <row r="30" spans="1:18" ht="30" customHeight="1" thickBot="1">
      <c r="A30" s="1107"/>
      <c r="B30" s="1286"/>
      <c r="C30" s="1418"/>
      <c r="D30" s="1419"/>
      <c r="E30" s="1475">
        <f>SUM(C30:D30)</f>
        <v>0</v>
      </c>
      <c r="F30" s="2190"/>
      <c r="G30" s="1275">
        <f>SUM(E30:F30)</f>
        <v>0</v>
      </c>
      <c r="H30" s="1116"/>
      <c r="I30" s="1418"/>
      <c r="J30" s="1420"/>
      <c r="K30" s="1421"/>
      <c r="L30" s="1422"/>
      <c r="M30" s="1937"/>
      <c r="N30" s="1279">
        <f t="shared" si="4"/>
        <v>0</v>
      </c>
      <c r="O30" s="766"/>
      <c r="P30" s="767"/>
      <c r="Q30" s="1283" t="str">
        <f t="shared" si="5"/>
        <v>OK</v>
      </c>
      <c r="R30" s="741"/>
    </row>
    <row r="31" spans="1:18" ht="30" customHeight="1" thickBot="1">
      <c r="A31" s="1107"/>
      <c r="B31" s="1276" t="s">
        <v>2</v>
      </c>
      <c r="C31" s="1277">
        <f>SUM(C26:C30)</f>
        <v>0</v>
      </c>
      <c r="D31" s="1280">
        <f>SUM(D26:D30)</f>
        <v>0</v>
      </c>
      <c r="E31" s="1472">
        <f>SUM(E26:E30)</f>
        <v>0</v>
      </c>
      <c r="F31" s="2191">
        <f>SUM(F26:F30)</f>
        <v>0</v>
      </c>
      <c r="G31" s="1278">
        <f>SUM(G26:G30)</f>
        <v>0</v>
      </c>
      <c r="H31" s="1108"/>
      <c r="I31" s="1277">
        <f>SUM(I26:I30)</f>
        <v>0</v>
      </c>
      <c r="J31" s="1280">
        <f>SUM(J26:J30)</f>
        <v>0</v>
      </c>
      <c r="K31" s="1281"/>
      <c r="L31" s="1282"/>
      <c r="M31" s="1938"/>
      <c r="N31" s="1278">
        <f>SUM(N26:N30)</f>
        <v>0</v>
      </c>
      <c r="O31" s="766"/>
      <c r="P31" s="767"/>
      <c r="Q31" s="1091"/>
      <c r="R31" s="741"/>
    </row>
    <row r="32" spans="1:18" ht="9.9499999999999993" customHeight="1" thickBot="1">
      <c r="A32" s="1107"/>
      <c r="B32" s="1118"/>
      <c r="C32" s="1119"/>
      <c r="D32" s="1119"/>
      <c r="E32" s="1119"/>
      <c r="F32" s="1119"/>
      <c r="G32" s="1119"/>
      <c r="H32" s="1108"/>
      <c r="I32" s="1119"/>
      <c r="J32" s="1119"/>
      <c r="K32" s="1119"/>
      <c r="L32" s="1119"/>
      <c r="M32" s="1119"/>
      <c r="N32" s="1119"/>
      <c r="O32" s="766"/>
      <c r="P32" s="767"/>
      <c r="Q32" s="828"/>
      <c r="R32" s="741"/>
    </row>
    <row r="33" spans="1:18" ht="30" customHeight="1" thickBot="1">
      <c r="A33" s="1107"/>
      <c r="B33" s="1276" t="s">
        <v>342</v>
      </c>
      <c r="C33" s="1398">
        <f>'T2a ITE'!$C$37</f>
        <v>0</v>
      </c>
      <c r="D33" s="1469">
        <f>'T2a ITE'!$D$37</f>
        <v>0</v>
      </c>
      <c r="E33" s="2193">
        <f>'T2a ITE'!$E$37</f>
        <v>0</v>
      </c>
      <c r="F33" s="2192">
        <f>'T2a ITE'!$F$37</f>
        <v>0</v>
      </c>
      <c r="G33" s="1401">
        <f>'T2a ITE'!$G$37</f>
        <v>0</v>
      </c>
      <c r="H33" s="1108"/>
      <c r="I33" s="1398">
        <f>'T2a ITE'!$J$37</f>
        <v>0</v>
      </c>
      <c r="J33" s="1399">
        <f>'T2a ITE'!$K$37</f>
        <v>0</v>
      </c>
      <c r="K33" s="1281"/>
      <c r="L33" s="1282"/>
      <c r="M33" s="1938"/>
      <c r="N33" s="1401">
        <f>'T2a ITE'!$O$37</f>
        <v>0</v>
      </c>
      <c r="O33" s="766"/>
      <c r="P33" s="767"/>
      <c r="Q33" s="828"/>
      <c r="R33" s="741"/>
    </row>
    <row r="34" spans="1:18" ht="20.100000000000001" customHeight="1">
      <c r="A34" s="1107"/>
      <c r="B34" s="1118"/>
      <c r="C34" s="1119"/>
      <c r="D34" s="1119"/>
      <c r="E34" s="1119"/>
      <c r="F34" s="1119"/>
      <c r="G34" s="1119"/>
      <c r="H34" s="1108"/>
      <c r="I34" s="1119"/>
      <c r="J34" s="1119"/>
      <c r="K34" s="1119"/>
      <c r="L34" s="1119"/>
      <c r="M34" s="1119"/>
      <c r="N34" s="1119"/>
      <c r="O34" s="766"/>
      <c r="P34" s="767"/>
      <c r="Q34" s="828"/>
      <c r="R34" s="741"/>
    </row>
    <row r="35" spans="1:18" ht="30" customHeight="1" thickBot="1">
      <c r="A35" s="949">
        <f>VLOOKUP('Background Data'!$F$2,Inst_Tables,23,FALSE)</f>
        <v>0</v>
      </c>
      <c r="B35" s="1930" t="s">
        <v>289</v>
      </c>
      <c r="C35" s="1404"/>
      <c r="D35" s="1404"/>
      <c r="E35" s="1404"/>
      <c r="F35" s="1404"/>
      <c r="G35" s="1405"/>
      <c r="H35" s="1116"/>
      <c r="I35" s="1406"/>
      <c r="J35" s="1406"/>
      <c r="K35" s="1406"/>
      <c r="L35" s="1406"/>
      <c r="M35" s="1406"/>
      <c r="N35" s="1406"/>
      <c r="O35" s="744"/>
      <c r="P35" s="745"/>
      <c r="Q35" s="225"/>
      <c r="R35" s="761"/>
    </row>
    <row r="36" spans="1:18" ht="30" customHeight="1">
      <c r="A36" s="1107"/>
      <c r="B36" s="1295"/>
      <c r="C36" s="1296"/>
      <c r="D36" s="1297"/>
      <c r="E36" s="1473">
        <f>SUM(C36:D36)</f>
        <v>0</v>
      </c>
      <c r="F36" s="2188"/>
      <c r="G36" s="1298">
        <f>SUM(E36:F36)</f>
        <v>0</v>
      </c>
      <c r="H36" s="1116"/>
      <c r="I36" s="1296"/>
      <c r="J36" s="1299"/>
      <c r="K36" s="1299"/>
      <c r="L36" s="1299"/>
      <c r="M36" s="1939"/>
      <c r="N36" s="1302">
        <f>SUM(I36:M36)</f>
        <v>0</v>
      </c>
      <c r="O36" s="766"/>
      <c r="P36" s="767"/>
      <c r="Q36" s="1094" t="str">
        <f>IF(AND(E36&gt;0,N36=0),"No enrolments",IF(AND(E36=0,N36&gt;0),"No intake?",IF(AND(E36&gt;N36,N36&gt;0),"Intake larger than enrolments",IF(AND(E36=N36,SUM(J36:M36)&gt;0),"Intake same as enrolments?","OK"))))</f>
        <v>OK</v>
      </c>
      <c r="R36" s="741"/>
    </row>
    <row r="37" spans="1:18" ht="30" customHeight="1">
      <c r="A37" s="1107"/>
      <c r="B37" s="1114"/>
      <c r="C37" s="1115"/>
      <c r="D37" s="1413"/>
      <c r="E37" s="1474">
        <f>SUM(C37:D37)</f>
        <v>0</v>
      </c>
      <c r="F37" s="2189"/>
      <c r="G37" s="1414">
        <f t="shared" ref="G37:G39" si="6">SUM(E37:F37)</f>
        <v>0</v>
      </c>
      <c r="H37" s="1116"/>
      <c r="I37" s="1115"/>
      <c r="J37" s="1117"/>
      <c r="K37" s="1117"/>
      <c r="L37" s="1117"/>
      <c r="M37" s="1940"/>
      <c r="N37" s="1417">
        <f t="shared" ref="N37:N40" si="7">SUM(I37:M37)</f>
        <v>0</v>
      </c>
      <c r="O37" s="766"/>
      <c r="P37" s="767"/>
      <c r="Q37" s="1095" t="str">
        <f t="shared" ref="Q37:Q40" si="8">IF(AND(E37&gt;0,N37=0),"No enrolments",IF(AND(E37=0,N37&gt;0),"No intake?",IF(AND(E37&gt;N37,N37&gt;0),"Intake larger than enrolments",IF(AND(E37=N37,SUM(J37:M37)&gt;0),"Intake same as enrolments?","OK"))))</f>
        <v>OK</v>
      </c>
      <c r="R37" s="741"/>
    </row>
    <row r="38" spans="1:18" ht="30" customHeight="1">
      <c r="A38" s="1107"/>
      <c r="B38" s="1114"/>
      <c r="C38" s="1115"/>
      <c r="D38" s="1413"/>
      <c r="E38" s="1474">
        <f>SUM(C38:D38)</f>
        <v>0</v>
      </c>
      <c r="F38" s="2189"/>
      <c r="G38" s="1414">
        <f t="shared" si="6"/>
        <v>0</v>
      </c>
      <c r="H38" s="1116"/>
      <c r="I38" s="1115"/>
      <c r="J38" s="1117"/>
      <c r="K38" s="1117"/>
      <c r="L38" s="1117"/>
      <c r="M38" s="1940"/>
      <c r="N38" s="1417">
        <f t="shared" si="7"/>
        <v>0</v>
      </c>
      <c r="O38" s="766"/>
      <c r="P38" s="767"/>
      <c r="Q38" s="1095" t="str">
        <f t="shared" si="8"/>
        <v>OK</v>
      </c>
      <c r="R38" s="741"/>
    </row>
    <row r="39" spans="1:18" ht="30" customHeight="1">
      <c r="A39" s="1107"/>
      <c r="B39" s="1114"/>
      <c r="C39" s="1115"/>
      <c r="D39" s="1413"/>
      <c r="E39" s="1474">
        <f>SUM(C39:D39)</f>
        <v>0</v>
      </c>
      <c r="F39" s="2189"/>
      <c r="G39" s="1414">
        <f t="shared" si="6"/>
        <v>0</v>
      </c>
      <c r="H39" s="1116"/>
      <c r="I39" s="1115"/>
      <c r="J39" s="1117"/>
      <c r="K39" s="1117"/>
      <c r="L39" s="1117"/>
      <c r="M39" s="1940"/>
      <c r="N39" s="1417">
        <f t="shared" si="7"/>
        <v>0</v>
      </c>
      <c r="O39" s="766"/>
      <c r="P39" s="767"/>
      <c r="Q39" s="1095" t="str">
        <f t="shared" si="8"/>
        <v>OK</v>
      </c>
      <c r="R39" s="741"/>
    </row>
    <row r="40" spans="1:18" ht="30" customHeight="1" thickBot="1">
      <c r="A40" s="1107"/>
      <c r="B40" s="1286"/>
      <c r="C40" s="1418"/>
      <c r="D40" s="1419"/>
      <c r="E40" s="1475">
        <f>SUM(C40:D40)</f>
        <v>0</v>
      </c>
      <c r="F40" s="2190"/>
      <c r="G40" s="1275">
        <f>SUM(E40:F40)</f>
        <v>0</v>
      </c>
      <c r="H40" s="1116"/>
      <c r="I40" s="1418"/>
      <c r="J40" s="1420"/>
      <c r="K40" s="1420"/>
      <c r="L40" s="1420"/>
      <c r="M40" s="1941"/>
      <c r="N40" s="1279">
        <f t="shared" si="7"/>
        <v>0</v>
      </c>
      <c r="O40" s="766"/>
      <c r="P40" s="767"/>
      <c r="Q40" s="1283" t="str">
        <f t="shared" si="8"/>
        <v>OK</v>
      </c>
      <c r="R40" s="741"/>
    </row>
    <row r="41" spans="1:18" ht="30" customHeight="1" thickBot="1">
      <c r="A41" s="1107"/>
      <c r="B41" s="1276" t="s">
        <v>2</v>
      </c>
      <c r="C41" s="1277">
        <f>SUM(C36:C40)</f>
        <v>0</v>
      </c>
      <c r="D41" s="1280">
        <f>SUM(D36:D40)</f>
        <v>0</v>
      </c>
      <c r="E41" s="1472">
        <f>SUM(E36:E40)</f>
        <v>0</v>
      </c>
      <c r="F41" s="2191">
        <f>SUM(F36:F40)</f>
        <v>0</v>
      </c>
      <c r="G41" s="1278">
        <f>SUM(G36:G40)</f>
        <v>0</v>
      </c>
      <c r="H41" s="1108"/>
      <c r="I41" s="1277">
        <f t="shared" ref="I41:N41" si="9">SUM(I36:I40)</f>
        <v>0</v>
      </c>
      <c r="J41" s="1280">
        <f t="shared" si="9"/>
        <v>0</v>
      </c>
      <c r="K41" s="1280">
        <f t="shared" si="9"/>
        <v>0</v>
      </c>
      <c r="L41" s="1280">
        <f t="shared" si="9"/>
        <v>0</v>
      </c>
      <c r="M41" s="1472">
        <f t="shared" si="9"/>
        <v>0</v>
      </c>
      <c r="N41" s="1278">
        <f t="shared" si="9"/>
        <v>0</v>
      </c>
      <c r="O41" s="766"/>
      <c r="P41" s="767"/>
      <c r="Q41" s="1091"/>
      <c r="R41" s="741"/>
    </row>
    <row r="42" spans="1:18" ht="9.9499999999999993" customHeight="1" thickBot="1">
      <c r="A42" s="1107"/>
      <c r="B42" s="1118"/>
      <c r="C42" s="1119"/>
      <c r="D42" s="1119"/>
      <c r="E42" s="1119"/>
      <c r="F42" s="1119"/>
      <c r="G42" s="1119"/>
      <c r="H42" s="1108"/>
      <c r="I42" s="1119"/>
      <c r="J42" s="1119"/>
      <c r="K42" s="1119"/>
      <c r="L42" s="1119"/>
      <c r="M42" s="1119"/>
      <c r="N42" s="1119"/>
      <c r="O42" s="766"/>
      <c r="P42" s="767"/>
      <c r="Q42" s="828"/>
      <c r="R42" s="741"/>
    </row>
    <row r="43" spans="1:18" ht="30" customHeight="1" thickBot="1">
      <c r="A43" s="1107"/>
      <c r="B43" s="1276" t="s">
        <v>342</v>
      </c>
      <c r="C43" s="1398">
        <f>'T2a ITE'!$C$45</f>
        <v>0</v>
      </c>
      <c r="D43" s="1469">
        <f>'T2a ITE'!$D$45</f>
        <v>0</v>
      </c>
      <c r="E43" s="2193">
        <f>'T2a ITE'!$E$45</f>
        <v>0</v>
      </c>
      <c r="F43" s="2192">
        <f>'T2a ITE'!$F$45</f>
        <v>0</v>
      </c>
      <c r="G43" s="1401">
        <f>'T2a ITE'!$G$45</f>
        <v>0</v>
      </c>
      <c r="H43" s="1108"/>
      <c r="I43" s="1398">
        <f>'T2a ITE'!$J$45</f>
        <v>0</v>
      </c>
      <c r="J43" s="1399">
        <f>'T2a ITE'!$K$45</f>
        <v>0</v>
      </c>
      <c r="K43" s="1399">
        <f>'T2a ITE'!$L$45</f>
        <v>0</v>
      </c>
      <c r="L43" s="1399">
        <f>'T2a ITE'!$M$45</f>
        <v>0</v>
      </c>
      <c r="M43" s="1400">
        <f>'T2a ITE'!$N$45</f>
        <v>0</v>
      </c>
      <c r="N43" s="1401">
        <f>'T2a ITE'!$O$45</f>
        <v>0</v>
      </c>
      <c r="O43" s="766"/>
      <c r="P43" s="767"/>
      <c r="Q43" s="828"/>
      <c r="R43" s="741"/>
    </row>
    <row r="44" spans="1:18" ht="20.100000000000001" customHeight="1">
      <c r="A44" s="1107"/>
      <c r="B44" s="1118"/>
      <c r="C44" s="1119"/>
      <c r="D44" s="1119"/>
      <c r="E44" s="1119"/>
      <c r="F44" s="1119"/>
      <c r="G44" s="1119"/>
      <c r="H44" s="1108"/>
      <c r="I44" s="1119"/>
      <c r="J44" s="1119"/>
      <c r="K44" s="1119"/>
      <c r="L44" s="1119"/>
      <c r="M44" s="1119"/>
      <c r="N44" s="1119"/>
      <c r="O44" s="766"/>
      <c r="P44" s="767"/>
      <c r="Q44" s="828"/>
      <c r="R44" s="741"/>
    </row>
    <row r="45" spans="1:18" ht="30" customHeight="1" thickBot="1">
      <c r="A45" s="949">
        <f>VLOOKUP('Background Data'!$F$2,Inst_Tables,28,FALSE)</f>
        <v>0</v>
      </c>
      <c r="B45" s="1930" t="s">
        <v>316</v>
      </c>
      <c r="C45" s="1404"/>
      <c r="D45" s="1404"/>
      <c r="E45" s="1404"/>
      <c r="F45" s="1404"/>
      <c r="G45" s="1405"/>
      <c r="H45" s="1116"/>
      <c r="I45" s="1406"/>
      <c r="J45" s="1406"/>
      <c r="K45" s="1406"/>
      <c r="L45" s="1406"/>
      <c r="M45" s="1406"/>
      <c r="N45" s="1406"/>
      <c r="O45" s="744"/>
      <c r="P45" s="745"/>
      <c r="Q45" s="225"/>
      <c r="R45" s="761"/>
    </row>
    <row r="46" spans="1:18" ht="30" customHeight="1">
      <c r="A46" s="1107"/>
      <c r="B46" s="1295"/>
      <c r="C46" s="1296"/>
      <c r="D46" s="1297"/>
      <c r="E46" s="1473">
        <f>SUM(C46:D46)</f>
        <v>0</v>
      </c>
      <c r="F46" s="2188"/>
      <c r="G46" s="1298">
        <f>SUM(E46:F46)</f>
        <v>0</v>
      </c>
      <c r="H46" s="1116"/>
      <c r="I46" s="1296"/>
      <c r="J46" s="1299"/>
      <c r="K46" s="1299"/>
      <c r="L46" s="1299"/>
      <c r="M46" s="1939"/>
      <c r="N46" s="1302">
        <f>SUM(I46:M46)</f>
        <v>0</v>
      </c>
      <c r="O46" s="766"/>
      <c r="P46" s="767"/>
      <c r="Q46" s="1094" t="str">
        <f>IF(AND(E46&gt;0,N46=0),"No enrolments",IF(AND(E46=0,N46&gt;0),"No intake?",IF(AND(E46&gt;N46,N46&gt;0),"Intake larger than enrolments",IF(AND(E46=N46,SUM(J46:M46)&gt;0),"Intake same as enrolments?","OK"))))</f>
        <v>OK</v>
      </c>
      <c r="R46" s="741"/>
    </row>
    <row r="47" spans="1:18" ht="30" customHeight="1">
      <c r="A47" s="1107"/>
      <c r="B47" s="1114"/>
      <c r="C47" s="1115"/>
      <c r="D47" s="1413"/>
      <c r="E47" s="1474">
        <f>SUM(C47:D47)</f>
        <v>0</v>
      </c>
      <c r="F47" s="2189"/>
      <c r="G47" s="1414">
        <f>SUM(E47:F47)</f>
        <v>0</v>
      </c>
      <c r="H47" s="1116"/>
      <c r="I47" s="1115"/>
      <c r="J47" s="1117"/>
      <c r="K47" s="1117"/>
      <c r="L47" s="1117"/>
      <c r="M47" s="1940"/>
      <c r="N47" s="1417">
        <f t="shared" ref="N47:N50" si="10">SUM(I47:M47)</f>
        <v>0</v>
      </c>
      <c r="O47" s="766"/>
      <c r="P47" s="767"/>
      <c r="Q47" s="1095" t="str">
        <f t="shared" ref="Q47:Q49" si="11">IF(AND(E47&gt;0,N47=0),"No enrolments",IF(AND(E47=0,N47&gt;0),"No intake?",IF(AND(E47&gt;N47,N47&gt;0),"Intake larger than enrolments",IF(AND(E47=N47,SUM(J47:M47)&gt;0),"Intake same as enrolments?","OK"))))</f>
        <v>OK</v>
      </c>
      <c r="R47" s="741"/>
    </row>
    <row r="48" spans="1:18" ht="30" customHeight="1">
      <c r="A48" s="1107"/>
      <c r="B48" s="1114"/>
      <c r="C48" s="1115"/>
      <c r="D48" s="1413"/>
      <c r="E48" s="1474">
        <f>SUM(C48:D48)</f>
        <v>0</v>
      </c>
      <c r="F48" s="2189"/>
      <c r="G48" s="1414">
        <f>SUM(E48:F48)</f>
        <v>0</v>
      </c>
      <c r="H48" s="1116"/>
      <c r="I48" s="1115"/>
      <c r="J48" s="1117"/>
      <c r="K48" s="1117"/>
      <c r="L48" s="1117"/>
      <c r="M48" s="1940"/>
      <c r="N48" s="1417">
        <f t="shared" si="10"/>
        <v>0</v>
      </c>
      <c r="O48" s="766"/>
      <c r="P48" s="767"/>
      <c r="Q48" s="1095" t="str">
        <f t="shared" si="11"/>
        <v>OK</v>
      </c>
      <c r="R48" s="741"/>
    </row>
    <row r="49" spans="1:18" ht="30" customHeight="1">
      <c r="A49" s="1107"/>
      <c r="B49" s="1114"/>
      <c r="C49" s="1115"/>
      <c r="D49" s="1413"/>
      <c r="E49" s="1474">
        <f>SUM(C49:D49)</f>
        <v>0</v>
      </c>
      <c r="F49" s="2189"/>
      <c r="G49" s="1414">
        <f>SUM(E49:F49)</f>
        <v>0</v>
      </c>
      <c r="H49" s="1116"/>
      <c r="I49" s="1115"/>
      <c r="J49" s="1117"/>
      <c r="K49" s="1117"/>
      <c r="L49" s="1117"/>
      <c r="M49" s="1940"/>
      <c r="N49" s="1417">
        <f t="shared" si="10"/>
        <v>0</v>
      </c>
      <c r="O49" s="766"/>
      <c r="P49" s="767"/>
      <c r="Q49" s="1095" t="str">
        <f t="shared" si="11"/>
        <v>OK</v>
      </c>
      <c r="R49" s="741"/>
    </row>
    <row r="50" spans="1:18" ht="30" customHeight="1" thickBot="1">
      <c r="A50" s="1107"/>
      <c r="B50" s="1286"/>
      <c r="C50" s="1418"/>
      <c r="D50" s="1419"/>
      <c r="E50" s="1475">
        <f>SUM(C50:D50)</f>
        <v>0</v>
      </c>
      <c r="F50" s="2190"/>
      <c r="G50" s="1275">
        <f>SUM(E50:F50)</f>
        <v>0</v>
      </c>
      <c r="H50" s="1116"/>
      <c r="I50" s="1418"/>
      <c r="J50" s="1420"/>
      <c r="K50" s="1420"/>
      <c r="L50" s="1420"/>
      <c r="M50" s="1941"/>
      <c r="N50" s="1279">
        <f t="shared" si="10"/>
        <v>0</v>
      </c>
      <c r="O50" s="766"/>
      <c r="P50" s="767"/>
      <c r="Q50" s="1283" t="str">
        <f>IF(AND(E50&gt;0,N50=0),"No enrolments",IF(AND(E50=0,N50&gt;0),"No intake?",IF(AND(E50&gt;N50,N50&gt;0),"Intake larger than enrolments",IF(AND(E50=N50,SUM(J50:M50)&gt;0),"Intake same as enrolments?","OK"))))</f>
        <v>OK</v>
      </c>
      <c r="R50" s="741"/>
    </row>
    <row r="51" spans="1:18" ht="30" customHeight="1" thickBot="1">
      <c r="A51" s="1107"/>
      <c r="B51" s="1276" t="s">
        <v>2</v>
      </c>
      <c r="C51" s="1277">
        <f>SUM(C46:C50)</f>
        <v>0</v>
      </c>
      <c r="D51" s="1280">
        <f>SUM(D46:D50)</f>
        <v>0</v>
      </c>
      <c r="E51" s="1472">
        <f>SUM(E46:E50)</f>
        <v>0</v>
      </c>
      <c r="F51" s="2191">
        <f>SUM(F46:F50)</f>
        <v>0</v>
      </c>
      <c r="G51" s="1278">
        <f>SUM(G46:G50)</f>
        <v>0</v>
      </c>
      <c r="H51" s="1108"/>
      <c r="I51" s="1277">
        <f>SUM(I46:I50)</f>
        <v>0</v>
      </c>
      <c r="J51" s="1280">
        <f t="shared" ref="J51:N51" si="12">SUM(J46:J50)</f>
        <v>0</v>
      </c>
      <c r="K51" s="1280">
        <f t="shared" si="12"/>
        <v>0</v>
      </c>
      <c r="L51" s="1280">
        <f t="shared" si="12"/>
        <v>0</v>
      </c>
      <c r="M51" s="1472">
        <f t="shared" si="12"/>
        <v>0</v>
      </c>
      <c r="N51" s="1278">
        <f t="shared" si="12"/>
        <v>0</v>
      </c>
      <c r="O51" s="766"/>
      <c r="P51" s="767"/>
      <c r="Q51" s="1091"/>
      <c r="R51" s="741"/>
    </row>
    <row r="52" spans="1:18" ht="9.9499999999999993" customHeight="1" thickBot="1">
      <c r="A52" s="1107"/>
      <c r="B52" s="1118"/>
      <c r="C52" s="1119"/>
      <c r="D52" s="1119"/>
      <c r="E52" s="1119"/>
      <c r="F52" s="1119"/>
      <c r="G52" s="1119"/>
      <c r="H52" s="1108"/>
      <c r="I52" s="1119"/>
      <c r="J52" s="1119"/>
      <c r="K52" s="1119"/>
      <c r="L52" s="1119"/>
      <c r="M52" s="1119"/>
      <c r="N52" s="1119"/>
      <c r="O52" s="766"/>
      <c r="P52" s="767"/>
      <c r="Q52" s="828"/>
      <c r="R52" s="741"/>
    </row>
    <row r="53" spans="1:18" ht="30" customHeight="1" thickBot="1">
      <c r="A53" s="1107"/>
      <c r="B53" s="1276" t="s">
        <v>342</v>
      </c>
      <c r="C53" s="1398">
        <f>'T2a ITE'!$C$59</f>
        <v>0</v>
      </c>
      <c r="D53" s="1469">
        <f>'T2a ITE'!$D$59</f>
        <v>0</v>
      </c>
      <c r="E53" s="1400">
        <f>'T2a ITE'!$E$59</f>
        <v>0</v>
      </c>
      <c r="F53" s="2192">
        <f>'T2a ITE'!$F$59</f>
        <v>0</v>
      </c>
      <c r="G53" s="1401">
        <f>'T2a ITE'!$G$59</f>
        <v>0</v>
      </c>
      <c r="H53" s="1108"/>
      <c r="I53" s="1398">
        <f>'T2a ITE'!$J$59</f>
        <v>0</v>
      </c>
      <c r="J53" s="1399">
        <f>'T2a ITE'!$K$59</f>
        <v>0</v>
      </c>
      <c r="K53" s="1399">
        <f>'T2a ITE'!$L$59</f>
        <v>0</v>
      </c>
      <c r="L53" s="1399">
        <f>'T2a ITE'!$M$59</f>
        <v>0</v>
      </c>
      <c r="M53" s="1400">
        <f>'T2a ITE'!$N$59</f>
        <v>0</v>
      </c>
      <c r="N53" s="1401">
        <f>'T2a ITE'!$O$59</f>
        <v>0</v>
      </c>
      <c r="O53" s="766"/>
      <c r="P53" s="767"/>
      <c r="Q53" s="828"/>
      <c r="R53" s="741"/>
    </row>
    <row r="54" spans="1:18" ht="20.100000000000001" customHeight="1">
      <c r="A54" s="1107"/>
      <c r="B54" s="1118"/>
      <c r="C54" s="1119"/>
      <c r="D54" s="1119"/>
      <c r="E54" s="1119"/>
      <c r="F54" s="1119"/>
      <c r="G54" s="1119"/>
      <c r="H54" s="1108"/>
      <c r="I54" s="1119"/>
      <c r="J54" s="1119"/>
      <c r="K54" s="1119"/>
      <c r="L54" s="1119"/>
      <c r="M54" s="1119"/>
      <c r="N54" s="1119"/>
      <c r="O54" s="766"/>
      <c r="P54" s="767"/>
      <c r="Q54" s="828"/>
      <c r="R54" s="741"/>
    </row>
    <row r="55" spans="1:18" ht="30" customHeight="1" thickBot="1">
      <c r="A55" s="949">
        <f>VLOOKUP('Background Data'!$F$2,Inst_Tables,29,FALSE)</f>
        <v>0</v>
      </c>
      <c r="B55" s="1930" t="s">
        <v>317</v>
      </c>
      <c r="C55" s="1404"/>
      <c r="D55" s="1404"/>
      <c r="E55" s="1404"/>
      <c r="F55" s="1404"/>
      <c r="G55" s="1405"/>
      <c r="H55" s="1116"/>
      <c r="I55" s="1406"/>
      <c r="J55" s="1406"/>
      <c r="K55" s="1406"/>
      <c r="L55" s="1406"/>
      <c r="M55" s="1406"/>
      <c r="N55" s="1406"/>
      <c r="O55" s="744"/>
      <c r="P55" s="745"/>
      <c r="Q55" s="225"/>
      <c r="R55" s="761"/>
    </row>
    <row r="56" spans="1:18" ht="30" customHeight="1">
      <c r="A56" s="1107"/>
      <c r="B56" s="1295"/>
      <c r="C56" s="1296"/>
      <c r="D56" s="1297"/>
      <c r="E56" s="1473">
        <f>SUM(C56:D56)</f>
        <v>0</v>
      </c>
      <c r="F56" s="2188"/>
      <c r="G56" s="1298">
        <f>SUM(E56:F56)</f>
        <v>0</v>
      </c>
      <c r="H56" s="1116"/>
      <c r="I56" s="1303"/>
      <c r="J56" s="1299"/>
      <c r="K56" s="1299"/>
      <c r="L56" s="1299"/>
      <c r="M56" s="1939"/>
      <c r="N56" s="1302">
        <f>SUM(I56:M56)</f>
        <v>0</v>
      </c>
      <c r="O56" s="766"/>
      <c r="P56" s="767"/>
      <c r="Q56" s="1094" t="str">
        <f>IF(AND(E56&gt;0,N56=0),"No enrolments",IF(AND(E56=0,N56&gt;0),"No intake?",IF(AND(E56&gt;N56,N56&gt;0),"Intake larger than enrolments",IF(AND(E56=N56,SUM(J56:M56)&gt;0),"Intake same as enrolments?","OK"))))</f>
        <v>OK</v>
      </c>
      <c r="R56" s="741"/>
    </row>
    <row r="57" spans="1:18" ht="30" customHeight="1">
      <c r="A57" s="1107"/>
      <c r="B57" s="1114"/>
      <c r="C57" s="1115"/>
      <c r="D57" s="1413"/>
      <c r="E57" s="1474">
        <f>SUM(C57:D57)</f>
        <v>0</v>
      </c>
      <c r="F57" s="2189"/>
      <c r="G57" s="1414">
        <f>SUM(E57:F57)</f>
        <v>0</v>
      </c>
      <c r="H57" s="1116"/>
      <c r="I57" s="1287"/>
      <c r="J57" s="1117"/>
      <c r="K57" s="1117"/>
      <c r="L57" s="1117"/>
      <c r="M57" s="1940"/>
      <c r="N57" s="1417">
        <f t="shared" ref="N57:N60" si="13">SUM(I57:M57)</f>
        <v>0</v>
      </c>
      <c r="O57" s="766"/>
      <c r="P57" s="767"/>
      <c r="Q57" s="1095" t="str">
        <f t="shared" ref="Q57:Q59" si="14">IF(AND(E57&gt;0,N57=0),"No enrolments",IF(AND(E57=0,N57&gt;0),"No intake?",IF(AND(E57&gt;N57,N57&gt;0),"Intake larger than enrolments",IF(AND(E57=N57,SUM(J57:M57)&gt;0),"Intake same as enrolments?","OK"))))</f>
        <v>OK</v>
      </c>
      <c r="R57" s="741"/>
    </row>
    <row r="58" spans="1:18" ht="30" customHeight="1">
      <c r="A58" s="1107"/>
      <c r="B58" s="1114"/>
      <c r="C58" s="1115"/>
      <c r="D58" s="1413"/>
      <c r="E58" s="1474">
        <f>SUM(C58:D58)</f>
        <v>0</v>
      </c>
      <c r="F58" s="2189"/>
      <c r="G58" s="1414">
        <f>SUM(E58:F58)</f>
        <v>0</v>
      </c>
      <c r="H58" s="1116"/>
      <c r="I58" s="1287"/>
      <c r="J58" s="1117"/>
      <c r="K58" s="1117"/>
      <c r="L58" s="1117"/>
      <c r="M58" s="1940"/>
      <c r="N58" s="1417">
        <f t="shared" si="13"/>
        <v>0</v>
      </c>
      <c r="O58" s="766"/>
      <c r="P58" s="767"/>
      <c r="Q58" s="1095" t="str">
        <f t="shared" si="14"/>
        <v>OK</v>
      </c>
      <c r="R58" s="741"/>
    </row>
    <row r="59" spans="1:18" ht="30" customHeight="1">
      <c r="A59" s="1107"/>
      <c r="B59" s="1114"/>
      <c r="C59" s="1115"/>
      <c r="D59" s="1413"/>
      <c r="E59" s="1474">
        <f>SUM(C59:D59)</f>
        <v>0</v>
      </c>
      <c r="F59" s="2189"/>
      <c r="G59" s="1414">
        <f>SUM(E59:F59)</f>
        <v>0</v>
      </c>
      <c r="H59" s="1116"/>
      <c r="I59" s="1287"/>
      <c r="J59" s="1117"/>
      <c r="K59" s="1117"/>
      <c r="L59" s="1117"/>
      <c r="M59" s="1940"/>
      <c r="N59" s="1417">
        <f t="shared" si="13"/>
        <v>0</v>
      </c>
      <c r="O59" s="766"/>
      <c r="P59" s="767"/>
      <c r="Q59" s="1095" t="str">
        <f t="shared" si="14"/>
        <v>OK</v>
      </c>
      <c r="R59" s="741"/>
    </row>
    <row r="60" spans="1:18" ht="30" customHeight="1" thickBot="1">
      <c r="A60" s="1107"/>
      <c r="B60" s="1286"/>
      <c r="C60" s="1418"/>
      <c r="D60" s="1419"/>
      <c r="E60" s="1475">
        <f>SUM(C60:D60)</f>
        <v>0</v>
      </c>
      <c r="F60" s="2190"/>
      <c r="G60" s="1275">
        <f>SUM(E60:F60)</f>
        <v>0</v>
      </c>
      <c r="H60" s="1116"/>
      <c r="I60" s="1288"/>
      <c r="J60" s="1420"/>
      <c r="K60" s="1420"/>
      <c r="L60" s="1420"/>
      <c r="M60" s="1941"/>
      <c r="N60" s="1279">
        <f t="shared" si="13"/>
        <v>0</v>
      </c>
      <c r="O60" s="766"/>
      <c r="P60" s="767"/>
      <c r="Q60" s="1283" t="str">
        <f>IF(AND(E60&gt;0,N60=0),"No enrolments",IF(AND(E60=0,N60&gt;0),"No intake?",IF(AND(E60&gt;N60,N60&gt;0),"Intake larger than enrolments",IF(AND(E60=N60,SUM(J60:M60)&gt;0),"Intake same as enrolments?","OK"))))</f>
        <v>OK</v>
      </c>
      <c r="R60" s="741"/>
    </row>
    <row r="61" spans="1:18" ht="30" customHeight="1" thickBot="1">
      <c r="A61" s="1107"/>
      <c r="B61" s="1276" t="s">
        <v>2</v>
      </c>
      <c r="C61" s="1277">
        <f>SUM(C56:C60)</f>
        <v>0</v>
      </c>
      <c r="D61" s="1280">
        <f>SUM(D56:D60)</f>
        <v>0</v>
      </c>
      <c r="E61" s="1472">
        <f>SUM(E56:E60)</f>
        <v>0</v>
      </c>
      <c r="F61" s="2191">
        <f>SUM(F56:F60)</f>
        <v>0</v>
      </c>
      <c r="G61" s="1278">
        <f>SUM(G56:G60)</f>
        <v>0</v>
      </c>
      <c r="H61" s="1108"/>
      <c r="I61" s="1289">
        <f t="shared" ref="I61:N61" si="15">SUM(I56:I60)</f>
        <v>0</v>
      </c>
      <c r="J61" s="1280">
        <f t="shared" si="15"/>
        <v>0</v>
      </c>
      <c r="K61" s="1280">
        <f t="shared" si="15"/>
        <v>0</v>
      </c>
      <c r="L61" s="1280">
        <f t="shared" si="15"/>
        <v>0</v>
      </c>
      <c r="M61" s="1472">
        <f t="shared" si="15"/>
        <v>0</v>
      </c>
      <c r="N61" s="1278">
        <f t="shared" si="15"/>
        <v>0</v>
      </c>
      <c r="O61" s="766"/>
      <c r="P61" s="767"/>
      <c r="Q61" s="1091"/>
      <c r="R61" s="741"/>
    </row>
    <row r="62" spans="1:18" ht="15" customHeight="1" thickBot="1">
      <c r="A62" s="1107"/>
      <c r="B62" s="1118"/>
      <c r="C62" s="1119"/>
      <c r="D62" s="1119"/>
      <c r="E62" s="1119"/>
      <c r="F62" s="1119"/>
      <c r="G62" s="1119"/>
      <c r="H62" s="1108"/>
      <c r="I62" s="1119"/>
      <c r="J62" s="1119"/>
      <c r="K62" s="1119"/>
      <c r="L62" s="1119"/>
      <c r="M62" s="1119"/>
      <c r="N62" s="1119"/>
      <c r="O62" s="766"/>
      <c r="P62" s="767"/>
      <c r="Q62" s="828"/>
      <c r="R62" s="741"/>
    </row>
    <row r="63" spans="1:18" ht="30" customHeight="1" thickBot="1">
      <c r="A63" s="1107"/>
      <c r="B63" s="1276" t="s">
        <v>342</v>
      </c>
      <c r="C63" s="1398">
        <f>'T2a ITE'!$C$60</f>
        <v>0</v>
      </c>
      <c r="D63" s="1469">
        <f>'T2a ITE'!$D$60</f>
        <v>0</v>
      </c>
      <c r="E63" s="1400">
        <f>'T2a ITE'!$E$60</f>
        <v>0</v>
      </c>
      <c r="F63" s="2192">
        <f>'T2a ITE'!$F$60</f>
        <v>0</v>
      </c>
      <c r="G63" s="1401">
        <f>'T2a ITE'!$G$60</f>
        <v>0</v>
      </c>
      <c r="H63" s="1108"/>
      <c r="I63" s="1398">
        <f>'T2a ITE'!$J$60</f>
        <v>0</v>
      </c>
      <c r="J63" s="1399">
        <f>'T2a ITE'!$K$60</f>
        <v>0</v>
      </c>
      <c r="K63" s="1399">
        <f>'T2a ITE'!$L$60</f>
        <v>0</v>
      </c>
      <c r="L63" s="1399">
        <f>'T2a ITE'!$M$60</f>
        <v>0</v>
      </c>
      <c r="M63" s="1400">
        <f>'T2a ITE'!$N$60</f>
        <v>0</v>
      </c>
      <c r="N63" s="1401">
        <f>'T2a ITE'!$O$60</f>
        <v>0</v>
      </c>
      <c r="O63" s="766"/>
      <c r="P63" s="767"/>
      <c r="Q63" s="828"/>
      <c r="R63" s="741"/>
    </row>
    <row r="64" spans="1:18" ht="15" customHeight="1">
      <c r="A64" s="1107"/>
      <c r="B64" s="1118"/>
      <c r="C64" s="1119"/>
      <c r="D64" s="1119"/>
      <c r="E64" s="1119"/>
      <c r="F64" s="1119"/>
      <c r="G64" s="1119"/>
      <c r="H64" s="1108"/>
      <c r="I64" s="1119"/>
      <c r="J64" s="1119"/>
      <c r="K64" s="1119"/>
      <c r="L64" s="1119"/>
      <c r="M64" s="1119"/>
      <c r="N64" s="1119"/>
      <c r="O64" s="766"/>
      <c r="P64" s="767"/>
      <c r="Q64" s="225"/>
      <c r="R64" s="741"/>
    </row>
    <row r="65" spans="1:18" ht="30" customHeight="1" thickBot="1">
      <c r="A65" s="949">
        <f>VLOOKUP('Background Data'!$F$2,Inst_Tables,30,FALSE)</f>
        <v>1</v>
      </c>
      <c r="B65" s="1930" t="s">
        <v>318</v>
      </c>
      <c r="C65" s="1404"/>
      <c r="D65" s="1404"/>
      <c r="E65" s="1404"/>
      <c r="F65" s="1404"/>
      <c r="G65" s="1405"/>
      <c r="H65" s="1116"/>
      <c r="I65" s="1406"/>
      <c r="J65" s="1406"/>
      <c r="K65" s="1406"/>
      <c r="L65" s="1406"/>
      <c r="M65" s="1406"/>
      <c r="N65" s="1406"/>
      <c r="O65" s="744"/>
      <c r="P65" s="745"/>
      <c r="Q65" s="225"/>
      <c r="R65" s="761"/>
    </row>
    <row r="66" spans="1:18" ht="30" customHeight="1">
      <c r="A66" s="1107"/>
      <c r="B66" s="1295" t="s">
        <v>558</v>
      </c>
      <c r="C66" s="1296">
        <v>3</v>
      </c>
      <c r="D66" s="1297"/>
      <c r="E66" s="1473">
        <f>SUM(C66:D66)</f>
        <v>3</v>
      </c>
      <c r="F66" s="2188"/>
      <c r="G66" s="1298">
        <f>SUM(E66:F66)</f>
        <v>3</v>
      </c>
      <c r="H66" s="1116"/>
      <c r="I66" s="1296"/>
      <c r="J66" s="1299">
        <v>3</v>
      </c>
      <c r="K66" s="1299"/>
      <c r="L66" s="1299"/>
      <c r="M66" s="1935"/>
      <c r="N66" s="1302">
        <f>SUM(I66:L66)</f>
        <v>3</v>
      </c>
      <c r="O66" s="766"/>
      <c r="P66" s="767"/>
      <c r="Q66" s="1094" t="str">
        <f>IF(AND(E66&gt;0,N66=0),"No enrolments",IF(AND(E66=0,N66&gt;0),"No intake?",IF(AND(E66&gt;N66,N66&gt;0),"Intake larger than enrolments",IF(AND(E66=N66,SUM(J66:L66)&gt;0),"Intake same as enrolments?","OK"))))</f>
        <v>Intake same as enrolments?</v>
      </c>
      <c r="R66" s="741"/>
    </row>
    <row r="67" spans="1:18" ht="30" customHeight="1">
      <c r="A67" s="1107"/>
      <c r="B67" s="1114"/>
      <c r="C67" s="1115"/>
      <c r="D67" s="1413"/>
      <c r="E67" s="1474">
        <f>SUM(C67:D67)</f>
        <v>0</v>
      </c>
      <c r="F67" s="2189"/>
      <c r="G67" s="1414">
        <f>SUM(E67:F67)</f>
        <v>0</v>
      </c>
      <c r="H67" s="1116"/>
      <c r="I67" s="1115"/>
      <c r="J67" s="1117"/>
      <c r="K67" s="1117"/>
      <c r="L67" s="1117"/>
      <c r="M67" s="1936"/>
      <c r="N67" s="1417">
        <f t="shared" ref="N67:N69" si="16">SUM(I67:L67)</f>
        <v>0</v>
      </c>
      <c r="O67" s="766"/>
      <c r="P67" s="767"/>
      <c r="Q67" s="1095" t="str">
        <f t="shared" ref="Q67:Q69" si="17">IF(AND(E67&gt;0,N67=0),"No enrolments",IF(AND(E67=0,N67&gt;0),"No intake?",IF(AND(E67&gt;N67,N67&gt;0),"Intake larger than enrolments",IF(AND(E67=N67,SUM(J67:L67)&gt;0),"Intake same as enrolments?","OK"))))</f>
        <v>OK</v>
      </c>
      <c r="R67" s="741"/>
    </row>
    <row r="68" spans="1:18" ht="30" customHeight="1">
      <c r="A68" s="1107"/>
      <c r="B68" s="1114"/>
      <c r="C68" s="1115"/>
      <c r="D68" s="1413"/>
      <c r="E68" s="1474">
        <f>SUM(C68:D68)</f>
        <v>0</v>
      </c>
      <c r="F68" s="2189"/>
      <c r="G68" s="1414">
        <f>SUM(E68:F68)</f>
        <v>0</v>
      </c>
      <c r="H68" s="1116"/>
      <c r="I68" s="1115"/>
      <c r="J68" s="1117"/>
      <c r="K68" s="1117"/>
      <c r="L68" s="1117"/>
      <c r="M68" s="1936"/>
      <c r="N68" s="1417">
        <f t="shared" si="16"/>
        <v>0</v>
      </c>
      <c r="O68" s="766"/>
      <c r="P68" s="767"/>
      <c r="Q68" s="1095" t="str">
        <f t="shared" si="17"/>
        <v>OK</v>
      </c>
      <c r="R68" s="741"/>
    </row>
    <row r="69" spans="1:18" ht="30" customHeight="1">
      <c r="A69" s="1107"/>
      <c r="B69" s="1114"/>
      <c r="C69" s="1115"/>
      <c r="D69" s="1413"/>
      <c r="E69" s="1474">
        <f>SUM(C69:D69)</f>
        <v>0</v>
      </c>
      <c r="F69" s="2189"/>
      <c r="G69" s="1414">
        <f>SUM(E69:F69)</f>
        <v>0</v>
      </c>
      <c r="H69" s="1116"/>
      <c r="I69" s="1115"/>
      <c r="J69" s="1117"/>
      <c r="K69" s="1117"/>
      <c r="L69" s="1117"/>
      <c r="M69" s="1936"/>
      <c r="N69" s="1417">
        <f t="shared" si="16"/>
        <v>0</v>
      </c>
      <c r="O69" s="766"/>
      <c r="P69" s="767"/>
      <c r="Q69" s="1095" t="str">
        <f t="shared" si="17"/>
        <v>OK</v>
      </c>
      <c r="R69" s="741"/>
    </row>
    <row r="70" spans="1:18" ht="30" customHeight="1" thickBot="1">
      <c r="A70" s="1107"/>
      <c r="B70" s="1286"/>
      <c r="C70" s="1418"/>
      <c r="D70" s="1419"/>
      <c r="E70" s="1475">
        <f>SUM(C70:D70)</f>
        <v>0</v>
      </c>
      <c r="F70" s="2190"/>
      <c r="G70" s="1275">
        <f>SUM(E70:F70)</f>
        <v>0</v>
      </c>
      <c r="H70" s="1116"/>
      <c r="I70" s="1418"/>
      <c r="J70" s="1420"/>
      <c r="K70" s="1420"/>
      <c r="L70" s="1420"/>
      <c r="M70" s="1937"/>
      <c r="N70" s="1279">
        <f>SUM(I70:L70)</f>
        <v>0</v>
      </c>
      <c r="O70" s="766"/>
      <c r="P70" s="767"/>
      <c r="Q70" s="1283" t="str">
        <f>IF(AND(E70&gt;0,N70=0),"No enrolments",IF(AND(E70=0,N70&gt;0),"No intake?",IF(AND(E70&gt;N70,N70&gt;0),"Intake larger than enrolments",IF(AND(E70=N70,SUM(J70:L70)&gt;0),"Intake same as enrolments?","OK"))))</f>
        <v>OK</v>
      </c>
      <c r="R70" s="741"/>
    </row>
    <row r="71" spans="1:18" ht="30" customHeight="1" thickBot="1">
      <c r="A71" s="1107"/>
      <c r="B71" s="1276" t="s">
        <v>2</v>
      </c>
      <c r="C71" s="1277">
        <f>SUM(C66:C70)</f>
        <v>3</v>
      </c>
      <c r="D71" s="1280">
        <f>SUM(D66:D70)</f>
        <v>0</v>
      </c>
      <c r="E71" s="1472">
        <f>SUM(E66:E70)</f>
        <v>3</v>
      </c>
      <c r="F71" s="2191">
        <f>SUM(F66:F70)</f>
        <v>0</v>
      </c>
      <c r="G71" s="1278">
        <f>SUM(G66:G70)</f>
        <v>3</v>
      </c>
      <c r="H71" s="1108"/>
      <c r="I71" s="1277">
        <f>SUM(I66:I70)</f>
        <v>0</v>
      </c>
      <c r="J71" s="1280">
        <f>SUM(J66:J70)</f>
        <v>3</v>
      </c>
      <c r="K71" s="1280">
        <f>SUM(K66:K70)</f>
        <v>0</v>
      </c>
      <c r="L71" s="1280">
        <f>SUM(L66:L70)</f>
        <v>0</v>
      </c>
      <c r="M71" s="1945"/>
      <c r="N71" s="1278">
        <f>SUM(N66:N70)</f>
        <v>3</v>
      </c>
      <c r="O71" s="766"/>
      <c r="P71" s="767"/>
      <c r="Q71" s="1091"/>
      <c r="R71" s="741"/>
    </row>
    <row r="72" spans="1:18" ht="15" customHeight="1" thickBot="1">
      <c r="A72" s="1107"/>
      <c r="B72" s="1118"/>
      <c r="C72" s="1119"/>
      <c r="D72" s="1119"/>
      <c r="E72" s="1119"/>
      <c r="F72" s="1119"/>
      <c r="G72" s="1119"/>
      <c r="H72" s="1108"/>
      <c r="I72" s="1119"/>
      <c r="J72" s="1119"/>
      <c r="K72" s="1119"/>
      <c r="L72" s="1119"/>
      <c r="M72" s="1119"/>
      <c r="N72" s="1119"/>
      <c r="O72" s="766"/>
      <c r="P72" s="767"/>
      <c r="Q72" s="828"/>
      <c r="R72" s="741"/>
    </row>
    <row r="73" spans="1:18" ht="30" customHeight="1" thickBot="1">
      <c r="A73" s="1107"/>
      <c r="B73" s="1276" t="s">
        <v>342</v>
      </c>
      <c r="C73" s="1398">
        <f>'T2a ITE'!$C$70</f>
        <v>3</v>
      </c>
      <c r="D73" s="1469">
        <f>'T2a ITE'!$D$70</f>
        <v>0</v>
      </c>
      <c r="E73" s="1400">
        <f>'T2a ITE'!$E$70</f>
        <v>3</v>
      </c>
      <c r="F73" s="2192">
        <f>'T2a ITE'!$F$70</f>
        <v>0</v>
      </c>
      <c r="G73" s="1401">
        <f>'T2a ITE'!$G$70</f>
        <v>3</v>
      </c>
      <c r="H73" s="1108"/>
      <c r="I73" s="1398">
        <f>'T2a ITE'!$J$70</f>
        <v>0</v>
      </c>
      <c r="J73" s="1399">
        <f>'T2a ITE'!$K$70</f>
        <v>3</v>
      </c>
      <c r="K73" s="1399">
        <f>'T2a ITE'!$L$70</f>
        <v>0</v>
      </c>
      <c r="L73" s="1399">
        <f>'T2a ITE'!$M$70</f>
        <v>0</v>
      </c>
      <c r="M73" s="1938"/>
      <c r="N73" s="1401">
        <f>'T2a ITE'!$O$70</f>
        <v>3</v>
      </c>
      <c r="O73" s="766"/>
      <c r="P73" s="767"/>
      <c r="Q73" s="828"/>
      <c r="R73" s="741"/>
    </row>
    <row r="74" spans="1:18" ht="12.75" customHeight="1">
      <c r="A74" s="614"/>
      <c r="B74" s="1423"/>
      <c r="C74" s="1424"/>
      <c r="D74" s="1424"/>
      <c r="E74" s="1424"/>
      <c r="F74" s="1424"/>
      <c r="G74" s="1424"/>
      <c r="H74" s="1425"/>
      <c r="I74" s="1424"/>
      <c r="J74" s="1424"/>
      <c r="K74" s="1424"/>
      <c r="L74" s="1424"/>
      <c r="M74" s="1424"/>
      <c r="N74" s="1424"/>
      <c r="O74" s="1426"/>
      <c r="P74" s="1120"/>
      <c r="Q74" s="224"/>
      <c r="R74" s="576"/>
    </row>
    <row r="75" spans="1:18" ht="30" customHeight="1" thickBot="1">
      <c r="A75" s="949">
        <f>VLOOKUP('Background Data'!$F$2,Inst_Tables,31,FALSE)</f>
        <v>0</v>
      </c>
      <c r="B75" s="1930" t="s">
        <v>472</v>
      </c>
      <c r="C75" s="1404"/>
      <c r="D75" s="1404"/>
      <c r="E75" s="1404"/>
      <c r="F75" s="1404"/>
      <c r="G75" s="1405"/>
      <c r="H75" s="1116"/>
      <c r="I75" s="1406"/>
      <c r="J75" s="1406"/>
      <c r="K75" s="1406"/>
      <c r="L75" s="1406"/>
      <c r="M75" s="1406"/>
      <c r="N75" s="1406"/>
      <c r="O75" s="744"/>
      <c r="P75" s="745"/>
      <c r="Q75" s="225"/>
      <c r="R75" s="761"/>
    </row>
    <row r="76" spans="1:18" ht="30" customHeight="1">
      <c r="A76" s="1107"/>
      <c r="B76" s="1295"/>
      <c r="C76" s="1296"/>
      <c r="D76" s="1297"/>
      <c r="E76" s="1473">
        <f>SUM(C76:D76)</f>
        <v>0</v>
      </c>
      <c r="F76" s="2188"/>
      <c r="G76" s="1298">
        <f>SUM(E76:F76)</f>
        <v>0</v>
      </c>
      <c r="H76" s="1116"/>
      <c r="I76" s="1296"/>
      <c r="J76" s="1299"/>
      <c r="K76" s="1299"/>
      <c r="L76" s="1299"/>
      <c r="M76" s="1942"/>
      <c r="N76" s="1302">
        <f>SUM(I76:L76)</f>
        <v>0</v>
      </c>
      <c r="O76" s="766"/>
      <c r="P76" s="767"/>
      <c r="Q76" s="1094" t="str">
        <f>IF(AND(E76&gt;0,N76=0),"No enrolments",IF(AND(E76=0,N76&gt;0),"No intake?",IF(AND(E76&gt;N76,N76&gt;0),"Intake larger than enrolments",IF(AND(E76=N76,SUM(J76:L76)&gt;0),"Intake same as enrolments?","OK"))))</f>
        <v>OK</v>
      </c>
      <c r="R76" s="741"/>
    </row>
    <row r="77" spans="1:18" ht="30" customHeight="1">
      <c r="A77" s="1107"/>
      <c r="B77" s="1114"/>
      <c r="C77" s="1115"/>
      <c r="D77" s="1413"/>
      <c r="E77" s="1474">
        <f>SUM(C77:D77)</f>
        <v>0</v>
      </c>
      <c r="F77" s="2189"/>
      <c r="G77" s="1414">
        <f>SUM(E77:F77)</f>
        <v>0</v>
      </c>
      <c r="H77" s="1116"/>
      <c r="I77" s="1115"/>
      <c r="J77" s="1117"/>
      <c r="K77" s="1117"/>
      <c r="L77" s="1117"/>
      <c r="M77" s="1943"/>
      <c r="N77" s="1417">
        <f t="shared" ref="N77:N78" si="18">SUM(I77:L77)</f>
        <v>0</v>
      </c>
      <c r="O77" s="766"/>
      <c r="P77" s="767"/>
      <c r="Q77" s="1095" t="str">
        <f t="shared" ref="Q77:Q79" si="19">IF(AND(E77&gt;0,N77=0),"No enrolments",IF(AND(E77=0,N77&gt;0),"No intake?",IF(AND(E77&gt;N77,N77&gt;0),"Intake larger than enrolments",IF(AND(E77=N77,SUM(J77:L77)&gt;0),"Intake same as enrolments?","OK"))))</f>
        <v>OK</v>
      </c>
      <c r="R77" s="741"/>
    </row>
    <row r="78" spans="1:18" ht="30" customHeight="1">
      <c r="A78" s="1107"/>
      <c r="B78" s="1114"/>
      <c r="C78" s="1115"/>
      <c r="D78" s="1413"/>
      <c r="E78" s="1474">
        <f>SUM(C78:D78)</f>
        <v>0</v>
      </c>
      <c r="F78" s="2189"/>
      <c r="G78" s="1414">
        <f>SUM(E78:F78)</f>
        <v>0</v>
      </c>
      <c r="H78" s="1116"/>
      <c r="I78" s="1115"/>
      <c r="J78" s="1117"/>
      <c r="K78" s="1117"/>
      <c r="L78" s="1117"/>
      <c r="M78" s="1943"/>
      <c r="N78" s="1417">
        <f t="shared" si="18"/>
        <v>0</v>
      </c>
      <c r="O78" s="766"/>
      <c r="P78" s="767"/>
      <c r="Q78" s="1095" t="str">
        <f t="shared" si="19"/>
        <v>OK</v>
      </c>
      <c r="R78" s="741"/>
    </row>
    <row r="79" spans="1:18" ht="30" customHeight="1">
      <c r="A79" s="1107"/>
      <c r="B79" s="1114"/>
      <c r="C79" s="1115"/>
      <c r="D79" s="1413"/>
      <c r="E79" s="1474">
        <f>SUM(C79:D79)</f>
        <v>0</v>
      </c>
      <c r="F79" s="2189"/>
      <c r="G79" s="1414">
        <f>SUM(E79:F79)</f>
        <v>0</v>
      </c>
      <c r="H79" s="1116"/>
      <c r="I79" s="1115"/>
      <c r="J79" s="1117"/>
      <c r="K79" s="1117"/>
      <c r="L79" s="1117"/>
      <c r="M79" s="1943"/>
      <c r="N79" s="1417">
        <f>SUM(I79:L79)</f>
        <v>0</v>
      </c>
      <c r="O79" s="766"/>
      <c r="P79" s="767"/>
      <c r="Q79" s="1095" t="str">
        <f t="shared" si="19"/>
        <v>OK</v>
      </c>
      <c r="R79" s="741"/>
    </row>
    <row r="80" spans="1:18" ht="30" customHeight="1" thickBot="1">
      <c r="A80" s="1107"/>
      <c r="B80" s="1286"/>
      <c r="C80" s="1418"/>
      <c r="D80" s="1419"/>
      <c r="E80" s="1475">
        <f>SUM(C80:D80)</f>
        <v>0</v>
      </c>
      <c r="F80" s="2190"/>
      <c r="G80" s="1275">
        <f>SUM(E80:F80)</f>
        <v>0</v>
      </c>
      <c r="H80" s="1116"/>
      <c r="I80" s="1418"/>
      <c r="J80" s="1420"/>
      <c r="K80" s="1420"/>
      <c r="L80" s="1420"/>
      <c r="M80" s="1944"/>
      <c r="N80" s="1279">
        <f>SUM(I80:L80)</f>
        <v>0</v>
      </c>
      <c r="O80" s="766"/>
      <c r="P80" s="767"/>
      <c r="Q80" s="1283" t="str">
        <f>IF(AND(E80&gt;0,N80=0),"No enrolments",IF(AND(E80=0,N80&gt;0),"No intake?",IF(AND(E80&gt;N80,N80&gt;0),"Intake larger than enrolments",IF(AND(E80=N80,SUM(J80:L80)&gt;0),"Intake same as enrolments?","OK"))))</f>
        <v>OK</v>
      </c>
      <c r="R80" s="741"/>
    </row>
    <row r="81" spans="1:18" ht="30" customHeight="1" thickBot="1">
      <c r="A81" s="1107"/>
      <c r="B81" s="1276" t="s">
        <v>2</v>
      </c>
      <c r="C81" s="1277">
        <f>SUM(C76:C80)</f>
        <v>0</v>
      </c>
      <c r="D81" s="1280">
        <f>SUM(D76:D80)</f>
        <v>0</v>
      </c>
      <c r="E81" s="1472">
        <f>SUM(E76:E80)</f>
        <v>0</v>
      </c>
      <c r="F81" s="2191">
        <f>SUM(F76:F80)</f>
        <v>0</v>
      </c>
      <c r="G81" s="1278">
        <f>SUM(G76:G80)</f>
        <v>0</v>
      </c>
      <c r="H81" s="1108"/>
      <c r="I81" s="1277">
        <f>SUM(I76:I80)</f>
        <v>0</v>
      </c>
      <c r="J81" s="1280">
        <f>SUM(J76:J80)</f>
        <v>0</v>
      </c>
      <c r="K81" s="1280">
        <f>SUM(K76:K80)</f>
        <v>0</v>
      </c>
      <c r="L81" s="1280">
        <f>SUM(L76:L80)</f>
        <v>0</v>
      </c>
      <c r="M81" s="1945"/>
      <c r="N81" s="1278">
        <f>SUM(N76:N80)</f>
        <v>0</v>
      </c>
      <c r="O81" s="766"/>
      <c r="P81" s="767"/>
      <c r="Q81" s="1091"/>
      <c r="R81" s="741"/>
    </row>
    <row r="82" spans="1:18" ht="15" customHeight="1" thickBot="1">
      <c r="A82" s="1107"/>
      <c r="B82" s="1118"/>
      <c r="C82" s="1119"/>
      <c r="D82" s="1119"/>
      <c r="E82" s="1119"/>
      <c r="F82" s="1119"/>
      <c r="G82" s="1119"/>
      <c r="H82" s="1108"/>
      <c r="I82" s="1119"/>
      <c r="J82" s="1119"/>
      <c r="K82" s="1119"/>
      <c r="L82" s="1119"/>
      <c r="M82" s="1119"/>
      <c r="N82" s="1119"/>
      <c r="O82" s="766"/>
      <c r="P82" s="767"/>
      <c r="Q82" s="828"/>
      <c r="R82" s="741"/>
    </row>
    <row r="83" spans="1:18" ht="30" customHeight="1" thickBot="1">
      <c r="A83" s="1107"/>
      <c r="B83" s="1276" t="s">
        <v>342</v>
      </c>
      <c r="C83" s="1398">
        <f>'T2a ITE'!$C$73</f>
        <v>0</v>
      </c>
      <c r="D83" s="1469">
        <f>'T2a ITE'!$D$73</f>
        <v>0</v>
      </c>
      <c r="E83" s="1400">
        <f>'T2a ITE'!$E$73</f>
        <v>0</v>
      </c>
      <c r="F83" s="2192">
        <f>'T2a ITE'!$F$73</f>
        <v>0</v>
      </c>
      <c r="G83" s="1401">
        <f>'T2a ITE'!$G$73</f>
        <v>0</v>
      </c>
      <c r="H83" s="1108"/>
      <c r="I83" s="1398">
        <f>'T2a ITE'!$J$73</f>
        <v>0</v>
      </c>
      <c r="J83" s="1399">
        <f>'T2a ITE'!$K$73</f>
        <v>0</v>
      </c>
      <c r="K83" s="1399">
        <f>'T2a ITE'!$L$73</f>
        <v>0</v>
      </c>
      <c r="L83" s="1399">
        <f>'T2a ITE'!$M$73</f>
        <v>0</v>
      </c>
      <c r="M83" s="1400"/>
      <c r="N83" s="1401">
        <f>'T2a ITE'!$O$73</f>
        <v>0</v>
      </c>
      <c r="O83" s="766"/>
      <c r="P83" s="767"/>
      <c r="Q83" s="828"/>
      <c r="R83" s="741"/>
    </row>
    <row r="84" spans="1:18" ht="12.75" customHeight="1">
      <c r="A84" s="614"/>
      <c r="B84" s="1423"/>
      <c r="C84" s="1424"/>
      <c r="D84" s="1424"/>
      <c r="E84" s="1424"/>
      <c r="F84" s="1424"/>
      <c r="G84" s="1424"/>
      <c r="H84" s="1425"/>
      <c r="I84" s="1424"/>
      <c r="J84" s="1424"/>
      <c r="K84" s="1424"/>
      <c r="L84" s="1424"/>
      <c r="M84" s="1424"/>
      <c r="N84" s="1424"/>
      <c r="O84" s="1426"/>
      <c r="P84" s="1120"/>
      <c r="Q84" s="224"/>
      <c r="R84" s="576"/>
    </row>
    <row r="85" spans="1:18">
      <c r="A85" s="576"/>
      <c r="B85" s="576"/>
      <c r="C85" s="1120"/>
      <c r="D85" s="1120"/>
      <c r="E85" s="1120"/>
      <c r="F85" s="1120"/>
      <c r="G85" s="1120"/>
      <c r="H85" s="1121"/>
      <c r="I85" s="1120"/>
      <c r="J85" s="1120"/>
      <c r="K85" s="1120"/>
      <c r="L85" s="1120"/>
      <c r="M85" s="1120"/>
      <c r="N85" s="1120"/>
      <c r="O85" s="1120"/>
      <c r="P85" s="1120"/>
      <c r="Q85" s="224"/>
      <c r="R85" s="576"/>
    </row>
    <row r="86" spans="1:18">
      <c r="Q86" s="812"/>
    </row>
    <row r="87" spans="1:18">
      <c r="Q87" s="812"/>
    </row>
    <row r="88" spans="1:18">
      <c r="Q88" s="812"/>
    </row>
  </sheetData>
  <sheetProtection password="E23E" sheet="1" objects="1" scenarios="1"/>
  <mergeCells count="9">
    <mergeCell ref="C4:G4"/>
    <mergeCell ref="C8:G8"/>
    <mergeCell ref="I8:N8"/>
    <mergeCell ref="Q11:Q12"/>
    <mergeCell ref="B9:B10"/>
    <mergeCell ref="F9:F10"/>
    <mergeCell ref="G9:G10"/>
    <mergeCell ref="I9:N9"/>
    <mergeCell ref="C9:E9"/>
  </mergeCells>
  <conditionalFormatting sqref="Q16:Q20 Q26:Q30 Q67:Q70">
    <cfRule type="expression" dxfId="133" priority="31">
      <formula>Q16&lt;&gt;"OK"</formula>
    </cfRule>
  </conditionalFormatting>
  <conditionalFormatting sqref="C23:G23 I23:N23">
    <cfRule type="expression" dxfId="132" priority="30">
      <formula>C23&lt;&gt;C21</formula>
    </cfRule>
  </conditionalFormatting>
  <conditionalFormatting sqref="C33:G33 I33:N33">
    <cfRule type="expression" dxfId="131" priority="29">
      <formula>C33&lt;&gt;C31</formula>
    </cfRule>
  </conditionalFormatting>
  <conditionalFormatting sqref="C53:G53 I53:N53">
    <cfRule type="expression" dxfId="130" priority="28">
      <formula>C53&lt;&gt;C51</formula>
    </cfRule>
  </conditionalFormatting>
  <conditionalFormatting sqref="K53:M53">
    <cfRule type="expression" dxfId="129" priority="27">
      <formula>K53&lt;&gt;K51</formula>
    </cfRule>
  </conditionalFormatting>
  <conditionalFormatting sqref="C63:G63 I63:N63">
    <cfRule type="expression" dxfId="128" priority="26">
      <formula>C63&lt;&gt;C61</formula>
    </cfRule>
  </conditionalFormatting>
  <conditionalFormatting sqref="K63:M63">
    <cfRule type="expression" dxfId="127" priority="25">
      <formula>K63&lt;&gt;K61</formula>
    </cfRule>
  </conditionalFormatting>
  <conditionalFormatting sqref="C73:G73 I73:N73">
    <cfRule type="expression" dxfId="126" priority="24">
      <formula>C73&lt;&gt;C71</formula>
    </cfRule>
  </conditionalFormatting>
  <conditionalFormatting sqref="K73:L73">
    <cfRule type="expression" dxfId="125" priority="23">
      <formula>K73&lt;&gt;K71</formula>
    </cfRule>
  </conditionalFormatting>
  <conditionalFormatting sqref="A1:O1">
    <cfRule type="expression" dxfId="124" priority="22">
      <formula>$H$4=0</formula>
    </cfRule>
  </conditionalFormatting>
  <conditionalFormatting sqref="C83:G83 I83:N83">
    <cfRule type="expression" dxfId="123" priority="19">
      <formula>C83&lt;&gt;C81</formula>
    </cfRule>
  </conditionalFormatting>
  <conditionalFormatting sqref="K83:M83">
    <cfRule type="expression" dxfId="122" priority="18">
      <formula>K83&lt;&gt;K81</formula>
    </cfRule>
  </conditionalFormatting>
  <conditionalFormatting sqref="B16:D20 F16:F20 I16:J20">
    <cfRule type="expression" dxfId="121" priority="16">
      <formula>$A$15=1</formula>
    </cfRule>
  </conditionalFormatting>
  <conditionalFormatting sqref="B26:D30 F26:F30 I26:J30">
    <cfRule type="expression" dxfId="120" priority="15">
      <formula>$A$25=1</formula>
    </cfRule>
  </conditionalFormatting>
  <conditionalFormatting sqref="B46:D50 F46:F50 I46:M50">
    <cfRule type="expression" dxfId="119" priority="14">
      <formula>$A$45=1</formula>
    </cfRule>
  </conditionalFormatting>
  <conditionalFormatting sqref="B56:D60 F56:F60 I56:M60">
    <cfRule type="expression" dxfId="118" priority="12">
      <formula>$A$55=1</formula>
    </cfRule>
  </conditionalFormatting>
  <conditionalFormatting sqref="B66:D70 F66:F70 I66:L70">
    <cfRule type="expression" dxfId="117" priority="11">
      <formula>$A$65=1</formula>
    </cfRule>
  </conditionalFormatting>
  <conditionalFormatting sqref="B76:D80 F76:F80 I76:L80">
    <cfRule type="expression" dxfId="116" priority="10">
      <formula>$A$75=1</formula>
    </cfRule>
  </conditionalFormatting>
  <conditionalFormatting sqref="Q36:Q40">
    <cfRule type="expression" dxfId="115" priority="9">
      <formula>Q36&lt;&gt;"OK"</formula>
    </cfRule>
  </conditionalFormatting>
  <conditionalFormatting sqref="C43:G43 I43:N43">
    <cfRule type="expression" dxfId="114" priority="8">
      <formula>C43&lt;&gt;C41</formula>
    </cfRule>
  </conditionalFormatting>
  <conditionalFormatting sqref="B36:D40 F36:F40 I36:M40">
    <cfRule type="expression" dxfId="113" priority="7">
      <formula>$A$35=1</formula>
    </cfRule>
  </conditionalFormatting>
  <conditionalFormatting sqref="Q46:Q50">
    <cfRule type="expression" dxfId="112" priority="5">
      <formula>Q46&lt;&gt;"OK"</formula>
    </cfRule>
  </conditionalFormatting>
  <conditionalFormatting sqref="Q56:Q60">
    <cfRule type="expression" dxfId="111" priority="4">
      <formula>Q56&lt;&gt;"OK"</formula>
    </cfRule>
  </conditionalFormatting>
  <conditionalFormatting sqref="Q66">
    <cfRule type="expression" dxfId="110" priority="3">
      <formula>Q66&lt;&gt;"OK"</formula>
    </cfRule>
  </conditionalFormatting>
  <conditionalFormatting sqref="Q77:Q80">
    <cfRule type="expression" dxfId="109" priority="2">
      <formula>Q77&lt;&gt;"OK"</formula>
    </cfRule>
  </conditionalFormatting>
  <conditionalFormatting sqref="Q76">
    <cfRule type="expression" dxfId="108" priority="1">
      <formula>Q76&lt;&gt;"OK"</formula>
    </cfRule>
  </conditionalFormatting>
  <dataValidations count="1">
    <dataValidation type="decimal" operator="greaterThanOrEqual" allowBlank="1" showInputMessage="1" showErrorMessage="1" errorTitle="ERROR!" error="Invalid Entry" sqref="J67:J70 I16:I20 J17:J20 C16:F20 I26:I30 J27:J30 C26:F30 I46:I50 J47:J50 C46:F50 I56:I60 J57:J60 C56:F60 I66:I70 C66:F70 J77:J80 I76:I80 C76:F80 C36:F40 I36:I40 J37:J40" xr:uid="{00000000-0002-0000-0400-000000000000}">
      <formula1>0</formula1>
    </dataValidation>
  </dataValidations>
  <pageMargins left="0.19685039370078741" right="0.19685039370078741" top="0.19685039370078741" bottom="0.39370078740157483" header="0" footer="0"/>
  <pageSetup paperSize="9" scale="59" fitToHeight="4" orientation="landscape" r:id="rId1"/>
  <headerFooter alignWithMargins="0"/>
  <rowBreaks count="3" manualBreakCount="3">
    <brk id="34" max="14" man="1"/>
    <brk id="54" max="14" man="1"/>
    <brk id="74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0"/>
  <sheetViews>
    <sheetView topLeftCell="A16" zoomScale="80" zoomScaleNormal="80" workbookViewId="0">
      <selection activeCell="C34" sqref="C34"/>
    </sheetView>
  </sheetViews>
  <sheetFormatPr defaultColWidth="9.140625" defaultRowHeight="15"/>
  <cols>
    <col min="1" max="1" width="2.7109375" style="507" customWidth="1"/>
    <col min="2" max="2" width="35.7109375" style="507" customWidth="1"/>
    <col min="3" max="3" width="12.7109375" style="507" customWidth="1"/>
    <col min="4" max="5" width="12.7109375" style="506" customWidth="1"/>
    <col min="6" max="6" width="7.7109375" style="506" customWidth="1"/>
    <col min="7" max="8" width="35.7109375" style="507" customWidth="1"/>
    <col min="9" max="9" width="12.7109375" style="507" customWidth="1"/>
    <col min="10" max="10" width="7.7109375" style="507" customWidth="1"/>
    <col min="11" max="11" width="22.7109375" style="507" customWidth="1"/>
    <col min="12" max="12" width="12.7109375" style="507" customWidth="1"/>
    <col min="13" max="14" width="4.7109375" style="507" customWidth="1"/>
    <col min="15" max="15" width="29.7109375" style="507" customWidth="1"/>
    <col min="16" max="16" width="5.7109375" style="507" customWidth="1"/>
    <col min="17" max="17" width="22.7109375" style="507" customWidth="1"/>
    <col min="18" max="18" width="12.7109375" style="507" customWidth="1"/>
    <col min="19" max="19" width="13.7109375" style="507" customWidth="1"/>
    <col min="20" max="20" width="30.7109375" style="507" customWidth="1"/>
    <col min="21" max="16384" width="9.140625" style="507"/>
  </cols>
  <sheetData>
    <row r="1" spans="1:21" ht="39.950000000000003" customHeight="1">
      <c r="A1" s="184"/>
      <c r="B1" s="192" t="str">
        <f>IF($D$5=0,"Your Institution Does Not Complete This Table","")</f>
        <v/>
      </c>
      <c r="C1" s="2"/>
      <c r="D1" s="185"/>
      <c r="E1" s="185"/>
      <c r="F1" s="185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184"/>
      <c r="S1" s="184"/>
      <c r="T1" s="184"/>
      <c r="U1" s="184"/>
    </row>
    <row r="2" spans="1:21" ht="30" customHeight="1">
      <c r="A2" s="1035"/>
      <c r="B2" s="831" t="s">
        <v>423</v>
      </c>
      <c r="C2" s="1036"/>
      <c r="D2" s="1029"/>
      <c r="E2" s="1886"/>
      <c r="F2" s="1886"/>
      <c r="G2" s="1029"/>
      <c r="H2" s="1029"/>
      <c r="I2" s="1029"/>
      <c r="J2" s="1029"/>
      <c r="K2" s="1029"/>
      <c r="L2" s="1886"/>
      <c r="M2" s="544"/>
      <c r="N2" s="1021"/>
      <c r="O2" s="15"/>
      <c r="P2" s="5"/>
      <c r="Q2" s="5"/>
      <c r="R2" s="184"/>
      <c r="S2" s="184"/>
      <c r="T2" s="184"/>
      <c r="U2" s="184"/>
    </row>
    <row r="3" spans="1:21" ht="15" customHeight="1">
      <c r="A3" s="1025"/>
      <c r="B3" s="327"/>
      <c r="C3" s="6"/>
      <c r="D3" s="6"/>
      <c r="E3" s="6"/>
      <c r="F3" s="6"/>
      <c r="G3" s="6"/>
      <c r="H3" s="6"/>
      <c r="I3" s="6"/>
      <c r="J3" s="6"/>
      <c r="K3" s="6"/>
      <c r="L3" s="6"/>
      <c r="M3" s="1037"/>
      <c r="N3" s="6"/>
      <c r="O3" s="15"/>
      <c r="P3" s="5"/>
      <c r="Q3" s="5"/>
      <c r="R3" s="184"/>
      <c r="S3" s="184"/>
      <c r="T3" s="184"/>
      <c r="U3" s="184"/>
    </row>
    <row r="4" spans="1:21" ht="35.1" customHeight="1" thickBot="1">
      <c r="A4" s="1025"/>
      <c r="B4" s="349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1037"/>
      <c r="N4" s="6"/>
      <c r="O4" s="15"/>
      <c r="P4" s="5"/>
      <c r="Q4" s="5"/>
      <c r="R4" s="184"/>
      <c r="S4" s="184"/>
      <c r="T4" s="184"/>
      <c r="U4" s="184"/>
    </row>
    <row r="5" spans="1:21" ht="35.1" customHeight="1" thickBot="1">
      <c r="A5" s="1025"/>
      <c r="B5" s="2580" t="str">
        <f>'Background Data'!$G$2</f>
        <v>Glasgow, University of</v>
      </c>
      <c r="C5" s="2582"/>
      <c r="D5" s="1033">
        <f>VLOOKUP('Background Data'!$F$2,Inst_Tables,8,FALSE)</f>
        <v>1</v>
      </c>
      <c r="E5" s="1033"/>
      <c r="F5" s="1033"/>
      <c r="G5" s="6"/>
      <c r="H5" s="6"/>
      <c r="I5" s="6"/>
      <c r="J5" s="6"/>
      <c r="K5" s="6"/>
      <c r="L5" s="6"/>
      <c r="M5" s="1037"/>
      <c r="N5" s="6"/>
      <c r="O5" s="15"/>
      <c r="P5" s="5"/>
      <c r="Q5" s="5"/>
      <c r="R5" s="184"/>
      <c r="S5" s="184"/>
      <c r="T5" s="184"/>
      <c r="U5" s="184"/>
    </row>
    <row r="6" spans="1:21" ht="30" customHeight="1">
      <c r="A6" s="1025"/>
      <c r="B6" s="328" t="s">
        <v>497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026"/>
      <c r="N6" s="16"/>
      <c r="O6" s="15"/>
      <c r="P6" s="5"/>
      <c r="Q6" s="5"/>
      <c r="R6" s="184"/>
      <c r="S6" s="184"/>
      <c r="T6" s="184"/>
      <c r="U6" s="184"/>
    </row>
    <row r="7" spans="1:21" ht="30" customHeight="1">
      <c r="A7" s="1025"/>
      <c r="B7" s="328" t="s">
        <v>501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026"/>
      <c r="N7" s="16"/>
      <c r="O7" s="15"/>
      <c r="P7" s="5"/>
      <c r="Q7" s="5"/>
      <c r="R7" s="184"/>
      <c r="S7" s="184"/>
      <c r="T7" s="184"/>
      <c r="U7" s="184"/>
    </row>
    <row r="8" spans="1:21" ht="30" customHeight="1">
      <c r="A8" s="1025"/>
      <c r="B8" s="329" t="s">
        <v>539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026"/>
      <c r="N8" s="16"/>
      <c r="O8" s="16"/>
      <c r="P8" s="16"/>
      <c r="Q8" s="16"/>
      <c r="R8" s="1051"/>
      <c r="S8" s="184"/>
      <c r="T8" s="184"/>
      <c r="U8" s="184"/>
    </row>
    <row r="9" spans="1:21" ht="15" customHeight="1">
      <c r="A9" s="1025"/>
      <c r="B9" s="329"/>
      <c r="C9" s="16"/>
      <c r="D9" s="16"/>
      <c r="E9" s="16"/>
      <c r="F9" s="16"/>
      <c r="G9" s="16"/>
      <c r="H9" s="16"/>
      <c r="I9" s="16"/>
      <c r="J9" s="16"/>
      <c r="K9" s="16"/>
      <c r="L9" s="16"/>
      <c r="M9" s="1026"/>
      <c r="N9" s="16"/>
      <c r="O9" s="15"/>
      <c r="P9" s="5"/>
      <c r="Q9" s="5"/>
      <c r="R9" s="184"/>
      <c r="S9" s="184"/>
      <c r="T9" s="184"/>
      <c r="U9" s="184"/>
    </row>
    <row r="10" spans="1:21" s="506" customFormat="1" ht="20.100000000000001" customHeight="1">
      <c r="A10" s="1025"/>
      <c r="B10" s="11" t="s">
        <v>302</v>
      </c>
      <c r="C10" s="2474">
        <f>VLOOKUP('Background Data'!$F$2,Inst_Tables,20,FALSE)</f>
        <v>1</v>
      </c>
      <c r="D10" s="2474">
        <f>VLOOKUP('Background Data'!$F$2,Inst_Tables,21,FALSE)</f>
        <v>0</v>
      </c>
      <c r="E10" s="16"/>
      <c r="F10" s="16"/>
      <c r="G10" s="11" t="s">
        <v>303</v>
      </c>
      <c r="H10" s="16"/>
      <c r="I10" s="16"/>
      <c r="J10" s="16"/>
      <c r="K10" s="1908" t="s">
        <v>416</v>
      </c>
      <c r="L10" s="1034"/>
      <c r="M10" s="1026"/>
      <c r="N10" s="16"/>
      <c r="O10" s="11" t="s">
        <v>307</v>
      </c>
      <c r="P10" s="1028"/>
      <c r="Q10" s="1052" t="s">
        <v>419</v>
      </c>
      <c r="R10" s="1052"/>
      <c r="S10" s="183"/>
      <c r="T10" s="183"/>
      <c r="U10" s="183"/>
    </row>
    <row r="11" spans="1:21" ht="9.9499999999999993" customHeight="1" thickBot="1">
      <c r="A11" s="1025"/>
      <c r="B11" s="329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026"/>
      <c r="N11" s="16"/>
      <c r="O11" s="15"/>
      <c r="P11" s="5"/>
      <c r="Q11" s="5"/>
      <c r="R11" s="184"/>
      <c r="S11" s="184"/>
      <c r="T11" s="184"/>
      <c r="U11" s="184"/>
    </row>
    <row r="12" spans="1:21" ht="35.1" customHeight="1">
      <c r="A12" s="1025"/>
      <c r="B12" s="1899"/>
      <c r="C12" s="1888" t="s">
        <v>412</v>
      </c>
      <c r="D12" s="1889" t="s">
        <v>285</v>
      </c>
      <c r="E12" s="1890" t="s">
        <v>2</v>
      </c>
      <c r="F12" s="1022"/>
      <c r="G12" s="1030" t="s">
        <v>305</v>
      </c>
      <c r="H12" s="1030" t="s">
        <v>306</v>
      </c>
      <c r="I12" s="1027" t="s">
        <v>16</v>
      </c>
      <c r="J12" s="1022"/>
      <c r="K12" s="1027" t="s">
        <v>417</v>
      </c>
      <c r="L12" s="1912" t="s">
        <v>16</v>
      </c>
      <c r="M12" s="1038"/>
      <c r="N12" s="1022"/>
      <c r="O12" s="2626" t="s">
        <v>309</v>
      </c>
      <c r="P12" s="1046"/>
      <c r="Q12" s="1027" t="s">
        <v>417</v>
      </c>
      <c r="R12" s="1049" t="s">
        <v>185</v>
      </c>
      <c r="S12" s="2632" t="s">
        <v>186</v>
      </c>
      <c r="T12" s="1050" t="s">
        <v>66</v>
      </c>
      <c r="U12" s="184"/>
    </row>
    <row r="13" spans="1:21" ht="30" customHeight="1" thickBot="1">
      <c r="A13" s="1025"/>
      <c r="B13" s="1900" t="s">
        <v>165</v>
      </c>
      <c r="C13" s="1891" t="s">
        <v>16</v>
      </c>
      <c r="D13" s="1892" t="s">
        <v>16</v>
      </c>
      <c r="E13" s="1893" t="s">
        <v>16</v>
      </c>
      <c r="F13" s="1022"/>
      <c r="G13" s="1887"/>
      <c r="H13" s="1887"/>
      <c r="I13" s="364"/>
      <c r="J13" s="1022"/>
      <c r="K13" s="1909"/>
      <c r="L13" s="1913"/>
      <c r="M13" s="1038"/>
      <c r="N13" s="1022"/>
      <c r="O13" s="2627"/>
      <c r="P13" s="1046"/>
      <c r="Q13" s="1921"/>
      <c r="R13" s="560"/>
      <c r="S13" s="2633"/>
      <c r="T13" s="558"/>
      <c r="U13" s="184"/>
    </row>
    <row r="14" spans="1:21" ht="30" customHeight="1">
      <c r="A14" s="1025"/>
      <c r="B14" s="360"/>
      <c r="C14" s="364" t="s">
        <v>29</v>
      </c>
      <c r="D14" s="364" t="s">
        <v>29</v>
      </c>
      <c r="E14" s="364" t="s">
        <v>29</v>
      </c>
      <c r="F14" s="1022"/>
      <c r="G14" s="364" t="s">
        <v>304</v>
      </c>
      <c r="H14" s="364" t="s">
        <v>304</v>
      </c>
      <c r="I14" s="364" t="s">
        <v>29</v>
      </c>
      <c r="J14" s="1022"/>
      <c r="K14" s="1910"/>
      <c r="L14" s="1914" t="s">
        <v>54</v>
      </c>
      <c r="M14" s="1038"/>
      <c r="N14" s="1022"/>
      <c r="O14" s="2627"/>
      <c r="P14" s="1046"/>
      <c r="Q14" s="15"/>
      <c r="R14" s="1922"/>
      <c r="S14" s="1922"/>
      <c r="T14" s="1922"/>
      <c r="U14" s="184"/>
    </row>
    <row r="15" spans="1:21" ht="24.95" customHeight="1" thickBot="1">
      <c r="A15" s="1025"/>
      <c r="B15" s="361"/>
      <c r="C15" s="423">
        <v>1</v>
      </c>
      <c r="D15" s="423">
        <v>2</v>
      </c>
      <c r="E15" s="423">
        <v>3</v>
      </c>
      <c r="F15" s="1023"/>
      <c r="G15" s="423">
        <v>4</v>
      </c>
      <c r="H15" s="423">
        <v>5</v>
      </c>
      <c r="I15" s="423">
        <v>6</v>
      </c>
      <c r="J15" s="1023"/>
      <c r="K15" s="1911"/>
      <c r="L15" s="424">
        <v>7</v>
      </c>
      <c r="M15" s="1039"/>
      <c r="N15" s="1023"/>
      <c r="O15" s="1084"/>
      <c r="P15" s="1046"/>
      <c r="Q15" s="15"/>
      <c r="R15" s="292"/>
      <c r="S15" s="292"/>
      <c r="T15" s="292"/>
      <c r="U15" s="184"/>
    </row>
    <row r="16" spans="1:21" ht="24.95" customHeight="1" thickBot="1">
      <c r="A16" s="1025"/>
      <c r="B16" s="362" t="s">
        <v>166</v>
      </c>
      <c r="C16" s="1041">
        <v>24</v>
      </c>
      <c r="D16" s="1041"/>
      <c r="E16" s="1896">
        <f>SUM(C16:D16)</f>
        <v>24</v>
      </c>
      <c r="F16" s="1024"/>
      <c r="G16" s="1903" t="s">
        <v>413</v>
      </c>
      <c r="H16" s="1904"/>
      <c r="I16" s="1905"/>
      <c r="J16" s="1024"/>
      <c r="K16" s="1916"/>
      <c r="L16" s="1917"/>
      <c r="M16" s="1040"/>
      <c r="N16" s="1024"/>
      <c r="O16" s="1918"/>
      <c r="P16" s="15"/>
      <c r="Q16" s="15"/>
      <c r="R16" s="1090"/>
      <c r="S16" s="1090"/>
      <c r="T16" s="1090"/>
      <c r="U16" s="184"/>
    </row>
    <row r="17" spans="1:21" ht="24.95" customHeight="1">
      <c r="A17" s="1025"/>
      <c r="B17" s="363" t="s">
        <v>167</v>
      </c>
      <c r="C17" s="1042">
        <v>15</v>
      </c>
      <c r="D17" s="1042"/>
      <c r="E17" s="1898">
        <f t="shared" ref="E17:E35" si="0">SUM(C17:D17)</f>
        <v>15</v>
      </c>
      <c r="F17" s="1024"/>
      <c r="G17" s="1044"/>
      <c r="H17" s="1044"/>
      <c r="I17" s="1901"/>
      <c r="J17" s="1024"/>
      <c r="K17" s="1928" t="s">
        <v>418</v>
      </c>
      <c r="L17" s="1528">
        <f>SUM($C$36,$I$28)</f>
        <v>226</v>
      </c>
      <c r="M17" s="1040"/>
      <c r="N17" s="1024"/>
      <c r="O17" s="1919" t="str">
        <f t="shared" ref="O17:O34" si="1">IF(AND(G17&lt;&gt;"",H17=""),"No Second Subject",IF(AND(H17&lt;&gt;"",G17=""),"No First Subject",IF(AND(G17="",H17="",I17&gt;0),"No Subjects",IF(AND(G17&lt;&gt;"",H17&lt;&gt;"",OR(I17="",I17&lt;=0)),"No FTE","OK"))))</f>
        <v>OK</v>
      </c>
      <c r="P17" s="1046"/>
      <c r="Q17" s="1926" t="s">
        <v>418</v>
      </c>
      <c r="R17" s="1923">
        <f>'T2a ITE'!$G$33</f>
        <v>226</v>
      </c>
      <c r="S17" s="1924">
        <f>L17-R17</f>
        <v>0</v>
      </c>
      <c r="T17" s="1925" t="str">
        <f t="shared" ref="T17:T18" si="2">IF(ABS(S17)&gt;0.1,"Does not equal Table 2a","OK")</f>
        <v>OK</v>
      </c>
      <c r="U17" s="184"/>
    </row>
    <row r="18" spans="1:21" ht="24.95" customHeight="1" thickBot="1">
      <c r="A18" s="1025"/>
      <c r="B18" s="363" t="s">
        <v>168</v>
      </c>
      <c r="C18" s="1042">
        <v>29</v>
      </c>
      <c r="D18" s="1042"/>
      <c r="E18" s="1898">
        <f t="shared" si="0"/>
        <v>29</v>
      </c>
      <c r="F18" s="1024"/>
      <c r="G18" s="1045"/>
      <c r="H18" s="1974"/>
      <c r="I18" s="1042"/>
      <c r="J18" s="1024"/>
      <c r="K18" s="324" t="s">
        <v>311</v>
      </c>
      <c r="L18" s="1330">
        <f>SUM($D$36,$I$35)</f>
        <v>0</v>
      </c>
      <c r="M18" s="1040"/>
      <c r="N18" s="1024"/>
      <c r="O18" s="1340" t="str">
        <f t="shared" si="1"/>
        <v>OK</v>
      </c>
      <c r="P18" s="1046"/>
      <c r="Q18" s="1927" t="s">
        <v>311</v>
      </c>
      <c r="R18" s="1047">
        <f>'T2a ITE'!$G$37</f>
        <v>0</v>
      </c>
      <c r="S18" s="368">
        <f>L18-R18</f>
        <v>0</v>
      </c>
      <c r="T18" s="1048" t="str">
        <f t="shared" si="2"/>
        <v>OK</v>
      </c>
      <c r="U18" s="184"/>
    </row>
    <row r="19" spans="1:21" ht="24.95" customHeight="1">
      <c r="A19" s="1025"/>
      <c r="B19" s="363" t="s">
        <v>169</v>
      </c>
      <c r="C19" s="1042">
        <v>12</v>
      </c>
      <c r="D19" s="1042"/>
      <c r="E19" s="1898">
        <f t="shared" si="0"/>
        <v>12</v>
      </c>
      <c r="F19" s="1024"/>
      <c r="G19" s="1045"/>
      <c r="H19" s="1045"/>
      <c r="I19" s="1042"/>
      <c r="J19" s="1024"/>
      <c r="K19" s="2628" t="s">
        <v>2</v>
      </c>
      <c r="L19" s="2630">
        <f>SUM(L17:L18)</f>
        <v>226</v>
      </c>
      <c r="M19" s="1040"/>
      <c r="N19" s="1024"/>
      <c r="O19" s="1340" t="str">
        <f t="shared" si="1"/>
        <v>OK</v>
      </c>
      <c r="P19" s="1046"/>
      <c r="Q19" s="15"/>
      <c r="R19" s="292"/>
      <c r="S19" s="184"/>
      <c r="T19" s="184"/>
      <c r="U19" s="184"/>
    </row>
    <row r="20" spans="1:21" ht="24.95" customHeight="1" thickBot="1">
      <c r="A20" s="1025"/>
      <c r="B20" s="363" t="s">
        <v>170</v>
      </c>
      <c r="C20" s="1042">
        <v>13</v>
      </c>
      <c r="D20" s="1042"/>
      <c r="E20" s="1898">
        <f t="shared" si="0"/>
        <v>13</v>
      </c>
      <c r="F20" s="1024"/>
      <c r="G20" s="1045"/>
      <c r="H20" s="1045"/>
      <c r="I20" s="1042"/>
      <c r="J20" s="1024"/>
      <c r="K20" s="2629"/>
      <c r="L20" s="2631"/>
      <c r="M20" s="1040"/>
      <c r="N20" s="1024"/>
      <c r="O20" s="1340" t="str">
        <f t="shared" si="1"/>
        <v>OK</v>
      </c>
      <c r="P20" s="1046"/>
      <c r="Q20" s="15"/>
      <c r="R20" s="292"/>
      <c r="S20" s="184"/>
      <c r="T20" s="184"/>
      <c r="U20" s="184"/>
    </row>
    <row r="21" spans="1:21" ht="24.95" customHeight="1">
      <c r="A21" s="1025"/>
      <c r="B21" s="363" t="s">
        <v>171</v>
      </c>
      <c r="C21" s="1042"/>
      <c r="D21" s="1042"/>
      <c r="E21" s="1898">
        <f t="shared" si="0"/>
        <v>0</v>
      </c>
      <c r="F21" s="1024"/>
      <c r="G21" s="1045"/>
      <c r="H21" s="1045"/>
      <c r="I21" s="1042"/>
      <c r="J21" s="1024"/>
      <c r="K21" s="1915"/>
      <c r="L21" s="1024"/>
      <c r="M21" s="1040"/>
      <c r="N21" s="1024"/>
      <c r="O21" s="1340" t="str">
        <f t="shared" si="1"/>
        <v>OK</v>
      </c>
      <c r="P21" s="1046"/>
      <c r="Q21" s="15"/>
      <c r="R21" s="292"/>
      <c r="S21" s="184"/>
      <c r="T21" s="184"/>
      <c r="U21" s="184"/>
    </row>
    <row r="22" spans="1:21" ht="24.95" customHeight="1">
      <c r="A22" s="1025"/>
      <c r="B22" s="363" t="s">
        <v>172</v>
      </c>
      <c r="C22" s="1042">
        <v>35</v>
      </c>
      <c r="D22" s="1042"/>
      <c r="E22" s="1898">
        <f t="shared" si="0"/>
        <v>35</v>
      </c>
      <c r="F22" s="1024"/>
      <c r="G22" s="1045"/>
      <c r="H22" s="1045"/>
      <c r="I22" s="1042"/>
      <c r="J22" s="1024"/>
      <c r="K22" s="1915"/>
      <c r="L22" s="1024"/>
      <c r="M22" s="1040"/>
      <c r="N22" s="1024"/>
      <c r="O22" s="1340" t="str">
        <f t="shared" si="1"/>
        <v>OK</v>
      </c>
      <c r="P22" s="1046"/>
      <c r="Q22" s="15"/>
      <c r="R22" s="292"/>
      <c r="S22" s="184"/>
      <c r="T22" s="184"/>
      <c r="U22" s="184"/>
    </row>
    <row r="23" spans="1:21" ht="24.95" customHeight="1">
      <c r="A23" s="1025"/>
      <c r="B23" s="363" t="s">
        <v>173</v>
      </c>
      <c r="C23" s="1042"/>
      <c r="D23" s="1042"/>
      <c r="E23" s="1898">
        <f t="shared" si="0"/>
        <v>0</v>
      </c>
      <c r="F23" s="1024"/>
      <c r="G23" s="1045"/>
      <c r="H23" s="1045"/>
      <c r="I23" s="1042"/>
      <c r="J23" s="1024"/>
      <c r="K23" s="1915"/>
      <c r="L23" s="1024"/>
      <c r="M23" s="1040"/>
      <c r="N23" s="1024"/>
      <c r="O23" s="1340" t="str">
        <f t="shared" si="1"/>
        <v>OK</v>
      </c>
      <c r="P23" s="1046"/>
      <c r="Q23" s="15"/>
      <c r="R23" s="292"/>
      <c r="S23" s="184"/>
      <c r="T23" s="184"/>
      <c r="U23" s="184"/>
    </row>
    <row r="24" spans="1:21" ht="24.95" customHeight="1">
      <c r="A24" s="1025"/>
      <c r="B24" s="363" t="s">
        <v>174</v>
      </c>
      <c r="C24" s="1042">
        <v>6</v>
      </c>
      <c r="D24" s="1042"/>
      <c r="E24" s="1898">
        <f t="shared" si="0"/>
        <v>6</v>
      </c>
      <c r="F24" s="1024"/>
      <c r="G24" s="1045"/>
      <c r="H24" s="1045"/>
      <c r="I24" s="1042"/>
      <c r="J24" s="1024"/>
      <c r="K24" s="1915"/>
      <c r="L24" s="1024"/>
      <c r="M24" s="1040"/>
      <c r="N24" s="1024"/>
      <c r="O24" s="1340" t="str">
        <f t="shared" si="1"/>
        <v>OK</v>
      </c>
      <c r="P24" s="1046"/>
      <c r="Q24" s="15"/>
      <c r="R24" s="292"/>
      <c r="S24" s="184"/>
      <c r="T24" s="184"/>
      <c r="U24" s="184"/>
    </row>
    <row r="25" spans="1:21" ht="24.95" customHeight="1">
      <c r="A25" s="1025"/>
      <c r="B25" s="363" t="s">
        <v>175</v>
      </c>
      <c r="C25" s="1042">
        <v>18</v>
      </c>
      <c r="D25" s="1042"/>
      <c r="E25" s="1898">
        <f t="shared" si="0"/>
        <v>18</v>
      </c>
      <c r="F25" s="1024"/>
      <c r="G25" s="1045"/>
      <c r="H25" s="1045"/>
      <c r="I25" s="1042"/>
      <c r="J25" s="1024"/>
      <c r="K25" s="1915"/>
      <c r="L25" s="1024"/>
      <c r="M25" s="1040"/>
      <c r="N25" s="1024"/>
      <c r="O25" s="1340" t="str">
        <f t="shared" si="1"/>
        <v>OK</v>
      </c>
      <c r="P25" s="1046"/>
      <c r="Q25" s="15"/>
      <c r="R25" s="292"/>
      <c r="S25" s="184"/>
      <c r="T25" s="184"/>
      <c r="U25" s="184"/>
    </row>
    <row r="26" spans="1:21" ht="24.95" customHeight="1">
      <c r="A26" s="1025"/>
      <c r="B26" s="363" t="s">
        <v>176</v>
      </c>
      <c r="C26" s="1042"/>
      <c r="D26" s="1042"/>
      <c r="E26" s="1898">
        <f t="shared" si="0"/>
        <v>0</v>
      </c>
      <c r="F26" s="1024"/>
      <c r="G26" s="1045"/>
      <c r="H26" s="1045"/>
      <c r="I26" s="1042"/>
      <c r="J26" s="1024"/>
      <c r="K26" s="1915"/>
      <c r="L26" s="1024"/>
      <c r="M26" s="1040"/>
      <c r="N26" s="1024"/>
      <c r="O26" s="1340" t="str">
        <f t="shared" si="1"/>
        <v>OK</v>
      </c>
      <c r="P26" s="1046"/>
      <c r="Q26" s="15"/>
      <c r="R26" s="292"/>
      <c r="S26" s="184"/>
      <c r="T26" s="184"/>
      <c r="U26" s="184"/>
    </row>
    <row r="27" spans="1:21" ht="24.95" customHeight="1" thickBot="1">
      <c r="A27" s="1025"/>
      <c r="B27" s="363" t="s">
        <v>177</v>
      </c>
      <c r="C27" s="1042">
        <v>19</v>
      </c>
      <c r="D27" s="1042"/>
      <c r="E27" s="1898">
        <f t="shared" si="0"/>
        <v>19</v>
      </c>
      <c r="F27" s="1024"/>
      <c r="G27" s="1902"/>
      <c r="H27" s="1902"/>
      <c r="I27" s="1043"/>
      <c r="J27" s="1024"/>
      <c r="K27" s="1915"/>
      <c r="L27" s="1024"/>
      <c r="M27" s="1040"/>
      <c r="N27" s="1024"/>
      <c r="O27" s="1341" t="str">
        <f t="shared" si="1"/>
        <v>OK</v>
      </c>
      <c r="P27" s="1046"/>
      <c r="Q27" s="15"/>
      <c r="R27" s="292"/>
      <c r="S27" s="184"/>
      <c r="T27" s="184"/>
      <c r="U27" s="184"/>
    </row>
    <row r="28" spans="1:21" ht="24.95" customHeight="1" thickBot="1">
      <c r="A28" s="1025"/>
      <c r="B28" s="363" t="s">
        <v>178</v>
      </c>
      <c r="C28" s="1042">
        <v>19</v>
      </c>
      <c r="D28" s="1042"/>
      <c r="E28" s="1898">
        <f t="shared" si="0"/>
        <v>19</v>
      </c>
      <c r="F28" s="1024"/>
      <c r="G28" s="373" t="s">
        <v>414</v>
      </c>
      <c r="H28" s="1906"/>
      <c r="I28" s="565">
        <f>SUM(I17:I27)</f>
        <v>0</v>
      </c>
      <c r="J28" s="1024"/>
      <c r="K28" s="1915"/>
      <c r="L28" s="1024"/>
      <c r="M28" s="1040"/>
      <c r="N28" s="1024"/>
      <c r="O28" s="1918"/>
      <c r="P28" s="15"/>
      <c r="Q28" s="15"/>
      <c r="R28" s="292"/>
      <c r="S28" s="184"/>
      <c r="T28" s="184"/>
      <c r="U28" s="184"/>
    </row>
    <row r="29" spans="1:21" ht="24.95" customHeight="1" thickBot="1">
      <c r="A29" s="1025"/>
      <c r="B29" s="363" t="s">
        <v>179</v>
      </c>
      <c r="C29" s="1042">
        <v>14</v>
      </c>
      <c r="D29" s="1042"/>
      <c r="E29" s="1898">
        <f t="shared" si="0"/>
        <v>14</v>
      </c>
      <c r="F29" s="1024"/>
      <c r="G29" s="1903" t="s">
        <v>311</v>
      </c>
      <c r="H29" s="1904"/>
      <c r="I29" s="1905"/>
      <c r="J29" s="1024"/>
      <c r="K29" s="1915"/>
      <c r="L29" s="1024"/>
      <c r="M29" s="1040"/>
      <c r="N29" s="1024"/>
      <c r="O29" s="1920"/>
      <c r="P29" s="15"/>
      <c r="Q29" s="15"/>
      <c r="R29" s="292"/>
      <c r="S29" s="184"/>
      <c r="T29" s="184"/>
      <c r="U29" s="184"/>
    </row>
    <row r="30" spans="1:21" ht="24.95" customHeight="1">
      <c r="A30" s="1025"/>
      <c r="B30" s="363" t="s">
        <v>180</v>
      </c>
      <c r="C30" s="1042"/>
      <c r="D30" s="1042"/>
      <c r="E30" s="1898">
        <f t="shared" si="0"/>
        <v>0</v>
      </c>
      <c r="F30" s="1024"/>
      <c r="G30" s="1044"/>
      <c r="H30" s="1044"/>
      <c r="I30" s="1901"/>
      <c r="J30" s="1024"/>
      <c r="K30" s="1915"/>
      <c r="L30" s="1024"/>
      <c r="M30" s="1040"/>
      <c r="N30" s="1024"/>
      <c r="O30" s="1919" t="str">
        <f t="shared" si="1"/>
        <v>OK</v>
      </c>
      <c r="P30" s="1046"/>
      <c r="Q30" s="15"/>
      <c r="R30" s="292"/>
      <c r="S30" s="184"/>
      <c r="T30" s="184"/>
      <c r="U30" s="184"/>
    </row>
    <row r="31" spans="1:21" ht="24.95" customHeight="1">
      <c r="A31" s="1025"/>
      <c r="B31" s="363" t="s">
        <v>181</v>
      </c>
      <c r="C31" s="1042"/>
      <c r="D31" s="1042"/>
      <c r="E31" s="1898">
        <f t="shared" si="0"/>
        <v>0</v>
      </c>
      <c r="F31" s="1024"/>
      <c r="G31" s="1045"/>
      <c r="H31" s="1974"/>
      <c r="I31" s="1042"/>
      <c r="J31" s="1024"/>
      <c r="K31" s="1915"/>
      <c r="L31" s="1024"/>
      <c r="M31" s="1040"/>
      <c r="N31" s="1024"/>
      <c r="O31" s="1340" t="str">
        <f t="shared" si="1"/>
        <v>OK</v>
      </c>
      <c r="P31" s="1046"/>
      <c r="Q31" s="15"/>
      <c r="R31" s="292"/>
      <c r="S31" s="184"/>
      <c r="T31" s="184"/>
      <c r="U31" s="184"/>
    </row>
    <row r="32" spans="1:21" ht="24.95" customHeight="1">
      <c r="A32" s="1025"/>
      <c r="B32" s="363" t="s">
        <v>184</v>
      </c>
      <c r="C32" s="1042">
        <v>12</v>
      </c>
      <c r="D32" s="1042"/>
      <c r="E32" s="1898">
        <f t="shared" si="0"/>
        <v>12</v>
      </c>
      <c r="F32" s="1024"/>
      <c r="G32" s="1045"/>
      <c r="H32" s="1045"/>
      <c r="I32" s="1042"/>
      <c r="J32" s="1024"/>
      <c r="K32" s="1915"/>
      <c r="L32" s="1024"/>
      <c r="M32" s="1040"/>
      <c r="N32" s="1024"/>
      <c r="O32" s="1340" t="str">
        <f t="shared" si="1"/>
        <v>OK</v>
      </c>
      <c r="P32" s="1046"/>
      <c r="Q32" s="15"/>
      <c r="R32" s="292"/>
      <c r="S32" s="184"/>
      <c r="T32" s="184"/>
      <c r="U32" s="184"/>
    </row>
    <row r="33" spans="1:21" ht="24.95" customHeight="1">
      <c r="A33" s="1025"/>
      <c r="B33" s="537" t="s">
        <v>223</v>
      </c>
      <c r="C33" s="1042"/>
      <c r="D33" s="1042"/>
      <c r="E33" s="1898">
        <f t="shared" si="0"/>
        <v>0</v>
      </c>
      <c r="F33" s="1024"/>
      <c r="G33" s="1045"/>
      <c r="H33" s="1045"/>
      <c r="I33" s="1042"/>
      <c r="J33" s="1024"/>
      <c r="K33" s="1915"/>
      <c r="L33" s="1024"/>
      <c r="M33" s="1040"/>
      <c r="N33" s="1024"/>
      <c r="O33" s="1340" t="str">
        <f t="shared" si="1"/>
        <v>OK</v>
      </c>
      <c r="P33" s="1046"/>
      <c r="Q33" s="15"/>
      <c r="R33" s="292"/>
      <c r="S33" s="184"/>
      <c r="T33" s="184"/>
      <c r="U33" s="184"/>
    </row>
    <row r="34" spans="1:21" ht="24.95" customHeight="1" thickBot="1">
      <c r="A34" s="1025"/>
      <c r="B34" s="363" t="s">
        <v>182</v>
      </c>
      <c r="C34" s="1042">
        <v>10</v>
      </c>
      <c r="D34" s="1042"/>
      <c r="E34" s="1898">
        <f t="shared" si="0"/>
        <v>10</v>
      </c>
      <c r="F34" s="1024"/>
      <c r="G34" s="1045"/>
      <c r="H34" s="1045"/>
      <c r="I34" s="1043"/>
      <c r="J34" s="1024"/>
      <c r="K34" s="1915"/>
      <c r="L34" s="1024"/>
      <c r="M34" s="1040"/>
      <c r="N34" s="1024"/>
      <c r="O34" s="1341" t="str">
        <f t="shared" si="1"/>
        <v>OK</v>
      </c>
      <c r="P34" s="1046"/>
      <c r="Q34" s="15"/>
      <c r="R34" s="292"/>
      <c r="S34" s="184"/>
      <c r="T34" s="184"/>
      <c r="U34" s="184"/>
    </row>
    <row r="35" spans="1:21" ht="24.95" customHeight="1" thickBot="1">
      <c r="A35" s="1025"/>
      <c r="B35" s="1894" t="s">
        <v>183</v>
      </c>
      <c r="C35" s="1895"/>
      <c r="D35" s="1895"/>
      <c r="E35" s="1897">
        <f t="shared" si="0"/>
        <v>0</v>
      </c>
      <c r="F35" s="1024"/>
      <c r="G35" s="373" t="s">
        <v>415</v>
      </c>
      <c r="H35" s="1906"/>
      <c r="I35" s="565">
        <f>SUM(I30:I34)</f>
        <v>0</v>
      </c>
      <c r="J35" s="1024"/>
      <c r="K35" s="1915"/>
      <c r="L35" s="1024"/>
      <c r="M35" s="1040"/>
      <c r="N35" s="1024"/>
      <c r="O35" s="1918"/>
      <c r="P35" s="15"/>
      <c r="Q35" s="15"/>
      <c r="R35" s="292"/>
      <c r="S35" s="184"/>
      <c r="T35" s="184"/>
      <c r="U35" s="184"/>
    </row>
    <row r="36" spans="1:21" ht="30" customHeight="1" thickBot="1">
      <c r="A36" s="1025"/>
      <c r="B36" s="1031" t="s">
        <v>2</v>
      </c>
      <c r="C36" s="565">
        <f>SUM(C16:C35)</f>
        <v>226</v>
      </c>
      <c r="D36" s="565">
        <f t="shared" ref="D36" si="3">SUM(D16:D35)</f>
        <v>0</v>
      </c>
      <c r="E36" s="565">
        <f>SUM(E16:E35)</f>
        <v>226</v>
      </c>
      <c r="F36" s="1024"/>
      <c r="G36" s="1031" t="s">
        <v>2</v>
      </c>
      <c r="H36" s="1032"/>
      <c r="I36" s="565">
        <f>SUM(I28,I35)</f>
        <v>0</v>
      </c>
      <c r="J36" s="1024"/>
      <c r="K36" s="224"/>
      <c r="L36" s="1907"/>
      <c r="M36" s="1040"/>
      <c r="N36" s="1024"/>
      <c r="O36" s="292"/>
      <c r="P36" s="292"/>
      <c r="Q36" s="292"/>
      <c r="R36" s="292"/>
      <c r="S36" s="184"/>
      <c r="T36" s="184"/>
      <c r="U36" s="184"/>
    </row>
    <row r="37" spans="1:21" ht="20.100000000000001" customHeight="1">
      <c r="A37" s="289"/>
      <c r="B37" s="36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5"/>
      <c r="N37" s="16"/>
      <c r="O37" s="828"/>
      <c r="P37" s="828"/>
      <c r="Q37" s="828"/>
      <c r="R37" s="292"/>
      <c r="S37" s="184"/>
      <c r="T37" s="184"/>
      <c r="U37" s="184"/>
    </row>
    <row r="38" spans="1:21" ht="20.100000000000001" customHeight="1">
      <c r="A38" s="184"/>
      <c r="B38" s="184"/>
      <c r="C38" s="184"/>
      <c r="D38" s="183"/>
      <c r="E38" s="183"/>
      <c r="F38" s="183"/>
      <c r="G38" s="184"/>
      <c r="H38" s="184"/>
      <c r="I38" s="184"/>
      <c r="J38" s="184"/>
      <c r="K38" s="184"/>
      <c r="L38" s="184"/>
      <c r="M38" s="184"/>
      <c r="N38" s="184"/>
      <c r="O38" s="292"/>
      <c r="P38" s="292"/>
      <c r="Q38" s="292"/>
      <c r="R38" s="292"/>
      <c r="S38" s="184"/>
      <c r="T38" s="184"/>
      <c r="U38" s="184"/>
    </row>
    <row r="39" spans="1:21">
      <c r="O39" s="510"/>
      <c r="P39" s="510"/>
      <c r="Q39" s="510"/>
      <c r="R39" s="510"/>
    </row>
    <row r="40" spans="1:21">
      <c r="O40" s="510"/>
      <c r="P40" s="510"/>
      <c r="Q40" s="510"/>
      <c r="R40" s="510"/>
    </row>
  </sheetData>
  <sheetProtection password="E23E" sheet="1" objects="1" scenarios="1"/>
  <mergeCells count="5">
    <mergeCell ref="O12:O14"/>
    <mergeCell ref="B5:C5"/>
    <mergeCell ref="K19:K20"/>
    <mergeCell ref="L19:L20"/>
    <mergeCell ref="S12:S13"/>
  </mergeCells>
  <conditionalFormatting sqref="A1:M1">
    <cfRule type="expression" dxfId="107" priority="314">
      <formula>$D$5=0</formula>
    </cfRule>
  </conditionalFormatting>
  <conditionalFormatting sqref="I1">
    <cfRule type="expression" dxfId="106" priority="9">
      <formula>#REF!=0</formula>
    </cfRule>
  </conditionalFormatting>
  <conditionalFormatting sqref="C16:C35 G17:I27">
    <cfRule type="expression" dxfId="105" priority="7">
      <formula>$C$10=1</formula>
    </cfRule>
  </conditionalFormatting>
  <conditionalFormatting sqref="O17:O27 O30:O34">
    <cfRule type="expression" dxfId="104" priority="6">
      <formula>O17&lt;&gt;"OK"</formula>
    </cfRule>
  </conditionalFormatting>
  <conditionalFormatting sqref="T16">
    <cfRule type="expression" dxfId="103" priority="5">
      <formula>T16&lt;&gt;"OK"</formula>
    </cfRule>
  </conditionalFormatting>
  <conditionalFormatting sqref="D16:D35 G30:I34">
    <cfRule type="expression" dxfId="102" priority="4">
      <formula>$D$10=1</formula>
    </cfRule>
  </conditionalFormatting>
  <conditionalFormatting sqref="K16">
    <cfRule type="expression" dxfId="101" priority="3">
      <formula>K16&lt;&gt;#REF!</formula>
    </cfRule>
  </conditionalFormatting>
  <conditionalFormatting sqref="L16">
    <cfRule type="expression" dxfId="100" priority="2">
      <formula>L16&lt;&gt;#REF!</formula>
    </cfRule>
  </conditionalFormatting>
  <conditionalFormatting sqref="T17:T18">
    <cfRule type="expression" dxfId="99" priority="1">
      <formula>T17&lt;&gt;"OK"</formula>
    </cfRule>
  </conditionalFormatting>
  <dataValidations count="4">
    <dataValidation type="decimal" operator="greaterThanOrEqual" allowBlank="1" showInputMessage="1" showErrorMessage="1" errorTitle="ERROR!" error="Invalid Entry" sqref="C16:D35 I16:I35" xr:uid="{00000000-0002-0000-0500-000000000000}">
      <formula1>0</formula1>
    </dataValidation>
    <dataValidation type="custom" allowBlank="1" showErrorMessage="1" errorTitle="Number less than 0" error="You are trying to enter a number which is less than 0, please re-enter a valid number." sqref="C36:E36 H36:I36" xr:uid="{00000000-0002-0000-0500-000001000000}">
      <formula1>C36&gt;=0</formula1>
    </dataValidation>
    <dataValidation allowBlank="1" sqref="C15:J15 K14:L15 M15:N15" xr:uid="{00000000-0002-0000-0500-000002000000}"/>
    <dataValidation type="list" allowBlank="1" showInputMessage="1" showErrorMessage="1" sqref="G17:H27 G30:H34" xr:uid="{00000000-0002-0000-0500-000003000000}">
      <formula1>PGDE_Subjects</formula1>
    </dataValidation>
  </dataValidations>
  <pageMargins left="0.19685039370078741" right="0.19685039370078741" top="0.19685039370078741" bottom="0.39370078740157483" header="0" footer="0"/>
  <pageSetup paperSize="9"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7"/>
  <sheetViews>
    <sheetView zoomScale="85" zoomScaleNormal="85" workbookViewId="0"/>
  </sheetViews>
  <sheetFormatPr defaultColWidth="9.140625" defaultRowHeight="15"/>
  <cols>
    <col min="1" max="1" width="2.7109375" style="577" customWidth="1"/>
    <col min="2" max="2" width="35.7109375" style="577" customWidth="1"/>
    <col min="3" max="5" width="12.7109375" style="577" customWidth="1"/>
    <col min="6" max="6" width="4.7109375" style="1128" customWidth="1"/>
    <col min="7" max="7" width="35.7109375" style="577" customWidth="1"/>
    <col min="8" max="10" width="12.7109375" style="577" customWidth="1"/>
    <col min="11" max="11" width="4.7109375" style="1128" customWidth="1"/>
    <col min="12" max="16384" width="9.140625" style="577"/>
  </cols>
  <sheetData>
    <row r="1" spans="1:11" ht="30" customHeight="1">
      <c r="A1" s="576"/>
      <c r="B1" s="1950" t="str">
        <f>IF(F4=0,"Your Institution Does Not Complete This Table","")</f>
        <v/>
      </c>
      <c r="C1" s="576"/>
      <c r="D1" s="576"/>
      <c r="E1" s="576"/>
      <c r="F1" s="1951"/>
      <c r="G1" s="576"/>
      <c r="H1" s="576"/>
      <c r="I1" s="576"/>
      <c r="J1" s="576"/>
      <c r="K1" s="1951"/>
    </row>
    <row r="2" spans="1:11" ht="24.95" customHeight="1">
      <c r="A2" s="1407"/>
      <c r="B2" s="739" t="s">
        <v>498</v>
      </c>
      <c r="C2" s="1952"/>
      <c r="D2" s="1952"/>
      <c r="E2" s="1952"/>
      <c r="F2" s="1410"/>
      <c r="G2" s="1952"/>
      <c r="H2" s="1952"/>
      <c r="I2" s="1952"/>
      <c r="J2" s="1952"/>
      <c r="K2" s="1953"/>
    </row>
    <row r="3" spans="1:11" ht="15.75" thickBot="1">
      <c r="A3" s="1107"/>
      <c r="B3" s="771"/>
      <c r="C3" s="743"/>
      <c r="D3" s="743"/>
      <c r="E3" s="743"/>
      <c r="F3" s="1108"/>
      <c r="G3" s="743"/>
      <c r="H3" s="743"/>
      <c r="I3" s="743"/>
      <c r="J3" s="743"/>
      <c r="K3" s="1127"/>
    </row>
    <row r="4" spans="1:11" ht="30" customHeight="1" thickBot="1">
      <c r="A4" s="1107"/>
      <c r="B4" s="772" t="s">
        <v>0</v>
      </c>
      <c r="C4" s="2634" t="str">
        <f>'Background Data'!$G$2</f>
        <v>Glasgow, University of</v>
      </c>
      <c r="D4" s="2635"/>
      <c r="E4" s="2636"/>
      <c r="F4" s="1954">
        <f>VLOOKUP('Background Data'!$F$2,Inst_Tables,9,FALSE)</f>
        <v>1</v>
      </c>
      <c r="G4" s="591"/>
      <c r="H4" s="591"/>
      <c r="I4" s="743"/>
      <c r="J4" s="743"/>
      <c r="K4" s="1127"/>
    </row>
    <row r="5" spans="1:11" ht="24.95" customHeight="1">
      <c r="A5" s="1107"/>
      <c r="B5" s="773" t="s">
        <v>524</v>
      </c>
      <c r="C5" s="770"/>
      <c r="D5" s="770"/>
      <c r="E5" s="770"/>
      <c r="F5" s="1127"/>
      <c r="G5" s="770"/>
      <c r="H5" s="770"/>
      <c r="I5" s="770"/>
      <c r="J5" s="770"/>
      <c r="K5" s="1127"/>
    </row>
    <row r="6" spans="1:11" ht="24.95" customHeight="1">
      <c r="A6" s="1107"/>
      <c r="B6" s="329" t="s">
        <v>540</v>
      </c>
      <c r="C6" s="770"/>
      <c r="D6" s="770"/>
      <c r="E6" s="770"/>
      <c r="F6" s="1108"/>
      <c r="G6" s="770"/>
      <c r="H6" s="770"/>
      <c r="I6" s="770"/>
      <c r="J6" s="770"/>
      <c r="K6" s="1127"/>
    </row>
    <row r="7" spans="1:11" ht="9.9499999999999993" customHeight="1" thickBot="1">
      <c r="A7" s="1107"/>
      <c r="B7" s="2475">
        <f>VLOOKUP('Background Data'!$F$2,Inst_Tables,29,FALSE)</f>
        <v>0</v>
      </c>
      <c r="C7" s="1955"/>
      <c r="D7" s="1955"/>
      <c r="E7" s="1955"/>
      <c r="F7" s="1116"/>
      <c r="G7" s="2475">
        <f>VLOOKUP('Background Data'!$F$2,Inst_Tables,30,FALSE)</f>
        <v>1</v>
      </c>
      <c r="H7" s="1955"/>
      <c r="I7" s="1955"/>
      <c r="J7" s="1955"/>
      <c r="K7" s="1956"/>
    </row>
    <row r="8" spans="1:11" ht="30" customHeight="1" thickBot="1">
      <c r="A8" s="1957"/>
      <c r="B8" s="2637" t="s">
        <v>420</v>
      </c>
      <c r="C8" s="2638"/>
      <c r="D8" s="2638"/>
      <c r="E8" s="2639"/>
      <c r="F8" s="1116"/>
      <c r="G8" s="2637" t="s">
        <v>421</v>
      </c>
      <c r="H8" s="2638"/>
      <c r="I8" s="2638"/>
      <c r="J8" s="2639"/>
      <c r="K8" s="1956"/>
    </row>
    <row r="9" spans="1:11" ht="30">
      <c r="A9" s="1957"/>
      <c r="B9" s="1970" t="s">
        <v>422</v>
      </c>
      <c r="C9" s="1946" t="s">
        <v>158</v>
      </c>
      <c r="D9" s="2197" t="s">
        <v>319</v>
      </c>
      <c r="E9" s="1958" t="s">
        <v>2</v>
      </c>
      <c r="F9" s="1116"/>
      <c r="G9" s="1970" t="s">
        <v>422</v>
      </c>
      <c r="H9" s="1946" t="s">
        <v>158</v>
      </c>
      <c r="I9" s="2197" t="s">
        <v>319</v>
      </c>
      <c r="J9" s="1958" t="s">
        <v>2</v>
      </c>
      <c r="K9" s="1956"/>
    </row>
    <row r="10" spans="1:11" ht="24.95" customHeight="1">
      <c r="A10" s="1957"/>
      <c r="B10" s="1971"/>
      <c r="C10" s="1947" t="s">
        <v>16</v>
      </c>
      <c r="D10" s="1947" t="s">
        <v>16</v>
      </c>
      <c r="E10" s="1959" t="s">
        <v>16</v>
      </c>
      <c r="F10" s="1116"/>
      <c r="G10" s="1971"/>
      <c r="H10" s="1947" t="s">
        <v>16</v>
      </c>
      <c r="I10" s="1947" t="s">
        <v>16</v>
      </c>
      <c r="J10" s="1959" t="s">
        <v>16</v>
      </c>
      <c r="K10" s="1956"/>
    </row>
    <row r="11" spans="1:11" ht="35.1" customHeight="1">
      <c r="A11" s="1957"/>
      <c r="B11" s="1947" t="s">
        <v>334</v>
      </c>
      <c r="C11" s="1947" t="s">
        <v>29</v>
      </c>
      <c r="D11" s="1947" t="s">
        <v>29</v>
      </c>
      <c r="E11" s="1914" t="s">
        <v>54</v>
      </c>
      <c r="F11" s="1116"/>
      <c r="G11" s="1947" t="s">
        <v>334</v>
      </c>
      <c r="H11" s="1947" t="s">
        <v>29</v>
      </c>
      <c r="I11" s="1947" t="s">
        <v>29</v>
      </c>
      <c r="J11" s="1914" t="s">
        <v>54</v>
      </c>
      <c r="K11" s="1956"/>
    </row>
    <row r="12" spans="1:11" ht="24.95" customHeight="1" thickBot="1">
      <c r="A12" s="1957"/>
      <c r="B12" s="1972">
        <v>1</v>
      </c>
      <c r="C12" s="1972">
        <v>2</v>
      </c>
      <c r="D12" s="1972">
        <v>3</v>
      </c>
      <c r="E12" s="1960">
        <v>4</v>
      </c>
      <c r="F12" s="1116"/>
      <c r="G12" s="1972">
        <v>5</v>
      </c>
      <c r="H12" s="1972">
        <v>6</v>
      </c>
      <c r="I12" s="1972">
        <v>7</v>
      </c>
      <c r="J12" s="1960">
        <v>8</v>
      </c>
      <c r="K12" s="1956"/>
    </row>
    <row r="13" spans="1:11" ht="24.95" customHeight="1">
      <c r="A13" s="1957"/>
      <c r="B13" s="1044"/>
      <c r="C13" s="1975"/>
      <c r="D13" s="1975"/>
      <c r="E13" s="2194">
        <f>SUM(C13:D13)</f>
        <v>0</v>
      </c>
      <c r="F13" s="1961"/>
      <c r="G13" s="1044"/>
      <c r="H13" s="1975"/>
      <c r="I13" s="1975"/>
      <c r="J13" s="2194">
        <f>SUM(H13:I13)</f>
        <v>0</v>
      </c>
      <c r="K13" s="1962"/>
    </row>
    <row r="14" spans="1:11" ht="24.95" customHeight="1">
      <c r="A14" s="1963">
        <v>1</v>
      </c>
      <c r="B14" s="1045"/>
      <c r="C14" s="899"/>
      <c r="D14" s="899"/>
      <c r="E14" s="2195">
        <f t="shared" ref="E14:E21" si="0">SUM(C14:D14)</f>
        <v>0</v>
      </c>
      <c r="F14" s="1964"/>
      <c r="G14" s="1045"/>
      <c r="H14" s="899"/>
      <c r="I14" s="899"/>
      <c r="J14" s="2195">
        <f t="shared" ref="J14:J21" si="1">SUM(H14:I14)</f>
        <v>0</v>
      </c>
      <c r="K14" s="1965"/>
    </row>
    <row r="15" spans="1:11" ht="24.95" customHeight="1">
      <c r="A15" s="1963">
        <v>2</v>
      </c>
      <c r="B15" s="1045"/>
      <c r="C15" s="899"/>
      <c r="D15" s="899"/>
      <c r="E15" s="2195">
        <f t="shared" si="0"/>
        <v>0</v>
      </c>
      <c r="F15" s="1964"/>
      <c r="G15" s="1045"/>
      <c r="H15" s="899"/>
      <c r="I15" s="899"/>
      <c r="J15" s="2195">
        <f t="shared" si="1"/>
        <v>0</v>
      </c>
      <c r="K15" s="1965"/>
    </row>
    <row r="16" spans="1:11" ht="24.95" customHeight="1">
      <c r="A16" s="1963">
        <v>3</v>
      </c>
      <c r="B16" s="1045"/>
      <c r="C16" s="899"/>
      <c r="D16" s="899"/>
      <c r="E16" s="2195">
        <f t="shared" si="0"/>
        <v>0</v>
      </c>
      <c r="F16" s="1964"/>
      <c r="G16" s="1045"/>
      <c r="H16" s="899"/>
      <c r="I16" s="899"/>
      <c r="J16" s="2195">
        <f t="shared" si="1"/>
        <v>0</v>
      </c>
      <c r="K16" s="1965"/>
    </row>
    <row r="17" spans="1:18" ht="24.95" customHeight="1">
      <c r="A17" s="1963">
        <v>4</v>
      </c>
      <c r="B17" s="1045"/>
      <c r="C17" s="899"/>
      <c r="D17" s="899"/>
      <c r="E17" s="2195">
        <f t="shared" si="0"/>
        <v>0</v>
      </c>
      <c r="F17" s="1964"/>
      <c r="G17" s="1045"/>
      <c r="H17" s="899"/>
      <c r="I17" s="899"/>
      <c r="J17" s="2195">
        <f t="shared" si="1"/>
        <v>0</v>
      </c>
      <c r="K17" s="1965"/>
    </row>
    <row r="18" spans="1:18" ht="24.95" customHeight="1">
      <c r="A18" s="1963">
        <v>5</v>
      </c>
      <c r="B18" s="1045"/>
      <c r="C18" s="899"/>
      <c r="D18" s="899"/>
      <c r="E18" s="2195">
        <f t="shared" si="0"/>
        <v>0</v>
      </c>
      <c r="F18" s="1964"/>
      <c r="G18" s="1045"/>
      <c r="H18" s="899"/>
      <c r="I18" s="899"/>
      <c r="J18" s="2195">
        <f t="shared" si="1"/>
        <v>0</v>
      </c>
      <c r="K18" s="1965"/>
    </row>
    <row r="19" spans="1:18" ht="24.95" customHeight="1">
      <c r="A19" s="1963">
        <v>6</v>
      </c>
      <c r="B19" s="1045"/>
      <c r="C19" s="899"/>
      <c r="D19" s="899"/>
      <c r="E19" s="2195">
        <f t="shared" si="0"/>
        <v>0</v>
      </c>
      <c r="F19" s="1964"/>
      <c r="G19" s="1045"/>
      <c r="H19" s="899"/>
      <c r="I19" s="899"/>
      <c r="J19" s="2195">
        <f t="shared" si="1"/>
        <v>0</v>
      </c>
      <c r="K19" s="1965"/>
    </row>
    <row r="20" spans="1:18" ht="24.95" customHeight="1">
      <c r="A20" s="1963">
        <v>7</v>
      </c>
      <c r="B20" s="1045"/>
      <c r="C20" s="899"/>
      <c r="D20" s="899"/>
      <c r="E20" s="2195">
        <f t="shared" si="0"/>
        <v>0</v>
      </c>
      <c r="F20" s="1964"/>
      <c r="G20" s="1045"/>
      <c r="H20" s="899"/>
      <c r="I20" s="899"/>
      <c r="J20" s="2195">
        <f t="shared" si="1"/>
        <v>0</v>
      </c>
      <c r="K20" s="1965"/>
    </row>
    <row r="21" spans="1:18" ht="24.95" customHeight="1" thickBot="1">
      <c r="A21" s="1963">
        <v>8</v>
      </c>
      <c r="B21" s="1902"/>
      <c r="C21" s="1437"/>
      <c r="D21" s="1437"/>
      <c r="E21" s="2196">
        <f t="shared" si="0"/>
        <v>0</v>
      </c>
      <c r="F21" s="1964"/>
      <c r="G21" s="1902"/>
      <c r="H21" s="1437"/>
      <c r="I21" s="1437"/>
      <c r="J21" s="2196">
        <f t="shared" si="1"/>
        <v>0</v>
      </c>
      <c r="K21" s="1965"/>
    </row>
    <row r="22" spans="1:18" ht="30" customHeight="1" thickBot="1">
      <c r="A22" s="1963">
        <v>9</v>
      </c>
      <c r="B22" s="1973" t="s">
        <v>2</v>
      </c>
      <c r="C22" s="565">
        <f>SUM(C13:C21)</f>
        <v>0</v>
      </c>
      <c r="D22" s="565">
        <f t="shared" ref="D22:E22" si="2">SUM(D13:D21)</f>
        <v>0</v>
      </c>
      <c r="E22" s="1032">
        <f t="shared" si="2"/>
        <v>0</v>
      </c>
      <c r="F22" s="1964"/>
      <c r="G22" s="1973" t="s">
        <v>2</v>
      </c>
      <c r="H22" s="565">
        <f>SUM(H13:H21)</f>
        <v>0</v>
      </c>
      <c r="I22" s="565">
        <f t="shared" ref="I22:J22" si="3">SUM(I13:I21)</f>
        <v>0</v>
      </c>
      <c r="J22" s="1032">
        <f t="shared" si="3"/>
        <v>0</v>
      </c>
      <c r="K22" s="1965"/>
    </row>
    <row r="23" spans="1:18" ht="20.100000000000001" customHeight="1" thickBot="1">
      <c r="A23" s="1957"/>
      <c r="B23" s="615"/>
      <c r="C23" s="615"/>
      <c r="D23" s="615"/>
      <c r="E23" s="615"/>
      <c r="F23" s="1964"/>
      <c r="G23" s="615"/>
      <c r="H23" s="615"/>
      <c r="I23" s="615"/>
      <c r="J23" s="615"/>
      <c r="K23" s="1965"/>
    </row>
    <row r="24" spans="1:18" ht="30" customHeight="1" thickBot="1">
      <c r="A24" s="1769"/>
      <c r="B24" s="1276" t="s">
        <v>342</v>
      </c>
      <c r="C24" s="2235">
        <f>'T2a ITE'!$E$60</f>
        <v>0</v>
      </c>
      <c r="D24" s="2192">
        <f>'T2a ITE'!$O$60-'T2a ITE'!$E$60</f>
        <v>0</v>
      </c>
      <c r="E24" s="1401">
        <f>'T2a ITE'!$O$60</f>
        <v>0</v>
      </c>
      <c r="F24" s="2232"/>
      <c r="G24" s="1276" t="s">
        <v>342</v>
      </c>
      <c r="H24" s="2235">
        <f>'T2a ITE'!$E$70</f>
        <v>3</v>
      </c>
      <c r="I24" s="2192">
        <f>'T2a ITE'!$O$70-'T2a ITE'!$E$70</f>
        <v>0</v>
      </c>
      <c r="J24" s="1401">
        <f>'T2a ITE'!$O$70</f>
        <v>3</v>
      </c>
      <c r="K24" s="2234"/>
      <c r="L24" s="1122"/>
      <c r="M24" s="1122"/>
      <c r="N24" s="1122"/>
      <c r="O24" s="2233"/>
      <c r="P24" s="2233"/>
      <c r="Q24" s="812"/>
      <c r="R24" s="1122"/>
    </row>
    <row r="25" spans="1:18" ht="20.100000000000001" customHeight="1">
      <c r="A25" s="1966"/>
      <c r="B25" s="615"/>
      <c r="C25" s="615"/>
      <c r="D25" s="615"/>
      <c r="E25" s="615"/>
      <c r="F25" s="1967"/>
      <c r="G25" s="615"/>
      <c r="H25" s="615"/>
      <c r="I25" s="615"/>
      <c r="J25" s="615"/>
      <c r="K25" s="1968"/>
    </row>
    <row r="26" spans="1:18">
      <c r="C26" s="769"/>
      <c r="D26" s="769"/>
      <c r="E26" s="769"/>
      <c r="G26" s="769"/>
      <c r="H26" s="769"/>
      <c r="I26" s="769"/>
      <c r="J26" s="769"/>
    </row>
    <row r="27" spans="1:18">
      <c r="C27" s="769"/>
      <c r="D27" s="769"/>
      <c r="E27" s="769"/>
      <c r="G27" s="769"/>
      <c r="H27" s="769"/>
      <c r="I27" s="769"/>
      <c r="J27" s="769"/>
    </row>
  </sheetData>
  <sheetProtection password="E23E" sheet="1" objects="1" scenarios="1"/>
  <mergeCells count="3">
    <mergeCell ref="C4:E4"/>
    <mergeCell ref="B8:E8"/>
    <mergeCell ref="G8:J8"/>
  </mergeCells>
  <conditionalFormatting sqref="A1:K1">
    <cfRule type="expression" dxfId="98" priority="6">
      <formula>$F$4=0</formula>
    </cfRule>
  </conditionalFormatting>
  <conditionalFormatting sqref="G13:I21">
    <cfRule type="expression" dxfId="97" priority="326">
      <formula>$G$7=1</formula>
    </cfRule>
  </conditionalFormatting>
  <conditionalFormatting sqref="B13:D21">
    <cfRule type="expression" dxfId="96" priority="2">
      <formula>$B$7=1</formula>
    </cfRule>
  </conditionalFormatting>
  <conditionalFormatting sqref="C24:E24 H24:J24">
    <cfRule type="expression" dxfId="95" priority="1">
      <formula>C24&lt;&gt;C22</formula>
    </cfRule>
  </conditionalFormatting>
  <dataValidations count="2">
    <dataValidation allowBlank="1" sqref="K13 F13 E11 J11" xr:uid="{00000000-0002-0000-0600-000000000000}"/>
    <dataValidation type="list" allowBlank="1" showInputMessage="1" showErrorMessage="1" sqref="B13:B21 G13:G21" xr:uid="{00000000-0002-0000-0600-000001000000}">
      <formula1>PGDE_Subjects</formula1>
    </dataValidation>
  </dataValidations>
  <pageMargins left="0.19685039370078741" right="0.19685039370078741" top="0.19685039370078741" bottom="0.39370078740157483" header="0" footer="0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AB19"/>
  <sheetViews>
    <sheetView zoomScale="80" zoomScaleNormal="80" workbookViewId="0"/>
  </sheetViews>
  <sheetFormatPr defaultColWidth="9.140625" defaultRowHeight="15"/>
  <cols>
    <col min="1" max="1" width="2.7109375" style="507" customWidth="1"/>
    <col min="2" max="2" width="43.140625" style="507" customWidth="1"/>
    <col min="3" max="14" width="12.7109375" style="507" customWidth="1"/>
    <col min="15" max="15" width="5.7109375" style="507" customWidth="1"/>
    <col min="16" max="16" width="2.7109375" style="507" customWidth="1"/>
    <col min="17" max="21" width="15.7109375" style="507" customWidth="1"/>
    <col min="22" max="22" width="4" style="507" customWidth="1"/>
    <col min="23" max="27" width="16.7109375" style="507" customWidth="1"/>
    <col min="28" max="16384" width="9.140625" style="507"/>
  </cols>
  <sheetData>
    <row r="1" spans="1:28" ht="39.950000000000003" customHeight="1">
      <c r="A1" s="184"/>
      <c r="B1" s="192" t="str">
        <f>IF(G4=0,"Your Institution Does Not Complete This Table","")</f>
        <v>Your Institution Does Not Complete This Table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184"/>
      <c r="X1" s="184"/>
      <c r="Y1" s="184"/>
      <c r="Z1" s="184"/>
      <c r="AA1" s="184"/>
      <c r="AB1" s="184"/>
    </row>
    <row r="2" spans="1:28" ht="30" customHeight="1">
      <c r="A2" s="319"/>
      <c r="B2" s="273" t="s">
        <v>499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  <c r="P2" s="15"/>
      <c r="Q2" s="5"/>
      <c r="R2" s="5"/>
      <c r="S2" s="5"/>
      <c r="T2" s="5"/>
      <c r="U2" s="5"/>
      <c r="V2" s="5"/>
      <c r="W2" s="184"/>
      <c r="X2" s="184"/>
      <c r="Y2" s="184"/>
      <c r="Z2" s="184"/>
      <c r="AA2" s="184"/>
      <c r="AB2" s="184"/>
    </row>
    <row r="3" spans="1:28" ht="15" customHeight="1" thickBot="1">
      <c r="A3" s="280"/>
      <c r="B3" s="32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7"/>
      <c r="P3" s="15"/>
      <c r="Q3" s="5"/>
      <c r="R3" s="5"/>
      <c r="S3" s="5"/>
      <c r="T3" s="5"/>
      <c r="U3" s="5"/>
      <c r="V3" s="5"/>
      <c r="W3" s="184"/>
      <c r="X3" s="184"/>
      <c r="Y3" s="184"/>
      <c r="Z3" s="184"/>
      <c r="AA3" s="184"/>
      <c r="AB3" s="184"/>
    </row>
    <row r="4" spans="1:28" ht="35.1" customHeight="1" thickBot="1">
      <c r="A4" s="280"/>
      <c r="B4" s="349" t="s">
        <v>0</v>
      </c>
      <c r="C4" s="2580" t="str">
        <f>'Background Data'!$G$2</f>
        <v>Glasgow, University of</v>
      </c>
      <c r="D4" s="2581"/>
      <c r="E4" s="2581"/>
      <c r="F4" s="2582"/>
      <c r="G4" s="632">
        <f>VLOOKUP('Background Data'!$F$2,Inst_Tables,10,FALSE)</f>
        <v>0</v>
      </c>
      <c r="H4" s="183"/>
      <c r="I4" s="6"/>
      <c r="J4" s="6"/>
      <c r="K4" s="6"/>
      <c r="L4" s="6"/>
      <c r="M4" s="6"/>
      <c r="N4" s="6"/>
      <c r="O4" s="17"/>
      <c r="P4" s="15"/>
      <c r="Q4" s="5"/>
      <c r="R4" s="5"/>
      <c r="S4" s="5"/>
      <c r="T4" s="5"/>
      <c r="U4" s="5"/>
      <c r="V4" s="5"/>
      <c r="W4" s="184"/>
      <c r="X4" s="184"/>
      <c r="Y4" s="184"/>
      <c r="Z4" s="184"/>
      <c r="AA4" s="184"/>
      <c r="AB4" s="184"/>
    </row>
    <row r="5" spans="1:28" ht="30" customHeight="1">
      <c r="A5" s="280"/>
      <c r="B5" s="328" t="s">
        <v>406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5"/>
      <c r="Q5" s="5"/>
      <c r="R5" s="5"/>
      <c r="S5" s="5"/>
      <c r="T5" s="5"/>
      <c r="U5" s="5"/>
      <c r="V5" s="5"/>
      <c r="W5" s="184"/>
      <c r="X5" s="184"/>
      <c r="Y5" s="184"/>
      <c r="Z5" s="184"/>
      <c r="AA5" s="184"/>
      <c r="AB5" s="184"/>
    </row>
    <row r="6" spans="1:28" ht="30" customHeight="1">
      <c r="A6" s="280"/>
      <c r="B6" s="329" t="s">
        <v>541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5"/>
      <c r="Q6" s="5"/>
      <c r="R6" s="5"/>
      <c r="S6" s="5"/>
      <c r="T6" s="5"/>
      <c r="U6" s="5"/>
      <c r="V6" s="5"/>
      <c r="W6" s="184"/>
      <c r="X6" s="184"/>
      <c r="Y6" s="184"/>
      <c r="Z6" s="184"/>
      <c r="AA6" s="184"/>
      <c r="AB6" s="184"/>
    </row>
    <row r="7" spans="1:28" ht="15" customHeight="1" thickBot="1">
      <c r="A7" s="280"/>
      <c r="B7" s="329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5"/>
      <c r="Q7" s="5"/>
      <c r="R7" s="5"/>
      <c r="S7" s="5"/>
      <c r="T7" s="5"/>
      <c r="U7" s="5"/>
      <c r="V7" s="5"/>
      <c r="W7" s="184"/>
      <c r="X7" s="184"/>
      <c r="Y7" s="184"/>
      <c r="Z7" s="184"/>
      <c r="AA7" s="184"/>
      <c r="AB7" s="184"/>
    </row>
    <row r="8" spans="1:28" ht="35.1" customHeight="1">
      <c r="A8" s="280"/>
      <c r="B8" s="331"/>
      <c r="C8" s="2642" t="s">
        <v>26</v>
      </c>
      <c r="D8" s="2590"/>
      <c r="E8" s="2590"/>
      <c r="F8" s="2590"/>
      <c r="G8" s="2590"/>
      <c r="H8" s="2590"/>
      <c r="I8" s="2590"/>
      <c r="J8" s="2590"/>
      <c r="K8" s="2590"/>
      <c r="L8" s="2590"/>
      <c r="M8" s="2590"/>
      <c r="N8" s="2591"/>
      <c r="O8" s="17"/>
      <c r="P8" s="15"/>
      <c r="Q8" s="5"/>
      <c r="R8" s="5"/>
      <c r="S8" s="5"/>
      <c r="T8" s="5"/>
      <c r="U8" s="5"/>
      <c r="V8" s="5"/>
      <c r="W8" s="184"/>
      <c r="X8" s="184"/>
      <c r="Y8" s="184"/>
      <c r="Z8" s="184"/>
      <c r="AA8" s="184"/>
      <c r="AB8" s="184"/>
    </row>
    <row r="9" spans="1:28" ht="35.1" customHeight="1">
      <c r="A9" s="280"/>
      <c r="B9" s="332" t="s">
        <v>154</v>
      </c>
      <c r="C9" s="25" t="s">
        <v>23</v>
      </c>
      <c r="D9" s="26"/>
      <c r="E9" s="25">
        <v>2</v>
      </c>
      <c r="F9" s="26"/>
      <c r="G9" s="25">
        <v>3</v>
      </c>
      <c r="H9" s="26"/>
      <c r="I9" s="25">
        <v>4</v>
      </c>
      <c r="J9" s="26"/>
      <c r="K9" s="1258">
        <v>5</v>
      </c>
      <c r="L9" s="1259"/>
      <c r="M9" s="2640" t="s">
        <v>2</v>
      </c>
      <c r="N9" s="2641"/>
      <c r="O9" s="17"/>
      <c r="P9" s="15"/>
      <c r="Q9" s="5"/>
      <c r="R9" s="5"/>
      <c r="S9" s="5"/>
      <c r="T9" s="5"/>
      <c r="U9" s="5"/>
      <c r="V9" s="5"/>
      <c r="W9" s="184"/>
      <c r="X9" s="184"/>
      <c r="Y9" s="184"/>
      <c r="Z9" s="184"/>
      <c r="AA9" s="184"/>
      <c r="AB9" s="184"/>
    </row>
    <row r="10" spans="1:28" ht="35.1" customHeight="1">
      <c r="A10" s="280"/>
      <c r="B10" s="333"/>
      <c r="C10" s="1852" t="s">
        <v>16</v>
      </c>
      <c r="D10" s="1853" t="s">
        <v>25</v>
      </c>
      <c r="E10" s="1852" t="s">
        <v>16</v>
      </c>
      <c r="F10" s="1853" t="s">
        <v>25</v>
      </c>
      <c r="G10" s="1852" t="s">
        <v>16</v>
      </c>
      <c r="H10" s="1853" t="s">
        <v>25</v>
      </c>
      <c r="I10" s="1852" t="s">
        <v>16</v>
      </c>
      <c r="J10" s="1853" t="s">
        <v>25</v>
      </c>
      <c r="K10" s="1104" t="s">
        <v>16</v>
      </c>
      <c r="L10" s="1854" t="s">
        <v>25</v>
      </c>
      <c r="M10" s="1855" t="s">
        <v>16</v>
      </c>
      <c r="N10" s="1856" t="s">
        <v>25</v>
      </c>
      <c r="O10" s="12"/>
      <c r="P10" s="15"/>
      <c r="Q10" s="27" t="s">
        <v>338</v>
      </c>
      <c r="R10" s="5"/>
      <c r="S10" s="5"/>
      <c r="T10" s="5"/>
      <c r="U10" s="5"/>
      <c r="V10" s="5"/>
      <c r="W10" s="27" t="s">
        <v>337</v>
      </c>
      <c r="X10" s="5"/>
      <c r="Y10" s="5"/>
      <c r="Z10" s="5"/>
      <c r="AA10" s="5"/>
      <c r="AB10" s="184"/>
    </row>
    <row r="11" spans="1:28" ht="35.1" customHeight="1">
      <c r="A11" s="280"/>
      <c r="B11" s="333"/>
      <c r="C11" s="14" t="s">
        <v>29</v>
      </c>
      <c r="D11" s="359" t="s">
        <v>29</v>
      </c>
      <c r="E11" s="14" t="s">
        <v>29</v>
      </c>
      <c r="F11" s="359" t="s">
        <v>29</v>
      </c>
      <c r="G11" s="14" t="s">
        <v>29</v>
      </c>
      <c r="H11" s="359" t="s">
        <v>29</v>
      </c>
      <c r="I11" s="14" t="s">
        <v>29</v>
      </c>
      <c r="J11" s="359" t="s">
        <v>29</v>
      </c>
      <c r="K11" s="1054" t="s">
        <v>29</v>
      </c>
      <c r="L11" s="531" t="s">
        <v>29</v>
      </c>
      <c r="M11" s="1254" t="s">
        <v>54</v>
      </c>
      <c r="N11" s="54" t="s">
        <v>54</v>
      </c>
      <c r="O11" s="12"/>
      <c r="P11" s="15"/>
      <c r="Q11" s="28" t="s">
        <v>61</v>
      </c>
      <c r="R11" s="28" t="s">
        <v>62</v>
      </c>
      <c r="S11" s="28" t="s">
        <v>63</v>
      </c>
      <c r="T11" s="28" t="s">
        <v>64</v>
      </c>
      <c r="U11" s="28" t="s">
        <v>65</v>
      </c>
      <c r="V11" s="5"/>
      <c r="W11" s="28" t="s">
        <v>61</v>
      </c>
      <c r="X11" s="28" t="s">
        <v>62</v>
      </c>
      <c r="Y11" s="28" t="s">
        <v>63</v>
      </c>
      <c r="Z11" s="28" t="s">
        <v>64</v>
      </c>
      <c r="AA11" s="28" t="s">
        <v>65</v>
      </c>
      <c r="AB11" s="184"/>
    </row>
    <row r="12" spans="1:28" ht="30" customHeight="1" thickBot="1">
      <c r="A12" s="280"/>
      <c r="B12" s="334"/>
      <c r="C12" s="401">
        <v>1</v>
      </c>
      <c r="D12" s="401">
        <v>2</v>
      </c>
      <c r="E12" s="401">
        <v>3</v>
      </c>
      <c r="F12" s="401">
        <v>4</v>
      </c>
      <c r="G12" s="401">
        <v>5</v>
      </c>
      <c r="H12" s="401">
        <v>6</v>
      </c>
      <c r="I12" s="401">
        <v>7</v>
      </c>
      <c r="J12" s="401">
        <v>8</v>
      </c>
      <c r="K12" s="401">
        <v>9</v>
      </c>
      <c r="L12" s="404">
        <v>10</v>
      </c>
      <c r="M12" s="1255">
        <v>11</v>
      </c>
      <c r="N12" s="404">
        <v>12</v>
      </c>
      <c r="O12" s="12"/>
      <c r="P12" s="15"/>
      <c r="Q12" s="28"/>
      <c r="R12" s="28"/>
      <c r="S12" s="28"/>
      <c r="T12" s="28"/>
      <c r="U12" s="28"/>
      <c r="V12" s="5"/>
      <c r="W12" s="28"/>
      <c r="X12" s="28"/>
      <c r="Y12" s="28"/>
      <c r="Z12" s="28"/>
      <c r="AA12" s="28"/>
      <c r="AB12" s="184"/>
    </row>
    <row r="13" spans="1:28" ht="45" customHeight="1">
      <c r="A13" s="280"/>
      <c r="B13" s="332" t="s">
        <v>10</v>
      </c>
      <c r="C13" s="902"/>
      <c r="D13" s="903"/>
      <c r="E13" s="904"/>
      <c r="F13" s="905"/>
      <c r="G13" s="902"/>
      <c r="H13" s="903"/>
      <c r="I13" s="904"/>
      <c r="J13" s="905"/>
      <c r="K13" s="902"/>
      <c r="L13" s="1261"/>
      <c r="M13" s="1256">
        <f>SUM(C13,E13,G13,I13,K13)</f>
        <v>0</v>
      </c>
      <c r="N13" s="29">
        <f>SUM(D13,F13,H13,J13,L13)</f>
        <v>0</v>
      </c>
      <c r="O13" s="17"/>
      <c r="P13" s="15"/>
      <c r="Q13" s="30" t="str">
        <f>IF(C13&lt;=D13,"OK","FTE larger than Headcount")</f>
        <v>OK</v>
      </c>
      <c r="R13" s="31" t="str">
        <f>IF(E13&lt;=F13,"OK","FTE larger than Headcount")</f>
        <v>OK</v>
      </c>
      <c r="S13" s="31" t="str">
        <f>IF(G13&lt;=H13,"OK","FTE larger than Headcount")</f>
        <v>OK</v>
      </c>
      <c r="T13" s="31" t="str">
        <f>IF(I13&lt;=J13,"OK","FTE larger than Headcount")</f>
        <v>OK</v>
      </c>
      <c r="U13" s="1338" t="str">
        <f>IF(K13&lt;=L13,"OK","FTE larger than Headcount")</f>
        <v>OK</v>
      </c>
      <c r="V13" s="5"/>
      <c r="W13" s="37" t="str">
        <f>IF(OR((COUNTBLANK(C13:D13)=1),AND(MAX(C13,D13)&gt;0,MIN(C13,D13)=0)),"Only one of FTE and Headcount is non-zero","OK")</f>
        <v>OK</v>
      </c>
      <c r="X13" s="38" t="str">
        <f>IF(OR((COUNTBLANK(E13:F13)=1),AND(MAX(E13,F13)&gt;0,MIN(E13,F13)=0)),"Only one of FTE and Headcount is non-zero","OK")</f>
        <v>OK</v>
      </c>
      <c r="Y13" s="38" t="str">
        <f>IF(OR((COUNTBLANK(G13:H13)=1),AND(MAX(G13,H13)&gt;0,MIN(G13,H13)=0)),"Only one of FTE and Headcount is non-zero","OK")</f>
        <v>OK</v>
      </c>
      <c r="Z13" s="38" t="str">
        <f>IF(OR((COUNTBLANK(I13:J13)=1),AND(MAX(I13,J13)&gt;0,MIN(I13,J13)=0)),"Only one of FTE and Headcount is non-zero","OK")</f>
        <v>OK</v>
      </c>
      <c r="AA13" s="39" t="str">
        <f>IF(OR((COUNTBLANK(K13:L13)=1),AND(MAX(K13,L13)&gt;0,MIN(K13,L13)=0)),"Only one of FTE and Headcount is non-zero","OK")</f>
        <v>OK</v>
      </c>
      <c r="AB13" s="184"/>
    </row>
    <row r="14" spans="1:28" ht="45" customHeight="1" thickBot="1">
      <c r="A14" s="280"/>
      <c r="B14" s="1337" t="s">
        <v>144</v>
      </c>
      <c r="C14" s="906"/>
      <c r="D14" s="907"/>
      <c r="E14" s="908"/>
      <c r="F14" s="909"/>
      <c r="G14" s="906"/>
      <c r="H14" s="907"/>
      <c r="I14" s="908"/>
      <c r="J14" s="909"/>
      <c r="K14" s="906"/>
      <c r="L14" s="1262"/>
      <c r="M14" s="1257">
        <f>SUM(C14,E14,G14,I14,K14)</f>
        <v>0</v>
      </c>
      <c r="N14" s="719">
        <f>SUM(D14,F14,H14,J14,L14)</f>
        <v>0</v>
      </c>
      <c r="O14" s="17"/>
      <c r="P14" s="15"/>
      <c r="Q14" s="32" t="str">
        <f>IF(C14&lt;=D14,"OK","FTE larger than Headcount")</f>
        <v>OK</v>
      </c>
      <c r="R14" s="33" t="str">
        <f>IF(E14&lt;=F14,"OK","FTE larger than Headcount")</f>
        <v>OK</v>
      </c>
      <c r="S14" s="33" t="str">
        <f>IF(G14&lt;=H14,"OK","FTE larger than Headcount")</f>
        <v>OK</v>
      </c>
      <c r="T14" s="33" t="str">
        <f>IF(I14&lt;=J14,"OK","FTE larger than Headcount")</f>
        <v>OK</v>
      </c>
      <c r="U14" s="1339" t="str">
        <f>IF(K14&lt;=L14,"OK","FTE larger than Headcount")</f>
        <v>OK</v>
      </c>
      <c r="V14" s="5"/>
      <c r="W14" s="41" t="str">
        <f>IF(OR((COUNTBLANK(C14:D14)=1),AND(MAX(C14,D14)&gt;0,MIN(C14,D14)=0)),"Only one of FTE and Headcount is non-zero","OK")</f>
        <v>OK</v>
      </c>
      <c r="X14" s="42" t="str">
        <f>IF(OR((COUNTBLANK(E14:F14)=1),AND(MAX(E14,F14)&gt;0,MIN(E14,F14)=0)),"Only one of FTE and Headcount is non-zero","OK")</f>
        <v>OK</v>
      </c>
      <c r="Y14" s="42" t="str">
        <f>IF(OR((COUNTBLANK(G14:H14)=1),AND(MAX(G14,H14)&gt;0,MIN(G14,H14)=0)),"Only one of FTE and Headcount is non-zero","OK")</f>
        <v>OK</v>
      </c>
      <c r="Z14" s="42" t="str">
        <f>IF(OR((COUNTBLANK(I14:J14)=1),AND(MAX(I14,J14)&gt;0,MIN(I14,J14)=0)),"Only one of FTE and Headcount is non-zero","OK")</f>
        <v>OK</v>
      </c>
      <c r="AA14" s="43" t="str">
        <f>IF(OR((COUNTBLANK(K14:L14)=1),AND(MAX(K14,L14)&gt;0,MIN(K14,L14)=0)),"Only one of FTE and Headcount is non-zero","OK")</f>
        <v>OK</v>
      </c>
      <c r="AB14" s="184"/>
    </row>
    <row r="15" spans="1:28" ht="30" customHeight="1">
      <c r="A15" s="289"/>
      <c r="B15" s="330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  <c r="P15" s="351"/>
      <c r="Q15" s="851"/>
      <c r="R15" s="851"/>
      <c r="S15" s="851"/>
      <c r="T15" s="851"/>
      <c r="U15" s="851"/>
      <c r="V15" s="851"/>
      <c r="W15" s="184"/>
      <c r="X15" s="184"/>
      <c r="Y15" s="184"/>
      <c r="Z15" s="184"/>
      <c r="AA15" s="184"/>
      <c r="AB15" s="184"/>
    </row>
    <row r="16" spans="1:28" ht="33.75" customHeight="1">
      <c r="A16" s="184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292"/>
      <c r="Q16" s="1336"/>
      <c r="R16" s="1336"/>
      <c r="S16" s="1336"/>
      <c r="T16" s="1336"/>
      <c r="U16" s="1336"/>
      <c r="V16" s="851"/>
      <c r="W16" s="184"/>
      <c r="X16" s="184"/>
      <c r="Y16" s="184"/>
      <c r="Z16" s="184"/>
      <c r="AA16" s="184"/>
      <c r="AB16" s="184"/>
    </row>
    <row r="17" spans="2:14" ht="12.75" customHeight="1">
      <c r="B17" s="506"/>
      <c r="C17" s="508"/>
      <c r="D17" s="508"/>
      <c r="E17" s="508"/>
      <c r="F17" s="508"/>
      <c r="G17" s="508"/>
      <c r="H17" s="508"/>
      <c r="I17" s="508"/>
      <c r="J17" s="508"/>
      <c r="K17" s="508"/>
      <c r="L17" s="508"/>
      <c r="M17" s="508"/>
      <c r="N17" s="508"/>
    </row>
    <row r="18" spans="2:14"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</row>
    <row r="19" spans="2:14"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</row>
  </sheetData>
  <sheetProtection password="E23E" sheet="1" objects="1" scenarios="1"/>
  <mergeCells count="3">
    <mergeCell ref="M9:N9"/>
    <mergeCell ref="C4:F4"/>
    <mergeCell ref="C8:N8"/>
  </mergeCells>
  <conditionalFormatting sqref="B3:D3">
    <cfRule type="expression" dxfId="94" priority="15" stopIfTrue="1">
      <formula>#REF!=0</formula>
    </cfRule>
  </conditionalFormatting>
  <conditionalFormatting sqref="B4:C4">
    <cfRule type="expression" dxfId="93" priority="19" stopIfTrue="1">
      <formula>#REF!=0</formula>
    </cfRule>
  </conditionalFormatting>
  <conditionalFormatting sqref="B5">
    <cfRule type="expression" dxfId="92" priority="2" stopIfTrue="1">
      <formula>#REF!=0</formula>
    </cfRule>
  </conditionalFormatting>
  <conditionalFormatting sqref="C13:L14">
    <cfRule type="expression" dxfId="91" priority="83" stopIfTrue="1">
      <formula>$G$4=1</formula>
    </cfRule>
  </conditionalFormatting>
  <conditionalFormatting sqref="A1:O1">
    <cfRule type="expression" dxfId="90" priority="86" stopIfTrue="1">
      <formula>$G$4=0</formula>
    </cfRule>
  </conditionalFormatting>
  <conditionalFormatting sqref="Q13:U14 W13:AA14">
    <cfRule type="expression" dxfId="89" priority="1">
      <formula>Q13&lt;&gt;"OK"</formula>
    </cfRule>
  </conditionalFormatting>
  <dataValidations count="3">
    <dataValidation allowBlank="1" sqref="C12:N12 W13:AA14 Q16:U16" xr:uid="{00000000-0002-0000-0700-000000000000}"/>
    <dataValidation type="whole" operator="greaterThanOrEqual" allowBlank="1" showInputMessage="1" showErrorMessage="1" errorTitle="ERROR!" error="Invalid Entry" sqref="L13:L14 J13:J14 H13:H14 F13:F14 D13:D14" xr:uid="{00000000-0002-0000-0700-000001000000}">
      <formula1>0</formula1>
    </dataValidation>
    <dataValidation type="decimal" operator="greaterThanOrEqual" allowBlank="1" showInputMessage="1" showErrorMessage="1" errorTitle="ERROR!" error="Invalid Entry" sqref="K13:K14 C13:C14 E13:E14 G13:G14 I13:I14" xr:uid="{00000000-0002-0000-0700-000002000000}">
      <formula1>0</formula1>
    </dataValidation>
  </dataValidations>
  <pageMargins left="0.19685039370078741" right="0.19685039370078741" top="0.19685039370078741" bottom="0.39370078740157483" header="0" footer="0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J25"/>
  <sheetViews>
    <sheetView zoomScale="80" zoomScaleNormal="80" workbookViewId="0">
      <selection activeCell="D14" sqref="D14"/>
    </sheetView>
  </sheetViews>
  <sheetFormatPr defaultColWidth="9.140625" defaultRowHeight="15"/>
  <cols>
    <col min="1" max="1" width="2.7109375" style="507" customWidth="1"/>
    <col min="2" max="2" width="24.7109375" style="507" customWidth="1"/>
    <col min="3" max="5" width="16.7109375" style="507" customWidth="1"/>
    <col min="6" max="6" width="5.7109375" style="507" customWidth="1"/>
    <col min="7" max="16384" width="9.140625" style="507"/>
  </cols>
  <sheetData>
    <row r="1" spans="1:7" ht="39.950000000000003" customHeight="1">
      <c r="A1" s="184"/>
      <c r="B1" s="192" t="str">
        <f>IF(F4=0,"Your Institution Does Not Complete This Table","")</f>
        <v/>
      </c>
      <c r="C1" s="2"/>
      <c r="D1" s="2"/>
      <c r="E1" s="2"/>
      <c r="F1" s="2"/>
      <c r="G1" s="184"/>
    </row>
    <row r="2" spans="1:7" ht="30" customHeight="1">
      <c r="A2" s="319"/>
      <c r="B2" s="273" t="s">
        <v>500</v>
      </c>
      <c r="C2" s="4"/>
      <c r="D2" s="4"/>
      <c r="E2" s="4"/>
      <c r="F2" s="209"/>
      <c r="G2" s="184"/>
    </row>
    <row r="3" spans="1:7" ht="15" customHeight="1" thickBot="1">
      <c r="A3" s="280"/>
      <c r="B3" s="36"/>
      <c r="C3" s="44"/>
      <c r="D3" s="44"/>
      <c r="E3" s="44"/>
      <c r="F3" s="45"/>
      <c r="G3" s="184"/>
    </row>
    <row r="4" spans="1:7" ht="35.1" customHeight="1" thickBot="1">
      <c r="A4" s="280"/>
      <c r="B4" s="335" t="s">
        <v>0</v>
      </c>
      <c r="C4" s="2580" t="str">
        <f>'Background Data'!$G$2</f>
        <v>Glasgow, University of</v>
      </c>
      <c r="D4" s="2581"/>
      <c r="E4" s="2582"/>
      <c r="F4" s="208">
        <f>VLOOKUP('Background Data'!$F$2,Inst_Tables,11,FALSE)</f>
        <v>1</v>
      </c>
      <c r="G4" s="184"/>
    </row>
    <row r="5" spans="1:7" ht="35.1" customHeight="1">
      <c r="A5" s="280"/>
      <c r="B5" s="336" t="s">
        <v>494</v>
      </c>
      <c r="C5" s="47"/>
      <c r="D5" s="16"/>
      <c r="E5" s="16"/>
      <c r="F5" s="49"/>
      <c r="G5" s="184"/>
    </row>
    <row r="6" spans="1:7" ht="30" customHeight="1">
      <c r="A6" s="280"/>
      <c r="B6" s="329" t="s">
        <v>542</v>
      </c>
      <c r="C6" s="47"/>
      <c r="D6" s="16"/>
      <c r="E6" s="16"/>
      <c r="F6" s="49"/>
      <c r="G6" s="184"/>
    </row>
    <row r="7" spans="1:7" ht="15" customHeight="1" thickBot="1">
      <c r="A7" s="280"/>
      <c r="B7" s="329"/>
      <c r="C7" s="47"/>
      <c r="D7" s="16"/>
      <c r="E7" s="16"/>
      <c r="F7" s="49"/>
      <c r="G7" s="184"/>
    </row>
    <row r="8" spans="1:7" ht="60" customHeight="1">
      <c r="A8" s="280"/>
      <c r="B8" s="337"/>
      <c r="C8" s="2643" t="s">
        <v>339</v>
      </c>
      <c r="D8" s="2643"/>
      <c r="E8" s="2644"/>
      <c r="F8" s="17"/>
      <c r="G8" s="184"/>
    </row>
    <row r="9" spans="1:7" ht="39.950000000000003" customHeight="1">
      <c r="A9" s="280"/>
      <c r="B9" s="338" t="s">
        <v>24</v>
      </c>
      <c r="C9" s="55" t="s">
        <v>203</v>
      </c>
      <c r="D9" s="1271" t="s">
        <v>204</v>
      </c>
      <c r="E9" s="1260" t="s">
        <v>2</v>
      </c>
      <c r="F9" s="17"/>
      <c r="G9" s="184"/>
    </row>
    <row r="10" spans="1:7" ht="30" customHeight="1">
      <c r="A10" s="280"/>
      <c r="B10" s="339"/>
      <c r="C10" s="53" t="s">
        <v>25</v>
      </c>
      <c r="D10" s="1272" t="s">
        <v>25</v>
      </c>
      <c r="E10" s="365" t="s">
        <v>25</v>
      </c>
      <c r="F10" s="17"/>
      <c r="G10" s="184"/>
    </row>
    <row r="11" spans="1:7" ht="30" customHeight="1">
      <c r="A11" s="280"/>
      <c r="B11" s="340"/>
      <c r="C11" s="53" t="s">
        <v>29</v>
      </c>
      <c r="D11" s="1272" t="s">
        <v>29</v>
      </c>
      <c r="E11" s="365" t="s">
        <v>3</v>
      </c>
      <c r="F11" s="17"/>
      <c r="G11" s="184"/>
    </row>
    <row r="12" spans="1:7" ht="30" customHeight="1" thickBot="1">
      <c r="A12" s="280"/>
      <c r="B12" s="341"/>
      <c r="C12" s="413">
        <v>1</v>
      </c>
      <c r="D12" s="414">
        <v>2</v>
      </c>
      <c r="E12" s="552">
        <v>3</v>
      </c>
      <c r="F12" s="17"/>
      <c r="G12" s="184"/>
    </row>
    <row r="13" spans="1:7" ht="35.1" customHeight="1">
      <c r="A13" s="280"/>
      <c r="B13" s="342" t="s">
        <v>17</v>
      </c>
      <c r="C13" s="910">
        <v>291</v>
      </c>
      <c r="D13" s="1273">
        <v>163</v>
      </c>
      <c r="E13" s="1268">
        <f>SUM(C13,D13)</f>
        <v>454</v>
      </c>
      <c r="F13" s="12"/>
      <c r="G13" s="184"/>
    </row>
    <row r="14" spans="1:7" ht="35.1" customHeight="1" thickBot="1">
      <c r="A14" s="280"/>
      <c r="B14" s="1263" t="s">
        <v>18</v>
      </c>
      <c r="C14" s="1264">
        <v>115</v>
      </c>
      <c r="D14" s="1274">
        <v>80</v>
      </c>
      <c r="E14" s="1269">
        <f>SUM(C14,D14)</f>
        <v>195</v>
      </c>
      <c r="F14" s="12"/>
      <c r="G14" s="184"/>
    </row>
    <row r="15" spans="1:7" ht="35.1" customHeight="1" thickBot="1">
      <c r="A15" s="280"/>
      <c r="B15" s="1265" t="s">
        <v>2</v>
      </c>
      <c r="C15" s="1266">
        <f>SUM(C13:C14)</f>
        <v>406</v>
      </c>
      <c r="D15" s="1267">
        <f>SUM(D13:D14)</f>
        <v>243</v>
      </c>
      <c r="E15" s="1270">
        <f>SUM(E13:E14)</f>
        <v>649</v>
      </c>
      <c r="F15" s="12"/>
      <c r="G15" s="184"/>
    </row>
    <row r="16" spans="1:7" ht="24.95" customHeight="1">
      <c r="A16" s="289"/>
      <c r="B16" s="50"/>
      <c r="C16" s="50"/>
      <c r="D16" s="51"/>
      <c r="E16" s="51"/>
      <c r="F16" s="52"/>
      <c r="G16" s="184"/>
    </row>
    <row r="17" spans="2:10" s="509" customFormat="1" ht="12" customHeight="1">
      <c r="B17" s="510"/>
    </row>
    <row r="18" spans="2:10">
      <c r="D18" s="508"/>
      <c r="E18" s="508"/>
      <c r="F18" s="508"/>
      <c r="G18" s="508"/>
      <c r="H18" s="508"/>
      <c r="I18" s="508"/>
      <c r="J18" s="508"/>
    </row>
    <row r="19" spans="2:10">
      <c r="D19" s="508"/>
      <c r="E19" s="508"/>
      <c r="F19" s="508"/>
      <c r="G19" s="508"/>
      <c r="H19" s="508"/>
      <c r="I19" s="508"/>
      <c r="J19" s="508"/>
    </row>
    <row r="20" spans="2:10">
      <c r="D20" s="508"/>
      <c r="E20" s="508"/>
      <c r="F20" s="508"/>
      <c r="G20" s="508"/>
      <c r="H20" s="508"/>
      <c r="I20" s="508"/>
      <c r="J20" s="508"/>
    </row>
    <row r="25" spans="2:10" ht="12.75" customHeight="1"/>
  </sheetData>
  <sheetProtection password="E23E" sheet="1" objects="1" scenarios="1"/>
  <mergeCells count="2">
    <mergeCell ref="C8:E8"/>
    <mergeCell ref="C4:E4"/>
  </mergeCells>
  <conditionalFormatting sqref="B2">
    <cfRule type="expression" dxfId="88" priority="1" stopIfTrue="1">
      <formula>#REF!=0</formula>
    </cfRule>
  </conditionalFormatting>
  <conditionalFormatting sqref="A1:G1">
    <cfRule type="expression" dxfId="87" priority="86" stopIfTrue="1">
      <formula>$F$4=0</formula>
    </cfRule>
  </conditionalFormatting>
  <conditionalFormatting sqref="C13:D14">
    <cfRule type="expression" dxfId="86" priority="88" stopIfTrue="1">
      <formula>$F$4=1</formula>
    </cfRule>
  </conditionalFormatting>
  <dataValidations count="1">
    <dataValidation type="whole" operator="greaterThanOrEqual" allowBlank="1" showInputMessage="1" showErrorMessage="1" errorTitle="ERROR!" error="Invalid Entry" sqref="C13:D14" xr:uid="{00000000-0002-0000-0800-000000000000}">
      <formula1>0</formula1>
    </dataValidation>
  </dataValidations>
  <pageMargins left="0.39370078740157483" right="0.39370078740157483" top="0.19685039370078741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40</vt:i4>
      </vt:variant>
    </vt:vector>
  </HeadingPairs>
  <TitlesOfParts>
    <vt:vector size="62" baseType="lpstr">
      <vt:lpstr>Contents</vt:lpstr>
      <vt:lpstr>Early Statistics Tables ---&gt;</vt:lpstr>
      <vt:lpstr>T1 Main Table</vt:lpstr>
      <vt:lpstr>T2a ITE</vt:lpstr>
      <vt:lpstr>T2b ITE New Routes </vt:lpstr>
      <vt:lpstr>T2c PGDE Subjects</vt:lpstr>
      <vt:lpstr>T2d Other Sec New Routes Subjs</vt:lpstr>
      <vt:lpstr>T2e TQFE</vt:lpstr>
      <vt:lpstr>T2f Catholic ITE</vt:lpstr>
      <vt:lpstr>T3 Medicine, Dentistry</vt:lpstr>
      <vt:lpstr>T4a Nurse and Midwry Three Year</vt:lpstr>
      <vt:lpstr>T4b Nurse Four Year</vt:lpstr>
      <vt:lpstr>T5a TPG FPs</vt:lpstr>
      <vt:lpstr>T5b Innovation Centres</vt:lpstr>
      <vt:lpstr>T5c Early Years</vt:lpstr>
      <vt:lpstr>T5d ESF DSW </vt:lpstr>
      <vt:lpstr>T6 Care Experienced</vt:lpstr>
      <vt:lpstr>Monitoring</vt:lpstr>
      <vt:lpstr>Early Access Tables ---&gt;</vt:lpstr>
      <vt:lpstr>Early Access T1 UG Entrants</vt:lpstr>
      <vt:lpstr>Early Access T2 UG Applicants</vt:lpstr>
      <vt:lpstr>Background Data</vt:lpstr>
      <vt:lpstr>Monitoring!Consol_Tolerance</vt:lpstr>
      <vt:lpstr>Monitoring!Control_Consol_Tolerance_FTE</vt:lpstr>
      <vt:lpstr>Monitoring!Control_Under_Tolerance</vt:lpstr>
      <vt:lpstr>Dentistry_Consol_Tolerance</vt:lpstr>
      <vt:lpstr>Early_Statistics</vt:lpstr>
      <vt:lpstr>Early_Stats_Last_Year</vt:lpstr>
      <vt:lpstr>Final_Figures</vt:lpstr>
      <vt:lpstr>ICs_TPG_ES</vt:lpstr>
      <vt:lpstr>Innov_Centres</vt:lpstr>
      <vt:lpstr>Inst_FPs</vt:lpstr>
      <vt:lpstr>Inst_Tables</vt:lpstr>
      <vt:lpstr>ITE_Subjects</vt:lpstr>
      <vt:lpstr>Monitoring!Non_control_Under_Tolerance</vt:lpstr>
      <vt:lpstr>PGDE_Subjects</vt:lpstr>
      <vt:lpstr>Contents!Print_Area</vt:lpstr>
      <vt:lpstr>'Early Access T1 UG Entrants'!Print_Area</vt:lpstr>
      <vt:lpstr>'Early Access T2 UG Applicants'!Print_Area</vt:lpstr>
      <vt:lpstr>Monitoring!Print_Area</vt:lpstr>
      <vt:lpstr>'T1 Main Table'!Print_Area</vt:lpstr>
      <vt:lpstr>'T2a ITE'!Print_Area</vt:lpstr>
      <vt:lpstr>'T2b ITE New Routes '!Print_Area</vt:lpstr>
      <vt:lpstr>'T2c PGDE Subjects'!Print_Area</vt:lpstr>
      <vt:lpstr>'T2d Other Sec New Routes Subjs'!Print_Area</vt:lpstr>
      <vt:lpstr>'T2e TQFE'!Print_Area</vt:lpstr>
      <vt:lpstr>'T2f Catholic ITE'!Print_Area</vt:lpstr>
      <vt:lpstr>'T3 Medicine, Dentistry'!Print_Area</vt:lpstr>
      <vt:lpstr>'T4a Nurse and Midwry Three Year'!Print_Area</vt:lpstr>
      <vt:lpstr>'T4b Nurse Four Year'!Print_Area</vt:lpstr>
      <vt:lpstr>'T5a TPG FPs'!Print_Area</vt:lpstr>
      <vt:lpstr>'T5b Innovation Centres'!Print_Area</vt:lpstr>
      <vt:lpstr>'T5c Early Years'!Print_Area</vt:lpstr>
      <vt:lpstr>'T5d ESF DSW '!Print_Area</vt:lpstr>
      <vt:lpstr>'T6 Care Experienced'!Print_Area</vt:lpstr>
      <vt:lpstr>Monitoring!Print_Titles</vt:lpstr>
      <vt:lpstr>'T1 Main Table'!Print_Titles</vt:lpstr>
      <vt:lpstr>'T2a ITE'!Print_Titles</vt:lpstr>
      <vt:lpstr>'T2b ITE New Routes '!Print_Titles</vt:lpstr>
      <vt:lpstr>'T3 Medicine, Dentistry'!Print_Titles</vt:lpstr>
      <vt:lpstr>'T4a Nurse and Midwry Three Year'!Print_Titles</vt:lpstr>
      <vt:lpstr>'T5a TPG FPs'!Print_Titles</vt:lpstr>
    </vt:vector>
  </TitlesOfParts>
  <Company>Scottish Funding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McCleary</dc:creator>
  <cp:lastModifiedBy>David Martin (Planning Services)</cp:lastModifiedBy>
  <cp:lastPrinted>2019-10-25T10:57:17Z</cp:lastPrinted>
  <dcterms:created xsi:type="dcterms:W3CDTF">2004-10-22T07:49:06Z</dcterms:created>
  <dcterms:modified xsi:type="dcterms:W3CDTF">2019-12-12T12:33:17Z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