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PBIData\SFC\2018-19\Early Return December 2018\7 Final submission to SFC 13 Dec 2018\"/>
    </mc:Choice>
  </mc:AlternateContent>
  <bookViews>
    <workbookView xWindow="0" yWindow="0" windowWidth="24660" windowHeight="11535"/>
  </bookViews>
  <sheets>
    <sheet name="Contents" sheetId="47" r:id="rId1"/>
    <sheet name="T1 Main Table" sheetId="34" r:id="rId2"/>
    <sheet name="Monitoring" sheetId="70" r:id="rId3"/>
    <sheet name="T2a ITE" sheetId="39" r:id="rId4"/>
    <sheet name="T2b TQFE" sheetId="13" state="hidden" r:id="rId5"/>
    <sheet name="T2c Catholic ITE" sheetId="14" r:id="rId6"/>
    <sheet name="Table 2d PGDE Subjects" sheetId="66" r:id="rId7"/>
    <sheet name="T2e ITE New Routes " sheetId="68" r:id="rId8"/>
    <sheet name="T2f ITE New Routes Subjects" sheetId="69" r:id="rId9"/>
    <sheet name="Table 3 Med,Dent" sheetId="63" r:id="rId10"/>
    <sheet name="Table 4a Nurse and Midwy 3 Yr" sheetId="48" state="hidden" r:id="rId11"/>
    <sheet name="Table 4b Nurse 4 Year" sheetId="41" r:id="rId12"/>
    <sheet name="T5a TPG FPs" sheetId="64" r:id="rId13"/>
    <sheet name="Table 5b Innov Centres" sheetId="54" r:id="rId14"/>
    <sheet name="Table 5c Early Years" sheetId="53" r:id="rId15"/>
    <sheet name="Table 5d ESF DSW " sheetId="51" state="hidden" r:id="rId16"/>
    <sheet name="Table 6 Care Experienced" sheetId="52" r:id="rId17"/>
    <sheet name="Early Access Return" sheetId="65" r:id="rId18"/>
    <sheet name="Background Data" sheetId="49" state="hidden" r:id="rId19"/>
  </sheets>
  <definedNames>
    <definedName name="Consol_Tolerance" localSheetId="2">Monitoring!$C$99</definedName>
    <definedName name="Control_Consol_Tolerance_FTE" localSheetId="2">Monitoring!$C$100</definedName>
    <definedName name="Control_Under_Tolerance" localSheetId="2">Monitoring!$C$96</definedName>
    <definedName name="Dentistry_Consol_Tolerance">Monitoring!$C$98</definedName>
    <definedName name="Early_Stats_Last_Year">'Background Data'!$A$68:$BK$104</definedName>
    <definedName name="Final_Figures_Last_Year">'Background Data'!$A$114:$BK$150</definedName>
    <definedName name="HTML_CodePage" hidden="1">1252</definedName>
    <definedName name="HTML_Control" localSheetId="2" hidden="1">{"'Page1'!$E$11:$AJ$51","'Page1'!$A$1"}</definedName>
    <definedName name="HTML_Control" localSheetId="7" hidden="1">{"'Page1'!$E$11:$AJ$51","'Page1'!$A$1"}</definedName>
    <definedName name="HTML_Control" localSheetId="8" hidden="1">{"'Page1'!$E$11:$AJ$51","'Page1'!$A$1"}</definedName>
    <definedName name="HTML_Control" localSheetId="12" hidden="1">{"'Page1'!$E$11:$AJ$51","'Page1'!$A$1"}</definedName>
    <definedName name="HTML_Control" localSheetId="13" hidden="1">{"'Page1'!$E$11:$AJ$51","'Page1'!$A$1"}</definedName>
    <definedName name="HTML_Control" hidden="1">{"'Page1'!$E$11:$AJ$51","'Page1'!$A$1"}</definedName>
    <definedName name="HTML_Description" hidden="1">""</definedName>
    <definedName name="HTML_Email" hidden="1">""</definedName>
    <definedName name="HTML_Header" hidden="1">"Page1"</definedName>
    <definedName name="HTML_LastUpdate" hidden="1">"07/10/1999"</definedName>
    <definedName name="HTML_LineAfter" hidden="1">TRUE</definedName>
    <definedName name="HTML_LineBefore" hidden="1">TRUE</definedName>
    <definedName name="HTML_Name" hidden="1">"ISU"</definedName>
    <definedName name="HTML_OBDlg2" hidden="1">TRUE</definedName>
    <definedName name="HTML_OBDlg4" hidden="1">TRUE</definedName>
    <definedName name="HTML_OS" hidden="1">0</definedName>
    <definedName name="HTML_PathFile" hidden="1">"c:\windows\desktop\MyHTML.htm"</definedName>
    <definedName name="HTML_Title" hidden="1">"CONVFACT"</definedName>
    <definedName name="Innov_Centres">'Background Data'!$BO$158:$BQ$164</definedName>
    <definedName name="Inst_FPs">'Background Data'!$A$39:$BF$58</definedName>
    <definedName name="Inst_Tables">'Background Data'!$A$10:$Q$29</definedName>
    <definedName name="ITE_Subjects">'Background Data'!$BT$172:$BT$191</definedName>
    <definedName name="Non_control_Under_Tolerance" localSheetId="2">Monitoring!$C$97</definedName>
    <definedName name="_xlnm.Print_Area" localSheetId="0">Contents!$A$1:$E$27</definedName>
    <definedName name="_xlnm.Print_Area" localSheetId="17">'Early Access Return'!$A$1:$L$29</definedName>
    <definedName name="_xlnm.Print_Area" localSheetId="2">Monitoring!$A$1:$K$90</definedName>
    <definedName name="_xlnm.Print_Area" localSheetId="1">'T1 Main Table'!$B$1:$T$60</definedName>
    <definedName name="_xlnm.Print_Area" localSheetId="3">'T2a ITE'!$A$2:$P$70</definedName>
    <definedName name="_xlnm.Print_Area" localSheetId="4">'T2b TQFE'!$A$2:$O$15</definedName>
    <definedName name="_xlnm.Print_Area" localSheetId="5">'T2c Catholic ITE'!$A$2:$F$16</definedName>
    <definedName name="_xlnm.Print_Area" localSheetId="7">'T2e ITE New Routes '!$A$2:$O$64</definedName>
    <definedName name="_xlnm.Print_Area" localSheetId="8">'T2f ITE New Routes Subjects'!$A$2:$S$32</definedName>
    <definedName name="_xlnm.Print_Area" localSheetId="12">'T5a TPG FPs'!$A$2:$D$59</definedName>
    <definedName name="_xlnm.Print_Area" localSheetId="6">'Table 2d PGDE Subjects'!$A$2:$J$36</definedName>
    <definedName name="_xlnm.Print_Area" localSheetId="9">'Table 3 Med,Dent'!$A$8:$P$71</definedName>
    <definedName name="_xlnm.Print_Area" localSheetId="10">'Table 4a Nurse and Midwy 3 Yr'!$A$2:$R$48</definedName>
    <definedName name="_xlnm.Print_Area" localSheetId="11">'Table 4b Nurse 4 Year'!$A$2:$F$19</definedName>
    <definedName name="_xlnm.Print_Area" localSheetId="13">'Table 5b Innov Centres'!$A$2:$F$20</definedName>
    <definedName name="_xlnm.Print_Area" localSheetId="14">'Table 5c Early Years'!$A$2:$H$19</definedName>
    <definedName name="_xlnm.Print_Area" localSheetId="15">'Table 5d ESF DSW '!$A$2:$H$32</definedName>
    <definedName name="_xlnm.Print_Area" localSheetId="16">'Table 6 Care Experienced'!$A$1:$F$8</definedName>
    <definedName name="_xlnm.Print_Titles" localSheetId="2">Monitoring!$1:$3</definedName>
    <definedName name="_xlnm.Print_Titles" localSheetId="1">'T1 Main Table'!$1:$12</definedName>
    <definedName name="_xlnm.Print_Titles" localSheetId="3">'T2a ITE'!$2:$13</definedName>
    <definedName name="_xlnm.Print_Titles" localSheetId="7">'T2e ITE New Routes '!$2:$13</definedName>
    <definedName name="_xlnm.Print_Titles" localSheetId="12">'T5a TPG FPs'!$2:$13</definedName>
    <definedName name="_xlnm.Print_Titles" localSheetId="9">'Table 3 Med,Dent'!$2:$5</definedName>
    <definedName name="_xlnm.Print_Titles" localSheetId="10">'Table 4a Nurse and Midwy 3 Yr'!$2:$13</definedName>
  </definedNames>
  <calcPr calcId="179017"/>
</workbook>
</file>

<file path=xl/calcChain.xml><?xml version="1.0" encoding="utf-8"?>
<calcChain xmlns="http://schemas.openxmlformats.org/spreadsheetml/2006/main">
  <c r="O43" i="39" l="1"/>
  <c r="C26" i="65" l="1"/>
  <c r="C23" i="65"/>
  <c r="C89" i="70"/>
  <c r="C88" i="70"/>
  <c r="C87" i="70"/>
  <c r="C85" i="70"/>
  <c r="C84" i="70"/>
  <c r="C83" i="70"/>
  <c r="C82" i="70"/>
  <c r="C81" i="70"/>
  <c r="C80" i="70"/>
  <c r="C78" i="70"/>
  <c r="C77" i="70"/>
  <c r="C75" i="70" l="1"/>
  <c r="C74" i="70"/>
  <c r="E60" i="68" l="1"/>
  <c r="E56" i="68"/>
  <c r="E59" i="68"/>
  <c r="E58" i="68"/>
  <c r="E57" i="68"/>
  <c r="D63" i="68"/>
  <c r="F61" i="68"/>
  <c r="D61" i="68"/>
  <c r="C61" i="68"/>
  <c r="D53" i="68"/>
  <c r="E50" i="68"/>
  <c r="E49" i="68"/>
  <c r="E48" i="68"/>
  <c r="E47" i="68"/>
  <c r="E46" i="68"/>
  <c r="F51" i="68"/>
  <c r="D51" i="68"/>
  <c r="C51" i="68"/>
  <c r="F41" i="68"/>
  <c r="D41" i="68"/>
  <c r="C41" i="68"/>
  <c r="D43" i="68"/>
  <c r="E40" i="68"/>
  <c r="E39" i="68"/>
  <c r="E38" i="68"/>
  <c r="E37" i="68"/>
  <c r="E36" i="68"/>
  <c r="D31" i="68"/>
  <c r="F31" i="68"/>
  <c r="C31" i="68"/>
  <c r="G29" i="68"/>
  <c r="G28" i="68"/>
  <c r="E30" i="68"/>
  <c r="G30" i="68" s="1"/>
  <c r="E29" i="68"/>
  <c r="E28" i="68"/>
  <c r="E27" i="68"/>
  <c r="E26" i="68"/>
  <c r="D33" i="68"/>
  <c r="F21" i="68"/>
  <c r="E21" i="68"/>
  <c r="D21" i="68"/>
  <c r="C21" i="68"/>
  <c r="G18" i="68"/>
  <c r="G17" i="68"/>
  <c r="E20" i="68"/>
  <c r="E19" i="68"/>
  <c r="E18" i="68"/>
  <c r="E17" i="68"/>
  <c r="E16" i="68"/>
  <c r="G16" i="68" s="1"/>
  <c r="G67" i="39"/>
  <c r="E68" i="39"/>
  <c r="G68" i="39" s="1"/>
  <c r="E67" i="39"/>
  <c r="F69" i="39"/>
  <c r="D69" i="39"/>
  <c r="C69" i="39"/>
  <c r="F63" i="39"/>
  <c r="H62" i="39"/>
  <c r="F62" i="39"/>
  <c r="D62" i="39"/>
  <c r="C62" i="39"/>
  <c r="E62" i="39" s="1"/>
  <c r="G62" i="39" s="1"/>
  <c r="H61" i="39"/>
  <c r="F61" i="39"/>
  <c r="D61" i="39"/>
  <c r="D63" i="39" s="1"/>
  <c r="C61" i="39"/>
  <c r="E61" i="39" s="1"/>
  <c r="E63" i="39" s="1"/>
  <c r="H59" i="39"/>
  <c r="F59" i="39"/>
  <c r="D59" i="39"/>
  <c r="C59" i="39"/>
  <c r="H55" i="39"/>
  <c r="F55" i="39"/>
  <c r="D55" i="39"/>
  <c r="E58" i="39"/>
  <c r="E53" i="68" s="1"/>
  <c r="E57" i="39"/>
  <c r="E43" i="68" s="1"/>
  <c r="E54" i="39"/>
  <c r="G54" i="39" s="1"/>
  <c r="E53" i="39"/>
  <c r="O48" i="39"/>
  <c r="O47" i="39"/>
  <c r="R47" i="39" s="1"/>
  <c r="O46" i="39"/>
  <c r="E48" i="39"/>
  <c r="G48" i="39" s="1"/>
  <c r="E47" i="39"/>
  <c r="G47" i="39" s="1"/>
  <c r="E46" i="39"/>
  <c r="R46" i="39" s="1"/>
  <c r="E43" i="39"/>
  <c r="R43" i="39" s="1"/>
  <c r="H40" i="39"/>
  <c r="H39" i="39"/>
  <c r="H41" i="39" s="1"/>
  <c r="O36" i="39"/>
  <c r="O37" i="39" s="1"/>
  <c r="O35" i="39"/>
  <c r="O32" i="39"/>
  <c r="O31" i="39"/>
  <c r="K41" i="39"/>
  <c r="K40" i="39"/>
  <c r="J40" i="39"/>
  <c r="O40" i="39" s="1"/>
  <c r="J39" i="39"/>
  <c r="F40" i="39"/>
  <c r="D40" i="39"/>
  <c r="C40" i="39"/>
  <c r="E40" i="39" s="1"/>
  <c r="G40" i="39" s="1"/>
  <c r="F39" i="39"/>
  <c r="F41" i="39" s="1"/>
  <c r="D39" i="39"/>
  <c r="C39" i="39"/>
  <c r="H37" i="39"/>
  <c r="F37" i="39"/>
  <c r="D37" i="39"/>
  <c r="C37" i="39"/>
  <c r="E36" i="39"/>
  <c r="G36" i="39" s="1"/>
  <c r="E35" i="39"/>
  <c r="E37" i="39" s="1"/>
  <c r="E33" i="68" s="1"/>
  <c r="H33" i="39"/>
  <c r="F33" i="39"/>
  <c r="D33" i="39"/>
  <c r="C33" i="39"/>
  <c r="E32" i="39"/>
  <c r="G32" i="39" s="1"/>
  <c r="E31" i="39"/>
  <c r="G31" i="39" s="1"/>
  <c r="H25" i="39"/>
  <c r="H27" i="39" s="1"/>
  <c r="H26" i="39"/>
  <c r="K26" i="39"/>
  <c r="K27" i="39" s="1"/>
  <c r="J26" i="39"/>
  <c r="J25" i="39"/>
  <c r="O22" i="39"/>
  <c r="R22" i="39" s="1"/>
  <c r="O21" i="39"/>
  <c r="K23" i="39"/>
  <c r="J23" i="39"/>
  <c r="O18" i="39"/>
  <c r="O17" i="39"/>
  <c r="K19" i="39"/>
  <c r="J19" i="39"/>
  <c r="F26" i="39"/>
  <c r="F25" i="39"/>
  <c r="F27" i="39" s="1"/>
  <c r="C25" i="39"/>
  <c r="H23" i="39"/>
  <c r="F23" i="39"/>
  <c r="D23" i="39"/>
  <c r="D23" i="68" s="1"/>
  <c r="C23" i="39"/>
  <c r="H19" i="39"/>
  <c r="F19" i="39"/>
  <c r="D19" i="39"/>
  <c r="C19" i="39"/>
  <c r="G18" i="39"/>
  <c r="D26" i="39"/>
  <c r="D25" i="39"/>
  <c r="D27" i="39" s="1"/>
  <c r="C26" i="39"/>
  <c r="E26" i="39" s="1"/>
  <c r="G26" i="39" s="1"/>
  <c r="E22" i="39"/>
  <c r="G22" i="39" s="1"/>
  <c r="E21" i="39"/>
  <c r="G21" i="39" s="1"/>
  <c r="E18" i="39"/>
  <c r="E17" i="39"/>
  <c r="G17" i="39" s="1"/>
  <c r="O33" i="39" l="1"/>
  <c r="R21" i="39"/>
  <c r="E23" i="39"/>
  <c r="E23" i="68" s="1"/>
  <c r="E55" i="39"/>
  <c r="G53" i="39"/>
  <c r="G55" i="39" s="1"/>
  <c r="R48" i="39"/>
  <c r="G43" i="39"/>
  <c r="J41" i="39"/>
  <c r="O41" i="39" s="1"/>
  <c r="G33" i="39"/>
  <c r="E39" i="39"/>
  <c r="G39" i="39" s="1"/>
  <c r="G41" i="39" s="1"/>
  <c r="R18" i="39"/>
  <c r="C27" i="39"/>
  <c r="G19" i="39"/>
  <c r="G23" i="39"/>
  <c r="R35" i="39"/>
  <c r="J27" i="39"/>
  <c r="O27" i="39" s="1"/>
  <c r="R36" i="39"/>
  <c r="E41" i="68"/>
  <c r="E25" i="39"/>
  <c r="H63" i="39"/>
  <c r="C63" i="39"/>
  <c r="E31" i="68"/>
  <c r="O39" i="39"/>
  <c r="G35" i="39"/>
  <c r="G37" i="39" s="1"/>
  <c r="G46" i="39"/>
  <c r="G57" i="39"/>
  <c r="G59" i="39" s="1"/>
  <c r="E19" i="39"/>
  <c r="R17" i="39"/>
  <c r="E59" i="39"/>
  <c r="G58" i="39"/>
  <c r="G20" i="68"/>
  <c r="R32" i="39"/>
  <c r="C41" i="39"/>
  <c r="G26" i="68"/>
  <c r="G31" i="68" s="1"/>
  <c r="G69" i="39"/>
  <c r="G27" i="68"/>
  <c r="E51" i="68"/>
  <c r="E61" i="68"/>
  <c r="G19" i="68"/>
  <c r="G21" i="68" s="1"/>
  <c r="E69" i="39"/>
  <c r="E63" i="68" s="1"/>
  <c r="G61" i="39"/>
  <c r="G63" i="39" s="1"/>
  <c r="R31" i="39"/>
  <c r="D41" i="39"/>
  <c r="E33" i="39"/>
  <c r="O23" i="39"/>
  <c r="O26" i="39"/>
  <c r="O19" i="39"/>
  <c r="O25" i="39"/>
  <c r="E15" i="41"/>
  <c r="E14" i="41"/>
  <c r="AB44" i="63"/>
  <c r="R68" i="63"/>
  <c r="R66" i="63"/>
  <c r="R65" i="63"/>
  <c r="M63" i="68"/>
  <c r="F63" i="68"/>
  <c r="C63" i="68"/>
  <c r="M53" i="68"/>
  <c r="L53" i="68"/>
  <c r="K53" i="68"/>
  <c r="J53" i="68"/>
  <c r="I53" i="68"/>
  <c r="F53" i="68"/>
  <c r="C53" i="68"/>
  <c r="M43" i="68"/>
  <c r="L43" i="68"/>
  <c r="K43" i="68"/>
  <c r="J43" i="68"/>
  <c r="I43" i="68"/>
  <c r="F43" i="68"/>
  <c r="C43" i="68"/>
  <c r="N33" i="68"/>
  <c r="G33" i="68"/>
  <c r="F33" i="68"/>
  <c r="C33" i="68"/>
  <c r="F23" i="68"/>
  <c r="E41" i="39" l="1"/>
  <c r="G25" i="39"/>
  <c r="G27" i="39" s="1"/>
  <c r="E27" i="39"/>
  <c r="AT30" i="34"/>
  <c r="AX30" i="34" s="1"/>
  <c r="AT29" i="34"/>
  <c r="AX29" i="34" s="1"/>
  <c r="AT27" i="34"/>
  <c r="AX27" i="34" s="1"/>
  <c r="AT26" i="34"/>
  <c r="AX26" i="34" s="1"/>
  <c r="AT21" i="34"/>
  <c r="AX21" i="34" s="1"/>
  <c r="AT20" i="34"/>
  <c r="AX20" i="34" s="1"/>
  <c r="AT18" i="34"/>
  <c r="AX18" i="34" s="1"/>
  <c r="AT17" i="34"/>
  <c r="AX17" i="34" s="1"/>
  <c r="Q38" i="34"/>
  <c r="AI26" i="34"/>
  <c r="Y26" i="34"/>
  <c r="I55" i="34"/>
  <c r="H55" i="34"/>
  <c r="E55" i="34"/>
  <c r="D55" i="34"/>
  <c r="C55" i="34"/>
  <c r="C31" i="34"/>
  <c r="Q46" i="34"/>
  <c r="L46" i="34"/>
  <c r="K46" i="34"/>
  <c r="J46" i="34"/>
  <c r="F46" i="34"/>
  <c r="G46" i="34" s="1"/>
  <c r="P28" i="34"/>
  <c r="O28" i="34"/>
  <c r="Q27" i="34"/>
  <c r="Q26" i="34"/>
  <c r="P24" i="34"/>
  <c r="P56" i="34" s="1"/>
  <c r="O24" i="34"/>
  <c r="Q23" i="34"/>
  <c r="I28" i="34"/>
  <c r="H28" i="34"/>
  <c r="E28" i="34"/>
  <c r="D28" i="34"/>
  <c r="L27" i="34"/>
  <c r="K27" i="34"/>
  <c r="J27" i="34"/>
  <c r="S36" i="39" s="1"/>
  <c r="F27" i="34"/>
  <c r="G27" i="34" s="1"/>
  <c r="S35" i="39" s="1"/>
  <c r="L26" i="34"/>
  <c r="K26" i="34"/>
  <c r="J26" i="34"/>
  <c r="S32" i="39" s="1"/>
  <c r="F26" i="34"/>
  <c r="G26" i="34" s="1"/>
  <c r="S31" i="39" s="1"/>
  <c r="L23" i="34"/>
  <c r="K23" i="34"/>
  <c r="I24" i="34"/>
  <c r="H24" i="34"/>
  <c r="E24" i="34"/>
  <c r="D24" i="34"/>
  <c r="J23" i="34"/>
  <c r="S22" i="39" s="1"/>
  <c r="J22" i="34"/>
  <c r="F23" i="34"/>
  <c r="G23" i="34" s="1"/>
  <c r="S21" i="39" s="1"/>
  <c r="E31" i="34" l="1"/>
  <c r="K28" i="34"/>
  <c r="J24" i="34"/>
  <c r="AM26" i="34"/>
  <c r="AC26" i="34"/>
  <c r="Q28" i="34"/>
  <c r="Q24" i="34"/>
  <c r="I31" i="34"/>
  <c r="D31" i="34"/>
  <c r="M27" i="34"/>
  <c r="S27" i="34" s="1"/>
  <c r="J28" i="34"/>
  <c r="H31" i="34"/>
  <c r="O56" i="34"/>
  <c r="M46" i="34"/>
  <c r="F28" i="34"/>
  <c r="G28" i="34" s="1"/>
  <c r="F24" i="34"/>
  <c r="M23" i="34"/>
  <c r="S23" i="34" s="1"/>
  <c r="M26" i="34"/>
  <c r="S26" i="34" s="1"/>
  <c r="L28" i="34"/>
  <c r="E16" i="47"/>
  <c r="E15" i="47"/>
  <c r="E14" i="47"/>
  <c r="C4" i="47"/>
  <c r="M28" i="34" l="1"/>
  <c r="F24" i="70" s="1"/>
  <c r="S46" i="34"/>
  <c r="F31" i="70"/>
  <c r="S58" i="39"/>
  <c r="G24" i="34"/>
  <c r="E45" i="70"/>
  <c r="S28" i="34" l="1"/>
  <c r="L61" i="68"/>
  <c r="K61" i="68"/>
  <c r="J61" i="68"/>
  <c r="I61" i="68"/>
  <c r="O68" i="39"/>
  <c r="R68" i="39" s="1"/>
  <c r="O67" i="39"/>
  <c r="R67" i="39" s="1"/>
  <c r="O58" i="39"/>
  <c r="O57" i="39"/>
  <c r="O54" i="39"/>
  <c r="R54" i="39" s="1"/>
  <c r="O53" i="39"/>
  <c r="R53" i="39" s="1"/>
  <c r="J62" i="39"/>
  <c r="J61" i="39"/>
  <c r="J63" i="39" s="1"/>
  <c r="N59" i="39"/>
  <c r="M59" i="39"/>
  <c r="L59" i="39"/>
  <c r="K59" i="39"/>
  <c r="J59" i="39"/>
  <c r="N55" i="39"/>
  <c r="M55" i="39"/>
  <c r="L55" i="39"/>
  <c r="K55" i="39"/>
  <c r="J55" i="39"/>
  <c r="C55" i="39"/>
  <c r="D82" i="70"/>
  <c r="T21" i="39"/>
  <c r="U21" i="39" s="1"/>
  <c r="G63" i="68"/>
  <c r="M69" i="39"/>
  <c r="L63" i="68" s="1"/>
  <c r="L69" i="39"/>
  <c r="K63" i="68" s="1"/>
  <c r="K69" i="39"/>
  <c r="J63" i="68" s="1"/>
  <c r="J69" i="39"/>
  <c r="R57" i="39" l="1"/>
  <c r="N43" i="68"/>
  <c r="R58" i="39"/>
  <c r="N53" i="68"/>
  <c r="O69" i="39"/>
  <c r="N63" i="68" s="1"/>
  <c r="I63" i="68"/>
  <c r="O55" i="39"/>
  <c r="D89" i="70"/>
  <c r="V19" i="69"/>
  <c r="W19" i="69" s="1"/>
  <c r="X19" i="69" s="1"/>
  <c r="T35" i="39"/>
  <c r="U35" i="39" s="1"/>
  <c r="T36" i="39"/>
  <c r="U36" i="39" s="1"/>
  <c r="T22" i="39"/>
  <c r="U22" i="39" s="1"/>
  <c r="T58" i="39"/>
  <c r="U58" i="39" s="1"/>
  <c r="D32" i="70"/>
  <c r="E32" i="70" s="1"/>
  <c r="D31" i="70"/>
  <c r="E31" i="70" s="1"/>
  <c r="D30" i="70"/>
  <c r="E30" i="70" s="1"/>
  <c r="C28" i="70"/>
  <c r="E28" i="70" s="1"/>
  <c r="C27" i="70"/>
  <c r="E27" i="70" s="1"/>
  <c r="C26" i="70"/>
  <c r="E26" i="70" s="1"/>
  <c r="D25" i="70"/>
  <c r="C25" i="70"/>
  <c r="D24" i="70"/>
  <c r="C24" i="70"/>
  <c r="D23" i="70"/>
  <c r="C23" i="70"/>
  <c r="D21" i="70"/>
  <c r="C21" i="70"/>
  <c r="D20" i="70"/>
  <c r="E20" i="70" s="1"/>
  <c r="C18" i="70"/>
  <c r="E18" i="70" s="1"/>
  <c r="D17" i="70"/>
  <c r="C17" i="70"/>
  <c r="D16" i="70"/>
  <c r="E16" i="70" s="1"/>
  <c r="D15" i="70"/>
  <c r="C15" i="70"/>
  <c r="D45" i="70"/>
  <c r="C45" i="70"/>
  <c r="D44" i="70"/>
  <c r="F44" i="70" s="1"/>
  <c r="C64" i="70"/>
  <c r="C62" i="70"/>
  <c r="C61" i="70"/>
  <c r="C60" i="70"/>
  <c r="C58" i="70"/>
  <c r="C57" i="70"/>
  <c r="C73" i="70"/>
  <c r="D14" i="70"/>
  <c r="C14" i="70"/>
  <c r="E14" i="70" s="1"/>
  <c r="C3" i="70"/>
  <c r="O4" i="69"/>
  <c r="C4" i="69"/>
  <c r="C4" i="68"/>
  <c r="H4" i="68"/>
  <c r="B1" i="68" s="1"/>
  <c r="E4" i="69"/>
  <c r="B1" i="69" s="1"/>
  <c r="D31" i="69"/>
  <c r="R30" i="69"/>
  <c r="K30" i="69"/>
  <c r="R29" i="69"/>
  <c r="K29" i="69"/>
  <c r="R28" i="69"/>
  <c r="K28" i="69"/>
  <c r="R27" i="69"/>
  <c r="K27" i="69"/>
  <c r="R26" i="69"/>
  <c r="K26" i="69"/>
  <c r="R23" i="69"/>
  <c r="K23" i="69"/>
  <c r="R22" i="69"/>
  <c r="K22" i="69"/>
  <c r="R21" i="69"/>
  <c r="K21" i="69"/>
  <c r="R20" i="69"/>
  <c r="K20" i="69"/>
  <c r="R19" i="69"/>
  <c r="K19" i="69"/>
  <c r="R18" i="69"/>
  <c r="K18" i="69"/>
  <c r="R17" i="69"/>
  <c r="K17" i="69"/>
  <c r="R16" i="69"/>
  <c r="K16" i="69"/>
  <c r="R15" i="69"/>
  <c r="K15" i="69"/>
  <c r="N60" i="68"/>
  <c r="Q60" i="68" s="1"/>
  <c r="G60" i="68"/>
  <c r="N59" i="68"/>
  <c r="Q59" i="68" s="1"/>
  <c r="G59" i="68"/>
  <c r="N58" i="68"/>
  <c r="Q58" i="68" s="1"/>
  <c r="G58" i="68"/>
  <c r="N57" i="68"/>
  <c r="Q57" i="68" s="1"/>
  <c r="G57" i="68"/>
  <c r="N56" i="68"/>
  <c r="Q56" i="68" s="1"/>
  <c r="G56" i="68"/>
  <c r="M51" i="68"/>
  <c r="L51" i="68"/>
  <c r="K51" i="68"/>
  <c r="J51" i="68"/>
  <c r="I51" i="68"/>
  <c r="N50" i="68"/>
  <c r="Q50" i="68" s="1"/>
  <c r="G50" i="68"/>
  <c r="N49" i="68"/>
  <c r="Q49" i="68" s="1"/>
  <c r="G49" i="68"/>
  <c r="N48" i="68"/>
  <c r="Q48" i="68" s="1"/>
  <c r="G48" i="68"/>
  <c r="N47" i="68"/>
  <c r="Q47" i="68" s="1"/>
  <c r="G47" i="68"/>
  <c r="N46" i="68"/>
  <c r="Q46" i="68" s="1"/>
  <c r="G46" i="68"/>
  <c r="M41" i="68"/>
  <c r="L41" i="68"/>
  <c r="K41" i="68"/>
  <c r="J41" i="68"/>
  <c r="I41" i="68"/>
  <c r="N40" i="68"/>
  <c r="Q40" i="68" s="1"/>
  <c r="G40" i="68"/>
  <c r="N39" i="68"/>
  <c r="Q39" i="68" s="1"/>
  <c r="G39" i="68"/>
  <c r="N38" i="68"/>
  <c r="Q38" i="68" s="1"/>
  <c r="G38" i="68"/>
  <c r="N37" i="68"/>
  <c r="Q37" i="68" s="1"/>
  <c r="G37" i="68"/>
  <c r="N36" i="68"/>
  <c r="Q36" i="68" s="1"/>
  <c r="G36" i="68"/>
  <c r="J31" i="68"/>
  <c r="I31" i="68"/>
  <c r="N30" i="68"/>
  <c r="Q30" i="68" s="1"/>
  <c r="N29" i="68"/>
  <c r="Q29" i="68" s="1"/>
  <c r="N28" i="68"/>
  <c r="Q28" i="68" s="1"/>
  <c r="N27" i="68"/>
  <c r="Q27" i="68" s="1"/>
  <c r="N26" i="68"/>
  <c r="Q26" i="68" s="1"/>
  <c r="J21" i="68"/>
  <c r="I21" i="68"/>
  <c r="N20" i="68"/>
  <c r="Q20" i="68" s="1"/>
  <c r="N19" i="68"/>
  <c r="Q19" i="68" s="1"/>
  <c r="N18" i="68"/>
  <c r="Q18" i="68" s="1"/>
  <c r="N17" i="68"/>
  <c r="Q17" i="68" s="1"/>
  <c r="N16" i="68"/>
  <c r="Q16" i="68" s="1"/>
  <c r="G41" i="68" l="1"/>
  <c r="V20" i="69"/>
  <c r="G61" i="68"/>
  <c r="R31" i="69"/>
  <c r="W20" i="69" s="1"/>
  <c r="X20" i="69" s="1"/>
  <c r="E15" i="70"/>
  <c r="G51" i="68"/>
  <c r="E89" i="70"/>
  <c r="F89" i="70" s="1"/>
  <c r="E21" i="70"/>
  <c r="K31" i="69"/>
  <c r="N51" i="68"/>
  <c r="F45" i="70"/>
  <c r="E24" i="70"/>
  <c r="N21" i="68"/>
  <c r="N31" i="68"/>
  <c r="E17" i="70"/>
  <c r="E25" i="70"/>
  <c r="E23" i="70"/>
  <c r="G31" i="70"/>
  <c r="H31" i="70" s="1"/>
  <c r="E82" i="70"/>
  <c r="F82" i="70" s="1"/>
  <c r="N61" i="68"/>
  <c r="N41" i="68"/>
  <c r="N62" i="39"/>
  <c r="M62" i="39"/>
  <c r="L62" i="39"/>
  <c r="N61" i="39"/>
  <c r="M61" i="39"/>
  <c r="L61" i="39"/>
  <c r="K61" i="39"/>
  <c r="K62" i="39"/>
  <c r="L34" i="66"/>
  <c r="L33" i="66"/>
  <c r="L32" i="66"/>
  <c r="L31" i="66"/>
  <c r="L30" i="66"/>
  <c r="L29" i="66"/>
  <c r="L28" i="66"/>
  <c r="L27" i="66"/>
  <c r="L26" i="66"/>
  <c r="L25" i="66"/>
  <c r="L24" i="66"/>
  <c r="L23" i="66"/>
  <c r="L22" i="66"/>
  <c r="L21" i="66"/>
  <c r="L20" i="66"/>
  <c r="L19" i="66"/>
  <c r="L18" i="66"/>
  <c r="L17" i="66"/>
  <c r="L16" i="66"/>
  <c r="L15" i="66"/>
  <c r="K37" i="39"/>
  <c r="J33" i="68" s="1"/>
  <c r="J37" i="39"/>
  <c r="I33" i="68" s="1"/>
  <c r="K33" i="39"/>
  <c r="J33" i="39"/>
  <c r="J23" i="68"/>
  <c r="C23" i="68"/>
  <c r="D88" i="70" l="1"/>
  <c r="E88" i="70" s="1"/>
  <c r="F88" i="70" s="1"/>
  <c r="G53" i="68"/>
  <c r="D87" i="70"/>
  <c r="E87" i="70" s="1"/>
  <c r="F87" i="70" s="1"/>
  <c r="G43" i="68"/>
  <c r="I23" i="68"/>
  <c r="L63" i="39"/>
  <c r="K63" i="39"/>
  <c r="O61" i="39"/>
  <c r="V17" i="69"/>
  <c r="W17" i="69" s="1"/>
  <c r="X17" i="69" s="1"/>
  <c r="O62" i="39"/>
  <c r="N63" i="39"/>
  <c r="O59" i="39"/>
  <c r="M63" i="39"/>
  <c r="T31" i="39"/>
  <c r="U31" i="39" s="1"/>
  <c r="T32" i="39"/>
  <c r="U32" i="39" s="1"/>
  <c r="V16" i="69"/>
  <c r="W16" i="69" s="1"/>
  <c r="X16" i="69" s="1"/>
  <c r="N15" i="66"/>
  <c r="G35" i="66"/>
  <c r="C35" i="66"/>
  <c r="I35" i="66" s="1"/>
  <c r="B5" i="66"/>
  <c r="J21" i="65"/>
  <c r="I21" i="65"/>
  <c r="J16" i="65"/>
  <c r="I16" i="65"/>
  <c r="J19" i="65"/>
  <c r="I19" i="65"/>
  <c r="J18" i="65"/>
  <c r="I18" i="65"/>
  <c r="J14" i="65"/>
  <c r="I14" i="65"/>
  <c r="J13" i="65"/>
  <c r="I13" i="65"/>
  <c r="G26" i="65"/>
  <c r="F26" i="65"/>
  <c r="G24" i="65"/>
  <c r="F24" i="65"/>
  <c r="H24" i="65" s="1"/>
  <c r="G23" i="65"/>
  <c r="F23" i="65"/>
  <c r="D26" i="65"/>
  <c r="E26" i="65" s="1"/>
  <c r="D24" i="65"/>
  <c r="C24" i="65"/>
  <c r="D23" i="65"/>
  <c r="C20" i="65"/>
  <c r="C15" i="65"/>
  <c r="H13" i="65"/>
  <c r="D15" i="65"/>
  <c r="H21" i="65"/>
  <c r="E21" i="65"/>
  <c r="E13" i="65"/>
  <c r="H16" i="65"/>
  <c r="E16" i="65"/>
  <c r="G20" i="65"/>
  <c r="F20" i="65"/>
  <c r="D20" i="65"/>
  <c r="H19" i="65"/>
  <c r="E19" i="65"/>
  <c r="H18" i="65"/>
  <c r="E18" i="65"/>
  <c r="E24" i="65" l="1"/>
  <c r="C25" i="65"/>
  <c r="J23" i="65"/>
  <c r="E23" i="65"/>
  <c r="I23" i="65"/>
  <c r="H23" i="65"/>
  <c r="H25" i="65" s="1"/>
  <c r="H26" i="65"/>
  <c r="D80" i="70"/>
  <c r="E80" i="70" s="1"/>
  <c r="F80" i="70" s="1"/>
  <c r="N23" i="68"/>
  <c r="V14" i="69"/>
  <c r="W14" i="69" s="1"/>
  <c r="X14" i="69" s="1"/>
  <c r="G23" i="68"/>
  <c r="D81" i="70"/>
  <c r="E81" i="70" s="1"/>
  <c r="F81" i="70" s="1"/>
  <c r="O63" i="39"/>
  <c r="J26" i="65"/>
  <c r="E20" i="65"/>
  <c r="I24" i="65"/>
  <c r="K16" i="65"/>
  <c r="K21" i="65"/>
  <c r="H20" i="65"/>
  <c r="J20" i="65"/>
  <c r="I20" i="65"/>
  <c r="I26" i="65"/>
  <c r="J24" i="65"/>
  <c r="G25" i="65"/>
  <c r="F25" i="65"/>
  <c r="D25" i="65"/>
  <c r="K19" i="65"/>
  <c r="K18" i="65"/>
  <c r="C4" i="65"/>
  <c r="G15" i="65"/>
  <c r="F15" i="65"/>
  <c r="H14" i="65"/>
  <c r="H15" i="65" s="1"/>
  <c r="E14" i="65"/>
  <c r="E15" i="65" s="1"/>
  <c r="J15" i="65"/>
  <c r="I15" i="65"/>
  <c r="K23" i="65" l="1"/>
  <c r="I25" i="65"/>
  <c r="J25" i="65"/>
  <c r="K26" i="65"/>
  <c r="K24" i="65"/>
  <c r="K20" i="65"/>
  <c r="E25" i="65"/>
  <c r="K14" i="65"/>
  <c r="K13" i="65"/>
  <c r="B3" i="52"/>
  <c r="N28" i="49"/>
  <c r="N27" i="49"/>
  <c r="N26" i="49"/>
  <c r="N25" i="49"/>
  <c r="N24" i="49"/>
  <c r="N23" i="49"/>
  <c r="N22" i="49"/>
  <c r="N21" i="49"/>
  <c r="N20" i="49"/>
  <c r="N19" i="49"/>
  <c r="N18" i="49"/>
  <c r="N17" i="49"/>
  <c r="N16" i="49"/>
  <c r="N15" i="49"/>
  <c r="N14" i="49"/>
  <c r="N13" i="49"/>
  <c r="N12" i="49"/>
  <c r="N11" i="49"/>
  <c r="N10" i="49"/>
  <c r="M28" i="49"/>
  <c r="M27" i="49"/>
  <c r="M26" i="49"/>
  <c r="M25" i="49"/>
  <c r="M24" i="49"/>
  <c r="M23" i="49"/>
  <c r="M22" i="49"/>
  <c r="M21" i="49"/>
  <c r="M20" i="49"/>
  <c r="M19" i="49"/>
  <c r="M18" i="49"/>
  <c r="M17" i="49"/>
  <c r="M16" i="49"/>
  <c r="M15" i="49"/>
  <c r="M14" i="49"/>
  <c r="M13" i="49"/>
  <c r="M12" i="49"/>
  <c r="M11" i="49"/>
  <c r="M10" i="49"/>
  <c r="F4" i="53"/>
  <c r="C55" i="64"/>
  <c r="L28" i="49"/>
  <c r="L27" i="49"/>
  <c r="L26" i="49"/>
  <c r="L25" i="49"/>
  <c r="L24" i="49"/>
  <c r="L23" i="49"/>
  <c r="L22" i="49"/>
  <c r="L21" i="49"/>
  <c r="L20" i="49"/>
  <c r="L19" i="49"/>
  <c r="L18" i="49"/>
  <c r="L17" i="49"/>
  <c r="L16" i="49"/>
  <c r="L15" i="49"/>
  <c r="L14" i="49"/>
  <c r="L13" i="49"/>
  <c r="L12" i="49"/>
  <c r="L11" i="49"/>
  <c r="L10" i="49"/>
  <c r="C8" i="64"/>
  <c r="C4" i="64"/>
  <c r="B1" i="64" s="1"/>
  <c r="B4" i="64"/>
  <c r="E19" i="47" l="1"/>
  <c r="D19" i="47" s="1"/>
  <c r="E22" i="47"/>
  <c r="K25" i="65"/>
  <c r="E21" i="47"/>
  <c r="E4" i="51"/>
  <c r="K15" i="65"/>
  <c r="C56" i="64"/>
  <c r="AI50" i="34" l="1"/>
  <c r="Y50" i="34"/>
  <c r="AI49" i="34"/>
  <c r="Y49" i="34"/>
  <c r="AI44" i="34"/>
  <c r="Y44" i="34"/>
  <c r="AI43" i="34"/>
  <c r="Y43" i="34"/>
  <c r="AI42" i="34"/>
  <c r="Y42" i="34"/>
  <c r="AI41" i="34"/>
  <c r="Y41" i="34"/>
  <c r="AI39" i="34"/>
  <c r="Y39" i="34"/>
  <c r="AI37" i="34"/>
  <c r="Y37" i="34"/>
  <c r="AI36" i="34"/>
  <c r="Y36" i="34"/>
  <c r="AI35" i="34"/>
  <c r="Y35" i="34"/>
  <c r="AI22" i="34"/>
  <c r="Y22" i="34"/>
  <c r="AI16" i="34"/>
  <c r="Y16" i="34"/>
  <c r="F4" i="63" l="1"/>
  <c r="AC44" i="63"/>
  <c r="AD44" i="63" s="1"/>
  <c r="C45" i="63" l="1"/>
  <c r="C51" i="63" s="1"/>
  <c r="E27" i="63" l="1"/>
  <c r="E26" i="63"/>
  <c r="E25" i="63"/>
  <c r="F28" i="63"/>
  <c r="D28" i="63"/>
  <c r="E23" i="63"/>
  <c r="F22" i="63"/>
  <c r="C22" i="63"/>
  <c r="E21" i="63"/>
  <c r="D20" i="63"/>
  <c r="D22" i="63" s="1"/>
  <c r="D73" i="70" s="1"/>
  <c r="E73" i="70" s="1"/>
  <c r="J68" i="63"/>
  <c r="W68" i="63" s="1"/>
  <c r="L67" i="63"/>
  <c r="L69" i="63" s="1"/>
  <c r="I67" i="63"/>
  <c r="I69" i="63" s="1"/>
  <c r="H67" i="63"/>
  <c r="H69" i="63" s="1"/>
  <c r="G67" i="63"/>
  <c r="G69" i="63" s="1"/>
  <c r="F67" i="63"/>
  <c r="F69" i="63" s="1"/>
  <c r="E67" i="63"/>
  <c r="D67" i="63"/>
  <c r="D69" i="63" s="1"/>
  <c r="C67" i="63"/>
  <c r="C69" i="63" s="1"/>
  <c r="J66" i="63"/>
  <c r="W66" i="63" s="1"/>
  <c r="J65" i="63"/>
  <c r="W65" i="63" s="1"/>
  <c r="O50" i="63"/>
  <c r="L50" i="63"/>
  <c r="K50" i="63"/>
  <c r="J50" i="63"/>
  <c r="G50" i="63"/>
  <c r="F50" i="63"/>
  <c r="E50" i="63"/>
  <c r="D50" i="63"/>
  <c r="M49" i="63"/>
  <c r="H49" i="63"/>
  <c r="M48" i="63"/>
  <c r="W48" i="63" s="1"/>
  <c r="H48" i="63"/>
  <c r="R48" i="63" s="1"/>
  <c r="M47" i="63"/>
  <c r="W47" i="63" s="1"/>
  <c r="H47" i="63"/>
  <c r="R47" i="63" s="1"/>
  <c r="O45" i="63"/>
  <c r="L45" i="63"/>
  <c r="K45" i="63"/>
  <c r="J45" i="63"/>
  <c r="G45" i="63"/>
  <c r="F45" i="63"/>
  <c r="E45" i="63"/>
  <c r="D45" i="63"/>
  <c r="M44" i="63"/>
  <c r="W44" i="63" s="1"/>
  <c r="H44" i="63"/>
  <c r="M43" i="63"/>
  <c r="H43" i="63"/>
  <c r="B1" i="63"/>
  <c r="C4" i="63"/>
  <c r="R49" i="63" l="1"/>
  <c r="AB43" i="63"/>
  <c r="D74" i="70"/>
  <c r="E74" i="70" s="1"/>
  <c r="F74" i="70" s="1"/>
  <c r="W49" i="63"/>
  <c r="W43" i="63"/>
  <c r="C29" i="63"/>
  <c r="R44" i="63"/>
  <c r="I44" i="63"/>
  <c r="E69" i="63"/>
  <c r="D75" i="70"/>
  <c r="E75" i="70" s="1"/>
  <c r="F75" i="70" s="1"/>
  <c r="R43" i="63"/>
  <c r="I43" i="63"/>
  <c r="I48" i="63"/>
  <c r="I47" i="63"/>
  <c r="I49" i="63"/>
  <c r="E51" i="63"/>
  <c r="D51" i="63"/>
  <c r="F29" i="63"/>
  <c r="K51" i="63"/>
  <c r="J51" i="63"/>
  <c r="D29" i="63"/>
  <c r="E28" i="63"/>
  <c r="E20" i="63"/>
  <c r="E22" i="63" s="1"/>
  <c r="F51" i="63"/>
  <c r="L51" i="63"/>
  <c r="H45" i="63"/>
  <c r="N48" i="63"/>
  <c r="O51" i="63"/>
  <c r="M45" i="63"/>
  <c r="G51" i="63"/>
  <c r="M50" i="63"/>
  <c r="N47" i="63"/>
  <c r="H50" i="63"/>
  <c r="K66" i="63"/>
  <c r="J67" i="63"/>
  <c r="J69" i="63" s="1"/>
  <c r="K68" i="63"/>
  <c r="N43" i="63"/>
  <c r="N44" i="63"/>
  <c r="N49" i="63"/>
  <c r="K65" i="63"/>
  <c r="G30" i="51"/>
  <c r="D30" i="51"/>
  <c r="C30" i="51"/>
  <c r="C15" i="53"/>
  <c r="C14" i="53"/>
  <c r="G15" i="53"/>
  <c r="L15" i="53" s="1"/>
  <c r="G14" i="53"/>
  <c r="L14" i="53" s="1"/>
  <c r="D17" i="54"/>
  <c r="D16" i="54"/>
  <c r="D15" i="54"/>
  <c r="D14" i="54"/>
  <c r="D13" i="54"/>
  <c r="D12" i="54"/>
  <c r="C17" i="54"/>
  <c r="C16" i="54"/>
  <c r="C15" i="54"/>
  <c r="C14" i="54"/>
  <c r="C13" i="54"/>
  <c r="C12" i="54"/>
  <c r="E17" i="41"/>
  <c r="E16" i="41"/>
  <c r="E12" i="41"/>
  <c r="D78" i="70" s="1"/>
  <c r="E78" i="70" s="1"/>
  <c r="F78" i="70" s="1"/>
  <c r="D18" i="41"/>
  <c r="I13" i="41" s="1"/>
  <c r="C18" i="41"/>
  <c r="I12" i="41" s="1"/>
  <c r="K15" i="53" l="1"/>
  <c r="K14" i="53"/>
  <c r="I45" i="63"/>
  <c r="F73" i="70" s="1"/>
  <c r="M51" i="63"/>
  <c r="I50" i="63"/>
  <c r="E29" i="63"/>
  <c r="H51" i="63"/>
  <c r="AE44" i="63"/>
  <c r="N50" i="63"/>
  <c r="K67" i="63"/>
  <c r="K69" i="63" s="1"/>
  <c r="N45" i="63"/>
  <c r="C46" i="48"/>
  <c r="C24" i="48"/>
  <c r="C19" i="48"/>
  <c r="P16" i="48"/>
  <c r="O16" i="48"/>
  <c r="N16" i="48"/>
  <c r="M16" i="48"/>
  <c r="L16" i="48"/>
  <c r="G16" i="48"/>
  <c r="V16" i="48" s="1"/>
  <c r="M45" i="48"/>
  <c r="M44" i="48"/>
  <c r="M43" i="48"/>
  <c r="M42" i="48"/>
  <c r="M41" i="48"/>
  <c r="M37" i="48"/>
  <c r="M36" i="48"/>
  <c r="M33" i="48"/>
  <c r="M32" i="48"/>
  <c r="M31" i="48"/>
  <c r="M28" i="48"/>
  <c r="M27" i="48"/>
  <c r="M26" i="48"/>
  <c r="M23" i="48"/>
  <c r="M22" i="48"/>
  <c r="M21" i="48"/>
  <c r="M18" i="48"/>
  <c r="M17" i="48"/>
  <c r="H46" i="48"/>
  <c r="H38" i="48"/>
  <c r="H34" i="48"/>
  <c r="H29" i="48"/>
  <c r="H24" i="48"/>
  <c r="H19" i="48"/>
  <c r="I51" i="63" l="1"/>
  <c r="W16" i="48"/>
  <c r="M19" i="48"/>
  <c r="H39" i="48"/>
  <c r="H47" i="48" s="1"/>
  <c r="Q16" i="48"/>
  <c r="N51" i="63"/>
  <c r="D15" i="14" l="1"/>
  <c r="C15" i="14"/>
  <c r="E14" i="14"/>
  <c r="E13" i="14"/>
  <c r="N13" i="13"/>
  <c r="M13" i="13"/>
  <c r="Q16" i="34"/>
  <c r="D18" i="34"/>
  <c r="C18" i="34"/>
  <c r="K17" i="34"/>
  <c r="K37" i="34"/>
  <c r="L13" i="34"/>
  <c r="K13" i="34"/>
  <c r="J13" i="34"/>
  <c r="F13" i="34"/>
  <c r="G13" i="34" s="1"/>
  <c r="E15" i="14" l="1"/>
  <c r="M13" i="34"/>
  <c r="C56" i="34"/>
  <c r="D56" i="34"/>
  <c r="BM104" i="49"/>
  <c r="BK104" i="49"/>
  <c r="BJ104" i="49"/>
  <c r="BI104" i="49"/>
  <c r="BH104" i="49"/>
  <c r="BG104" i="49"/>
  <c r="BF104" i="49"/>
  <c r="BE104" i="49"/>
  <c r="BD104" i="49"/>
  <c r="BC104" i="49"/>
  <c r="BB104" i="49"/>
  <c r="BA104" i="49"/>
  <c r="AZ104" i="49"/>
  <c r="Y56" i="34" s="1"/>
  <c r="AY104" i="49"/>
  <c r="AX104" i="49"/>
  <c r="AW104" i="49"/>
  <c r="AV104" i="49"/>
  <c r="AU104" i="49"/>
  <c r="AT104" i="49"/>
  <c r="AS104" i="49"/>
  <c r="L38" i="34" l="1"/>
  <c r="K38" i="34"/>
  <c r="J38" i="34"/>
  <c r="F38" i="34"/>
  <c r="G38" i="34" s="1"/>
  <c r="M38" i="34" l="1"/>
  <c r="S38" i="34" s="1"/>
  <c r="F16" i="70" l="1"/>
  <c r="G16" i="70" s="1"/>
  <c r="H16" i="70" s="1"/>
  <c r="AC43" i="63"/>
  <c r="AD43" i="63" s="1"/>
  <c r="AE43" i="63" s="1"/>
  <c r="J28" i="49" l="1"/>
  <c r="J27" i="49"/>
  <c r="J26" i="49"/>
  <c r="J25" i="49"/>
  <c r="J24" i="49"/>
  <c r="J23" i="49"/>
  <c r="J22" i="49"/>
  <c r="J21" i="49"/>
  <c r="J20" i="49"/>
  <c r="J19" i="49"/>
  <c r="J18" i="49"/>
  <c r="J17" i="49"/>
  <c r="J16" i="49"/>
  <c r="J15" i="49"/>
  <c r="J14" i="49"/>
  <c r="J13" i="49"/>
  <c r="J12" i="49"/>
  <c r="J11" i="49"/>
  <c r="J10" i="49"/>
  <c r="K28" i="49"/>
  <c r="K27" i="49"/>
  <c r="K26" i="49"/>
  <c r="K25" i="49"/>
  <c r="K24" i="49"/>
  <c r="K23" i="49"/>
  <c r="K22" i="49"/>
  <c r="K21" i="49"/>
  <c r="K20" i="49"/>
  <c r="K19" i="49"/>
  <c r="K18" i="49"/>
  <c r="K17" i="49"/>
  <c r="K16" i="49"/>
  <c r="K15" i="49"/>
  <c r="K14" i="49"/>
  <c r="K13" i="49"/>
  <c r="K12" i="49"/>
  <c r="K11" i="49"/>
  <c r="K10" i="49"/>
  <c r="F28" i="49"/>
  <c r="F27" i="49"/>
  <c r="F26" i="49"/>
  <c r="F25" i="49"/>
  <c r="F24" i="49"/>
  <c r="F23" i="49"/>
  <c r="F22" i="49"/>
  <c r="F21" i="49"/>
  <c r="F20" i="49"/>
  <c r="F19" i="49"/>
  <c r="F18" i="49"/>
  <c r="F17" i="49"/>
  <c r="F16" i="49"/>
  <c r="F15" i="49"/>
  <c r="F14" i="49"/>
  <c r="F13" i="49"/>
  <c r="F12" i="49"/>
  <c r="F11" i="49"/>
  <c r="F10" i="49"/>
  <c r="C28" i="49"/>
  <c r="C27" i="49"/>
  <c r="C26" i="49"/>
  <c r="C25" i="49"/>
  <c r="C24" i="49"/>
  <c r="C23" i="49"/>
  <c r="C22" i="49"/>
  <c r="C21" i="49"/>
  <c r="C20" i="49"/>
  <c r="C19" i="49"/>
  <c r="C18" i="49"/>
  <c r="C17" i="49"/>
  <c r="C16" i="49"/>
  <c r="C15" i="49"/>
  <c r="C14" i="49"/>
  <c r="C13" i="49"/>
  <c r="C12" i="49"/>
  <c r="C11" i="49"/>
  <c r="C10" i="49"/>
  <c r="BQ164" i="49"/>
  <c r="AR103" i="49"/>
  <c r="AQ103" i="49"/>
  <c r="AN103" i="49"/>
  <c r="AM103" i="49"/>
  <c r="AL103" i="49"/>
  <c r="AK103" i="49"/>
  <c r="AJ103" i="49"/>
  <c r="AI103" i="49"/>
  <c r="AH103" i="49"/>
  <c r="AG103" i="49"/>
  <c r="AF103" i="49"/>
  <c r="AE103" i="49"/>
  <c r="AD103" i="49"/>
  <c r="AC103" i="49"/>
  <c r="AB103" i="49"/>
  <c r="AA103" i="49"/>
  <c r="Z103" i="49"/>
  <c r="Y103" i="49"/>
  <c r="X103" i="49"/>
  <c r="W103" i="49"/>
  <c r="V103" i="49"/>
  <c r="U103" i="49"/>
  <c r="T103" i="49"/>
  <c r="S103" i="49"/>
  <c r="R103" i="49"/>
  <c r="Q103" i="49"/>
  <c r="P103" i="49"/>
  <c r="O103" i="49"/>
  <c r="N103" i="49"/>
  <c r="M103" i="49"/>
  <c r="L103" i="49"/>
  <c r="K103" i="49"/>
  <c r="J103" i="49"/>
  <c r="I103" i="49"/>
  <c r="H103" i="49"/>
  <c r="G103" i="49"/>
  <c r="F103" i="49"/>
  <c r="E103" i="49"/>
  <c r="D103" i="49"/>
  <c r="C103" i="49"/>
  <c r="AP102" i="49"/>
  <c r="AO102" i="49"/>
  <c r="AP101" i="49"/>
  <c r="AO101" i="49"/>
  <c r="AP100" i="49"/>
  <c r="AO100" i="49"/>
  <c r="BL98" i="49"/>
  <c r="AP98" i="49"/>
  <c r="AO98" i="49"/>
  <c r="BL97" i="49"/>
  <c r="AP97" i="49"/>
  <c r="AO97" i="49"/>
  <c r="BL95" i="49"/>
  <c r="AP95" i="49"/>
  <c r="AO95" i="49"/>
  <c r="BL94" i="49"/>
  <c r="AP94" i="49"/>
  <c r="AO94" i="49"/>
  <c r="BL93" i="49"/>
  <c r="AP93" i="49"/>
  <c r="AO93" i="49"/>
  <c r="BL92" i="49"/>
  <c r="AP92" i="49"/>
  <c r="AO92" i="49"/>
  <c r="BL91" i="49"/>
  <c r="AP91" i="49"/>
  <c r="AO91" i="49"/>
  <c r="BL90" i="49"/>
  <c r="AP90" i="49"/>
  <c r="AO90" i="49"/>
  <c r="BL88" i="49"/>
  <c r="AP88" i="49"/>
  <c r="AO88" i="49"/>
  <c r="BL87" i="49"/>
  <c r="AP87" i="49"/>
  <c r="AO87" i="49"/>
  <c r="BL86" i="49"/>
  <c r="AP86" i="49"/>
  <c r="AO86" i="49"/>
  <c r="BL85" i="49"/>
  <c r="AP85" i="49"/>
  <c r="AO85" i="49"/>
  <c r="AR81" i="49"/>
  <c r="AQ81" i="49"/>
  <c r="AN81" i="49"/>
  <c r="AM81" i="49"/>
  <c r="AL81" i="49"/>
  <c r="AK81" i="49"/>
  <c r="AJ81" i="49"/>
  <c r="AI81" i="49"/>
  <c r="AH81" i="49"/>
  <c r="AG81" i="49"/>
  <c r="AF81" i="49"/>
  <c r="AE81" i="49"/>
  <c r="AD81" i="49"/>
  <c r="AC81" i="49"/>
  <c r="AB81" i="49"/>
  <c r="AA81" i="49"/>
  <c r="Z81" i="49"/>
  <c r="Y81" i="49"/>
  <c r="X81" i="49"/>
  <c r="W81" i="49"/>
  <c r="V81" i="49"/>
  <c r="U81" i="49"/>
  <c r="T81" i="49"/>
  <c r="S81" i="49"/>
  <c r="R81" i="49"/>
  <c r="Q81" i="49"/>
  <c r="P81" i="49"/>
  <c r="O81" i="49"/>
  <c r="N81" i="49"/>
  <c r="M81" i="49"/>
  <c r="L81" i="49"/>
  <c r="K81" i="49"/>
  <c r="J81" i="49"/>
  <c r="I81" i="49"/>
  <c r="H81" i="49"/>
  <c r="G81" i="49"/>
  <c r="F81" i="49"/>
  <c r="E81" i="49"/>
  <c r="D81" i="49"/>
  <c r="C81" i="49"/>
  <c r="AP80" i="49"/>
  <c r="AO80" i="49"/>
  <c r="BL79" i="49"/>
  <c r="AP79" i="49"/>
  <c r="AO79" i="49"/>
  <c r="BL78" i="49"/>
  <c r="AP78" i="49"/>
  <c r="AO78" i="49"/>
  <c r="BL77" i="49"/>
  <c r="AP77" i="49"/>
  <c r="AO77" i="49"/>
  <c r="BL76" i="49"/>
  <c r="AP76" i="49"/>
  <c r="AO76" i="49"/>
  <c r="AR73" i="49"/>
  <c r="AQ73" i="49"/>
  <c r="AN73" i="49"/>
  <c r="AN104" i="49" s="1"/>
  <c r="AM73" i="49"/>
  <c r="AL73" i="49"/>
  <c r="AK73" i="49"/>
  <c r="AJ73" i="49"/>
  <c r="AJ104" i="49" s="1"/>
  <c r="AI73" i="49"/>
  <c r="AH73" i="49"/>
  <c r="AG73" i="49"/>
  <c r="AG104" i="49" s="1"/>
  <c r="AF73" i="49"/>
  <c r="AF104" i="49" s="1"/>
  <c r="AE73" i="49"/>
  <c r="AD73" i="49"/>
  <c r="AC73" i="49"/>
  <c r="AC104" i="49" s="1"/>
  <c r="AB73" i="49"/>
  <c r="AB104" i="49" s="1"/>
  <c r="AA73" i="49"/>
  <c r="Z73" i="49"/>
  <c r="Y73" i="49"/>
  <c r="X73" i="49"/>
  <c r="X104" i="49" s="1"/>
  <c r="W73" i="49"/>
  <c r="V73" i="49"/>
  <c r="U73" i="49"/>
  <c r="T73" i="49"/>
  <c r="T104" i="49" s="1"/>
  <c r="S73" i="49"/>
  <c r="R73" i="49"/>
  <c r="Q73" i="49"/>
  <c r="Q104" i="49" s="1"/>
  <c r="P73" i="49"/>
  <c r="P104" i="49" s="1"/>
  <c r="O73" i="49"/>
  <c r="N73" i="49"/>
  <c r="M73" i="49"/>
  <c r="M104" i="49" s="1"/>
  <c r="L73" i="49"/>
  <c r="L104" i="49" s="1"/>
  <c r="K73" i="49"/>
  <c r="J73" i="49"/>
  <c r="I73" i="49"/>
  <c r="H73" i="49"/>
  <c r="H104" i="49" s="1"/>
  <c r="G73" i="49"/>
  <c r="F73" i="49"/>
  <c r="E73" i="49"/>
  <c r="D73" i="49"/>
  <c r="D104" i="49" s="1"/>
  <c r="C73" i="49"/>
  <c r="AP72" i="49"/>
  <c r="AO72" i="49"/>
  <c r="BL71" i="49"/>
  <c r="AP71" i="49"/>
  <c r="AO71" i="49"/>
  <c r="AP68" i="49"/>
  <c r="AO68" i="49"/>
  <c r="D5" i="66" l="1"/>
  <c r="B1" i="66" s="1"/>
  <c r="C104" i="49"/>
  <c r="G104" i="49"/>
  <c r="K104" i="49"/>
  <c r="O104" i="49"/>
  <c r="S104" i="49"/>
  <c r="W104" i="49"/>
  <c r="AA104" i="49"/>
  <c r="AE104" i="49"/>
  <c r="AI104" i="49"/>
  <c r="AM104" i="49"/>
  <c r="E104" i="49"/>
  <c r="I104" i="49"/>
  <c r="U104" i="49"/>
  <c r="Y104" i="49"/>
  <c r="AK104" i="49"/>
  <c r="E18" i="47"/>
  <c r="F4" i="41"/>
  <c r="BL104" i="49"/>
  <c r="AQ104" i="49"/>
  <c r="AO73" i="49"/>
  <c r="AP73" i="49"/>
  <c r="F104" i="49"/>
  <c r="J104" i="49"/>
  <c r="N104" i="49"/>
  <c r="R104" i="49"/>
  <c r="V104" i="49"/>
  <c r="Z104" i="49"/>
  <c r="AD104" i="49"/>
  <c r="AH104" i="49"/>
  <c r="AL104" i="49"/>
  <c r="AR104" i="49"/>
  <c r="AP103" i="49"/>
  <c r="E17" i="47"/>
  <c r="F4" i="48"/>
  <c r="AO81" i="49"/>
  <c r="AP81" i="49"/>
  <c r="AO103" i="49"/>
  <c r="AP104" i="49" l="1"/>
  <c r="AO104" i="49"/>
  <c r="P11" i="49"/>
  <c r="O11" i="49"/>
  <c r="D2" i="49"/>
  <c r="O12" i="49" l="1"/>
  <c r="O13" i="49" s="1"/>
  <c r="O14" i="49" s="1"/>
  <c r="P12" i="49"/>
  <c r="P13" i="49" s="1"/>
  <c r="P14" i="49" s="1"/>
  <c r="AC49" i="34"/>
  <c r="AM49" i="34"/>
  <c r="P15" i="49" l="1"/>
  <c r="P16" i="49" s="1"/>
  <c r="P17" i="49" s="1"/>
  <c r="AR26" i="34" s="1"/>
  <c r="AV26" i="34" s="1"/>
  <c r="AR18" i="34"/>
  <c r="AV18" i="34" s="1"/>
  <c r="AR27" i="34"/>
  <c r="AV27" i="34" s="1"/>
  <c r="W26" i="34"/>
  <c r="AA26" i="34" s="1"/>
  <c r="AG26" i="34"/>
  <c r="AK26" i="34" s="1"/>
  <c r="AR30" i="34"/>
  <c r="AV30" i="34" s="1"/>
  <c r="AR21" i="34"/>
  <c r="AV21" i="34" s="1"/>
  <c r="AG49" i="34"/>
  <c r="AG43" i="34"/>
  <c r="AG37" i="34"/>
  <c r="AG22" i="34"/>
  <c r="W54" i="34"/>
  <c r="W52" i="34"/>
  <c r="AA52" i="34" s="1"/>
  <c r="W41" i="34"/>
  <c r="W37" i="34"/>
  <c r="W35" i="34"/>
  <c r="AG53" i="34"/>
  <c r="AG50" i="34"/>
  <c r="AG42" i="34"/>
  <c r="AG36" i="34"/>
  <c r="AG17" i="34"/>
  <c r="AG13" i="34"/>
  <c r="W44" i="34"/>
  <c r="W42" i="34"/>
  <c r="W39" i="34"/>
  <c r="W17" i="34"/>
  <c r="W13" i="34"/>
  <c r="O15" i="49"/>
  <c r="O16" i="49" s="1"/>
  <c r="O17" i="49" s="1"/>
  <c r="AQ30" i="34" s="1"/>
  <c r="AF16" i="34"/>
  <c r="V41" i="34"/>
  <c r="AC16" i="34"/>
  <c r="AM16" i="34"/>
  <c r="AI56" i="34"/>
  <c r="AF43" i="34" l="1"/>
  <c r="AQ29" i="34"/>
  <c r="V44" i="34"/>
  <c r="V13" i="34"/>
  <c r="AF30" i="34"/>
  <c r="AF50" i="34"/>
  <c r="V50" i="34"/>
  <c r="V16" i="34"/>
  <c r="V18" i="34" s="1"/>
  <c r="AF22" i="34"/>
  <c r="V36" i="34"/>
  <c r="V53" i="34"/>
  <c r="AF42" i="34"/>
  <c r="V22" i="34"/>
  <c r="V49" i="34"/>
  <c r="AF37" i="34"/>
  <c r="AF54" i="34"/>
  <c r="AQ18" i="34"/>
  <c r="V30" i="34"/>
  <c r="AF36" i="34"/>
  <c r="V43" i="34"/>
  <c r="AF52" i="34"/>
  <c r="V26" i="34"/>
  <c r="Z26" i="34" s="1"/>
  <c r="V39" i="34"/>
  <c r="V55" i="34" s="1"/>
  <c r="AF17" i="34"/>
  <c r="AF18" i="34" s="1"/>
  <c r="AF44" i="34"/>
  <c r="V35" i="34"/>
  <c r="V54" i="34"/>
  <c r="AF41" i="34"/>
  <c r="AF26" i="34"/>
  <c r="AQ26" i="34"/>
  <c r="AS26" i="34" s="1"/>
  <c r="AW26" i="34" s="1"/>
  <c r="AQ27" i="34"/>
  <c r="AU27" i="34" s="1"/>
  <c r="AQ21" i="34"/>
  <c r="AU21" i="34" s="1"/>
  <c r="V17" i="34"/>
  <c r="V42" i="34"/>
  <c r="AF13" i="34"/>
  <c r="AF39" i="34"/>
  <c r="AF53" i="34"/>
  <c r="V37" i="34"/>
  <c r="V52" i="34"/>
  <c r="X52" i="34" s="1"/>
  <c r="AF35" i="34"/>
  <c r="AF55" i="34" s="1"/>
  <c r="AF49" i="34"/>
  <c r="AQ20" i="34"/>
  <c r="AU20" i="34" s="1"/>
  <c r="AQ17" i="34"/>
  <c r="W30" i="34"/>
  <c r="W53" i="34"/>
  <c r="AG39" i="34"/>
  <c r="W16" i="34"/>
  <c r="W18" i="34" s="1"/>
  <c r="W49" i="34"/>
  <c r="AG35" i="34"/>
  <c r="AG52" i="34"/>
  <c r="AK52" i="34" s="1"/>
  <c r="AR29" i="34"/>
  <c r="AV29" i="34" s="1"/>
  <c r="P18" i="49"/>
  <c r="P19" i="49" s="1"/>
  <c r="P20" i="49" s="1"/>
  <c r="P21" i="49" s="1"/>
  <c r="P22" i="49" s="1"/>
  <c r="P23" i="49" s="1"/>
  <c r="P24" i="49" s="1"/>
  <c r="P25" i="49" s="1"/>
  <c r="P26" i="49" s="1"/>
  <c r="P27" i="49" s="1"/>
  <c r="P28" i="49" s="1"/>
  <c r="P29" i="49" s="1"/>
  <c r="W56" i="34"/>
  <c r="AG56" i="34"/>
  <c r="O18" i="49"/>
  <c r="O19" i="49" s="1"/>
  <c r="O20" i="49" s="1"/>
  <c r="O21" i="49" s="1"/>
  <c r="O22" i="49" s="1"/>
  <c r="O23" i="49" s="1"/>
  <c r="O24" i="49" s="1"/>
  <c r="O25" i="49" s="1"/>
  <c r="O26" i="49" s="1"/>
  <c r="O27" i="49" s="1"/>
  <c r="O28" i="49" s="1"/>
  <c r="O29" i="49" s="1"/>
  <c r="AF56" i="34"/>
  <c r="V56" i="34"/>
  <c r="W36" i="34"/>
  <c r="W50" i="34"/>
  <c r="AG30" i="34"/>
  <c r="AG31" i="34" s="1"/>
  <c r="AG44" i="34"/>
  <c r="W22" i="34"/>
  <c r="W31" i="34" s="1"/>
  <c r="W43" i="34"/>
  <c r="AG16" i="34"/>
  <c r="AG18" i="34" s="1"/>
  <c r="AG41" i="34"/>
  <c r="AG54" i="34"/>
  <c r="AR20" i="34"/>
  <c r="AV20" i="34" s="1"/>
  <c r="AR17" i="34"/>
  <c r="AV17" i="34" s="1"/>
  <c r="V31" i="34"/>
  <c r="AU29" i="34"/>
  <c r="AS29" i="34"/>
  <c r="AW29" i="34" s="1"/>
  <c r="AU18" i="34"/>
  <c r="AS18" i="34"/>
  <c r="AW18" i="34" s="1"/>
  <c r="AU30" i="34"/>
  <c r="AS30" i="34"/>
  <c r="AW30" i="34" s="1"/>
  <c r="AH13" i="34"/>
  <c r="AS27" i="34"/>
  <c r="AW27" i="34" s="1"/>
  <c r="AU17" i="34"/>
  <c r="X13" i="34"/>
  <c r="AF31" i="34"/>
  <c r="AJ26" i="34"/>
  <c r="AH26" i="34"/>
  <c r="AL26" i="34" s="1"/>
  <c r="X26" i="34"/>
  <c r="AB26" i="34" s="1"/>
  <c r="AU26" i="34"/>
  <c r="Q47" i="34"/>
  <c r="L47" i="34"/>
  <c r="K47" i="34"/>
  <c r="J47" i="34"/>
  <c r="F47" i="34"/>
  <c r="G47" i="34" s="1"/>
  <c r="Q45" i="34"/>
  <c r="L45" i="34"/>
  <c r="K45" i="34"/>
  <c r="J45" i="34"/>
  <c r="F45" i="34"/>
  <c r="Q29" i="34"/>
  <c r="L29" i="34"/>
  <c r="K29" i="34"/>
  <c r="J29" i="34"/>
  <c r="F29" i="34"/>
  <c r="AS21" i="34" l="1"/>
  <c r="AW21" i="34" s="1"/>
  <c r="AS17" i="34"/>
  <c r="AW17" i="34" s="1"/>
  <c r="AG55" i="34"/>
  <c r="W55" i="34"/>
  <c r="X56" i="34"/>
  <c r="AS20" i="34"/>
  <c r="AW20" i="34" s="1"/>
  <c r="AH52" i="34"/>
  <c r="AH56" i="34"/>
  <c r="G29" i="34"/>
  <c r="M29" i="34"/>
  <c r="M45" i="34"/>
  <c r="M47" i="34"/>
  <c r="S68" i="39" s="1"/>
  <c r="T68" i="39" s="1"/>
  <c r="U68" i="39" s="1"/>
  <c r="G45" i="34"/>
  <c r="F30" i="70" l="1"/>
  <c r="G30" i="70" s="1"/>
  <c r="H30" i="70" s="1"/>
  <c r="S57" i="39"/>
  <c r="T57" i="39" s="1"/>
  <c r="U57" i="39" s="1"/>
  <c r="F32" i="70"/>
  <c r="G32" i="70" s="1"/>
  <c r="H32" i="70" s="1"/>
  <c r="S67" i="39"/>
  <c r="T67" i="39" s="1"/>
  <c r="U67" i="39" s="1"/>
  <c r="S47" i="34"/>
  <c r="S45" i="34"/>
  <c r="S29" i="34"/>
  <c r="D16" i="47"/>
  <c r="E18" i="54" l="1"/>
  <c r="N14" i="13"/>
  <c r="M14" i="13"/>
  <c r="K54" i="34" l="1"/>
  <c r="K53" i="34"/>
  <c r="K52" i="34"/>
  <c r="K50" i="34"/>
  <c r="K49" i="34"/>
  <c r="K44" i="34"/>
  <c r="K43" i="34"/>
  <c r="K42" i="34"/>
  <c r="K41" i="34"/>
  <c r="K39" i="34"/>
  <c r="K36" i="34"/>
  <c r="K35" i="34"/>
  <c r="K30" i="34"/>
  <c r="L54" i="34"/>
  <c r="L53" i="34"/>
  <c r="L52" i="34"/>
  <c r="J54" i="34"/>
  <c r="J53" i="34"/>
  <c r="J52" i="34"/>
  <c r="F54" i="34"/>
  <c r="G54" i="34" s="1"/>
  <c r="F53" i="34"/>
  <c r="F52" i="34"/>
  <c r="L50" i="34"/>
  <c r="L49" i="34"/>
  <c r="J50" i="34"/>
  <c r="J49" i="34"/>
  <c r="F50" i="34"/>
  <c r="G50" i="34" s="1"/>
  <c r="F49" i="34"/>
  <c r="G49" i="34" s="1"/>
  <c r="L41" i="34"/>
  <c r="L42" i="34"/>
  <c r="L43" i="34"/>
  <c r="L44" i="34"/>
  <c r="J44" i="34"/>
  <c r="J43" i="34"/>
  <c r="J42" i="34"/>
  <c r="J41" i="34"/>
  <c r="F44" i="34"/>
  <c r="G44" i="34" s="1"/>
  <c r="F43" i="34"/>
  <c r="G43" i="34" s="1"/>
  <c r="F42" i="34"/>
  <c r="G42" i="34" s="1"/>
  <c r="F41" i="34"/>
  <c r="G41" i="34" s="1"/>
  <c r="L37" i="34"/>
  <c r="L36" i="34"/>
  <c r="L35" i="34"/>
  <c r="L39" i="34"/>
  <c r="J39" i="34"/>
  <c r="J37" i="34"/>
  <c r="J36" i="34"/>
  <c r="J35" i="34"/>
  <c r="F39" i="34"/>
  <c r="G39" i="34" s="1"/>
  <c r="F37" i="34"/>
  <c r="G37" i="34" s="1"/>
  <c r="F36" i="34"/>
  <c r="G36" i="34" s="1"/>
  <c r="F35" i="34"/>
  <c r="K22" i="34"/>
  <c r="K24" i="34" s="1"/>
  <c r="K31" i="34" s="1"/>
  <c r="F30" i="34"/>
  <c r="F22" i="34"/>
  <c r="G22" i="34" s="1"/>
  <c r="L30" i="34"/>
  <c r="L22" i="34"/>
  <c r="L24" i="34" s="1"/>
  <c r="L17" i="34"/>
  <c r="I18" i="34"/>
  <c r="H18" i="34"/>
  <c r="E18" i="34"/>
  <c r="L16" i="34"/>
  <c r="K16" i="34"/>
  <c r="J17" i="34"/>
  <c r="J16" i="34"/>
  <c r="F17" i="34"/>
  <c r="G17" i="34" s="1"/>
  <c r="F16" i="34"/>
  <c r="G16" i="34" s="1"/>
  <c r="F55" i="34" l="1"/>
  <c r="J55" i="34"/>
  <c r="K55" i="34"/>
  <c r="L55" i="34"/>
  <c r="G30" i="34"/>
  <c r="G31" i="34" s="1"/>
  <c r="F31" i="34"/>
  <c r="L31" i="34"/>
  <c r="M24" i="34"/>
  <c r="F23" i="70" s="1"/>
  <c r="G35" i="34"/>
  <c r="G52" i="34"/>
  <c r="D64" i="70"/>
  <c r="E64" i="70" s="1"/>
  <c r="F64" i="70" s="1"/>
  <c r="G64" i="70" s="1"/>
  <c r="M52" i="34"/>
  <c r="M42" i="34"/>
  <c r="K18" i="34"/>
  <c r="M44" i="34"/>
  <c r="M36" i="34"/>
  <c r="M39" i="34"/>
  <c r="L18" i="34"/>
  <c r="M54" i="34"/>
  <c r="M41" i="34"/>
  <c r="M35" i="34"/>
  <c r="M53" i="34"/>
  <c r="G53" i="34"/>
  <c r="M50" i="34"/>
  <c r="F21" i="70" s="1"/>
  <c r="G21" i="70" s="1"/>
  <c r="H21" i="70" s="1"/>
  <c r="I21" i="70" s="1"/>
  <c r="M43" i="34"/>
  <c r="M37" i="34"/>
  <c r="H56" i="34"/>
  <c r="I56" i="34"/>
  <c r="E56" i="34"/>
  <c r="M17" i="34"/>
  <c r="J18" i="34"/>
  <c r="G18" i="34"/>
  <c r="M16" i="34"/>
  <c r="F18" i="34"/>
  <c r="M49" i="34"/>
  <c r="M55" i="34" l="1"/>
  <c r="G55" i="34"/>
  <c r="G56" i="34" s="1"/>
  <c r="S24" i="34"/>
  <c r="F20" i="70"/>
  <c r="G20" i="70" s="1"/>
  <c r="H20" i="70" s="1"/>
  <c r="I20" i="70" s="1"/>
  <c r="F14" i="70"/>
  <c r="X43" i="63"/>
  <c r="Y43" i="63" s="1"/>
  <c r="Z43" i="63" s="1"/>
  <c r="F18" i="70"/>
  <c r="G18" i="70" s="1"/>
  <c r="H18" i="70" s="1"/>
  <c r="I18" i="70" s="1"/>
  <c r="S65" i="63"/>
  <c r="T65" i="63" s="1"/>
  <c r="U65" i="63" s="1"/>
  <c r="F25" i="70"/>
  <c r="G25" i="70" s="1"/>
  <c r="H25" i="70" s="1"/>
  <c r="I25" i="70" s="1"/>
  <c r="S43" i="39"/>
  <c r="T43" i="39" s="1"/>
  <c r="U43" i="39" s="1"/>
  <c r="F17" i="70"/>
  <c r="G17" i="70" s="1"/>
  <c r="H17" i="70" s="1"/>
  <c r="I17" i="70" s="1"/>
  <c r="X65" i="63"/>
  <c r="Y65" i="63" s="1"/>
  <c r="Z65" i="63" s="1"/>
  <c r="G44" i="70"/>
  <c r="AB52" i="34"/>
  <c r="AL52" i="34"/>
  <c r="F15" i="70"/>
  <c r="G15" i="70" s="1"/>
  <c r="H15" i="70" s="1"/>
  <c r="I15" i="70" s="1"/>
  <c r="S43" i="63"/>
  <c r="T43" i="63" s="1"/>
  <c r="U43" i="63" s="1"/>
  <c r="F28" i="70"/>
  <c r="G28" i="70" s="1"/>
  <c r="H28" i="70" s="1"/>
  <c r="I28" i="70" s="1"/>
  <c r="S48" i="39"/>
  <c r="F27" i="70"/>
  <c r="G27" i="70" s="1"/>
  <c r="H27" i="70" s="1"/>
  <c r="I27" i="70" s="1"/>
  <c r="S47" i="39"/>
  <c r="AJ52" i="34"/>
  <c r="Z52" i="34"/>
  <c r="F26" i="70"/>
  <c r="G26" i="70" s="1"/>
  <c r="H26" i="70" s="1"/>
  <c r="I26" i="70" s="1"/>
  <c r="S46" i="39"/>
  <c r="F56" i="34"/>
  <c r="L56" i="34"/>
  <c r="K56" i="34"/>
  <c r="M18" i="34"/>
  <c r="AJ13" i="34"/>
  <c r="AK13" i="34"/>
  <c r="AJ54" i="34"/>
  <c r="H44" i="70" l="1"/>
  <c r="I44" i="70" s="1"/>
  <c r="G14" i="70"/>
  <c r="H14" i="70" s="1"/>
  <c r="I14" i="70" s="1"/>
  <c r="AK54" i="34"/>
  <c r="G14" i="51" l="1"/>
  <c r="G28" i="51"/>
  <c r="G27" i="51"/>
  <c r="G26" i="51"/>
  <c r="G25" i="51"/>
  <c r="G24" i="51"/>
  <c r="G23" i="51"/>
  <c r="G22" i="51"/>
  <c r="G21" i="51"/>
  <c r="G20" i="51"/>
  <c r="G19" i="51"/>
  <c r="G18" i="51"/>
  <c r="G17" i="51"/>
  <c r="G16" i="51"/>
  <c r="G15" i="51"/>
  <c r="F29" i="51" l="1"/>
  <c r="E29" i="51"/>
  <c r="C4" i="54" l="1"/>
  <c r="C4" i="53" l="1"/>
  <c r="P45" i="48" l="1"/>
  <c r="O45" i="48"/>
  <c r="N45" i="48"/>
  <c r="P44" i="48"/>
  <c r="O44" i="48"/>
  <c r="N44" i="48"/>
  <c r="P43" i="48"/>
  <c r="O43" i="48"/>
  <c r="N43" i="48"/>
  <c r="P42" i="48"/>
  <c r="O42" i="48"/>
  <c r="N42" i="48"/>
  <c r="P41" i="48"/>
  <c r="O41" i="48"/>
  <c r="N41" i="48"/>
  <c r="P37" i="48"/>
  <c r="O37" i="48"/>
  <c r="N37" i="48"/>
  <c r="P36" i="48"/>
  <c r="O36" i="48"/>
  <c r="N36" i="48"/>
  <c r="P33" i="48"/>
  <c r="O33" i="48"/>
  <c r="N33" i="48"/>
  <c r="P32" i="48"/>
  <c r="O32" i="48"/>
  <c r="N32" i="48"/>
  <c r="P31" i="48"/>
  <c r="O31" i="48"/>
  <c r="N31" i="48"/>
  <c r="P28" i="48"/>
  <c r="O28" i="48"/>
  <c r="N28" i="48"/>
  <c r="P27" i="48"/>
  <c r="O27" i="48"/>
  <c r="N27" i="48"/>
  <c r="P26" i="48"/>
  <c r="O26" i="48"/>
  <c r="N26" i="48"/>
  <c r="P23" i="48"/>
  <c r="O23" i="48"/>
  <c r="N23" i="48"/>
  <c r="P22" i="48"/>
  <c r="O22" i="48"/>
  <c r="N22" i="48"/>
  <c r="P21" i="48"/>
  <c r="O21" i="48"/>
  <c r="N21" i="48"/>
  <c r="P18" i="48"/>
  <c r="O18" i="48"/>
  <c r="N18" i="48"/>
  <c r="P17" i="48"/>
  <c r="O17" i="48"/>
  <c r="N17" i="48"/>
  <c r="K19" i="48"/>
  <c r="J19" i="48"/>
  <c r="I19" i="48"/>
  <c r="F19" i="48"/>
  <c r="E19" i="48"/>
  <c r="D19" i="48"/>
  <c r="K46" i="48"/>
  <c r="J46" i="48"/>
  <c r="I46" i="48"/>
  <c r="L45" i="48"/>
  <c r="W45" i="48" s="1"/>
  <c r="L44" i="48"/>
  <c r="W44" i="48" s="1"/>
  <c r="L43" i="48"/>
  <c r="W43" i="48" s="1"/>
  <c r="L42" i="48"/>
  <c r="W42" i="48" s="1"/>
  <c r="L41" i="48"/>
  <c r="W41" i="48" s="1"/>
  <c r="K38" i="48"/>
  <c r="J38" i="48"/>
  <c r="I38" i="48"/>
  <c r="L37" i="48"/>
  <c r="W37" i="48" s="1"/>
  <c r="L36" i="48"/>
  <c r="K34" i="48"/>
  <c r="J34" i="48"/>
  <c r="I34" i="48"/>
  <c r="L33" i="48"/>
  <c r="W33" i="48" s="1"/>
  <c r="L32" i="48"/>
  <c r="W32" i="48" s="1"/>
  <c r="L31" i="48"/>
  <c r="W31" i="48" s="1"/>
  <c r="K29" i="48"/>
  <c r="J29" i="48"/>
  <c r="I29" i="48"/>
  <c r="L28" i="48"/>
  <c r="W28" i="48" s="1"/>
  <c r="L27" i="48"/>
  <c r="W27" i="48" s="1"/>
  <c r="L26" i="48"/>
  <c r="W26" i="48" s="1"/>
  <c r="K24" i="48"/>
  <c r="J24" i="48"/>
  <c r="I24" i="48"/>
  <c r="L23" i="48"/>
  <c r="W23" i="48" s="1"/>
  <c r="L22" i="48"/>
  <c r="W22" i="48" s="1"/>
  <c r="L21" i="48"/>
  <c r="W21" i="48" s="1"/>
  <c r="L18" i="48"/>
  <c r="W18" i="48" s="1"/>
  <c r="L17" i="48"/>
  <c r="W17" i="48" s="1"/>
  <c r="M38" i="48" l="1"/>
  <c r="W36" i="48"/>
  <c r="M34" i="48"/>
  <c r="Q43" i="48"/>
  <c r="N29" i="48"/>
  <c r="P34" i="48"/>
  <c r="O34" i="48"/>
  <c r="N34" i="48"/>
  <c r="P29" i="48"/>
  <c r="O29" i="48"/>
  <c r="P24" i="48"/>
  <c r="O24" i="48"/>
  <c r="N24" i="48"/>
  <c r="M24" i="48"/>
  <c r="M29" i="48"/>
  <c r="Q23" i="48"/>
  <c r="Q28" i="48"/>
  <c r="Q33" i="48"/>
  <c r="M46" i="48"/>
  <c r="Q22" i="48"/>
  <c r="Q27" i="48"/>
  <c r="Q32" i="48"/>
  <c r="Q31" i="48"/>
  <c r="Q26" i="48"/>
  <c r="Q21" i="48"/>
  <c r="Q37" i="48"/>
  <c r="P38" i="48"/>
  <c r="O38" i="48"/>
  <c r="N38" i="48"/>
  <c r="Q41" i="48"/>
  <c r="Q42" i="48"/>
  <c r="Q45" i="48"/>
  <c r="Q17" i="48"/>
  <c r="P19" i="48"/>
  <c r="N19" i="48"/>
  <c r="Q18" i="48"/>
  <c r="O19" i="48"/>
  <c r="K39" i="48"/>
  <c r="K47" i="48" s="1"/>
  <c r="L34" i="48"/>
  <c r="L29" i="48"/>
  <c r="I39" i="48"/>
  <c r="I47" i="48" s="1"/>
  <c r="L24" i="48"/>
  <c r="L38" i="48"/>
  <c r="L46" i="48"/>
  <c r="L19" i="48"/>
  <c r="J39" i="48"/>
  <c r="J47" i="48" s="1"/>
  <c r="Q34" i="48" l="1"/>
  <c r="Q24" i="48"/>
  <c r="Q29" i="48"/>
  <c r="Q38" i="48"/>
  <c r="M39" i="48"/>
  <c r="M47" i="48" s="1"/>
  <c r="D77" i="70" s="1"/>
  <c r="E77" i="70" s="1"/>
  <c r="F77" i="70" s="1"/>
  <c r="Q19" i="48"/>
  <c r="Q44" i="48"/>
  <c r="N46" i="48"/>
  <c r="P39" i="48"/>
  <c r="Q36" i="48"/>
  <c r="P46" i="48"/>
  <c r="N39" i="48"/>
  <c r="O46" i="48"/>
  <c r="L47" i="48"/>
  <c r="L39" i="48"/>
  <c r="E18" i="41"/>
  <c r="C38" i="48"/>
  <c r="C34" i="48"/>
  <c r="C29" i="48"/>
  <c r="C39" i="48" l="1"/>
  <c r="C47" i="48" s="1"/>
  <c r="P47" i="48"/>
  <c r="Q46" i="48"/>
  <c r="N47" i="48"/>
  <c r="O39" i="48"/>
  <c r="O47" i="48" s="1"/>
  <c r="Q47" i="48" l="1"/>
  <c r="Q39" i="48"/>
  <c r="D85" i="70" l="1"/>
  <c r="E85" i="70" s="1"/>
  <c r="F85" i="70" s="1"/>
  <c r="D84" i="70"/>
  <c r="E84" i="70" s="1"/>
  <c r="F84" i="70" s="1"/>
  <c r="D83" i="70"/>
  <c r="E83" i="70" s="1"/>
  <c r="F83" i="70" s="1"/>
  <c r="T46" i="39" l="1"/>
  <c r="U46" i="39" s="1"/>
  <c r="T47" i="39"/>
  <c r="U47" i="39" s="1"/>
  <c r="T48" i="39"/>
  <c r="U48" i="39" s="1"/>
  <c r="E13" i="47" l="1"/>
  <c r="D13" i="47" s="1"/>
  <c r="D15" i="47" l="1"/>
  <c r="D14" i="47"/>
  <c r="B1" i="53"/>
  <c r="Q39" i="34" l="1"/>
  <c r="Q37" i="34"/>
  <c r="S44" i="63" s="1"/>
  <c r="T44" i="63" s="1"/>
  <c r="U44" i="63" s="1"/>
  <c r="Q36" i="34"/>
  <c r="X66" i="63" s="1"/>
  <c r="Y66" i="63" s="1"/>
  <c r="Z66" i="63" s="1"/>
  <c r="Q35" i="34"/>
  <c r="Q22" i="34"/>
  <c r="Z18" i="48"/>
  <c r="AA18" i="48" s="1"/>
  <c r="AB18" i="48" s="1"/>
  <c r="Q50" i="34"/>
  <c r="Q49" i="34"/>
  <c r="Z15" i="48" s="1"/>
  <c r="AA15" i="48" s="1"/>
  <c r="AB15" i="48" s="1"/>
  <c r="Q44" i="34"/>
  <c r="S44" i="34" s="1"/>
  <c r="Q43" i="34"/>
  <c r="S43" i="34" s="1"/>
  <c r="Q42" i="34"/>
  <c r="Q41" i="34"/>
  <c r="S41" i="34" s="1"/>
  <c r="D60" i="70" s="1"/>
  <c r="G24" i="70"/>
  <c r="H24" i="70" s="1"/>
  <c r="I24" i="70" s="1"/>
  <c r="Z13" i="34"/>
  <c r="J13" i="41" l="1"/>
  <c r="K13" i="41" s="1"/>
  <c r="AM50" i="34"/>
  <c r="AC50" i="34"/>
  <c r="X44" i="63"/>
  <c r="Y44" i="63" s="1"/>
  <c r="Z44" i="63" s="1"/>
  <c r="Q56" i="34"/>
  <c r="S39" i="34"/>
  <c r="S66" i="63"/>
  <c r="T66" i="63" s="1"/>
  <c r="U66" i="63" s="1"/>
  <c r="S49" i="34"/>
  <c r="AM22" i="34"/>
  <c r="AC22" i="34"/>
  <c r="S50" i="34"/>
  <c r="S42" i="34"/>
  <c r="D61" i="70" s="1"/>
  <c r="S37" i="34"/>
  <c r="M30" i="34"/>
  <c r="M22" i="34"/>
  <c r="S36" i="34"/>
  <c r="G45" i="70" l="1"/>
  <c r="H45" i="70" s="1"/>
  <c r="I45" i="70" s="1"/>
  <c r="J45" i="70" s="1"/>
  <c r="M31" i="34"/>
  <c r="M56" i="34" s="1"/>
  <c r="D58" i="70"/>
  <c r="E58" i="70" s="1"/>
  <c r="F58" i="70" s="1"/>
  <c r="G58" i="70" s="1"/>
  <c r="E61" i="70"/>
  <c r="F61" i="70" s="1"/>
  <c r="G61" i="70" s="1"/>
  <c r="S22" i="34"/>
  <c r="G23" i="70"/>
  <c r="H23" i="70" s="1"/>
  <c r="I23" i="70" s="1"/>
  <c r="S16" i="34"/>
  <c r="Z17" i="48"/>
  <c r="AK50" i="34"/>
  <c r="D62" i="70" l="1"/>
  <c r="E62" i="70" s="1"/>
  <c r="F62" i="70" s="1"/>
  <c r="G62" i="70" s="1"/>
  <c r="E60" i="70"/>
  <c r="F60" i="70" s="1"/>
  <c r="G60" i="70" s="1"/>
  <c r="S35" i="34"/>
  <c r="D57" i="70" s="1"/>
  <c r="E57" i="70" s="1"/>
  <c r="F57" i="70" s="1"/>
  <c r="G57" i="70" s="1"/>
  <c r="AH50" i="34"/>
  <c r="AL50" i="34" s="1"/>
  <c r="AJ50" i="34"/>
  <c r="S56" i="34" l="1"/>
  <c r="F4" i="14"/>
  <c r="B1" i="14" s="1"/>
  <c r="D22" i="47" l="1"/>
  <c r="G29" i="51"/>
  <c r="G31" i="51" s="1"/>
  <c r="D29" i="51"/>
  <c r="C29" i="51"/>
  <c r="C4" i="51"/>
  <c r="B1" i="51" l="1"/>
  <c r="C31" i="51"/>
  <c r="D31" i="51"/>
  <c r="F46" i="48" l="1"/>
  <c r="E46" i="48"/>
  <c r="D46" i="48"/>
  <c r="F38" i="48"/>
  <c r="E38" i="48"/>
  <c r="D38" i="48"/>
  <c r="G17" i="48"/>
  <c r="V17" i="48" s="1"/>
  <c r="G19" i="48" l="1"/>
  <c r="G46" i="48"/>
  <c r="AA17" i="48" s="1"/>
  <c r="AB17" i="48" s="1"/>
  <c r="O15" i="66" l="1"/>
  <c r="P15" i="66" s="1"/>
  <c r="B1" i="41"/>
  <c r="C4" i="48"/>
  <c r="B1" i="48"/>
  <c r="AM44" i="34"/>
  <c r="AM43" i="34"/>
  <c r="AM42" i="34"/>
  <c r="AM41" i="34"/>
  <c r="AM39" i="34"/>
  <c r="AM37" i="34"/>
  <c r="AM36" i="34"/>
  <c r="AM35" i="34"/>
  <c r="C3" i="34" l="1"/>
  <c r="G4" i="13"/>
  <c r="B1" i="13" s="1"/>
  <c r="C4" i="13"/>
  <c r="H4" i="39"/>
  <c r="B1" i="39" s="1"/>
  <c r="C4" i="41"/>
  <c r="C4" i="14"/>
  <c r="C4" i="39"/>
  <c r="E12" i="47" l="1"/>
  <c r="E11" i="47"/>
  <c r="E10" i="47"/>
  <c r="X54" i="34" l="1"/>
  <c r="AB54" i="34" s="1"/>
  <c r="AC43" i="34"/>
  <c r="AC44" i="34"/>
  <c r="AC35" i="34"/>
  <c r="AC36" i="34"/>
  <c r="AC37" i="34"/>
  <c r="AC39" i="34"/>
  <c r="AC41" i="34"/>
  <c r="AC42" i="34"/>
  <c r="AA13" i="34" l="1"/>
  <c r="AB13" i="34"/>
  <c r="AA53" i="34" l="1"/>
  <c r="J30" i="34"/>
  <c r="J31" i="34" s="1"/>
  <c r="J56" i="34" l="1"/>
  <c r="AA54" i="34"/>
  <c r="AA50" i="34"/>
  <c r="Z50" i="34"/>
  <c r="AL13" i="34" l="1"/>
  <c r="X50" i="34"/>
  <c r="G45" i="48" l="1"/>
  <c r="V45" i="48" s="1"/>
  <c r="G44" i="48"/>
  <c r="V44" i="48" s="1"/>
  <c r="G43" i="48"/>
  <c r="V43" i="48" s="1"/>
  <c r="G42" i="48"/>
  <c r="V42" i="48" s="1"/>
  <c r="G41" i="48"/>
  <c r="V41" i="48" s="1"/>
  <c r="G37" i="48"/>
  <c r="V37" i="48" s="1"/>
  <c r="G36" i="48"/>
  <c r="V36" i="48" s="1"/>
  <c r="F34" i="48"/>
  <c r="E34" i="48"/>
  <c r="D34" i="48"/>
  <c r="G33" i="48"/>
  <c r="V33" i="48" s="1"/>
  <c r="G32" i="48"/>
  <c r="V32" i="48" s="1"/>
  <c r="G31" i="48"/>
  <c r="V31" i="48" s="1"/>
  <c r="F29" i="48"/>
  <c r="E29" i="48"/>
  <c r="D29" i="48"/>
  <c r="G28" i="48"/>
  <c r="V28" i="48" s="1"/>
  <c r="G27" i="48"/>
  <c r="V27" i="48" s="1"/>
  <c r="G26" i="48"/>
  <c r="V26" i="48" s="1"/>
  <c r="F24" i="48"/>
  <c r="E24" i="48"/>
  <c r="D24" i="48"/>
  <c r="G23" i="48"/>
  <c r="V23" i="48" s="1"/>
  <c r="G22" i="48"/>
  <c r="V22" i="48" s="1"/>
  <c r="G21" i="48"/>
  <c r="V21" i="48" s="1"/>
  <c r="G18" i="48"/>
  <c r="V18" i="48" s="1"/>
  <c r="F39" i="48" l="1"/>
  <c r="F47" i="48" s="1"/>
  <c r="G29" i="48"/>
  <c r="D39" i="48"/>
  <c r="D47" i="48" s="1"/>
  <c r="G24" i="48"/>
  <c r="E39" i="48"/>
  <c r="E47" i="48" s="1"/>
  <c r="G34" i="48"/>
  <c r="G38" i="48"/>
  <c r="D18" i="47"/>
  <c r="D17" i="47"/>
  <c r="D12" i="47"/>
  <c r="D11" i="47"/>
  <c r="D10" i="47"/>
  <c r="G39" i="48" l="1"/>
  <c r="G47" i="48"/>
  <c r="D21" i="47" l="1"/>
  <c r="Z53" i="34" l="1"/>
  <c r="S18" i="39"/>
  <c r="Z54" i="34" l="1"/>
  <c r="AB50" i="34" l="1"/>
  <c r="J12" i="41"/>
  <c r="L13" i="41" l="1"/>
  <c r="K12" i="41"/>
  <c r="L12" i="41" s="1"/>
  <c r="AH16" i="34"/>
  <c r="AH17" i="34"/>
  <c r="AH22" i="34"/>
  <c r="AH36" i="34"/>
  <c r="AK39" i="34"/>
  <c r="AH41" i="34"/>
  <c r="AH42" i="34"/>
  <c r="AL42" i="34" s="1"/>
  <c r="AK43" i="34"/>
  <c r="AK44" i="34"/>
  <c r="AH53" i="34"/>
  <c r="AJ16" i="34"/>
  <c r="AH30" i="34"/>
  <c r="AH37" i="34"/>
  <c r="AJ43" i="34"/>
  <c r="AH31" i="34" l="1"/>
  <c r="AH18" i="34"/>
  <c r="AH43" i="34"/>
  <c r="AL43" i="34" s="1"/>
  <c r="AH54" i="34"/>
  <c r="AL54" i="34" s="1"/>
  <c r="AH44" i="34"/>
  <c r="AH39" i="34"/>
  <c r="AH35" i="34"/>
  <c r="AL16" i="34"/>
  <c r="AK16" i="34"/>
  <c r="AH49" i="34"/>
  <c r="AH55" i="34" l="1"/>
  <c r="T18" i="39" l="1"/>
  <c r="U18" i="39" s="1"/>
  <c r="Z43" i="34" l="1"/>
  <c r="AA39" i="34" l="1"/>
  <c r="AA43" i="34"/>
  <c r="AA44" i="34"/>
  <c r="AA16" i="34"/>
  <c r="Z16" i="34"/>
  <c r="AK35" i="34" l="1"/>
  <c r="AK36" i="34"/>
  <c r="AK37" i="34"/>
  <c r="AK42" i="34"/>
  <c r="Q13" i="13"/>
  <c r="R13" i="13"/>
  <c r="S13" i="13"/>
  <c r="T13" i="13"/>
  <c r="U13" i="13"/>
  <c r="Q14" i="13"/>
  <c r="R14" i="13"/>
  <c r="S14" i="13"/>
  <c r="T14" i="13"/>
  <c r="U14" i="13"/>
  <c r="W13" i="13"/>
  <c r="X13" i="13"/>
  <c r="Y13" i="13"/>
  <c r="Z13" i="13"/>
  <c r="AA13" i="13"/>
  <c r="W14" i="13"/>
  <c r="X14" i="13"/>
  <c r="Y14" i="13"/>
  <c r="Z14" i="13"/>
  <c r="AA14" i="13"/>
  <c r="X35" i="34"/>
  <c r="AL49" i="34" l="1"/>
  <c r="Z14" i="48"/>
  <c r="AA49" i="34"/>
  <c r="AK49" i="34"/>
  <c r="Z49" i="34"/>
  <c r="AJ49" i="34"/>
  <c r="AK22" i="34"/>
  <c r="AA22" i="34"/>
  <c r="AA36" i="34"/>
  <c r="AA35" i="34"/>
  <c r="AA42" i="34"/>
  <c r="AA37" i="34"/>
  <c r="AK53" i="34"/>
  <c r="AJ53" i="34"/>
  <c r="AA41" i="34"/>
  <c r="AK41" i="34"/>
  <c r="Z39" i="34"/>
  <c r="AJ39" i="34"/>
  <c r="AL37" i="34"/>
  <c r="Z37" i="34"/>
  <c r="AJ37" i="34"/>
  <c r="Z36" i="34"/>
  <c r="AJ36" i="34"/>
  <c r="AA30" i="34"/>
  <c r="AK30" i="34"/>
  <c r="AA17" i="34"/>
  <c r="AK17" i="34"/>
  <c r="AL41" i="34"/>
  <c r="AL30" i="34"/>
  <c r="AL22" i="34"/>
  <c r="AL53" i="34"/>
  <c r="AJ18" i="34"/>
  <c r="AK18" i="34"/>
  <c r="AK31" i="34"/>
  <c r="X43" i="34"/>
  <c r="AB43" i="34" s="1"/>
  <c r="X36" i="34"/>
  <c r="X22" i="34"/>
  <c r="X53" i="34"/>
  <c r="AB53" i="34" s="1"/>
  <c r="X44" i="34"/>
  <c r="AB44" i="34" s="1"/>
  <c r="X42" i="34"/>
  <c r="AB42" i="34" s="1"/>
  <c r="X41" i="34"/>
  <c r="AB41" i="34" s="1"/>
  <c r="X37" i="34"/>
  <c r="X30" i="34"/>
  <c r="AB30" i="34" s="1"/>
  <c r="X49" i="34"/>
  <c r="AB49" i="34" s="1"/>
  <c r="X39" i="34"/>
  <c r="AB39" i="34" s="1"/>
  <c r="X16" i="34"/>
  <c r="X55" i="34" l="1"/>
  <c r="X31" i="34"/>
  <c r="AA14" i="48"/>
  <c r="AB14" i="48" s="1"/>
  <c r="AB16" i="34"/>
  <c r="AB22" i="34"/>
  <c r="S17" i="39"/>
  <c r="AB36" i="34"/>
  <c r="AB37" i="34"/>
  <c r="AJ42" i="34"/>
  <c r="Z42" i="34"/>
  <c r="AA55" i="34"/>
  <c r="AK55" i="34"/>
  <c r="AL31" i="34"/>
  <c r="AL17" i="34"/>
  <c r="AL44" i="34"/>
  <c r="AJ44" i="34"/>
  <c r="Z44" i="34"/>
  <c r="Z41" i="34"/>
  <c r="AJ41" i="34"/>
  <c r="AL36" i="34"/>
  <c r="AL39" i="34"/>
  <c r="Z35" i="34"/>
  <c r="AJ35" i="34"/>
  <c r="Z30" i="34"/>
  <c r="AJ30" i="34"/>
  <c r="Z22" i="34"/>
  <c r="AJ22" i="34"/>
  <c r="Z18" i="34"/>
  <c r="Z17" i="34"/>
  <c r="AJ17" i="34"/>
  <c r="AK56" i="34"/>
  <c r="AA31" i="34"/>
  <c r="T17" i="39" l="1"/>
  <c r="U17" i="39" s="1"/>
  <c r="AB31" i="34"/>
  <c r="AJ56" i="34"/>
  <c r="AB35" i="34"/>
  <c r="AL35" i="34"/>
  <c r="AJ55" i="34"/>
  <c r="Z31" i="34"/>
  <c r="AJ31" i="34"/>
  <c r="Z55" i="34"/>
  <c r="X17" i="34"/>
  <c r="X18" i="34" s="1"/>
  <c r="AL55" i="34" l="1"/>
  <c r="AB55" i="34"/>
  <c r="AL18" i="34"/>
  <c r="AL56" i="34"/>
  <c r="Z56" i="34"/>
  <c r="AA56" i="34"/>
  <c r="AA18" i="34"/>
  <c r="AB17" i="34"/>
  <c r="AB56" i="34" l="1"/>
  <c r="AB18" i="34"/>
</calcChain>
</file>

<file path=xl/sharedStrings.xml><?xml version="1.0" encoding="utf-8"?>
<sst xmlns="http://schemas.openxmlformats.org/spreadsheetml/2006/main" count="1804" uniqueCount="565">
  <si>
    <t>Institution:</t>
  </si>
  <si>
    <t>Forecast</t>
  </si>
  <si>
    <t>Total</t>
  </si>
  <si>
    <t>(Calculated)</t>
  </si>
  <si>
    <t>Pre-clinical</t>
  </si>
  <si>
    <t>Pre-clinical Medicine</t>
  </si>
  <si>
    <t>Pre-clinical Dentistry</t>
  </si>
  <si>
    <t>Education</t>
  </si>
  <si>
    <t>BEd  Physical Education</t>
  </si>
  <si>
    <t>Taught Postgraduate</t>
  </si>
  <si>
    <t>Taught PG: UG fees</t>
  </si>
  <si>
    <t>Undergraduate</t>
  </si>
  <si>
    <t>Research Postgraduate</t>
  </si>
  <si>
    <t>2</t>
  </si>
  <si>
    <t>3</t>
  </si>
  <si>
    <t>4</t>
  </si>
  <si>
    <t>5</t>
  </si>
  <si>
    <t>FTE</t>
  </si>
  <si>
    <t>Primary</t>
  </si>
  <si>
    <t>Secondary</t>
  </si>
  <si>
    <t>BEd Music</t>
  </si>
  <si>
    <t>BEd Physical Education</t>
  </si>
  <si>
    <t>BEd Technology</t>
  </si>
  <si>
    <t xml:space="preserve">Combined Degrees in Education </t>
  </si>
  <si>
    <t>1</t>
  </si>
  <si>
    <t>Teaching Sector</t>
  </si>
  <si>
    <t>Headcount</t>
  </si>
  <si>
    <t>Year of Course</t>
  </si>
  <si>
    <t>Medicine</t>
  </si>
  <si>
    <t>Clinical</t>
  </si>
  <si>
    <t>Enter</t>
  </si>
  <si>
    <t>Part-time</t>
  </si>
  <si>
    <t>Clinical Medicine</t>
  </si>
  <si>
    <t>Clinical Dentistry</t>
  </si>
  <si>
    <t>Adult</t>
  </si>
  <si>
    <t>Three-year</t>
  </si>
  <si>
    <t>Conversion</t>
  </si>
  <si>
    <t>Graduate entry</t>
  </si>
  <si>
    <t>Mental Health</t>
  </si>
  <si>
    <t>Child Health</t>
  </si>
  <si>
    <t>Learning Disability</t>
  </si>
  <si>
    <t>Midwifery</t>
  </si>
  <si>
    <t>Full-time</t>
  </si>
  <si>
    <t>Aberdeen, University of</t>
  </si>
  <si>
    <t>Abertay Dundee, University of</t>
  </si>
  <si>
    <t>Dundee, University of</t>
  </si>
  <si>
    <t>Edinburgh, University of</t>
  </si>
  <si>
    <t>Glasgow Caledonian University</t>
  </si>
  <si>
    <t>Glasgow School of Art</t>
  </si>
  <si>
    <t>Glasgow, University of</t>
  </si>
  <si>
    <t>Heriot-Watt University</t>
  </si>
  <si>
    <t>Robert Gordon University</t>
  </si>
  <si>
    <t>St Andrews, University of</t>
  </si>
  <si>
    <t>Stirling, University of</t>
  </si>
  <si>
    <t>Strathclyde, University of</t>
  </si>
  <si>
    <t>Calculated</t>
  </si>
  <si>
    <t>Referenced</t>
  </si>
  <si>
    <t>Queen Margaret University, Edinburgh</t>
  </si>
  <si>
    <t>West of Scotland, University of the</t>
  </si>
  <si>
    <t>Table 1</t>
  </si>
  <si>
    <t>Edinburgh Napier University</t>
  </si>
  <si>
    <t>Head-
count</t>
  </si>
  <si>
    <t>Autumn
Count</t>
  </si>
  <si>
    <t>Year 1</t>
  </si>
  <si>
    <t>Year 2</t>
  </si>
  <si>
    <t>Year 3</t>
  </si>
  <si>
    <t>Year 4</t>
  </si>
  <si>
    <t>Year 5</t>
  </si>
  <si>
    <t>Difference OK?</t>
  </si>
  <si>
    <t>Students Eligible for Funding</t>
  </si>
  <si>
    <t>Full-time and Sandwich (excluding short full-time)</t>
  </si>
  <si>
    <t>Part-time
(including short full-time)</t>
  </si>
  <si>
    <t>Other</t>
  </si>
  <si>
    <t>Controlled Subject Areas</t>
  </si>
  <si>
    <t>Nursing and Midwifery</t>
  </si>
  <si>
    <t>Non-Controlled Subject Areas</t>
  </si>
  <si>
    <t>PGCE / PGDE Primary</t>
  </si>
  <si>
    <t>PGCE / PGDE Secondary</t>
  </si>
  <si>
    <t>Other subject areas</t>
  </si>
  <si>
    <t>Medicine and Dentistry</t>
  </si>
  <si>
    <t>STEM subject areas</t>
  </si>
  <si>
    <t>All Levels</t>
  </si>
  <si>
    <t>The cells with a white background are those in which figures can be entered.</t>
  </si>
  <si>
    <t>BEd Primary</t>
  </si>
  <si>
    <t>Enter /
Calculated</t>
  </si>
  <si>
    <t>Fees-only students</t>
  </si>
  <si>
    <t>Percentage</t>
  </si>
  <si>
    <t>Highlands and Islands, University of the</t>
  </si>
  <si>
    <t>Open University in Scotland</t>
  </si>
  <si>
    <t>Royal Conservatoire of Scotland</t>
  </si>
  <si>
    <t>Check total</t>
  </si>
  <si>
    <t>Institution</t>
  </si>
  <si>
    <t>Clinical
medicine</t>
  </si>
  <si>
    <t>Clinical
dentistry</t>
  </si>
  <si>
    <t>BEd
Music</t>
  </si>
  <si>
    <t>BEd PE</t>
  </si>
  <si>
    <t>BEd
Technology</t>
  </si>
  <si>
    <t>PGDE
Primary</t>
  </si>
  <si>
    <t>PGDE
Secondary</t>
  </si>
  <si>
    <t>PGDE Primary</t>
  </si>
  <si>
    <t>PGDE Secondary</t>
  </si>
  <si>
    <t>Institution selected</t>
  </si>
  <si>
    <t>Intake
to the
course</t>
  </si>
  <si>
    <t>Medicine
under-
graduates</t>
  </si>
  <si>
    <t>Dentistry
under-
graduates</t>
  </si>
  <si>
    <t>Parameters</t>
  </si>
  <si>
    <t>Controlled Under-enrolments</t>
  </si>
  <si>
    <t>Non-controlled Under-enrolments</t>
  </si>
  <si>
    <t>Controlled subject areas</t>
  </si>
  <si>
    <t>Non-controlled subject areas</t>
  </si>
  <si>
    <t>Subject area</t>
  </si>
  <si>
    <t>Non-controlled Subject Areas</t>
  </si>
  <si>
    <t>Title</t>
  </si>
  <si>
    <t>Aberdeen,
University of</t>
  </si>
  <si>
    <t>Abertay Dundee,
University of</t>
  </si>
  <si>
    <t>Dundee,
University of</t>
  </si>
  <si>
    <t>West of Scotland,
University of the</t>
  </si>
  <si>
    <t>Strathclyde,
University of</t>
  </si>
  <si>
    <t>Stirling,
University of</t>
  </si>
  <si>
    <t>St Andrews,
University of</t>
  </si>
  <si>
    <t>Robert Gordon
University</t>
  </si>
  <si>
    <t>Glasgow Caledonian
University</t>
  </si>
  <si>
    <t>Edinburgh,
University of</t>
  </si>
  <si>
    <t>Edinburgh Napier
University</t>
  </si>
  <si>
    <t>Heriot-Watt
University</t>
  </si>
  <si>
    <t>Open University
in Scotland
(Enrolments)</t>
  </si>
  <si>
    <t>Open University
in Scotland
(Completions)</t>
  </si>
  <si>
    <t>Level of Study / Subject Area</t>
  </si>
  <si>
    <t>Included in Table</t>
  </si>
  <si>
    <t>2a</t>
  </si>
  <si>
    <t>2b</t>
  </si>
  <si>
    <t>2c</t>
  </si>
  <si>
    <t>Full-time undergraduates (Scots, Other EU)</t>
  </si>
  <si>
    <t>Consolidation tolerance (&gt;=100)</t>
  </si>
  <si>
    <t>Rest of
UK</t>
  </si>
  <si>
    <t>Students
on inter-
calating
degrees</t>
  </si>
  <si>
    <t>Nursing and Midwifery Pre-registration</t>
  </si>
  <si>
    <t>Dentistry</t>
  </si>
  <si>
    <t>Other subjects</t>
  </si>
  <si>
    <t>Initial
Teacher
Education
Primary</t>
  </si>
  <si>
    <t>Initial
Teacher
Education
Secondary</t>
  </si>
  <si>
    <t>Nursing
and
midwifery
pre-
registration</t>
  </si>
  <si>
    <t>SRUC</t>
  </si>
  <si>
    <t>Students eligible for funding</t>
  </si>
  <si>
    <t>International</t>
  </si>
  <si>
    <t>Type of student</t>
  </si>
  <si>
    <t>Stage and Year of Course</t>
  </si>
  <si>
    <t>Allocation of
additional
funded
places</t>
  </si>
  <si>
    <t>Course</t>
  </si>
  <si>
    <t>International Medical University of Malaysia</t>
  </si>
  <si>
    <t>Closed loop programme: Canada</t>
  </si>
  <si>
    <t>Total
(*)</t>
  </si>
  <si>
    <t>(*) The total(s) for students eligible for funding and rest of UK should equal the corresponding totals on Table 1.</t>
  </si>
  <si>
    <t>Num-
ber</t>
  </si>
  <si>
    <t>5a</t>
  </si>
  <si>
    <t>5b</t>
  </si>
  <si>
    <t>5c</t>
  </si>
  <si>
    <t>Postgraduate (Undergraduate fee)</t>
  </si>
  <si>
    <t>International Total</t>
  </si>
  <si>
    <t>Intake or
enrolments missing?</t>
  </si>
  <si>
    <t>Intake inconsistent with enrolments?</t>
  </si>
  <si>
    <t>Percentage Difference</t>
  </si>
  <si>
    <t>Pre-clinical
medicine</t>
  </si>
  <si>
    <t>Pre-clinical
dentistry</t>
  </si>
  <si>
    <t>Open University (Completions)</t>
  </si>
  <si>
    <r>
      <rPr>
        <b/>
        <sz val="11"/>
        <rFont val="Calibri"/>
        <family val="2"/>
      </rPr>
      <t>Courses</t>
    </r>
    <r>
      <rPr>
        <sz val="11"/>
        <rFont val="Calibri"/>
        <family val="2"/>
      </rPr>
      <t xml:space="preserve">
(Only those which lead to registration
with the General Teaching Council)</t>
    </r>
  </si>
  <si>
    <t>Check against Table 1</t>
  </si>
  <si>
    <t>Difference
from
Table 1</t>
  </si>
  <si>
    <t>Level of Study</t>
  </si>
  <si>
    <r>
      <rPr>
        <b/>
        <sz val="11"/>
        <rFont val="Calibri"/>
        <family val="2"/>
      </rPr>
      <t>Level of Study</t>
    </r>
    <r>
      <rPr>
        <b/>
        <sz val="11"/>
        <color indexed="18"/>
        <rFont val="Calibri"/>
        <family val="2"/>
      </rPr>
      <t xml:space="preserve"> / </t>
    </r>
    <r>
      <rPr>
        <b/>
        <sz val="11"/>
        <color indexed="56"/>
        <rFont val="Calibri"/>
        <family val="2"/>
      </rPr>
      <t>Subject Areas</t>
    </r>
  </si>
  <si>
    <t>Undergraduate Total</t>
  </si>
  <si>
    <t>4a</t>
  </si>
  <si>
    <t>4b</t>
  </si>
  <si>
    <t>Honours
Nursing</t>
  </si>
  <si>
    <t>Intake</t>
  </si>
  <si>
    <t>Year of Programme</t>
  </si>
  <si>
    <t>Rest of UK paying deregulated tuition fees</t>
  </si>
  <si>
    <t>Home and Deregulated Tuition Fees</t>
  </si>
  <si>
    <t>Total Home and Deregulated Tuition Fees</t>
  </si>
  <si>
    <t>Intake /
Year of Programme</t>
  </si>
  <si>
    <t>2d</t>
  </si>
  <si>
    <t>PGDE Secondary Subject</t>
  </si>
  <si>
    <t>Art</t>
  </si>
  <si>
    <t>Biology</t>
  </si>
  <si>
    <t>Business Education</t>
  </si>
  <si>
    <t>Chemistry</t>
  </si>
  <si>
    <t>Computing</t>
  </si>
  <si>
    <t>Drama</t>
  </si>
  <si>
    <t>English</t>
  </si>
  <si>
    <t>Gaelic</t>
  </si>
  <si>
    <t>Geography</t>
  </si>
  <si>
    <t>History</t>
  </si>
  <si>
    <t>Home Economics</t>
  </si>
  <si>
    <t>Mathematics</t>
  </si>
  <si>
    <t>Modern Languages</t>
  </si>
  <si>
    <t>Modern Studies</t>
  </si>
  <si>
    <t>Music</t>
  </si>
  <si>
    <t>Physical Education</t>
  </si>
  <si>
    <t>Religious Education</t>
  </si>
  <si>
    <t>Technological Education</t>
  </si>
  <si>
    <t>Physics</t>
  </si>
  <si>
    <t>Table 2a</t>
  </si>
  <si>
    <t>Difference
from
Table 2a</t>
  </si>
  <si>
    <t>Contents</t>
  </si>
  <si>
    <t>Table</t>
  </si>
  <si>
    <t>Completed
by
Institution</t>
  </si>
  <si>
    <t>YES</t>
  </si>
  <si>
    <t>For Info</t>
  </si>
  <si>
    <t>Level of Study / Branch</t>
  </si>
  <si>
    <t>Difference</t>
  </si>
  <si>
    <t>Full-time
and
sandwich
(excluding
short
full-time)</t>
  </si>
  <si>
    <t>Part-time
(including
short
full-time)</t>
  </si>
  <si>
    <t>Rest of UK
students
not eligible
for funding
in controlled
subject
areas</t>
  </si>
  <si>
    <t>Glasgow
School
of Art</t>
  </si>
  <si>
    <t>Glasgow,
University of</t>
  </si>
  <si>
    <t>Open
University
in Scotland
(Enrolments)</t>
  </si>
  <si>
    <t>Queen
Margaret
University,
Edinburgh</t>
  </si>
  <si>
    <t>Robert
Gordon
University</t>
  </si>
  <si>
    <t>West of
Scotland,
University
of the</t>
  </si>
  <si>
    <t>RUK</t>
  </si>
  <si>
    <t>At your
institution</t>
  </si>
  <si>
    <t>At another
institution</t>
  </si>
  <si>
    <t>Controlled Three-year</t>
  </si>
  <si>
    <t>Funded
through
Main
Teaching
Grant</t>
  </si>
  <si>
    <t>Funded
through
Strategic
Grants</t>
  </si>
  <si>
    <t>Glasgow
Caledonian
University</t>
  </si>
  <si>
    <t>Royal
Conservatoire
of Scotland</t>
  </si>
  <si>
    <t>Controlled Three-year Degree</t>
  </si>
  <si>
    <t>European Social Fund
‘Developing Scotland’s Workforce'</t>
  </si>
  <si>
    <t>Research
post-graduate</t>
  </si>
  <si>
    <t>Taught
post-graduate</t>
  </si>
  <si>
    <t>HN</t>
  </si>
  <si>
    <t>Research
postgraduates</t>
  </si>
  <si>
    <t>Taught
postgraduates</t>
  </si>
  <si>
    <t>Additional ESF-funded Places</t>
  </si>
  <si>
    <t>Total
intake</t>
  </si>
  <si>
    <t>Difference between
student numbers and
consolidation student
number</t>
  </si>
  <si>
    <t>Students Eligible for Funding, 2017-18</t>
  </si>
  <si>
    <t>Controlled Four-year Degree</t>
  </si>
  <si>
    <t>BA
Childhood
Practice</t>
  </si>
  <si>
    <t>HNC
Childhood
Practice</t>
  </si>
  <si>
    <t>Innovation
centres</t>
  </si>
  <si>
    <t>Psychology</t>
  </si>
  <si>
    <t>1
(*)</t>
  </si>
  <si>
    <t>Students
eligible for
funding</t>
  </si>
  <si>
    <t>Rest of UK entrants</t>
  </si>
  <si>
    <t>Difference
OK?</t>
  </si>
  <si>
    <t>ITE</t>
  </si>
  <si>
    <t>TQFE</t>
  </si>
  <si>
    <t>Catholic</t>
  </si>
  <si>
    <t>Med/Dent</t>
  </si>
  <si>
    <t>Nurse
3 Year</t>
  </si>
  <si>
    <t>Nurse
4 Year</t>
  </si>
  <si>
    <t>ESF</t>
  </si>
  <si>
    <t>Childcare</t>
  </si>
  <si>
    <t>BA Childhood Practice</t>
  </si>
  <si>
    <t>HNC Childhood Practice</t>
  </si>
  <si>
    <t>Innovation Centre</t>
  </si>
  <si>
    <t>Lead Institution</t>
  </si>
  <si>
    <t>Funded
places</t>
  </si>
  <si>
    <t>Taught
postgraduate
students
eligible
for funding</t>
  </si>
  <si>
    <t>Construction Scotland Innovation Centre (CSIC)</t>
  </si>
  <si>
    <t>The Data Lab (DATALAB)</t>
  </si>
  <si>
    <t>Digital Health and Care Institute (DHI)</t>
  </si>
  <si>
    <t>Stratified Scotland Innovation Centre (SMS-IC)</t>
  </si>
  <si>
    <t>Scottish Aquaculture Innovation Centre (SAIC)</t>
  </si>
  <si>
    <t>Industrial Biotechnology Innovation Centre (IBioIC)</t>
  </si>
  <si>
    <t>(*) The institutions who collaborate in an Innovation Centre should agree amongst themselves who reports which of the taught postgraduate students at the Innovation Centre.</t>
  </si>
  <si>
    <t>Undergraduates</t>
  </si>
  <si>
    <t>Degree</t>
  </si>
  <si>
    <t>Under-
graduate</t>
  </si>
  <si>
    <t>Pre-medical Entry</t>
  </si>
  <si>
    <t>Other STEM subjects</t>
  </si>
  <si>
    <t>Continuing
Rest of UK (*)</t>
  </si>
  <si>
    <t>N/A</t>
  </si>
  <si>
    <t>(*)</t>
  </si>
  <si>
    <t>(*) Enter the total FTE number of student entrants eligible for funding.</t>
  </si>
  <si>
    <t xml:space="preserve">       This figure will be compared to the number of entrants to these courses in previous years to estimate the</t>
  </si>
  <si>
    <t>level of additional enrolments and hence to inform how many of the additional places have been filled.</t>
  </si>
  <si>
    <t>2e</t>
  </si>
  <si>
    <t>2f</t>
  </si>
  <si>
    <t>New Routes Initial Teacher Education Primary</t>
  </si>
  <si>
    <t>New Routes Initial Teacher Education Secondary</t>
  </si>
  <si>
    <t>Students Eligible for Funding on Initial Teacher Education Courses, 2018-19</t>
  </si>
  <si>
    <t>Students Eligible for Funding on Teaching Qualification (Further Education) (TQ(FE)) Courses, 2018-19</t>
  </si>
  <si>
    <t>Students Eligible for Funding Enrolled on Catholic Courses or Modules, 2018-19</t>
  </si>
  <si>
    <t>Students on Undergraduate Medicine and Dentistry Courses, 2018-19</t>
  </si>
  <si>
    <t>Use of Funded Places for Innovation Centres for 2018-19</t>
  </si>
  <si>
    <t>Use of Places Funded by the European Social Fund (ESF)'s Developing Scotland's Workforce Programme, 2018-19</t>
  </si>
  <si>
    <t>Scottish-domiciled Undergraduate Entrants from a Care Experienced Background, 2018-19</t>
  </si>
  <si>
    <t>Scottish Funding Council Early Statistics Return 2018-19: Table 1</t>
  </si>
  <si>
    <t>Students Eligible for Funding in All Subject Areas and Students Not Eligible for Funding in the Controlled Subject Areas, 2018-19</t>
  </si>
  <si>
    <t>Students Eligible for Funding, 2018-19</t>
  </si>
  <si>
    <t>Rest of UK Students
Not Eligible for Funding
in Controlled Subject Areas, 2018-19</t>
  </si>
  <si>
    <t>Total for
Controlled
Subject
Areas for
Monitoring
Consolidation
for Scots /
Other EU /
Rest of UK,
2018-19</t>
  </si>
  <si>
    <t>Comparison with Early Statistics for 2017-18</t>
  </si>
  <si>
    <t>Comparison with Final Figures for 2017-18</t>
  </si>
  <si>
    <t>Rest of UK
students
not eligible
for funding
in controlled
subject
areas,
2017-18</t>
  </si>
  <si>
    <t>Scottish Funding Council Early Statistics Return 2018-19: Table 2a</t>
  </si>
  <si>
    <t>Intake to the Course, 2018-19</t>
  </si>
  <si>
    <t>Scottish Funding Council Early Statistics Return 2018-19: Table 2b</t>
  </si>
  <si>
    <t>Scottish Funding Council Early Statistics Return 2018-19: Table 2e</t>
  </si>
  <si>
    <t>Scottish Funding Council Early Statistics Return 2018-19: Table 2f</t>
  </si>
  <si>
    <t>Scottish Funding Council Early Statistics Return 2018-19: Table 3</t>
  </si>
  <si>
    <t>Scottish Funding Council Early Statistics Return 2018-19: Table 4a</t>
  </si>
  <si>
    <t>Scottish Funding Council Early Statistics Return 2018-19: Table 4b</t>
  </si>
  <si>
    <t>Scottish Funding Council Early Statistics Return 2018-19: Table 5a</t>
  </si>
  <si>
    <t>Scottish Funding Council Early Statistics Return 2018-19: Table 5b</t>
  </si>
  <si>
    <t>Scottish Funding Council Early Statistics Return 2018-19: Table 6</t>
  </si>
  <si>
    <t>Scottish Funding Council Early Statistics Return 2018-19</t>
  </si>
  <si>
    <t>Non-controlled subject areas, 2018-19</t>
  </si>
  <si>
    <t>Total SFC Non-controlled
Funded Places for 2018-19</t>
  </si>
  <si>
    <t>SFC Controlled Funded Places for 2018-19</t>
  </si>
  <si>
    <t>Scottish Government Funded Places for 2018-19</t>
  </si>
  <si>
    <t>Controlled Consolidation Student Numbers for 2018-19</t>
  </si>
  <si>
    <t>Non-
controlled
Consolid-
ation
Student
Number
for
2018-19</t>
  </si>
  <si>
    <t>Early Statistics 2017-18</t>
  </si>
  <si>
    <t>Final Figures 2017-18</t>
  </si>
  <si>
    <t>Scottish-domiciled undergraduate entrants from the 20 and 40 per cent most deprived areas, 2018-19</t>
  </si>
  <si>
    <t>Actual</t>
  </si>
  <si>
    <t>From 20 per cent Most Deprived Areas (MD20)</t>
  </si>
  <si>
    <t>From 20 to 40 per cent Most Deprived Areas</t>
  </si>
  <si>
    <t>From 40 per cent Most Deprived Areas (MD40)</t>
  </si>
  <si>
    <t>Number</t>
  </si>
  <si>
    <t>Funded Places for 2018-19</t>
  </si>
  <si>
    <t xml:space="preserve"> Consolidation Student Numbers for 2018-19</t>
  </si>
  <si>
    <t>Controlled Subjects Intake Targets</t>
  </si>
  <si>
    <t>Taught
post-
graduate
skills</t>
  </si>
  <si>
    <t>Nursing and Midwifery
Pre-regisration</t>
  </si>
  <si>
    <t>Initial Teacher Education</t>
  </si>
  <si>
    <t>ScotGEM</t>
  </si>
  <si>
    <t>Pre-entry
medicine</t>
  </si>
  <si>
    <t>Nursing and
midwifery
pre-
egistration
three-year</t>
  </si>
  <si>
    <t>Nursing and
midwifery
pre-
egistration
Honours</t>
  </si>
  <si>
    <t>Under-
graduate
Primary</t>
  </si>
  <si>
    <t>Other
Secondary</t>
  </si>
  <si>
    <t>Combined
Degrees
Primary</t>
  </si>
  <si>
    <t>Combined
Degrees
Secondary</t>
  </si>
  <si>
    <t>Honours</t>
  </si>
  <si>
    <t>BEd
PE</t>
  </si>
  <si>
    <t>BE
Technology</t>
  </si>
  <si>
    <t xml:space="preserve">FTE </t>
  </si>
  <si>
    <t>Rest of UK Students Not Eligible for Funding in Controlled Subject Areas</t>
  </si>
  <si>
    <t>Highlands and Islands,
University of the</t>
  </si>
  <si>
    <t>Queen Margaret
University, Edinburgh</t>
  </si>
  <si>
    <t>Royal Conservatoire
of Scotland</t>
  </si>
  <si>
    <t>Abertay
Dundee,
University of</t>
  </si>
  <si>
    <t>Edinburgh
Napier
University</t>
  </si>
  <si>
    <t>Highlands
and Islands,
University
of the</t>
  </si>
  <si>
    <t>Additional Places for Innovation Centres for 2018-19</t>
  </si>
  <si>
    <t>Figures taken from worksheet 'Innovation Centre FPs, 18-19' of the spreadsheet 'TCal 2018-19 Post Final OAs.xlsx'</t>
  </si>
  <si>
    <t>in the directory 'M:\H E\TFundfig\TC2018-19\Post Final Outcome Agreements\TCal 2018-19 Post Final OAs.xlsx '.</t>
  </si>
  <si>
    <t>PGDE
Subjects</t>
  </si>
  <si>
    <t>New
Routes</t>
  </si>
  <si>
    <t>Rest of UK</t>
  </si>
  <si>
    <t>Reference</t>
  </si>
  <si>
    <t>Intake in
2018-19</t>
  </si>
  <si>
    <t>Students Eligible for Funding on Early Years Education Courses in 2018-19 Who Started From 2017-18 Onwards</t>
  </si>
  <si>
    <t>Student eligible for funding who started from 2017-18 onwards</t>
  </si>
  <si>
    <t>Intake or enrolments missing?</t>
  </si>
  <si>
    <t>New
Routes
Subjects</t>
  </si>
  <si>
    <t>Undergraduate Primary</t>
  </si>
  <si>
    <t>Scottish domiciled</t>
  </si>
  <si>
    <t>From Pre-medical Entry programme</t>
  </si>
  <si>
    <t>Meet widening access criteria</t>
  </si>
  <si>
    <t>Other EU domiciled</t>
  </si>
  <si>
    <t>Students Eligible for Funding:</t>
  </si>
  <si>
    <t>Clinical
Medicine</t>
  </si>
  <si>
    <t>Students Eligible for Funding Total</t>
  </si>
  <si>
    <t>Entrants to Undergraduate Medicine Courses, 2018-19</t>
  </si>
  <si>
    <t>Students on Undergraduate Medicine Courses, 2018-19</t>
  </si>
  <si>
    <t>Students on Undergraduate Dentistry Courses, 2018-19</t>
  </si>
  <si>
    <t xml:space="preserve"> </t>
  </si>
  <si>
    <t>5d</t>
  </si>
  <si>
    <t>Early Statistics / Final Figures Tables
Column Number</t>
  </si>
  <si>
    <t>TPG
Skills
Places</t>
  </si>
  <si>
    <t>Additional Funded Places  (FTE)</t>
  </si>
  <si>
    <t>Difference from Additional Funded Places</t>
  </si>
  <si>
    <t>(*) Enter the FTE number of places that have been filled.  You do not have to return the total number of</t>
  </si>
  <si>
    <t>students eligible for funding on the taught postgraduate courses for which additional places were allocated.</t>
  </si>
  <si>
    <t>Use of Additional Funded Places for Taught Postgraduate Provision, 2018-19</t>
  </si>
  <si>
    <t>Students on
the relevant
taught
postgraduate
courses,
2018-19
(*)</t>
  </si>
  <si>
    <t>Scottish Funding Council Early Statistics Return 2018-19: Table 5c</t>
  </si>
  <si>
    <t>Scottish Funding Council Early Access Return, 2018-19</t>
  </si>
  <si>
    <t>Level of Study / Deprivation Status</t>
  </si>
  <si>
    <t>First Degree</t>
  </si>
  <si>
    <t>All Scottish-domiciled entrants</t>
  </si>
  <si>
    <t>Other Undergraduate   (*)</t>
  </si>
  <si>
    <t>(1,4,7) 'Actual' enrolments relate to students who had commenced their studies by 1 December 2018.</t>
  </si>
  <si>
    <t>Single subject</t>
  </si>
  <si>
    <t>Combination of Subjects</t>
  </si>
  <si>
    <t>Select From Drop Down List</t>
  </si>
  <si>
    <t>All Subjects</t>
  </si>
  <si>
    <t>First PGDE Secondary Subject</t>
  </si>
  <si>
    <t>Second PGDE Secondary Subject</t>
  </si>
  <si>
    <t>Check Combinations of Subjects</t>
  </si>
  <si>
    <t>Comparing enrolments and intakes, and checking total enrolments against Table 1</t>
  </si>
  <si>
    <t>Problem with Subject Information or
Missing FTE</t>
  </si>
  <si>
    <t>Students
eligible for
funding able to
teach in the
Gaelic medium</t>
  </si>
  <si>
    <t>New Routes</t>
  </si>
  <si>
    <t>All PGDE Primary</t>
  </si>
  <si>
    <t>Undergraduate Secondary</t>
  </si>
  <si>
    <t>Other Secondary - New Routes</t>
  </si>
  <si>
    <t>Comparing enrolments and intakes of students eligible for funding,
and checking total enrolments against Table 1</t>
  </si>
  <si>
    <t xml:space="preserve">All Combined Degrees in Education </t>
  </si>
  <si>
    <t>Combined Degrees in Education Primary</t>
  </si>
  <si>
    <t>Combined Degrees in Education Secondary</t>
  </si>
  <si>
    <t>Other Secondary</t>
  </si>
  <si>
    <t>Students Eligible for Funding on New Routes Initial Teacher Education Secondary Courses, 2018-19: Subjects Training to Teach</t>
  </si>
  <si>
    <t>Intake to PGDE Secondary ITE New Routes Courses, 2018-19</t>
  </si>
  <si>
    <t>Combined Degrees in Education Secondary New Routes ITE Courses, 2018-19</t>
  </si>
  <si>
    <t>Other Secondary New Routes ITE Courses, 2018-19</t>
  </si>
  <si>
    <t>ITE Secondary Subject(s)</t>
  </si>
  <si>
    <t>Continuing
students</t>
  </si>
  <si>
    <t>Single Subject</t>
  </si>
  <si>
    <t>Combined Subjects</t>
  </si>
  <si>
    <t>First Subject</t>
  </si>
  <si>
    <t>Second Subject</t>
  </si>
  <si>
    <t>Under-
enrolment
below the
tolerance
threshold
(Yes or
No) ?</t>
  </si>
  <si>
    <t>SFC
funded</t>
  </si>
  <si>
    <t>Scottish
Government
funded</t>
  </si>
  <si>
    <t>Three-year Nursing Degrees</t>
  </si>
  <si>
    <t>Four-year Nursing Degrees</t>
  </si>
  <si>
    <t>PGDE Primary   (*)</t>
  </si>
  <si>
    <t>PGDE Secondary   (*)</t>
  </si>
  <si>
    <t>Initial Teacher Education New Routes</t>
  </si>
  <si>
    <t>Combined Degrees Primary</t>
  </si>
  <si>
    <t>Combined Degrees Secondary</t>
  </si>
  <si>
    <t>Funded places</t>
  </si>
  <si>
    <t>Students
eligible
for  funding
in 2018-19
from 
Table 1</t>
  </si>
  <si>
    <t>European
Social
Fund</t>
  </si>
  <si>
    <t>Consol-
idation
student
numbers 
2018-19</t>
  </si>
  <si>
    <t>Is there a
breach of
consolidation
(Yes or
No) ?</t>
  </si>
  <si>
    <t>Controlled Subject Areas
(Includes Scots, Other EU, Rest of UK)</t>
  </si>
  <si>
    <t>Medicine Undergraduates</t>
  </si>
  <si>
    <t>Dentistry Undergraduates</t>
  </si>
  <si>
    <t>Initial Teacher Education (BEd and PGDE):</t>
  </si>
  <si>
    <t>Target
intake
2018-19</t>
  </si>
  <si>
    <t>Actual
intake of
students
eligible for
funding and
rest of UK</t>
  </si>
  <si>
    <t>Difference between
actual and target
intakes</t>
  </si>
  <si>
    <t>Check against Table 2a</t>
  </si>
  <si>
    <t>Teacher Training Subjects</t>
  </si>
  <si>
    <t>Select From List</t>
  </si>
  <si>
    <t>Type of Course</t>
  </si>
  <si>
    <t>PGDE Secondary Intake</t>
  </si>
  <si>
    <t>Enrolments</t>
  </si>
  <si>
    <t>Funded Places, Consolidation Student Numbers and Intake Targets for Controlled Subjects for 2018-19</t>
  </si>
  <si>
    <t>Incorporating SFC Early Access Return for 2018-19</t>
  </si>
  <si>
    <t>Students on New Routes Initial Teacher Education Courses, 2018-19</t>
  </si>
  <si>
    <t>Students on Three-year Nursing and Midwifery Pre-registration Degree courses, 2018-19</t>
  </si>
  <si>
    <t>Students on Four-year Nursing Degree courses, 2018-19</t>
  </si>
  <si>
    <t>Early Access Return, 2018-19:
Scottish-domiciled Undergraduate Entrants from the 20 and 40 per cent Most Deprived Areas, 2018-19</t>
  </si>
  <si>
    <t>Funded Places and Actual Enrolments of Students Eligible for Funding for the Controlled Subjects, 2018-19</t>
  </si>
  <si>
    <t>Funded Places and Actual Enrolments of Students Eligible for Funding for the Non-controlled Subject Areas, 2018-19</t>
  </si>
  <si>
    <t>Consolidation Student Numbers, 2018-19</t>
  </si>
  <si>
    <t>* Scottish and other EU full-time and sandwich undergraduate students eligible for funding compared to consolidation student number for non-controlled subject areas</t>
  </si>
  <si>
    <t>* Students eligible for funding and rest of UK students paying deregulated tuition fees compared to consolidation student numbers for the controlled subject areas</t>
  </si>
  <si>
    <t>Monitoring for Under-enrolments against Funded Places, Breaches of Consolidation and Meeting the Intake Targets for the Controlled Subjects, 2018-19</t>
  </si>
  <si>
    <t>Check for cells where only one of FTE and headcount is non-zero</t>
  </si>
  <si>
    <t>Check FTE is less than or equal to Headcount</t>
  </si>
  <si>
    <t>Students enrolled on Catholic courses
or modules studying ITE, 2018-19</t>
  </si>
  <si>
    <t>Check total against total intake eligible for funding in Table 2a</t>
  </si>
  <si>
    <t>Scottish Funding Council Early Statistics Return 2018-19: Table 2c</t>
  </si>
  <si>
    <t>Scottish Funding Council Early Statistics Return 2018-19: Table 2d</t>
  </si>
  <si>
    <t>New Routes Combined Degrees in Education Primary</t>
  </si>
  <si>
    <t>New Routes Combined Degrees in Education Secondary</t>
  </si>
  <si>
    <t>Other Taught Postgraduate Secondary New Routes</t>
  </si>
  <si>
    <t>Other Undergraduate Secondary New Routes</t>
  </si>
  <si>
    <t>Level of Study / Teaching Sector</t>
  </si>
  <si>
    <t>Look up for Early Statistics
and Final Figures for 2017-18</t>
  </si>
  <si>
    <t>Excluding
ITE New 
Routes</t>
  </si>
  <si>
    <t>ITE New 
Routes</t>
  </si>
  <si>
    <t>From Table 2a as a Check</t>
  </si>
  <si>
    <t>Comparing enrolments and intakes of students eligible for funding</t>
  </si>
  <si>
    <t>Intake or enrolments missing,
or intake inconsistent with
enrolments?</t>
  </si>
  <si>
    <t>Checking total intakes and enrolments against Table 2a</t>
  </si>
  <si>
    <t>Intake or enrolments missing?
Intake inconsistent with
enrolments?</t>
  </si>
  <si>
    <t>Comparing total intakes and enrolments with Table 1</t>
  </si>
  <si>
    <t>Intake or enrolments missing? Intake inconsistent with enrolments?</t>
  </si>
  <si>
    <t>Comparing enrolments and intakes</t>
  </si>
  <si>
    <t>Intake or enrolments missing?
Intake inconsistent with enrolments?</t>
  </si>
  <si>
    <t>Students Eligible for Funding and Rest of UK Students in the Intake to Traditional PGDE Secondary Courses, 2018-19: Subjects Training to Teach</t>
  </si>
  <si>
    <t xml:space="preserve"> Traditional PGDE Secondary courses are those that are not part of the New Routes.</t>
  </si>
  <si>
    <t>Traditional (excludes New Routes)</t>
  </si>
  <si>
    <t>Traditional</t>
  </si>
  <si>
    <t>Students on Three-year Nursing and Midwifery Pre-registration courses, 2018-19</t>
  </si>
  <si>
    <t>Students on Four-year Nursing Degree Courses, 2018-19</t>
  </si>
  <si>
    <t>Target Intakes and Actual Intakes of Students Eligible for Funding and Rest of UK Students for the Controlled Subjects, 2018-19</t>
  </si>
  <si>
    <t>(*) Other undergraduates are students studying for a HND, Diploma of HE, HNC or Certificate of HE.</t>
  </si>
  <si>
    <t>All Undergraduate</t>
  </si>
  <si>
    <t>Scottish Funding Council Early Statistics Return 2018-19: Table 5d</t>
  </si>
  <si>
    <t>Scottish
domiciled</t>
  </si>
  <si>
    <t>Other EU</t>
  </si>
  <si>
    <t>Initial Teacher Education New Routes, Comparison with Early Statistics and Final Figures for 2017-18</t>
  </si>
  <si>
    <t>See Notes of Guidance, Paragraphs 75 to 81</t>
  </si>
  <si>
    <t>See Notes of Guidance, Paragraph 82</t>
  </si>
  <si>
    <t>See Notes of Guidance, Paragraphs 83 and 84</t>
  </si>
  <si>
    <t>See Notes of Guidance, Paragraphs 85 to 87</t>
  </si>
  <si>
    <t>See Notes of Guidance, Paragraph 88</t>
  </si>
  <si>
    <t>New Routes Initial Teacher Education Course
Teaching Sector / Level of Study</t>
  </si>
  <si>
    <t>See Notes of Guidance, Paragraphs 89 to 91</t>
  </si>
  <si>
    <t>See Notes of Guidance, Paragraphs 92 to 105</t>
  </si>
  <si>
    <t>See Notes of Guidance, Paragraphs 106 to 114</t>
  </si>
  <si>
    <t>See Notes of Guidance, Paragraphs 116 to 118</t>
  </si>
  <si>
    <t>See Notes of Guidance, Paragraph 119</t>
  </si>
  <si>
    <t>See Notes of Guidance, Paragraphs 120 to 122</t>
  </si>
  <si>
    <t>See Notes of Guidance, Paragraphs 123 to 127</t>
  </si>
  <si>
    <t>See Notes of Guidance, Paragraphs 128 to 132</t>
  </si>
  <si>
    <t>See Notes of Guidance, Paragraphs 133 to 136</t>
  </si>
  <si>
    <t>Students
eligible
for funding,
2018-19
from Table 1</t>
  </si>
  <si>
    <t>Combined Degrees Primary   (**)</t>
  </si>
  <si>
    <t>Combined Degrees Secondary   (**)</t>
  </si>
  <si>
    <t>Other Secondary   (**)</t>
  </si>
  <si>
    <t>Pre-medical Entry   (*)</t>
  </si>
  <si>
    <t>Other Taught Postgraduates and Undergraduates   (**)</t>
  </si>
  <si>
    <t>Included in table indicators and column numbers for Early Statistics and Final Figures look ups</t>
  </si>
  <si>
    <t>Related
student
numbers
from
Table 1</t>
  </si>
  <si>
    <t>Dentistry tolerance</t>
  </si>
  <si>
    <t>Controlled consolidation tolerance (&lt;100) (FTE)</t>
  </si>
  <si>
    <t>(**) There is no specific tolerance threshold for the funded places for ScotGEM and these Initial Teacher Education new routes.</t>
  </si>
  <si>
    <t>Scottish Graduate Entry Medicine (ScotGEM)   (*)</t>
  </si>
  <si>
    <t>Medicine
excluding
ScotGEM</t>
  </si>
  <si>
    <t>Medicine (excluding ScotGEM)</t>
  </si>
  <si>
    <t>Scottish Graduate Entry Medicine (ScotGEM)</t>
  </si>
  <si>
    <t>(**) This shows the overall position for taught postgraduate and undergraduates in the non-controlled subject areas. Allocations of funded places for specific purposes will be monitored separately as well.</t>
  </si>
  <si>
    <t>(*) The enrolments for PGDE Primary and Secondary include those on new routes PGDE courses.</t>
  </si>
  <si>
    <t>(*) There is no specific tolerance threshold for the funded places for pre-medical entry.</t>
  </si>
  <si>
    <t>See Notes of Guidance, Paragraphs 137 to 158</t>
  </si>
  <si>
    <t xml:space="preserve">      if they had started in 2012-13 or later because they would have been paying deregulated tuition fees, see paragraphs 46 to 50 of the Notes of Guidance.</t>
  </si>
  <si>
    <t>(*) 'Continuing rest of UK' are those students who are eligible for funding because they started their courses prior to 2012-13, but would not have been eligible for funding</t>
  </si>
  <si>
    <t>SFC Early Statistics Return for 2018-19</t>
  </si>
  <si>
    <t>routes Initial Teacher Education courses in 2017-18. Comparisons of the numbers of students on these courses</t>
  </si>
  <si>
    <t>in 2017-18 and 2018-19 are carried out in columns (32) to (39).</t>
  </si>
  <si>
    <t>The overall totals might not match the sum of the individual subject areas as they include students on the new</t>
  </si>
  <si>
    <t>(*) The intakes for PGDE Primary and Secondary include those to new routes PGDE courses.</t>
  </si>
  <si>
    <t xml:space="preserve">MSc Bioinformatics </t>
  </si>
  <si>
    <t>MSc Medical Visualisation &amp; Human Anatomy</t>
  </si>
  <si>
    <t xml:space="preserve">MRes Biomedical Sciences (Integrative Mammalian Biology) </t>
  </si>
  <si>
    <t>MSc Material Culture &amp; Artefact Studies</t>
  </si>
  <si>
    <t>MLitt Playwriting &amp; Dramaturgy</t>
  </si>
  <si>
    <t>MLitt Theatre &amp; Performance Practices</t>
  </si>
  <si>
    <t xml:space="preserve">MLitt Theatre Studies </t>
  </si>
  <si>
    <t>MLitt Art History</t>
  </si>
  <si>
    <t>MSc Art History: Collecting &amp; Provenance in an International Context</t>
  </si>
  <si>
    <t>MLitt Art History: Inventing Modern Art, 1768-1918</t>
  </si>
  <si>
    <t>MLitt Art History: Dress &amp; Textile Histories</t>
  </si>
  <si>
    <t>MSc Biomedical Engineering</t>
  </si>
  <si>
    <t>MSc Nanoscience and Nanotechnology</t>
  </si>
  <si>
    <t>MSc Sustainable Energy</t>
  </si>
  <si>
    <t>MSc Information Technology</t>
  </si>
  <si>
    <t>MSc Software Development</t>
  </si>
  <si>
    <t>MSc Banking &amp; Financial Services</t>
  </si>
  <si>
    <t>MSc Financial Forecasting &amp; Investment</t>
  </si>
  <si>
    <t>MSc Financial Economics</t>
  </si>
  <si>
    <t>MSc Financial Risk Management</t>
  </si>
  <si>
    <t>MSc Investment Fund Management</t>
  </si>
  <si>
    <t>MSc Quantitative Finance</t>
  </si>
  <si>
    <t>MSc City Planning</t>
  </si>
  <si>
    <t>MSc City Planning &amp; Real Estate Development</t>
  </si>
  <si>
    <t>MSc Real Estate</t>
  </si>
  <si>
    <t>MSc Urban Transport</t>
  </si>
  <si>
    <t>MLitt Environment, Culture &amp; Communication (Dumfries Campus)</t>
  </si>
  <si>
    <t xml:space="preserve">MSc Environmental Change &amp; Society (Dumfries Campus) </t>
  </si>
  <si>
    <t>MSc Tourism, Heritage &amp; Sustainability (Dumfries Campus)</t>
  </si>
  <si>
    <t>MSc Investment Banking and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</si>
</sst>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\ \ \ "/>
    <numFmt numFmtId="165" formatCode="#,##0\ \ "/>
    <numFmt numFmtId="166" formatCode="0.0%"/>
    <numFmt numFmtId="167" formatCode="#,##0.0\ \ ;\-#,##0.0\ \ ;\ \ "/>
    <numFmt numFmtId="168" formatCode="#,##0.0\ \ \ ;\-#,##0.0\ \ \ "/>
    <numFmt numFmtId="169" formatCode="0\ \ "/>
    <numFmt numFmtId="170" formatCode="#,##0\ \ ;\-#,##0\ \ ;\ \ "/>
    <numFmt numFmtId="171" formatCode="_(* #,##0.00_);_(* \(#,##0.00\);_(* &quot;-&quot;??_);_(@_)"/>
    <numFmt numFmtId="172" formatCode="#,##0.0\ \ \ ;\-#,##0.0\ \ \ ;"/>
    <numFmt numFmtId="173" formatCode="#,##0.0"/>
    <numFmt numFmtId="174" formatCode="#,##0\ \ ;\-#,##0\ \ ;\-\ \ "/>
    <numFmt numFmtId="175" formatCode="#,##0.0\ \ ;\-#,##0.0\ \ ;\-\ \ "/>
    <numFmt numFmtId="176" formatCode="0.0%\ \ "/>
    <numFmt numFmtId="177" formatCode="#,##0;\-#,##0;\-"/>
    <numFmt numFmtId="178" formatCode="#,##0.0\ \ ;\-#,##0.0\ \ ;"/>
    <numFmt numFmtId="179" formatCode="#,##0.0\ \ ;\-#,##0.0\ \ ;0.0\ \ "/>
    <numFmt numFmtId="180" formatCode="#,##0\ \ ;\-#,##0\ \ ;0\ \ "/>
    <numFmt numFmtId="181" formatCode="#,##0\ \ ;\-#,##0\ \ ;\ \ \ "/>
    <numFmt numFmtId="182" formatCode="#,##0.0;\-#,##0.0;\-"/>
    <numFmt numFmtId="183" formatCode="#,##0.0\ \ ;#,##0.0\ \ ;\-\ \ "/>
    <numFmt numFmtId="184" formatCode="#,##0.0\ \ ;\-#,##0.0\ \ ;\ \ \ "/>
    <numFmt numFmtId="185" formatCode="#,##0.00\ \ ;\-#,##0.00\ \ ;0.00\ \ "/>
    <numFmt numFmtId="186" formatCode="\(0\)"/>
    <numFmt numFmtId="187" formatCode="0.0"/>
    <numFmt numFmtId="188" formatCode="#,##0.0\ \ "/>
    <numFmt numFmtId="189" formatCode="0;\-0;"/>
    <numFmt numFmtId="190" formatCode="#,##0\ \ ;\-#,##0\ \ ;"/>
    <numFmt numFmtId="191" formatCode="#,##0\ \ ;\-#,##0\ \ ;0\ \ \ \ "/>
  </numFmts>
  <fonts count="6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MT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color indexed="27"/>
      <name val="Calibri"/>
      <family val="2"/>
    </font>
    <font>
      <sz val="11"/>
      <color rgb="FFCCFFFF"/>
      <name val="Calibri"/>
      <family val="2"/>
    </font>
    <font>
      <u/>
      <sz val="11"/>
      <name val="Calibri"/>
      <family val="2"/>
    </font>
    <font>
      <b/>
      <sz val="11"/>
      <color indexed="8"/>
      <name val="Calibri"/>
      <family val="2"/>
    </font>
    <font>
      <u/>
      <sz val="11"/>
      <color indexed="10"/>
      <name val="Calibri"/>
      <family val="2"/>
    </font>
    <font>
      <b/>
      <sz val="11"/>
      <color indexed="18"/>
      <name val="Calibri"/>
      <family val="2"/>
    </font>
    <font>
      <b/>
      <sz val="11"/>
      <color indexed="20"/>
      <name val="Calibri"/>
      <family val="2"/>
    </font>
    <font>
      <b/>
      <sz val="11"/>
      <color theme="3" tint="-0.24994659260841701"/>
      <name val="Calibri"/>
      <family val="2"/>
    </font>
    <font>
      <sz val="11"/>
      <color theme="3" tint="-0.24994659260841701"/>
      <name val="Calibri"/>
      <family val="2"/>
    </font>
    <font>
      <b/>
      <sz val="11"/>
      <color indexed="56"/>
      <name val="Calibri"/>
      <family val="2"/>
    </font>
    <font>
      <sz val="18"/>
      <color indexed="10"/>
      <name val="Calibri"/>
      <family val="2"/>
    </font>
    <font>
      <sz val="12"/>
      <name val="Calibri"/>
      <family val="2"/>
    </font>
    <font>
      <b/>
      <sz val="16"/>
      <color rgb="FFFF0000"/>
      <name val="Calibri"/>
      <family val="2"/>
    </font>
    <font>
      <b/>
      <sz val="12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name val="Futura Bk BT"/>
    </font>
    <font>
      <sz val="8"/>
      <name val="MS Sans Serif"/>
      <family val="2"/>
    </font>
    <font>
      <i/>
      <sz val="10"/>
      <color rgb="FF7F7F7F"/>
      <name val="Arial"/>
      <family val="2"/>
    </font>
    <font>
      <sz val="8"/>
      <name val="Futura Bk BT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indexed="12"/>
      <name val="Arial"/>
      <family val="2"/>
    </font>
    <font>
      <u/>
      <sz val="7.5"/>
      <color indexed="12"/>
      <name val="Century Gothic"/>
      <family val="2"/>
    </font>
    <font>
      <u/>
      <sz val="12"/>
      <color indexed="12"/>
      <name val="Times New Roman"/>
      <family val="1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name val="MS Sans Serif"/>
      <family val="2"/>
    </font>
    <font>
      <sz val="10"/>
      <name val="Century Gothic"/>
      <family val="2"/>
    </font>
    <font>
      <sz val="10"/>
      <name val="Futura Hv BT"/>
    </font>
    <font>
      <i/>
      <sz val="10"/>
      <name val="Futura Bk BT"/>
    </font>
    <font>
      <b/>
      <sz val="10"/>
      <color rgb="FF3F3F3F"/>
      <name val="Arial"/>
      <family val="2"/>
    </font>
    <font>
      <sz val="14"/>
      <name val="Futura Hv BT"/>
    </font>
    <font>
      <b/>
      <sz val="10"/>
      <color theme="1"/>
      <name val="Arial"/>
      <family val="2"/>
    </font>
    <font>
      <i/>
      <sz val="10"/>
      <name val="Futura Hv BT"/>
    </font>
    <font>
      <sz val="10"/>
      <color rgb="FFFF0000"/>
      <name val="Arial"/>
      <family val="2"/>
    </font>
    <font>
      <b/>
      <sz val="11"/>
      <color rgb="FF000080"/>
      <name val="Calibri"/>
      <family val="2"/>
    </font>
  </fonts>
  <fills count="5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1"/>
        <bgColor indexed="35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15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5"/>
      </patternFill>
    </fill>
    <fill>
      <patternFill patternType="solid">
        <fgColor theme="7" tint="0.59996337778862885"/>
        <bgColor indexed="43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35"/>
      </patternFill>
    </fill>
    <fill>
      <patternFill patternType="solid">
        <fgColor theme="0" tint="-0.14996795556505021"/>
        <bgColor indexed="43"/>
      </patternFill>
    </fill>
    <fill>
      <patternFill patternType="solid">
        <fgColor rgb="FF92D050"/>
        <bgColor indexed="43"/>
      </patternFill>
    </fill>
    <fill>
      <patternFill patternType="solid">
        <fgColor rgb="FF92D050"/>
        <bgColor indexed="64"/>
      </patternFill>
    </fill>
  </fills>
  <borders count="17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57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7" fillId="0" borderId="0"/>
    <xf numFmtId="0" fontId="8" fillId="0" borderId="0"/>
    <xf numFmtId="0" fontId="7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6" fillId="0" borderId="0"/>
    <xf numFmtId="0" fontId="6" fillId="0" borderId="0"/>
    <xf numFmtId="43" fontId="30" fillId="0" borderId="0" applyFont="0" applyFill="0" applyBorder="0" applyAlignment="0" applyProtection="0"/>
    <xf numFmtId="0" fontId="4" fillId="0" borderId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5" borderId="0" applyNumberFormat="0" applyBorder="0" applyAlignment="0" applyProtection="0"/>
    <xf numFmtId="0" fontId="30" fillId="39" borderId="0" applyNumberFormat="0" applyBorder="0" applyAlignment="0" applyProtection="0"/>
    <xf numFmtId="0" fontId="30" fillId="43" borderId="0" applyNumberFormat="0" applyBorder="0" applyAlignment="0" applyProtection="0"/>
    <xf numFmtId="0" fontId="30" fillId="24" borderId="0" applyNumberFormat="0" applyBorder="0" applyAlignment="0" applyProtection="0"/>
    <xf numFmtId="0" fontId="30" fillId="28" borderId="0" applyNumberFormat="0" applyBorder="0" applyAlignment="0" applyProtection="0"/>
    <xf numFmtId="0" fontId="30" fillId="32" borderId="0" applyNumberFormat="0" applyBorder="0" applyAlignment="0" applyProtection="0"/>
    <xf numFmtId="0" fontId="30" fillId="36" borderId="0" applyNumberFormat="0" applyBorder="0" applyAlignment="0" applyProtection="0"/>
    <xf numFmtId="0" fontId="30" fillId="40" borderId="0" applyNumberFormat="0" applyBorder="0" applyAlignment="0" applyProtection="0"/>
    <xf numFmtId="0" fontId="30" fillId="44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45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4" fillId="42" borderId="0" applyNumberFormat="0" applyBorder="0" applyAlignment="0" applyProtection="0"/>
    <xf numFmtId="0" fontId="35" fillId="16" borderId="0" applyNumberFormat="0" applyBorder="0" applyAlignment="0" applyProtection="0"/>
    <xf numFmtId="0" fontId="36" fillId="19" borderId="124" applyNumberFormat="0" applyAlignment="0" applyProtection="0"/>
    <xf numFmtId="0" fontId="37" fillId="20" borderId="127" applyNumberFormat="0" applyAlignment="0" applyProtection="0"/>
    <xf numFmtId="49" fontId="38" fillId="0" borderId="130" applyFill="0" applyBorder="0" applyProtection="0">
      <alignment horizontal="right"/>
    </xf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44" fontId="6" fillId="0" borderId="0" applyFont="0" applyFill="0" applyBorder="0" applyAlignment="0" applyProtection="0"/>
    <xf numFmtId="1" fontId="38" fillId="0" borderId="0" applyFill="0" applyBorder="0" applyProtection="0">
      <alignment horizontal="right"/>
    </xf>
    <xf numFmtId="187" fontId="38" fillId="0" borderId="0" applyFill="0" applyBorder="0" applyProtection="0">
      <alignment horizontal="right"/>
    </xf>
    <xf numFmtId="2" fontId="38" fillId="0" borderId="0" applyFill="0" applyBorder="0" applyProtection="0">
      <alignment horizontal="right"/>
    </xf>
    <xf numFmtId="0" fontId="38" fillId="0" borderId="0" applyFill="0" applyBorder="0" applyProtection="0">
      <alignment horizontal="right"/>
    </xf>
    <xf numFmtId="0" fontId="40" fillId="0" borderId="0" applyNumberFormat="0" applyFill="0" applyBorder="0" applyAlignment="0" applyProtection="0"/>
    <xf numFmtId="49" fontId="41" fillId="0" borderId="0" applyFill="0" applyBorder="0" applyProtection="0">
      <alignment horizontal="left"/>
    </xf>
    <xf numFmtId="0" fontId="42" fillId="15" borderId="0" applyNumberFormat="0" applyBorder="0" applyAlignment="0" applyProtection="0"/>
    <xf numFmtId="0" fontId="43" fillId="0" borderId="121" applyNumberFormat="0" applyFill="0" applyAlignment="0" applyProtection="0"/>
    <xf numFmtId="0" fontId="44" fillId="0" borderId="122" applyNumberFormat="0" applyFill="0" applyAlignment="0" applyProtection="0"/>
    <xf numFmtId="0" fontId="45" fillId="0" borderId="123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50" fillId="18" borderId="124" applyNumberFormat="0" applyAlignment="0" applyProtection="0"/>
    <xf numFmtId="0" fontId="51" fillId="0" borderId="126" applyNumberFormat="0" applyFill="0" applyAlignment="0" applyProtection="0"/>
    <xf numFmtId="0" fontId="52" fillId="17" borderId="0" applyNumberFormat="0" applyBorder="0" applyAlignment="0" applyProtection="0"/>
    <xf numFmtId="0" fontId="5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9" fillId="0" borderId="0" applyAlignment="0">
      <alignment vertical="top" wrapText="1"/>
      <protection locked="0"/>
    </xf>
    <xf numFmtId="0" fontId="39" fillId="0" borderId="0" applyAlignment="0">
      <alignment vertical="top" wrapText="1"/>
      <protection locked="0"/>
    </xf>
    <xf numFmtId="0" fontId="3" fillId="0" borderId="0"/>
    <xf numFmtId="0" fontId="6" fillId="0" borderId="0"/>
    <xf numFmtId="0" fontId="8" fillId="0" borderId="0"/>
    <xf numFmtId="0" fontId="30" fillId="0" borderId="0"/>
    <xf numFmtId="0" fontId="6" fillId="0" borderId="0"/>
    <xf numFmtId="0" fontId="6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5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4" fillId="0" borderId="0"/>
    <xf numFmtId="49" fontId="55" fillId="0" borderId="0" applyFill="0" applyBorder="0" applyProtection="0">
      <alignment horizontal="left"/>
    </xf>
    <xf numFmtId="49" fontId="56" fillId="0" borderId="0" applyFill="0" applyBorder="0" applyProtection="0">
      <alignment horizontal="left"/>
    </xf>
    <xf numFmtId="49" fontId="38" fillId="0" borderId="0" applyFill="0" applyBorder="0" applyProtection="0">
      <alignment horizontal="left"/>
    </xf>
    <xf numFmtId="0" fontId="30" fillId="21" borderId="128" applyNumberFormat="0" applyFont="0" applyAlignment="0" applyProtection="0"/>
    <xf numFmtId="0" fontId="57" fillId="19" borderId="125" applyNumberFormat="0" applyAlignment="0" applyProtection="0"/>
    <xf numFmtId="9" fontId="56" fillId="0" borderId="0" applyFill="0" applyBorder="0" applyProtection="0">
      <alignment horizontal="right"/>
    </xf>
    <xf numFmtId="166" fontId="56" fillId="0" borderId="0" applyFill="0" applyBorder="0" applyProtection="0">
      <alignment horizontal="right"/>
    </xf>
    <xf numFmtId="10" fontId="56" fillId="0" borderId="0" applyFill="0" applyBorder="0" applyProtection="0">
      <alignment horizontal="right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6" fillId="0" borderId="0" applyFont="0" applyFill="0" applyBorder="0" applyAlignment="0" applyProtection="0"/>
    <xf numFmtId="49" fontId="38" fillId="0" borderId="0" applyFill="0" applyBorder="0" applyProtection="0">
      <alignment horizontal="left"/>
    </xf>
    <xf numFmtId="49" fontId="38" fillId="0" borderId="130" applyFill="0" applyBorder="0" applyProtection="0">
      <alignment horizontal="right" textRotation="90"/>
    </xf>
    <xf numFmtId="49" fontId="41" fillId="0" borderId="0" applyFill="0" applyBorder="0" applyProtection="0">
      <alignment horizontal="right"/>
    </xf>
    <xf numFmtId="49" fontId="58" fillId="0" borderId="0" applyFill="0" applyBorder="0" applyProtection="0">
      <alignment horizontal="left"/>
    </xf>
    <xf numFmtId="49" fontId="55" fillId="0" borderId="0" applyFill="0" applyBorder="0" applyProtection="0">
      <alignment horizontal="centerContinuous"/>
    </xf>
    <xf numFmtId="49" fontId="55" fillId="0" borderId="0" applyFill="0" applyBorder="0" applyProtection="0">
      <alignment horizontal="left"/>
    </xf>
    <xf numFmtId="0" fontId="59" fillId="0" borderId="129" applyNumberFormat="0" applyFill="0" applyAlignment="0" applyProtection="0"/>
    <xf numFmtId="49" fontId="55" fillId="0" borderId="131" applyFill="0" applyBorder="0" applyProtection="0">
      <alignment horizontal="right"/>
    </xf>
    <xf numFmtId="1" fontId="55" fillId="0" borderId="0" applyFill="0" applyBorder="0" applyProtection="0">
      <alignment horizontal="right"/>
    </xf>
    <xf numFmtId="187" fontId="55" fillId="0" borderId="0" applyFill="0" applyBorder="0" applyProtection="0">
      <alignment horizontal="right"/>
    </xf>
    <xf numFmtId="2" fontId="55" fillId="0" borderId="0" applyFill="0" applyBorder="0" applyProtection="0">
      <alignment horizontal="right"/>
    </xf>
    <xf numFmtId="0" fontId="55" fillId="0" borderId="132" applyFill="0" applyBorder="0" applyProtection="0">
      <alignment horizontal="right"/>
    </xf>
    <xf numFmtId="9" fontId="60" fillId="0" borderId="0" applyFill="0" applyBorder="0" applyProtection="0">
      <alignment horizontal="right"/>
    </xf>
    <xf numFmtId="166" fontId="60" fillId="0" borderId="0" applyFill="0" applyBorder="0" applyProtection="0">
      <alignment horizontal="right"/>
    </xf>
    <xf numFmtId="10" fontId="60" fillId="0" borderId="0" applyFill="0" applyBorder="0" applyProtection="0">
      <alignment horizontal="right"/>
    </xf>
    <xf numFmtId="49" fontId="55" fillId="0" borderId="0" applyFill="0" applyBorder="0" applyProtection="0">
      <alignment horizontal="left"/>
    </xf>
    <xf numFmtId="49" fontId="55" fillId="0" borderId="0" applyFill="0" applyBorder="0" applyProtection="0">
      <alignment horizontal="right" textRotation="90"/>
    </xf>
    <xf numFmtId="0" fontId="61" fillId="0" borderId="0" applyNumberFormat="0" applyFill="0" applyBorder="0" applyAlignment="0" applyProtection="0"/>
    <xf numFmtId="49" fontId="38" fillId="0" borderId="0" applyFill="0" applyBorder="0" applyProtection="0">
      <alignment horizontal="right" wrapText="1"/>
    </xf>
    <xf numFmtId="49" fontId="55" fillId="0" borderId="0" applyFill="0" applyBorder="0" applyProtection="0">
      <alignment horizontal="left" wrapText="1"/>
    </xf>
    <xf numFmtId="49" fontId="56" fillId="0" borderId="0" applyFill="0" applyBorder="0" applyProtection="0">
      <alignment horizontal="left" wrapText="1"/>
    </xf>
    <xf numFmtId="49" fontId="38" fillId="0" borderId="0" applyFill="0" applyBorder="0" applyProtection="0">
      <alignment horizontal="left" wrapText="1"/>
    </xf>
    <xf numFmtId="49" fontId="38" fillId="0" borderId="0" applyFill="0" applyBorder="0" applyProtection="0">
      <alignment horizontal="left" wrapText="1"/>
    </xf>
    <xf numFmtId="49" fontId="38" fillId="0" borderId="0" applyFill="0" applyBorder="0" applyProtection="0">
      <alignment horizontal="right" textRotation="90"/>
    </xf>
    <xf numFmtId="49" fontId="58" fillId="0" borderId="0" applyFill="0" applyBorder="0" applyProtection="0">
      <alignment horizontal="left" wrapText="1"/>
    </xf>
    <xf numFmtId="49" fontId="55" fillId="0" borderId="0" applyFill="0" applyBorder="0" applyProtection="0">
      <alignment horizontal="centerContinuous" wrapText="1"/>
    </xf>
    <xf numFmtId="49" fontId="55" fillId="0" borderId="0" applyFill="0" applyBorder="0" applyProtection="0">
      <alignment horizontal="left" wrapText="1"/>
    </xf>
    <xf numFmtId="49" fontId="55" fillId="0" borderId="0" applyFill="0" applyBorder="0" applyProtection="0">
      <alignment horizontal="right" wrapText="1"/>
    </xf>
    <xf numFmtId="49" fontId="55" fillId="0" borderId="0" applyFill="0" applyBorder="0" applyProtection="0">
      <alignment horizontal="left" wrapText="1"/>
    </xf>
    <xf numFmtId="49" fontId="55" fillId="0" borderId="0" applyFill="0" applyBorder="0" applyProtection="0">
      <alignment horizontal="right" textRotation="90"/>
    </xf>
  </cellStyleXfs>
  <cellXfs count="2736">
    <xf numFmtId="0" fontId="0" fillId="0" borderId="0" xfId="0"/>
    <xf numFmtId="0" fontId="12" fillId="0" borderId="0" xfId="10" applyFont="1" applyFill="1" applyBorder="1" applyProtection="1">
      <protection hidden="1"/>
    </xf>
    <xf numFmtId="0" fontId="10" fillId="5" borderId="0" xfId="0" applyFont="1" applyFill="1" applyProtection="1">
      <protection hidden="1"/>
    </xf>
    <xf numFmtId="0" fontId="10" fillId="5" borderId="0" xfId="0" applyFont="1" applyFill="1" applyAlignment="1" applyProtection="1">
      <protection hidden="1"/>
    </xf>
    <xf numFmtId="0" fontId="10" fillId="4" borderId="62" xfId="0" applyFont="1" applyFill="1" applyBorder="1" applyAlignment="1" applyProtection="1">
      <alignment vertical="center"/>
      <protection hidden="1"/>
    </xf>
    <xf numFmtId="0" fontId="10" fillId="2" borderId="0" xfId="0" applyFont="1" applyFill="1" applyProtection="1">
      <protection hidden="1"/>
    </xf>
    <xf numFmtId="0" fontId="10" fillId="4" borderId="0" xfId="0" applyFont="1" applyFill="1" applyBorder="1" applyAlignment="1" applyProtection="1">
      <alignment horizontal="left" indent="2"/>
      <protection hidden="1"/>
    </xf>
    <xf numFmtId="0" fontId="11" fillId="9" borderId="0" xfId="0" applyFont="1" applyFill="1" applyBorder="1" applyAlignment="1" applyProtection="1">
      <alignment vertical="center"/>
      <protection hidden="1"/>
    </xf>
    <xf numFmtId="0" fontId="11" fillId="5" borderId="0" xfId="0" applyFont="1" applyFill="1" applyBorder="1" applyAlignment="1" applyProtection="1">
      <alignment horizontal="left" vertical="center" indent="1"/>
      <protection hidden="1"/>
    </xf>
    <xf numFmtId="0" fontId="11" fillId="5" borderId="0" xfId="0" applyFont="1" applyFill="1" applyBorder="1" applyAlignment="1" applyProtection="1">
      <alignment vertical="center"/>
      <protection hidden="1"/>
    </xf>
    <xf numFmtId="0" fontId="10" fillId="5" borderId="0" xfId="0" applyFont="1" applyFill="1" applyBorder="1" applyAlignment="1" applyProtection="1">
      <alignment horizontal="left" indent="2"/>
      <protection hidden="1"/>
    </xf>
    <xf numFmtId="0" fontId="11" fillId="4" borderId="0" xfId="0" applyFont="1" applyFill="1" applyBorder="1" applyAlignment="1" applyProtection="1">
      <protection hidden="1"/>
    </xf>
    <xf numFmtId="0" fontId="11" fillId="4" borderId="4" xfId="0" applyFont="1" applyFill="1" applyBorder="1" applyAlignment="1" applyProtection="1">
      <alignment horizontal="center" vertical="top"/>
      <protection hidden="1"/>
    </xf>
    <xf numFmtId="0" fontId="10" fillId="4" borderId="2" xfId="0" applyFont="1" applyFill="1" applyBorder="1" applyAlignment="1" applyProtection="1">
      <alignment vertical="center"/>
      <protection hidden="1"/>
    </xf>
    <xf numFmtId="0" fontId="11" fillId="4" borderId="5" xfId="0" applyFont="1" applyFill="1" applyBorder="1" applyAlignment="1" applyProtection="1">
      <alignment horizontal="center" vertical="center"/>
      <protection hidden="1"/>
    </xf>
    <xf numFmtId="0" fontId="11" fillId="4" borderId="6" xfId="0" applyFont="1" applyFill="1" applyBorder="1" applyAlignment="1" applyProtection="1">
      <alignment horizontal="center" vertical="center"/>
      <protection hidden="1"/>
    </xf>
    <xf numFmtId="0" fontId="10" fillId="4" borderId="0" xfId="0" applyFont="1" applyFill="1" applyBorder="1" applyAlignment="1" applyProtection="1">
      <protection hidden="1"/>
    </xf>
    <xf numFmtId="0" fontId="10" fillId="4" borderId="0" xfId="0" applyFont="1" applyFill="1" applyBorder="1" applyProtection="1">
      <protection hidden="1"/>
    </xf>
    <xf numFmtId="0" fontId="10" fillId="4" borderId="2" xfId="0" applyFont="1" applyFill="1" applyBorder="1" applyProtection="1">
      <protection hidden="1"/>
    </xf>
    <xf numFmtId="0" fontId="15" fillId="4" borderId="0" xfId="0" applyFont="1" applyFill="1" applyBorder="1" applyAlignment="1" applyProtection="1">
      <alignment vertical="top"/>
      <protection hidden="1"/>
    </xf>
    <xf numFmtId="0" fontId="10" fillId="2" borderId="38" xfId="0" applyFont="1" applyFill="1" applyBorder="1" applyAlignment="1" applyProtection="1">
      <alignment horizontal="center" vertical="center"/>
      <protection hidden="1"/>
    </xf>
    <xf numFmtId="0" fontId="10" fillId="4" borderId="0" xfId="0" applyFont="1" applyFill="1" applyBorder="1" applyAlignment="1" applyProtection="1">
      <alignment vertical="center"/>
      <protection hidden="1"/>
    </xf>
    <xf numFmtId="179" fontId="11" fillId="4" borderId="51" xfId="0" applyNumberFormat="1" applyFont="1" applyFill="1" applyBorder="1" applyAlignment="1" applyProtection="1">
      <alignment vertical="center"/>
      <protection hidden="1"/>
    </xf>
    <xf numFmtId="0" fontId="10" fillId="0" borderId="0" xfId="0" applyFont="1" applyFill="1" applyProtection="1">
      <protection hidden="1"/>
    </xf>
    <xf numFmtId="0" fontId="10" fillId="2" borderId="29" xfId="0" applyFont="1" applyFill="1" applyBorder="1" applyAlignment="1" applyProtection="1">
      <alignment horizontal="center" vertical="center"/>
      <protection hidden="1"/>
    </xf>
    <xf numFmtId="0" fontId="10" fillId="2" borderId="53" xfId="0" applyFont="1" applyFill="1" applyBorder="1" applyAlignment="1" applyProtection="1">
      <alignment horizontal="center" vertical="center"/>
      <protection hidden="1"/>
    </xf>
    <xf numFmtId="2" fontId="10" fillId="2" borderId="51" xfId="0" applyNumberFormat="1" applyFont="1" applyFill="1" applyBorder="1" applyAlignment="1" applyProtection="1">
      <alignment horizontal="center" vertical="center"/>
      <protection hidden="1"/>
    </xf>
    <xf numFmtId="0" fontId="10" fillId="4" borderId="58" xfId="0" applyFont="1" applyFill="1" applyBorder="1" applyAlignment="1" applyProtection="1">
      <alignment vertical="center"/>
      <protection hidden="1"/>
    </xf>
    <xf numFmtId="0" fontId="11" fillId="3" borderId="6" xfId="0" applyFont="1" applyFill="1" applyBorder="1" applyAlignment="1" applyProtection="1">
      <alignment horizontal="center" vertical="center"/>
      <protection hidden="1"/>
    </xf>
    <xf numFmtId="0" fontId="11" fillId="3" borderId="5" xfId="0" applyFont="1" applyFill="1" applyBorder="1" applyAlignment="1" applyProtection="1">
      <alignment horizontal="center" vertical="center"/>
      <protection hidden="1"/>
    </xf>
    <xf numFmtId="0" fontId="11" fillId="3" borderId="7" xfId="0" applyFont="1" applyFill="1" applyBorder="1" applyAlignment="1" applyProtection="1">
      <alignment horizontal="center" vertical="center"/>
      <protection hidden="1"/>
    </xf>
    <xf numFmtId="0" fontId="10" fillId="4" borderId="62" xfId="0" applyFont="1" applyFill="1" applyBorder="1" applyProtection="1">
      <protection hidden="1"/>
    </xf>
    <xf numFmtId="0" fontId="10" fillId="4" borderId="1" xfId="0" applyFont="1" applyFill="1" applyBorder="1" applyProtection="1">
      <protection hidden="1"/>
    </xf>
    <xf numFmtId="0" fontId="11" fillId="4" borderId="59" xfId="0" applyFont="1" applyFill="1" applyBorder="1" applyAlignment="1" applyProtection="1">
      <alignment horizontal="centerContinuous" vertical="center"/>
      <protection hidden="1"/>
    </xf>
    <xf numFmtId="0" fontId="11" fillId="4" borderId="41" xfId="0" applyFont="1" applyFill="1" applyBorder="1" applyAlignment="1" applyProtection="1">
      <alignment horizontal="centerContinuous" vertical="center"/>
      <protection hidden="1"/>
    </xf>
    <xf numFmtId="0" fontId="11" fillId="4" borderId="1" xfId="0" applyFont="1" applyFill="1" applyBorder="1" applyAlignment="1" applyProtection="1">
      <alignment horizontal="center" vertical="top" wrapText="1"/>
      <protection hidden="1"/>
    </xf>
    <xf numFmtId="0" fontId="11" fillId="4" borderId="44" xfId="0" applyFont="1" applyFill="1" applyBorder="1" applyAlignment="1" applyProtection="1">
      <alignment horizontal="center" vertical="top" wrapText="1"/>
      <protection hidden="1"/>
    </xf>
    <xf numFmtId="0" fontId="11" fillId="2" borderId="0" xfId="0" applyFont="1" applyFill="1" applyAlignment="1" applyProtection="1">
      <alignment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180" fontId="11" fillId="8" borderId="65" xfId="0" applyNumberFormat="1" applyFont="1" applyFill="1" applyBorder="1" applyAlignment="1" applyProtection="1">
      <alignment vertical="center"/>
      <protection hidden="1"/>
    </xf>
    <xf numFmtId="0" fontId="10" fillId="2" borderId="66" xfId="0" applyFont="1" applyFill="1" applyBorder="1" applyAlignment="1" applyProtection="1">
      <alignment horizontal="center" vertical="center" wrapText="1"/>
      <protection hidden="1"/>
    </xf>
    <xf numFmtId="0" fontId="10" fillId="2" borderId="67" xfId="0" applyFont="1" applyFill="1" applyBorder="1" applyAlignment="1" applyProtection="1">
      <alignment horizontal="center" vertical="center" wrapText="1"/>
      <protection hidden="1"/>
    </xf>
    <xf numFmtId="0" fontId="10" fillId="2" borderId="53" xfId="0" applyFont="1" applyFill="1" applyBorder="1" applyAlignment="1" applyProtection="1">
      <alignment horizontal="center" vertical="center" wrapText="1"/>
      <protection hidden="1"/>
    </xf>
    <xf numFmtId="0" fontId="10" fillId="2" borderId="50" xfId="0" applyFont="1" applyFill="1" applyBorder="1" applyAlignment="1" applyProtection="1">
      <alignment horizontal="center" vertical="center" wrapText="1"/>
      <protection hidden="1"/>
    </xf>
    <xf numFmtId="0" fontId="10" fillId="4" borderId="58" xfId="0" applyFont="1" applyFill="1" applyBorder="1" applyProtection="1">
      <protection hidden="1"/>
    </xf>
    <xf numFmtId="0" fontId="10" fillId="4" borderId="41" xfId="0" applyFont="1" applyFill="1" applyBorder="1" applyProtection="1">
      <protection hidden="1"/>
    </xf>
    <xf numFmtId="0" fontId="15" fillId="4" borderId="0" xfId="0" applyFont="1" applyFill="1" applyBorder="1" applyAlignment="1" applyProtection="1">
      <alignment horizontal="left" vertical="center"/>
      <protection hidden="1"/>
    </xf>
    <xf numFmtId="0" fontId="10" fillId="2" borderId="66" xfId="0" quotePrefix="1" applyFont="1" applyFill="1" applyBorder="1" applyAlignment="1" applyProtection="1">
      <alignment horizontal="center" vertical="center" wrapText="1"/>
      <protection hidden="1"/>
    </xf>
    <xf numFmtId="0" fontId="10" fillId="2" borderId="69" xfId="0" quotePrefix="1" applyFont="1" applyFill="1" applyBorder="1" applyAlignment="1" applyProtection="1">
      <alignment horizontal="center" vertical="center" wrapText="1"/>
      <protection hidden="1"/>
    </xf>
    <xf numFmtId="0" fontId="10" fillId="2" borderId="70" xfId="0" quotePrefix="1" applyFont="1" applyFill="1" applyBorder="1" applyAlignment="1" applyProtection="1">
      <alignment horizontal="center" vertical="center" wrapText="1"/>
      <protection hidden="1"/>
    </xf>
    <xf numFmtId="0" fontId="10" fillId="5" borderId="0" xfId="0" applyFont="1" applyFill="1" applyBorder="1" applyAlignment="1" applyProtection="1">
      <protection hidden="1"/>
    </xf>
    <xf numFmtId="0" fontId="10" fillId="2" borderId="53" xfId="0" quotePrefix="1" applyFont="1" applyFill="1" applyBorder="1" applyAlignment="1" applyProtection="1">
      <alignment horizontal="center" vertical="center" wrapText="1"/>
      <protection hidden="1"/>
    </xf>
    <xf numFmtId="0" fontId="10" fillId="2" borderId="48" xfId="0" quotePrefix="1" applyFont="1" applyFill="1" applyBorder="1" applyAlignment="1" applyProtection="1">
      <alignment horizontal="center" vertical="center" wrapText="1"/>
      <protection hidden="1"/>
    </xf>
    <xf numFmtId="0" fontId="10" fillId="2" borderId="49" xfId="0" quotePrefix="1" applyFont="1" applyFill="1" applyBorder="1" applyAlignment="1" applyProtection="1">
      <alignment horizontal="center" vertical="center" wrapText="1"/>
      <protection hidden="1"/>
    </xf>
    <xf numFmtId="0" fontId="10" fillId="4" borderId="0" xfId="0" applyFont="1" applyFill="1" applyBorder="1" applyAlignment="1" applyProtection="1">
      <alignment vertical="top"/>
      <protection hidden="1"/>
    </xf>
    <xf numFmtId="0" fontId="10" fillId="4" borderId="2" xfId="0" applyFont="1" applyFill="1" applyBorder="1" applyAlignment="1" applyProtection="1">
      <alignment vertical="top"/>
      <protection hidden="1"/>
    </xf>
    <xf numFmtId="0" fontId="16" fillId="4" borderId="0" xfId="0" applyFont="1" applyFill="1" applyBorder="1" applyAlignment="1" applyProtection="1">
      <alignment horizontal="center" vertical="center"/>
      <protection hidden="1"/>
    </xf>
    <xf numFmtId="0" fontId="18" fillId="4" borderId="0" xfId="0" applyFont="1" applyFill="1" applyBorder="1" applyAlignment="1" applyProtection="1">
      <alignment horizontal="left"/>
      <protection hidden="1"/>
    </xf>
    <xf numFmtId="0" fontId="10" fillId="4" borderId="0" xfId="0" applyFont="1" applyFill="1" applyBorder="1" applyAlignment="1" applyProtection="1">
      <alignment horizontal="right"/>
      <protection hidden="1"/>
    </xf>
    <xf numFmtId="0" fontId="10" fillId="4" borderId="2" xfId="0" applyFont="1" applyFill="1" applyBorder="1" applyAlignment="1" applyProtection="1">
      <alignment horizontal="right"/>
      <protection hidden="1"/>
    </xf>
    <xf numFmtId="0" fontId="15" fillId="4" borderId="58" xfId="0" applyFont="1" applyFill="1" applyBorder="1" applyAlignment="1" applyProtection="1">
      <alignment horizontal="left" vertical="center"/>
      <protection hidden="1"/>
    </xf>
    <xf numFmtId="0" fontId="10" fillId="4" borderId="58" xfId="0" applyFont="1" applyFill="1" applyBorder="1" applyAlignment="1" applyProtection="1">
      <alignment horizontal="centerContinuous" vertical="center"/>
      <protection hidden="1"/>
    </xf>
    <xf numFmtId="0" fontId="10" fillId="4" borderId="41" xfId="0" applyFont="1" applyFill="1" applyBorder="1" applyAlignment="1" applyProtection="1">
      <alignment horizontal="centerContinuous" vertical="center"/>
      <protection hidden="1"/>
    </xf>
    <xf numFmtId="0" fontId="11" fillId="4" borderId="2" xfId="0" applyFont="1" applyFill="1" applyBorder="1" applyAlignment="1" applyProtection="1">
      <alignment horizontal="center" vertical="center" wrapText="1"/>
      <protection hidden="1"/>
    </xf>
    <xf numFmtId="0" fontId="11" fillId="4" borderId="6" xfId="0" applyFont="1" applyFill="1" applyBorder="1" applyAlignment="1" applyProtection="1">
      <alignment horizontal="center" vertical="center" wrapText="1"/>
      <protection hidden="1"/>
    </xf>
    <xf numFmtId="0" fontId="11" fillId="4" borderId="7" xfId="0" applyFont="1" applyFill="1" applyBorder="1" applyAlignment="1" applyProtection="1">
      <alignment horizontal="center" vertical="center" wrapText="1"/>
      <protection hidden="1"/>
    </xf>
    <xf numFmtId="0" fontId="11" fillId="4" borderId="43" xfId="0" applyFont="1" applyFill="1" applyBorder="1" applyAlignment="1" applyProtection="1">
      <alignment horizontal="center" vertical="top" wrapText="1"/>
      <protection hidden="1"/>
    </xf>
    <xf numFmtId="0" fontId="10" fillId="3" borderId="0" xfId="0" applyFont="1" applyFill="1" applyBorder="1" applyAlignment="1" applyProtection="1">
      <alignment horizontal="left" vertical="center" indent="2"/>
      <protection hidden="1"/>
    </xf>
    <xf numFmtId="0" fontId="10" fillId="3" borderId="0" xfId="0" applyFont="1" applyFill="1" applyBorder="1" applyAlignment="1" applyProtection="1">
      <alignment horizontal="left" vertical="center"/>
      <protection hidden="1"/>
    </xf>
    <xf numFmtId="0" fontId="10" fillId="3" borderId="0" xfId="0" applyFont="1" applyFill="1" applyBorder="1" applyAlignment="1" applyProtection="1">
      <alignment vertical="top"/>
      <protection hidden="1"/>
    </xf>
    <xf numFmtId="0" fontId="10" fillId="3" borderId="0" xfId="0" applyFont="1" applyFill="1" applyBorder="1" applyProtection="1">
      <protection hidden="1"/>
    </xf>
    <xf numFmtId="0" fontId="10" fillId="3" borderId="6" xfId="0" applyFont="1" applyFill="1" applyBorder="1" applyProtection="1">
      <protection hidden="1"/>
    </xf>
    <xf numFmtId="0" fontId="10" fillId="3" borderId="10" xfId="0" applyFont="1" applyFill="1" applyBorder="1" applyProtection="1">
      <protection hidden="1"/>
    </xf>
    <xf numFmtId="179" fontId="19" fillId="2" borderId="32" xfId="0" applyNumberFormat="1" applyFont="1" applyFill="1" applyBorder="1" applyAlignment="1" applyProtection="1">
      <alignment vertical="center"/>
      <protection hidden="1"/>
    </xf>
    <xf numFmtId="169" fontId="10" fillId="3" borderId="6" xfId="0" applyNumberFormat="1" applyFont="1" applyFill="1" applyBorder="1" applyAlignment="1" applyProtection="1">
      <alignment horizontal="center" vertical="center"/>
      <protection hidden="1"/>
    </xf>
    <xf numFmtId="169" fontId="10" fillId="3" borderId="0" xfId="0" applyNumberFormat="1" applyFont="1" applyFill="1" applyBorder="1" applyAlignment="1" applyProtection="1">
      <alignment horizontal="center" vertical="center"/>
      <protection hidden="1"/>
    </xf>
    <xf numFmtId="179" fontId="11" fillId="2" borderId="30" xfId="0" applyNumberFormat="1" applyFont="1" applyFill="1" applyBorder="1" applyAlignment="1" applyProtection="1">
      <alignment vertical="center"/>
      <protection hidden="1"/>
    </xf>
    <xf numFmtId="170" fontId="10" fillId="2" borderId="6" xfId="0" applyNumberFormat="1" applyFont="1" applyFill="1" applyBorder="1" applyAlignment="1" applyProtection="1">
      <alignment vertical="center"/>
      <protection hidden="1"/>
    </xf>
    <xf numFmtId="170" fontId="10" fillId="2" borderId="10" xfId="0" applyNumberFormat="1" applyFont="1" applyFill="1" applyBorder="1" applyAlignment="1" applyProtection="1">
      <alignment vertical="center"/>
      <protection hidden="1"/>
    </xf>
    <xf numFmtId="179" fontId="11" fillId="2" borderId="48" xfId="0" applyNumberFormat="1" applyFont="1" applyFill="1" applyBorder="1" applyAlignment="1" applyProtection="1">
      <alignment vertical="center"/>
      <protection hidden="1"/>
    </xf>
    <xf numFmtId="172" fontId="10" fillId="5" borderId="0" xfId="4" applyNumberFormat="1" applyFont="1" applyFill="1" applyBorder="1" applyAlignment="1" applyProtection="1">
      <protection hidden="1"/>
    </xf>
    <xf numFmtId="0" fontId="10" fillId="9" borderId="0" xfId="4" applyFont="1" applyFill="1" applyBorder="1" applyAlignment="1" applyProtection="1">
      <alignment vertical="top"/>
      <protection hidden="1"/>
    </xf>
    <xf numFmtId="0" fontId="10" fillId="5" borderId="0" xfId="4" applyFont="1" applyFill="1" applyBorder="1" applyAlignment="1" applyProtection="1">
      <alignment vertical="top"/>
      <protection hidden="1"/>
    </xf>
    <xf numFmtId="0" fontId="10" fillId="5" borderId="0" xfId="4" applyFont="1" applyFill="1" applyBorder="1" applyAlignment="1" applyProtection="1">
      <protection hidden="1"/>
    </xf>
    <xf numFmtId="0" fontId="21" fillId="5" borderId="25" xfId="4" applyFont="1" applyFill="1" applyBorder="1" applyAlignment="1" applyProtection="1">
      <alignment vertical="center"/>
      <protection hidden="1"/>
    </xf>
    <xf numFmtId="0" fontId="11" fillId="5" borderId="0" xfId="4" applyFont="1" applyFill="1" applyBorder="1" applyAlignment="1" applyProtection="1">
      <alignment horizontal="center" vertical="center"/>
      <protection hidden="1"/>
    </xf>
    <xf numFmtId="0" fontId="14" fillId="11" borderId="0" xfId="0" applyFont="1" applyFill="1" applyBorder="1" applyAlignment="1" applyProtection="1">
      <alignment vertical="center"/>
      <protection hidden="1"/>
    </xf>
    <xf numFmtId="0" fontId="10" fillId="5" borderId="11" xfId="4" applyFont="1" applyFill="1" applyBorder="1" applyAlignment="1" applyProtection="1">
      <alignment vertical="center"/>
      <protection hidden="1"/>
    </xf>
    <xf numFmtId="0" fontId="10" fillId="5" borderId="0" xfId="4" applyFont="1" applyFill="1" applyBorder="1" applyProtection="1">
      <protection hidden="1"/>
    </xf>
    <xf numFmtId="0" fontId="14" fillId="11" borderId="0" xfId="0" applyFont="1" applyFill="1" applyBorder="1" applyAlignment="1" applyProtection="1">
      <protection hidden="1"/>
    </xf>
    <xf numFmtId="0" fontId="10" fillId="5" borderId="11" xfId="0" applyFont="1" applyFill="1" applyBorder="1" applyAlignment="1" applyProtection="1">
      <alignment vertical="center"/>
      <protection hidden="1"/>
    </xf>
    <xf numFmtId="0" fontId="11" fillId="5" borderId="6" xfId="4" applyFont="1" applyFill="1" applyBorder="1" applyAlignment="1" applyProtection="1">
      <alignment horizontal="center" vertical="top"/>
      <protection hidden="1"/>
    </xf>
    <xf numFmtId="0" fontId="11" fillId="5" borderId="0" xfId="4" applyFont="1" applyFill="1" applyBorder="1" applyAlignment="1" applyProtection="1">
      <alignment horizontal="center" vertical="top"/>
      <protection hidden="1"/>
    </xf>
    <xf numFmtId="0" fontId="21" fillId="5" borderId="11" xfId="4" applyFont="1" applyFill="1" applyBorder="1" applyAlignment="1" applyProtection="1">
      <alignment horizontal="left" vertical="center" indent="1"/>
      <protection hidden="1"/>
    </xf>
    <xf numFmtId="0" fontId="10" fillId="5" borderId="6" xfId="0" applyFont="1" applyFill="1" applyBorder="1" applyAlignment="1" applyProtection="1">
      <protection hidden="1"/>
    </xf>
    <xf numFmtId="0" fontId="10" fillId="5" borderId="7" xfId="0" applyFont="1" applyFill="1" applyBorder="1" applyAlignment="1" applyProtection="1">
      <protection hidden="1"/>
    </xf>
    <xf numFmtId="0" fontId="10" fillId="5" borderId="6" xfId="4" applyFont="1" applyFill="1" applyBorder="1" applyProtection="1">
      <protection hidden="1"/>
    </xf>
    <xf numFmtId="0" fontId="10" fillId="5" borderId="7" xfId="4" applyFont="1" applyFill="1" applyBorder="1" applyProtection="1">
      <protection hidden="1"/>
    </xf>
    <xf numFmtId="0" fontId="10" fillId="12" borderId="0" xfId="4" applyFont="1" applyFill="1" applyBorder="1" applyProtection="1">
      <protection hidden="1"/>
    </xf>
    <xf numFmtId="0" fontId="10" fillId="5" borderId="11" xfId="0" applyFont="1" applyFill="1" applyBorder="1" applyAlignment="1" applyProtection="1">
      <protection hidden="1"/>
    </xf>
    <xf numFmtId="0" fontId="11" fillId="5" borderId="9" xfId="0" applyFont="1" applyFill="1" applyBorder="1" applyAlignment="1" applyProtection="1">
      <alignment horizontal="center" vertical="center" wrapText="1"/>
      <protection hidden="1"/>
    </xf>
    <xf numFmtId="0" fontId="11" fillId="5" borderId="6" xfId="0" applyFont="1" applyFill="1" applyBorder="1" applyAlignment="1" applyProtection="1">
      <alignment horizontal="center" vertical="center" wrapText="1"/>
      <protection hidden="1"/>
    </xf>
    <xf numFmtId="0" fontId="11" fillId="5" borderId="7" xfId="0" applyFont="1" applyFill="1" applyBorder="1" applyAlignment="1" applyProtection="1">
      <alignment horizontal="center" vertical="center" wrapText="1"/>
      <protection hidden="1"/>
    </xf>
    <xf numFmtId="0" fontId="11" fillId="5" borderId="0" xfId="0" applyFont="1" applyFill="1" applyBorder="1" applyAlignment="1" applyProtection="1">
      <alignment horizontal="center" vertical="center" wrapText="1"/>
      <protection hidden="1"/>
    </xf>
    <xf numFmtId="0" fontId="11" fillId="5" borderId="5" xfId="0" applyFont="1" applyFill="1" applyBorder="1" applyAlignment="1" applyProtection="1">
      <alignment horizontal="center" vertical="center" wrapText="1"/>
      <protection hidden="1"/>
    </xf>
    <xf numFmtId="0" fontId="11" fillId="5" borderId="10" xfId="0" applyFont="1" applyFill="1" applyBorder="1" applyAlignment="1" applyProtection="1">
      <alignment horizontal="center" vertical="center" wrapText="1"/>
      <protection hidden="1"/>
    </xf>
    <xf numFmtId="0" fontId="11" fillId="5" borderId="11" xfId="0" applyFont="1" applyFill="1" applyBorder="1" applyAlignment="1" applyProtection="1">
      <alignment horizontal="center" vertical="center" wrapText="1"/>
      <protection hidden="1"/>
    </xf>
    <xf numFmtId="0" fontId="11" fillId="7" borderId="9" xfId="0" applyFont="1" applyFill="1" applyBorder="1" applyAlignment="1" applyProtection="1">
      <alignment horizontal="center" vertical="center" wrapText="1"/>
      <protection hidden="1"/>
    </xf>
    <xf numFmtId="0" fontId="11" fillId="7" borderId="6" xfId="0" applyFont="1" applyFill="1" applyBorder="1" applyAlignment="1" applyProtection="1">
      <alignment horizontal="center" vertical="center" wrapText="1"/>
      <protection hidden="1"/>
    </xf>
    <xf numFmtId="0" fontId="11" fillId="12" borderId="9" xfId="0" applyFont="1" applyFill="1" applyBorder="1" applyAlignment="1" applyProtection="1">
      <alignment horizontal="center" vertical="center" wrapText="1"/>
      <protection hidden="1"/>
    </xf>
    <xf numFmtId="0" fontId="11" fillId="12" borderId="6" xfId="0" applyFont="1" applyFill="1" applyBorder="1" applyAlignment="1" applyProtection="1">
      <alignment horizontal="center" vertical="center" wrapText="1"/>
      <protection hidden="1"/>
    </xf>
    <xf numFmtId="0" fontId="11" fillId="5" borderId="9" xfId="0" applyFont="1" applyFill="1" applyBorder="1" applyAlignment="1" applyProtection="1">
      <alignment horizontal="center" vertical="top" wrapText="1"/>
      <protection hidden="1"/>
    </xf>
    <xf numFmtId="0" fontId="11" fillId="5" borderId="6" xfId="0" applyFont="1" applyFill="1" applyBorder="1" applyAlignment="1" applyProtection="1">
      <alignment horizontal="center" vertical="top" wrapText="1"/>
      <protection hidden="1"/>
    </xf>
    <xf numFmtId="0" fontId="11" fillId="5" borderId="5" xfId="0" applyFont="1" applyFill="1" applyBorder="1" applyAlignment="1" applyProtection="1">
      <alignment horizontal="center" vertical="top" wrapText="1"/>
      <protection hidden="1"/>
    </xf>
    <xf numFmtId="0" fontId="11" fillId="5" borderId="7" xfId="0" applyFont="1" applyFill="1" applyBorder="1" applyAlignment="1" applyProtection="1">
      <alignment horizontal="center" vertical="top" wrapText="1"/>
      <protection hidden="1"/>
    </xf>
    <xf numFmtId="0" fontId="11" fillId="5" borderId="0" xfId="0" applyFont="1" applyFill="1" applyBorder="1" applyAlignment="1" applyProtection="1">
      <alignment horizontal="center" vertical="top" wrapText="1"/>
      <protection hidden="1"/>
    </xf>
    <xf numFmtId="0" fontId="11" fillId="5" borderId="11" xfId="0" applyFont="1" applyFill="1" applyBorder="1" applyAlignment="1" applyProtection="1">
      <alignment horizontal="center" vertical="top" wrapText="1"/>
      <protection hidden="1"/>
    </xf>
    <xf numFmtId="0" fontId="22" fillId="7" borderId="5" xfId="0" applyFont="1" applyFill="1" applyBorder="1" applyAlignment="1" applyProtection="1">
      <alignment horizontal="center" vertical="top" wrapText="1"/>
      <protection hidden="1"/>
    </xf>
    <xf numFmtId="0" fontId="22" fillId="7" borderId="6" xfId="0" applyFont="1" applyFill="1" applyBorder="1" applyAlignment="1" applyProtection="1">
      <alignment horizontal="center" vertical="top" wrapText="1"/>
      <protection hidden="1"/>
    </xf>
    <xf numFmtId="0" fontId="22" fillId="7" borderId="7" xfId="0" applyFont="1" applyFill="1" applyBorder="1" applyAlignment="1" applyProtection="1">
      <alignment horizontal="center" vertical="top" wrapText="1"/>
      <protection hidden="1"/>
    </xf>
    <xf numFmtId="0" fontId="23" fillId="12" borderId="5" xfId="0" applyFont="1" applyFill="1" applyBorder="1" applyAlignment="1" applyProtection="1">
      <alignment horizontal="center" vertical="top" wrapText="1"/>
      <protection hidden="1"/>
    </xf>
    <xf numFmtId="0" fontId="23" fillId="12" borderId="6" xfId="0" applyFont="1" applyFill="1" applyBorder="1" applyAlignment="1" applyProtection="1">
      <alignment horizontal="center" vertical="top" wrapText="1"/>
      <protection hidden="1"/>
    </xf>
    <xf numFmtId="0" fontId="23" fillId="12" borderId="7" xfId="0" applyFont="1" applyFill="1" applyBorder="1" applyAlignment="1" applyProtection="1">
      <alignment horizontal="center" vertical="top" wrapText="1"/>
      <protection hidden="1"/>
    </xf>
    <xf numFmtId="0" fontId="11" fillId="5" borderId="57" xfId="4" applyFont="1" applyFill="1" applyBorder="1" applyAlignment="1" applyProtection="1">
      <alignment horizontal="left" vertical="center" indent="1"/>
      <protection hidden="1"/>
    </xf>
    <xf numFmtId="178" fontId="10" fillId="0" borderId="55" xfId="4" applyNumberFormat="1" applyFont="1" applyFill="1" applyBorder="1" applyAlignment="1" applyProtection="1">
      <alignment vertical="center"/>
      <protection locked="0"/>
    </xf>
    <xf numFmtId="178" fontId="10" fillId="0" borderId="19" xfId="4" applyNumberFormat="1" applyFont="1" applyFill="1" applyBorder="1" applyAlignment="1" applyProtection="1">
      <alignment vertical="center"/>
      <protection locked="0"/>
    </xf>
    <xf numFmtId="179" fontId="19" fillId="5" borderId="47" xfId="4" applyNumberFormat="1" applyFont="1" applyFill="1" applyBorder="1" applyAlignment="1" applyProtection="1">
      <alignment vertical="center"/>
      <protection hidden="1"/>
    </xf>
    <xf numFmtId="179" fontId="11" fillId="5" borderId="71" xfId="4" applyNumberFormat="1" applyFont="1" applyFill="1" applyBorder="1" applyAlignment="1" applyProtection="1">
      <alignment vertical="center"/>
      <protection hidden="1"/>
    </xf>
    <xf numFmtId="179" fontId="11" fillId="5" borderId="30" xfId="4" applyNumberFormat="1" applyFont="1" applyFill="1" applyBorder="1" applyAlignment="1" applyProtection="1">
      <alignment vertical="center"/>
      <protection hidden="1"/>
    </xf>
    <xf numFmtId="179" fontId="11" fillId="5" borderId="47" xfId="4" applyNumberFormat="1" applyFont="1" applyFill="1" applyBorder="1" applyAlignment="1" applyProtection="1">
      <alignment vertical="center"/>
      <protection hidden="1"/>
    </xf>
    <xf numFmtId="0" fontId="10" fillId="5" borderId="20" xfId="4" applyFont="1" applyFill="1" applyBorder="1" applyProtection="1">
      <protection hidden="1"/>
    </xf>
    <xf numFmtId="0" fontId="10" fillId="5" borderId="21" xfId="4" applyFont="1" applyFill="1" applyBorder="1" applyProtection="1">
      <protection hidden="1"/>
    </xf>
    <xf numFmtId="0" fontId="10" fillId="5" borderId="22" xfId="4" applyFont="1" applyFill="1" applyBorder="1" applyProtection="1">
      <protection hidden="1"/>
    </xf>
    <xf numFmtId="0" fontId="10" fillId="5" borderId="11" xfId="4" applyFont="1" applyFill="1" applyBorder="1" applyProtection="1">
      <protection hidden="1"/>
    </xf>
    <xf numFmtId="179" fontId="10" fillId="7" borderId="45" xfId="4" applyNumberFormat="1" applyFont="1" applyFill="1" applyBorder="1" applyAlignment="1" applyProtection="1">
      <alignment vertical="center"/>
      <protection hidden="1"/>
    </xf>
    <xf numFmtId="179" fontId="10" fillId="7" borderId="19" xfId="4" applyNumberFormat="1" applyFont="1" applyFill="1" applyBorder="1" applyAlignment="1" applyProtection="1">
      <alignment vertical="center"/>
      <protection hidden="1"/>
    </xf>
    <xf numFmtId="179" fontId="10" fillId="12" borderId="45" xfId="4" applyNumberFormat="1" applyFont="1" applyFill="1" applyBorder="1" applyAlignment="1" applyProtection="1">
      <alignment vertical="center"/>
      <protection hidden="1"/>
    </xf>
    <xf numFmtId="179" fontId="10" fillId="12" borderId="19" xfId="4" applyNumberFormat="1" applyFont="1" applyFill="1" applyBorder="1" applyAlignment="1" applyProtection="1">
      <alignment vertical="center"/>
      <protection hidden="1"/>
    </xf>
    <xf numFmtId="179" fontId="11" fillId="12" borderId="47" xfId="4" applyNumberFormat="1" applyFont="1" applyFill="1" applyBorder="1" applyAlignment="1" applyProtection="1">
      <alignment vertical="center"/>
      <protection hidden="1"/>
    </xf>
    <xf numFmtId="0" fontId="11" fillId="5" borderId="25" xfId="4" applyFont="1" applyFill="1" applyBorder="1" applyAlignment="1" applyProtection="1">
      <alignment horizontal="left" vertical="center" indent="1"/>
      <protection hidden="1"/>
    </xf>
    <xf numFmtId="0" fontId="10" fillId="5" borderId="25" xfId="4" applyFont="1" applyFill="1" applyBorder="1" applyProtection="1">
      <protection hidden="1"/>
    </xf>
    <xf numFmtId="0" fontId="10" fillId="7" borderId="23" xfId="4" applyFont="1" applyFill="1" applyBorder="1" applyProtection="1">
      <protection hidden="1"/>
    </xf>
    <xf numFmtId="0" fontId="10" fillId="7" borderId="21" xfId="4" applyFont="1" applyFill="1" applyBorder="1" applyProtection="1">
      <protection hidden="1"/>
    </xf>
    <xf numFmtId="0" fontId="10" fillId="12" borderId="23" xfId="4" applyFont="1" applyFill="1" applyBorder="1" applyProtection="1">
      <protection hidden="1"/>
    </xf>
    <xf numFmtId="0" fontId="10" fillId="12" borderId="21" xfId="4" applyFont="1" applyFill="1" applyBorder="1" applyProtection="1">
      <protection hidden="1"/>
    </xf>
    <xf numFmtId="0" fontId="10" fillId="12" borderId="24" xfId="4" applyFont="1" applyFill="1" applyBorder="1" applyProtection="1">
      <protection hidden="1"/>
    </xf>
    <xf numFmtId="0" fontId="21" fillId="5" borderId="11" xfId="4" applyFont="1" applyFill="1" applyBorder="1" applyAlignment="1" applyProtection="1">
      <alignment horizontal="left" vertical="center" indent="3"/>
      <protection hidden="1"/>
    </xf>
    <xf numFmtId="0" fontId="10" fillId="5" borderId="9" xfId="4" applyFont="1" applyFill="1" applyBorder="1" applyProtection="1">
      <protection hidden="1"/>
    </xf>
    <xf numFmtId="0" fontId="10" fillId="5" borderId="10" xfId="4" applyFont="1" applyFill="1" applyBorder="1" applyProtection="1">
      <protection hidden="1"/>
    </xf>
    <xf numFmtId="0" fontId="10" fillId="7" borderId="5" xfId="4" applyFont="1" applyFill="1" applyBorder="1" applyProtection="1">
      <protection hidden="1"/>
    </xf>
    <xf numFmtId="0" fontId="10" fillId="7" borderId="6" xfId="4" applyFont="1" applyFill="1" applyBorder="1" applyProtection="1">
      <protection hidden="1"/>
    </xf>
    <xf numFmtId="0" fontId="10" fillId="7" borderId="9" xfId="4" applyFont="1" applyFill="1" applyBorder="1" applyProtection="1">
      <protection hidden="1"/>
    </xf>
    <xf numFmtId="0" fontId="10" fillId="7" borderId="10" xfId="4" applyFont="1" applyFill="1" applyBorder="1" applyProtection="1">
      <protection hidden="1"/>
    </xf>
    <xf numFmtId="0" fontId="10" fillId="12" borderId="5" xfId="4" applyFont="1" applyFill="1" applyBorder="1" applyProtection="1">
      <protection hidden="1"/>
    </xf>
    <xf numFmtId="0" fontId="10" fillId="12" borderId="6" xfId="4" applyFont="1" applyFill="1" applyBorder="1" applyProtection="1">
      <protection hidden="1"/>
    </xf>
    <xf numFmtId="0" fontId="10" fillId="12" borderId="9" xfId="4" applyFont="1" applyFill="1" applyBorder="1" applyProtection="1">
      <protection hidden="1"/>
    </xf>
    <xf numFmtId="0" fontId="25" fillId="5" borderId="11" xfId="4" applyFont="1" applyFill="1" applyBorder="1" applyAlignment="1" applyProtection="1">
      <alignment horizontal="left" vertical="center" indent="4"/>
      <protection hidden="1"/>
    </xf>
    <xf numFmtId="178" fontId="10" fillId="0" borderId="30" xfId="7" applyNumberFormat="1" applyFont="1" applyFill="1" applyBorder="1" applyAlignment="1" applyProtection="1">
      <alignment vertical="center"/>
      <protection locked="0"/>
    </xf>
    <xf numFmtId="178" fontId="10" fillId="0" borderId="29" xfId="7" applyNumberFormat="1" applyFont="1" applyFill="1" applyBorder="1" applyAlignment="1" applyProtection="1">
      <alignment vertical="center"/>
      <protection locked="0"/>
    </xf>
    <xf numFmtId="179" fontId="11" fillId="5" borderId="29" xfId="4" applyNumberFormat="1" applyFont="1" applyFill="1" applyBorder="1" applyAlignment="1" applyProtection="1">
      <alignment vertical="center"/>
      <protection hidden="1"/>
    </xf>
    <xf numFmtId="179" fontId="11" fillId="5" borderId="32" xfId="4" applyNumberFormat="1" applyFont="1" applyFill="1" applyBorder="1" applyAlignment="1" applyProtection="1">
      <alignment vertical="center"/>
      <protection hidden="1"/>
    </xf>
    <xf numFmtId="179" fontId="10" fillId="7" borderId="38" xfId="4" applyNumberFormat="1" applyFont="1" applyFill="1" applyBorder="1" applyAlignment="1" applyProtection="1">
      <alignment vertical="center"/>
      <protection hidden="1"/>
    </xf>
    <xf numFmtId="179" fontId="10" fillId="7" borderId="30" xfId="4" applyNumberFormat="1" applyFont="1" applyFill="1" applyBorder="1" applyAlignment="1" applyProtection="1">
      <alignment vertical="center"/>
      <protection hidden="1"/>
    </xf>
    <xf numFmtId="176" fontId="10" fillId="7" borderId="38" xfId="4" applyNumberFormat="1" applyFont="1" applyFill="1" applyBorder="1" applyAlignment="1" applyProtection="1">
      <alignment vertical="center"/>
      <protection hidden="1"/>
    </xf>
    <xf numFmtId="176" fontId="10" fillId="7" borderId="30" xfId="4" applyNumberFormat="1" applyFont="1" applyFill="1" applyBorder="1" applyAlignment="1" applyProtection="1">
      <alignment vertical="center"/>
      <protection hidden="1"/>
    </xf>
    <xf numFmtId="179" fontId="10" fillId="12" borderId="38" xfId="4" applyNumberFormat="1" applyFont="1" applyFill="1" applyBorder="1" applyAlignment="1" applyProtection="1">
      <alignment vertical="center"/>
      <protection hidden="1"/>
    </xf>
    <xf numFmtId="179" fontId="10" fillId="12" borderId="30" xfId="4" applyNumberFormat="1" applyFont="1" applyFill="1" applyBorder="1" applyAlignment="1" applyProtection="1">
      <alignment vertical="center"/>
      <protection hidden="1"/>
    </xf>
    <xf numFmtId="176" fontId="10" fillId="12" borderId="30" xfId="4" applyNumberFormat="1" applyFont="1" applyFill="1" applyBorder="1" applyAlignment="1" applyProtection="1">
      <alignment vertical="center"/>
      <protection hidden="1"/>
    </xf>
    <xf numFmtId="0" fontId="11" fillId="5" borderId="17" xfId="4" applyFont="1" applyFill="1" applyBorder="1" applyAlignment="1" applyProtection="1">
      <alignment horizontal="left" vertical="center" indent="3"/>
      <protection hidden="1"/>
    </xf>
    <xf numFmtId="179" fontId="11" fillId="5" borderId="38" xfId="4" applyNumberFormat="1" applyFont="1" applyFill="1" applyBorder="1" applyAlignment="1" applyProtection="1">
      <alignment vertical="center"/>
      <protection hidden="1"/>
    </xf>
    <xf numFmtId="179" fontId="11" fillId="5" borderId="48" xfId="4" applyNumberFormat="1" applyFont="1" applyFill="1" applyBorder="1" applyAlignment="1" applyProtection="1">
      <alignment vertical="center"/>
      <protection hidden="1"/>
    </xf>
    <xf numFmtId="179" fontId="11" fillId="5" borderId="49" xfId="4" applyNumberFormat="1" applyFont="1" applyFill="1" applyBorder="1" applyAlignment="1" applyProtection="1">
      <alignment vertical="center"/>
      <protection hidden="1"/>
    </xf>
    <xf numFmtId="0" fontId="10" fillId="5" borderId="33" xfId="4" applyFont="1" applyFill="1" applyBorder="1" applyProtection="1">
      <protection hidden="1"/>
    </xf>
    <xf numFmtId="0" fontId="10" fillId="5" borderId="12" xfId="4" applyFont="1" applyFill="1" applyBorder="1" applyProtection="1">
      <protection hidden="1"/>
    </xf>
    <xf numFmtId="0" fontId="10" fillId="5" borderId="16" xfId="4" applyFont="1" applyFill="1" applyBorder="1" applyProtection="1">
      <protection hidden="1"/>
    </xf>
    <xf numFmtId="0" fontId="10" fillId="5" borderId="17" xfId="4" applyFont="1" applyFill="1" applyBorder="1" applyProtection="1">
      <protection hidden="1"/>
    </xf>
    <xf numFmtId="179" fontId="11" fillId="7" borderId="48" xfId="4" applyNumberFormat="1" applyFont="1" applyFill="1" applyBorder="1" applyAlignment="1" applyProtection="1">
      <alignment vertical="center"/>
      <protection hidden="1"/>
    </xf>
    <xf numFmtId="176" fontId="11" fillId="7" borderId="33" xfId="4" applyNumberFormat="1" applyFont="1" applyFill="1" applyBorder="1" applyAlignment="1" applyProtection="1">
      <alignment vertical="center"/>
      <protection hidden="1"/>
    </xf>
    <xf numFmtId="176" fontId="11" fillId="7" borderId="12" xfId="4" applyNumberFormat="1" applyFont="1" applyFill="1" applyBorder="1" applyAlignment="1" applyProtection="1">
      <alignment vertical="center"/>
      <protection hidden="1"/>
    </xf>
    <xf numFmtId="176" fontId="11" fillId="12" borderId="12" xfId="4" applyNumberFormat="1" applyFont="1" applyFill="1" applyBorder="1" applyAlignment="1" applyProtection="1">
      <alignment vertical="center"/>
      <protection hidden="1"/>
    </xf>
    <xf numFmtId="0" fontId="10" fillId="7" borderId="7" xfId="4" applyFont="1" applyFill="1" applyBorder="1" applyProtection="1">
      <protection hidden="1"/>
    </xf>
    <xf numFmtId="0" fontId="10" fillId="12" borderId="7" xfId="4" applyFont="1" applyFill="1" applyBorder="1" applyProtection="1">
      <protection hidden="1"/>
    </xf>
    <xf numFmtId="179" fontId="19" fillId="5" borderId="30" xfId="4" applyNumberFormat="1" applyFont="1" applyFill="1" applyBorder="1" applyAlignment="1" applyProtection="1">
      <alignment vertical="center"/>
      <protection hidden="1"/>
    </xf>
    <xf numFmtId="179" fontId="11" fillId="5" borderId="34" xfId="4" applyNumberFormat="1" applyFont="1" applyFill="1" applyBorder="1" applyAlignment="1" applyProtection="1">
      <alignment vertical="center"/>
      <protection hidden="1"/>
    </xf>
    <xf numFmtId="179" fontId="11" fillId="5" borderId="42" xfId="4" applyNumberFormat="1" applyFont="1" applyFill="1" applyBorder="1" applyAlignment="1" applyProtection="1">
      <alignment vertical="center"/>
      <protection hidden="1"/>
    </xf>
    <xf numFmtId="179" fontId="11" fillId="5" borderId="51" xfId="4" applyNumberFormat="1" applyFont="1" applyFill="1" applyBorder="1" applyAlignment="1" applyProtection="1">
      <alignment vertical="center"/>
      <protection hidden="1"/>
    </xf>
    <xf numFmtId="179" fontId="11" fillId="7" borderId="14" xfId="4" applyNumberFormat="1" applyFont="1" applyFill="1" applyBorder="1" applyAlignment="1" applyProtection="1">
      <alignment vertical="center"/>
      <protection hidden="1"/>
    </xf>
    <xf numFmtId="179" fontId="11" fillId="7" borderId="12" xfId="4" applyNumberFormat="1" applyFont="1" applyFill="1" applyBorder="1" applyAlignment="1" applyProtection="1">
      <alignment vertical="center"/>
      <protection hidden="1"/>
    </xf>
    <xf numFmtId="176" fontId="11" fillId="7" borderId="9" xfId="4" applyNumberFormat="1" applyFont="1" applyFill="1" applyBorder="1" applyAlignment="1" applyProtection="1">
      <alignment vertical="center"/>
      <protection hidden="1"/>
    </xf>
    <xf numFmtId="176" fontId="11" fillId="7" borderId="6" xfId="4" applyNumberFormat="1" applyFont="1" applyFill="1" applyBorder="1" applyAlignment="1" applyProtection="1">
      <alignment vertical="center"/>
      <protection hidden="1"/>
    </xf>
    <xf numFmtId="179" fontId="11" fillId="12" borderId="14" xfId="4" applyNumberFormat="1" applyFont="1" applyFill="1" applyBorder="1" applyAlignment="1" applyProtection="1">
      <alignment vertical="center"/>
      <protection hidden="1"/>
    </xf>
    <xf numFmtId="179" fontId="11" fillId="12" borderId="12" xfId="4" applyNumberFormat="1" applyFont="1" applyFill="1" applyBorder="1" applyAlignment="1" applyProtection="1">
      <alignment vertical="center"/>
      <protection hidden="1"/>
    </xf>
    <xf numFmtId="176" fontId="11" fillId="12" borderId="6" xfId="4" applyNumberFormat="1" applyFont="1" applyFill="1" applyBorder="1" applyAlignment="1" applyProtection="1">
      <alignment vertical="center"/>
      <protection hidden="1"/>
    </xf>
    <xf numFmtId="0" fontId="11" fillId="5" borderId="11" xfId="4" applyFont="1" applyFill="1" applyBorder="1" applyAlignment="1" applyProtection="1">
      <alignment horizontal="left" vertical="center" indent="1"/>
      <protection hidden="1"/>
    </xf>
    <xf numFmtId="0" fontId="21" fillId="5" borderId="11" xfId="4" applyFont="1" applyFill="1" applyBorder="1" applyAlignment="1" applyProtection="1">
      <alignment horizontal="left" vertical="center" indent="4"/>
      <protection hidden="1"/>
    </xf>
    <xf numFmtId="0" fontId="25" fillId="5" borderId="11" xfId="4" applyFont="1" applyFill="1" applyBorder="1" applyAlignment="1" applyProtection="1">
      <alignment horizontal="left" vertical="center" indent="5"/>
      <protection hidden="1"/>
    </xf>
    <xf numFmtId="178" fontId="10" fillId="0" borderId="38" xfId="7" applyNumberFormat="1" applyFont="1" applyFill="1" applyBorder="1" applyAlignment="1" applyProtection="1">
      <alignment vertical="center"/>
      <protection locked="0"/>
    </xf>
    <xf numFmtId="0" fontId="10" fillId="7" borderId="29" xfId="4" applyFont="1" applyFill="1" applyBorder="1" applyProtection="1">
      <protection hidden="1"/>
    </xf>
    <xf numFmtId="0" fontId="10" fillId="7" borderId="30" xfId="4" applyFont="1" applyFill="1" applyBorder="1" applyProtection="1">
      <protection hidden="1"/>
    </xf>
    <xf numFmtId="0" fontId="10" fillId="7" borderId="32" xfId="4" applyFont="1" applyFill="1" applyBorder="1" applyProtection="1">
      <protection hidden="1"/>
    </xf>
    <xf numFmtId="0" fontId="10" fillId="12" borderId="29" xfId="4" applyFont="1" applyFill="1" applyBorder="1" applyProtection="1">
      <protection hidden="1"/>
    </xf>
    <xf numFmtId="0" fontId="10" fillId="12" borderId="30" xfId="4" applyFont="1" applyFill="1" applyBorder="1" applyProtection="1">
      <protection hidden="1"/>
    </xf>
    <xf numFmtId="0" fontId="10" fillId="7" borderId="27" xfId="4" applyFont="1" applyFill="1" applyBorder="1" applyProtection="1">
      <protection hidden="1"/>
    </xf>
    <xf numFmtId="0" fontId="11" fillId="5" borderId="11" xfId="4" applyFont="1" applyFill="1" applyBorder="1" applyAlignment="1" applyProtection="1">
      <alignment horizontal="left" vertical="center" indent="3"/>
      <protection hidden="1"/>
    </xf>
    <xf numFmtId="179" fontId="11" fillId="7" borderId="35" xfId="4" applyNumberFormat="1" applyFont="1" applyFill="1" applyBorder="1" applyAlignment="1" applyProtection="1">
      <alignment vertical="center"/>
      <protection hidden="1"/>
    </xf>
    <xf numFmtId="179" fontId="11" fillId="5" borderId="55" xfId="4" applyNumberFormat="1" applyFont="1" applyFill="1" applyBorder="1" applyAlignment="1" applyProtection="1">
      <alignment vertical="center"/>
      <protection hidden="1"/>
    </xf>
    <xf numFmtId="179" fontId="11" fillId="5" borderId="54" xfId="4" applyNumberFormat="1" applyFont="1" applyFill="1" applyBorder="1" applyAlignment="1" applyProtection="1">
      <alignment vertical="center"/>
      <protection hidden="1"/>
    </xf>
    <xf numFmtId="179" fontId="11" fillId="5" borderId="19" xfId="4" applyNumberFormat="1" applyFont="1" applyFill="1" applyBorder="1" applyAlignment="1" applyProtection="1">
      <alignment vertical="center"/>
      <protection hidden="1"/>
    </xf>
    <xf numFmtId="179" fontId="11" fillId="5" borderId="18" xfId="4" applyNumberFormat="1" applyFont="1" applyFill="1" applyBorder="1" applyAlignment="1" applyProtection="1">
      <alignment vertical="center"/>
      <protection hidden="1"/>
    </xf>
    <xf numFmtId="179" fontId="11" fillId="7" borderId="18" xfId="4" applyNumberFormat="1" applyFont="1" applyFill="1" applyBorder="1" applyAlignment="1" applyProtection="1">
      <alignment vertical="center"/>
      <protection hidden="1"/>
    </xf>
    <xf numFmtId="179" fontId="11" fillId="7" borderId="19" xfId="4" applyNumberFormat="1" applyFont="1" applyFill="1" applyBorder="1" applyAlignment="1" applyProtection="1">
      <alignment vertical="center"/>
      <protection hidden="1"/>
    </xf>
    <xf numFmtId="179" fontId="11" fillId="12" borderId="18" xfId="4" applyNumberFormat="1" applyFont="1" applyFill="1" applyBorder="1" applyAlignment="1" applyProtection="1">
      <alignment vertical="center"/>
      <protection hidden="1"/>
    </xf>
    <xf numFmtId="179" fontId="11" fillId="12" borderId="19" xfId="4" applyNumberFormat="1" applyFont="1" applyFill="1" applyBorder="1" applyAlignment="1" applyProtection="1">
      <alignment vertical="center"/>
      <protection hidden="1"/>
    </xf>
    <xf numFmtId="0" fontId="10" fillId="7" borderId="0" xfId="4" applyFont="1" applyFill="1" applyBorder="1" applyProtection="1">
      <protection hidden="1"/>
    </xf>
    <xf numFmtId="179" fontId="10" fillId="7" borderId="0" xfId="4" applyNumberFormat="1" applyFont="1" applyFill="1" applyBorder="1" applyAlignment="1" applyProtection="1">
      <protection hidden="1"/>
    </xf>
    <xf numFmtId="179" fontId="10" fillId="12" borderId="0" xfId="4" applyNumberFormat="1" applyFont="1" applyFill="1" applyBorder="1" applyAlignment="1" applyProtection="1">
      <protection hidden="1"/>
    </xf>
    <xf numFmtId="179" fontId="10" fillId="7" borderId="0" xfId="4" applyNumberFormat="1" applyFont="1" applyFill="1" applyBorder="1" applyProtection="1">
      <protection hidden="1"/>
    </xf>
    <xf numFmtId="0" fontId="11" fillId="5" borderId="7" xfId="4" applyFont="1" applyFill="1" applyBorder="1" applyAlignment="1" applyProtection="1">
      <alignment horizontal="center" vertical="top"/>
      <protection hidden="1"/>
    </xf>
    <xf numFmtId="0" fontId="11" fillId="3" borderId="6" xfId="0" applyFont="1" applyFill="1" applyBorder="1" applyAlignment="1" applyProtection="1">
      <alignment horizontal="center" vertical="top"/>
      <protection hidden="1"/>
    </xf>
    <xf numFmtId="0" fontId="11" fillId="3" borderId="0" xfId="0" applyFont="1" applyFill="1" applyBorder="1" applyAlignment="1" applyProtection="1">
      <alignment horizontal="center" vertical="top"/>
      <protection hidden="1"/>
    </xf>
    <xf numFmtId="0" fontId="11" fillId="3" borderId="10" xfId="0" applyFont="1" applyFill="1" applyBorder="1" applyAlignment="1" applyProtection="1">
      <alignment horizontal="center" vertical="top" wrapText="1"/>
      <protection hidden="1"/>
    </xf>
    <xf numFmtId="179" fontId="19" fillId="2" borderId="51" xfId="0" applyNumberFormat="1" applyFont="1" applyFill="1" applyBorder="1" applyAlignment="1" applyProtection="1">
      <alignment vertical="center"/>
      <protection hidden="1"/>
    </xf>
    <xf numFmtId="169" fontId="10" fillId="3" borderId="10" xfId="0" applyNumberFormat="1" applyFont="1" applyFill="1" applyBorder="1" applyAlignment="1" applyProtection="1">
      <alignment horizontal="center" vertical="center"/>
      <protection hidden="1"/>
    </xf>
    <xf numFmtId="0" fontId="11" fillId="9" borderId="0" xfId="0" applyFont="1" applyFill="1" applyBorder="1" applyAlignment="1" applyProtection="1">
      <alignment vertical="top" wrapText="1"/>
      <protection hidden="1"/>
    </xf>
    <xf numFmtId="0" fontId="10" fillId="9" borderId="0" xfId="0" applyFont="1" applyFill="1" applyBorder="1" applyProtection="1">
      <protection hidden="1"/>
    </xf>
    <xf numFmtId="168" fontId="9" fillId="9" borderId="22" xfId="0" applyNumberFormat="1" applyFont="1" applyFill="1" applyBorder="1" applyAlignment="1" applyProtection="1">
      <alignment horizontal="left" vertical="center"/>
      <protection hidden="1"/>
    </xf>
    <xf numFmtId="170" fontId="10" fillId="9" borderId="21" xfId="0" applyNumberFormat="1" applyFont="1" applyFill="1" applyBorder="1" applyAlignment="1" applyProtection="1">
      <alignment horizontal="left" vertical="center"/>
      <protection hidden="1"/>
    </xf>
    <xf numFmtId="179" fontId="11" fillId="2" borderId="12" xfId="0" applyNumberFormat="1" applyFont="1" applyFill="1" applyBorder="1" applyAlignment="1" applyProtection="1">
      <alignment vertical="center"/>
      <protection hidden="1"/>
    </xf>
    <xf numFmtId="0" fontId="10" fillId="9" borderId="0" xfId="0" applyFont="1" applyFill="1" applyProtection="1">
      <protection hidden="1"/>
    </xf>
    <xf numFmtId="0" fontId="10" fillId="5" borderId="0" xfId="0" applyFont="1" applyFill="1" applyBorder="1" applyProtection="1">
      <protection hidden="1"/>
    </xf>
    <xf numFmtId="179" fontId="11" fillId="2" borderId="15" xfId="0" applyNumberFormat="1" applyFont="1" applyFill="1" applyBorder="1" applyAlignment="1" applyProtection="1">
      <alignment vertical="center"/>
      <protection hidden="1"/>
    </xf>
    <xf numFmtId="179" fontId="11" fillId="9" borderId="19" xfId="0" applyNumberFormat="1" applyFont="1" applyFill="1" applyBorder="1" applyAlignment="1" applyProtection="1">
      <alignment vertical="center"/>
      <protection hidden="1"/>
    </xf>
    <xf numFmtId="179" fontId="11" fillId="9" borderId="47" xfId="0" applyNumberFormat="1" applyFont="1" applyFill="1" applyBorder="1" applyAlignment="1" applyProtection="1">
      <alignment vertical="center"/>
      <protection hidden="1"/>
    </xf>
    <xf numFmtId="0" fontId="11" fillId="9" borderId="5" xfId="0" applyFont="1" applyFill="1" applyBorder="1" applyAlignment="1" applyProtection="1">
      <alignment vertical="top" wrapText="1"/>
      <protection hidden="1"/>
    </xf>
    <xf numFmtId="0" fontId="11" fillId="3" borderId="0" xfId="0" applyFont="1" applyFill="1" applyBorder="1" applyAlignment="1" applyProtection="1">
      <alignment horizontal="right" vertical="center" indent="1"/>
      <protection hidden="1"/>
    </xf>
    <xf numFmtId="169" fontId="10" fillId="3" borderId="0" xfId="0" applyNumberFormat="1" applyFont="1" applyFill="1" applyBorder="1" applyProtection="1">
      <protection hidden="1"/>
    </xf>
    <xf numFmtId="0" fontId="10" fillId="2" borderId="34" xfId="0" applyFont="1" applyFill="1" applyBorder="1" applyAlignment="1" applyProtection="1">
      <alignment horizontal="center" vertical="center"/>
      <protection hidden="1"/>
    </xf>
    <xf numFmtId="0" fontId="10" fillId="2" borderId="51" xfId="0" applyFont="1" applyFill="1" applyBorder="1" applyAlignment="1" applyProtection="1">
      <alignment horizontal="center" vertical="center"/>
      <protection hidden="1"/>
    </xf>
    <xf numFmtId="179" fontId="10" fillId="12" borderId="29" xfId="4" applyNumberFormat="1" applyFont="1" applyFill="1" applyBorder="1" applyAlignment="1" applyProtection="1">
      <alignment vertical="center"/>
      <protection hidden="1"/>
    </xf>
    <xf numFmtId="176" fontId="10" fillId="12" borderId="32" xfId="4" applyNumberFormat="1" applyFont="1" applyFill="1" applyBorder="1" applyAlignment="1" applyProtection="1">
      <alignment vertical="center"/>
      <protection hidden="1"/>
    </xf>
    <xf numFmtId="176" fontId="11" fillId="12" borderId="61" xfId="4" applyNumberFormat="1" applyFont="1" applyFill="1" applyBorder="1" applyAlignment="1" applyProtection="1">
      <alignment vertical="center"/>
      <protection hidden="1"/>
    </xf>
    <xf numFmtId="0" fontId="26" fillId="5" borderId="0" xfId="0" applyFont="1" applyFill="1" applyAlignment="1" applyProtection="1">
      <alignment vertical="center"/>
      <protection hidden="1"/>
    </xf>
    <xf numFmtId="0" fontId="11" fillId="0" borderId="6" xfId="5" applyNumberFormat="1" applyFont="1" applyFill="1" applyBorder="1" applyAlignment="1" applyProtection="1">
      <alignment horizontal="center" vertical="top" wrapText="1"/>
      <protection hidden="1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20" fillId="5" borderId="0" xfId="0" applyFont="1" applyFill="1" applyBorder="1" applyAlignment="1" applyProtection="1">
      <protection hidden="1"/>
    </xf>
    <xf numFmtId="172" fontId="11" fillId="5" borderId="0" xfId="0" applyNumberFormat="1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0" fontId="10" fillId="5" borderId="61" xfId="0" applyFont="1" applyFill="1" applyBorder="1" applyAlignment="1" applyProtection="1">
      <alignment vertical="center"/>
      <protection hidden="1"/>
    </xf>
    <xf numFmtId="172" fontId="11" fillId="5" borderId="24" xfId="0" applyNumberFormat="1" applyFont="1" applyFill="1" applyBorder="1" applyAlignment="1" applyProtection="1">
      <alignment horizontal="center" vertical="top" wrapText="1"/>
      <protection hidden="1"/>
    </xf>
    <xf numFmtId="172" fontId="11" fillId="5" borderId="6" xfId="0" applyNumberFormat="1" applyFont="1" applyFill="1" applyBorder="1" applyAlignment="1" applyProtection="1">
      <alignment horizontal="center" vertical="center"/>
      <protection hidden="1"/>
    </xf>
    <xf numFmtId="172" fontId="11" fillId="5" borderId="7" xfId="0" applyNumberFormat="1" applyFont="1" applyFill="1" applyBorder="1" applyAlignment="1" applyProtection="1">
      <alignment horizontal="center" vertical="center"/>
      <protection hidden="1"/>
    </xf>
    <xf numFmtId="0" fontId="20" fillId="5" borderId="10" xfId="0" applyFont="1" applyFill="1" applyBorder="1" applyAlignment="1" applyProtection="1">
      <protection hidden="1"/>
    </xf>
    <xf numFmtId="172" fontId="10" fillId="5" borderId="0" xfId="0" applyNumberFormat="1" applyFont="1" applyFill="1" applyBorder="1" applyAlignment="1" applyProtection="1">
      <alignment horizontal="center"/>
      <protection hidden="1"/>
    </xf>
    <xf numFmtId="0" fontId="10" fillId="5" borderId="9" xfId="0" applyFont="1" applyFill="1" applyBorder="1" applyProtection="1">
      <protection hidden="1"/>
    </xf>
    <xf numFmtId="0" fontId="10" fillId="5" borderId="61" xfId="0" applyFont="1" applyFill="1" applyBorder="1" applyAlignment="1" applyProtection="1">
      <protection hidden="1"/>
    </xf>
    <xf numFmtId="172" fontId="11" fillId="5" borderId="40" xfId="0" applyNumberFormat="1" applyFont="1" applyFill="1" applyBorder="1" applyAlignment="1" applyProtection="1">
      <alignment horizontal="center" vertical="top" wrapText="1"/>
      <protection hidden="1"/>
    </xf>
    <xf numFmtId="0" fontId="10" fillId="5" borderId="32" xfId="0" applyFont="1" applyFill="1" applyBorder="1" applyAlignment="1" applyProtection="1">
      <alignment vertical="center"/>
      <protection hidden="1"/>
    </xf>
    <xf numFmtId="0" fontId="11" fillId="0" borderId="0" xfId="0" applyFont="1" applyFill="1" applyProtection="1">
      <protection hidden="1"/>
    </xf>
    <xf numFmtId="0" fontId="11" fillId="9" borderId="9" xfId="0" applyNumberFormat="1" applyFont="1" applyFill="1" applyBorder="1" applyAlignment="1" applyProtection="1">
      <alignment vertical="center"/>
      <protection hidden="1"/>
    </xf>
    <xf numFmtId="0" fontId="17" fillId="5" borderId="2" xfId="0" applyFont="1" applyFill="1" applyBorder="1" applyAlignment="1" applyProtection="1">
      <alignment horizontal="center" vertical="center"/>
      <protection hidden="1"/>
    </xf>
    <xf numFmtId="0" fontId="10" fillId="4" borderId="1" xfId="0" applyFont="1" applyFill="1" applyBorder="1" applyAlignment="1" applyProtection="1">
      <alignment vertical="center"/>
      <protection hidden="1"/>
    </xf>
    <xf numFmtId="0" fontId="10" fillId="3" borderId="0" xfId="0" applyFont="1" applyFill="1" applyBorder="1" applyAlignment="1" applyProtection="1">
      <alignment horizontal="centerContinuous" vertical="center"/>
      <protection hidden="1"/>
    </xf>
    <xf numFmtId="0" fontId="11" fillId="9" borderId="2" xfId="0" applyFont="1" applyFill="1" applyBorder="1" applyAlignment="1" applyProtection="1">
      <alignment vertical="top" wrapText="1"/>
      <protection hidden="1"/>
    </xf>
    <xf numFmtId="185" fontId="10" fillId="2" borderId="30" xfId="0" applyNumberFormat="1" applyFont="1" applyFill="1" applyBorder="1" applyAlignment="1" applyProtection="1">
      <alignment vertical="center"/>
      <protection hidden="1"/>
    </xf>
    <xf numFmtId="0" fontId="10" fillId="5" borderId="0" xfId="9" applyFont="1" applyFill="1" applyProtection="1">
      <protection hidden="1"/>
    </xf>
    <xf numFmtId="0" fontId="11" fillId="4" borderId="0" xfId="9" applyFont="1" applyFill="1" applyBorder="1" applyAlignment="1" applyProtection="1">
      <alignment horizontal="right" vertical="top"/>
      <protection hidden="1"/>
    </xf>
    <xf numFmtId="0" fontId="10" fillId="2" borderId="0" xfId="9" applyFont="1" applyFill="1" applyAlignment="1" applyProtection="1">
      <alignment vertical="top"/>
      <protection hidden="1"/>
    </xf>
    <xf numFmtId="0" fontId="10" fillId="3" borderId="0" xfId="9" applyFont="1" applyFill="1" applyBorder="1" applyAlignment="1" applyProtection="1">
      <alignment vertical="top"/>
      <protection hidden="1"/>
    </xf>
    <xf numFmtId="0" fontId="10" fillId="4" borderId="0" xfId="9" applyFont="1" applyFill="1" applyBorder="1" applyAlignment="1" applyProtection="1">
      <alignment vertical="center"/>
      <protection hidden="1"/>
    </xf>
    <xf numFmtId="0" fontId="10" fillId="2" borderId="0" xfId="9" applyFont="1" applyFill="1" applyProtection="1">
      <protection hidden="1"/>
    </xf>
    <xf numFmtId="0" fontId="10" fillId="4" borderId="0" xfId="9" applyFont="1" applyFill="1" applyBorder="1" applyAlignment="1" applyProtection="1">
      <alignment horizontal="center" vertical="center"/>
      <protection hidden="1"/>
    </xf>
    <xf numFmtId="0" fontId="10" fillId="4" borderId="0" xfId="9" applyFont="1" applyFill="1" applyBorder="1" applyProtection="1">
      <protection hidden="1"/>
    </xf>
    <xf numFmtId="0" fontId="10" fillId="3" borderId="0" xfId="9" applyFont="1" applyFill="1" applyBorder="1" applyProtection="1">
      <protection hidden="1"/>
    </xf>
    <xf numFmtId="0" fontId="10" fillId="9" borderId="0" xfId="9" applyNumberFormat="1" applyFont="1" applyFill="1" applyBorder="1" applyAlignment="1" applyProtection="1">
      <protection hidden="1"/>
    </xf>
    <xf numFmtId="0" fontId="10" fillId="2" borderId="0" xfId="9" applyNumberFormat="1" applyFont="1" applyFill="1" applyBorder="1" applyAlignment="1" applyProtection="1">
      <protection hidden="1"/>
    </xf>
    <xf numFmtId="0" fontId="10" fillId="9" borderId="0" xfId="0" applyNumberFormat="1" applyFont="1" applyFill="1" applyBorder="1" applyAlignment="1" applyProtection="1">
      <protection hidden="1"/>
    </xf>
    <xf numFmtId="0" fontId="10" fillId="2" borderId="0" xfId="0" applyNumberFormat="1" applyFont="1" applyFill="1" applyBorder="1" applyAlignment="1" applyProtection="1">
      <protection hidden="1"/>
    </xf>
    <xf numFmtId="0" fontId="11" fillId="3" borderId="10" xfId="9" applyFont="1" applyFill="1" applyBorder="1" applyAlignment="1" applyProtection="1">
      <alignment horizontal="center" vertical="center"/>
      <protection hidden="1"/>
    </xf>
    <xf numFmtId="172" fontId="11" fillId="2" borderId="27" xfId="0" applyNumberFormat="1" applyFont="1" applyFill="1" applyBorder="1" applyAlignment="1" applyProtection="1">
      <alignment horizontal="center" vertical="top"/>
      <protection hidden="1"/>
    </xf>
    <xf numFmtId="172" fontId="11" fillId="2" borderId="41" xfId="0" applyNumberFormat="1" applyFont="1" applyFill="1" applyBorder="1" applyAlignment="1" applyProtection="1">
      <alignment horizontal="center" vertical="top"/>
      <protection hidden="1"/>
    </xf>
    <xf numFmtId="0" fontId="10" fillId="2" borderId="9" xfId="0" applyFont="1" applyFill="1" applyBorder="1" applyAlignment="1" applyProtection="1">
      <alignment horizontal="left" vertical="center" indent="2"/>
      <protection hidden="1"/>
    </xf>
    <xf numFmtId="0" fontId="10" fillId="9" borderId="0" xfId="0" quotePrefix="1" applyNumberFormat="1" applyFont="1" applyFill="1" applyBorder="1" applyAlignment="1" applyProtection="1">
      <protection hidden="1"/>
    </xf>
    <xf numFmtId="0" fontId="11" fillId="3" borderId="33" xfId="9" applyFont="1" applyFill="1" applyBorder="1" applyAlignment="1" applyProtection="1">
      <alignment horizontal="left" vertical="center" indent="1"/>
      <protection hidden="1"/>
    </xf>
    <xf numFmtId="0" fontId="10" fillId="2" borderId="0" xfId="0" quotePrefix="1" applyNumberFormat="1" applyFont="1" applyFill="1" applyBorder="1" applyAlignment="1" applyProtection="1"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2" fontId="10" fillId="2" borderId="0" xfId="0" quotePrefix="1" applyNumberFormat="1" applyFont="1" applyFill="1" applyBorder="1" applyAlignment="1" applyProtection="1">
      <alignment horizontal="center" vertical="center"/>
      <protection hidden="1"/>
    </xf>
    <xf numFmtId="2" fontId="10" fillId="2" borderId="0" xfId="0" applyNumberFormat="1" applyFont="1" applyFill="1" applyBorder="1" applyAlignment="1" applyProtection="1">
      <alignment horizontal="center" vertical="center"/>
      <protection hidden="1"/>
    </xf>
    <xf numFmtId="0" fontId="10" fillId="3" borderId="0" xfId="9" applyFont="1" applyFill="1" applyBorder="1" applyAlignment="1" applyProtection="1">
      <protection hidden="1"/>
    </xf>
    <xf numFmtId="0" fontId="10" fillId="4" borderId="0" xfId="9" applyFont="1" applyFill="1" applyBorder="1" applyAlignment="1" applyProtection="1">
      <alignment horizontal="centerContinuous" vertical="center"/>
      <protection hidden="1"/>
    </xf>
    <xf numFmtId="0" fontId="10" fillId="2" borderId="0" xfId="9" applyFont="1" applyFill="1" applyAlignment="1" applyProtection="1">
      <alignment vertical="center"/>
      <protection hidden="1"/>
    </xf>
    <xf numFmtId="0" fontId="11" fillId="2" borderId="0" xfId="0" applyFont="1" applyFill="1" applyBorder="1" applyAlignment="1" applyProtection="1">
      <protection hidden="1"/>
    </xf>
    <xf numFmtId="0" fontId="10" fillId="3" borderId="9" xfId="9" applyFont="1" applyFill="1" applyBorder="1" applyProtection="1">
      <protection hidden="1"/>
    </xf>
    <xf numFmtId="172" fontId="11" fillId="2" borderId="10" xfId="0" applyNumberFormat="1" applyFont="1" applyFill="1" applyBorder="1" applyAlignment="1" applyProtection="1">
      <alignment horizontal="center" vertical="top"/>
      <protection hidden="1"/>
    </xf>
    <xf numFmtId="0" fontId="11" fillId="3" borderId="9" xfId="9" applyFont="1" applyFill="1" applyBorder="1" applyAlignment="1" applyProtection="1">
      <alignment horizontal="left" vertical="center" indent="1"/>
      <protection hidden="1"/>
    </xf>
    <xf numFmtId="179" fontId="11" fillId="9" borderId="30" xfId="9" applyNumberFormat="1" applyFont="1" applyFill="1" applyBorder="1" applyAlignment="1" applyProtection="1">
      <alignment vertical="center"/>
      <protection hidden="1"/>
    </xf>
    <xf numFmtId="179" fontId="11" fillId="9" borderId="32" xfId="9" applyNumberFormat="1" applyFont="1" applyFill="1" applyBorder="1" applyAlignment="1" applyProtection="1">
      <alignment vertical="center"/>
      <protection hidden="1"/>
    </xf>
    <xf numFmtId="0" fontId="10" fillId="3" borderId="35" xfId="9" applyFont="1" applyFill="1" applyBorder="1" applyProtection="1">
      <protection hidden="1"/>
    </xf>
    <xf numFmtId="172" fontId="11" fillId="2" borderId="10" xfId="0" applyNumberFormat="1" applyFont="1" applyFill="1" applyBorder="1" applyAlignment="1" applyProtection="1">
      <alignment horizontal="center" vertical="center"/>
      <protection hidden="1"/>
    </xf>
    <xf numFmtId="0" fontId="11" fillId="3" borderId="0" xfId="9" applyFont="1" applyFill="1" applyBorder="1" applyAlignment="1" applyProtection="1">
      <alignment horizontal="center" vertical="top" wrapText="1"/>
      <protection hidden="1"/>
    </xf>
    <xf numFmtId="0" fontId="11" fillId="3" borderId="5" xfId="9" applyFont="1" applyFill="1" applyBorder="1" applyAlignment="1" applyProtection="1">
      <alignment horizontal="center" vertical="center"/>
      <protection hidden="1"/>
    </xf>
    <xf numFmtId="0" fontId="11" fillId="3" borderId="11" xfId="9" applyFont="1" applyFill="1" applyBorder="1" applyAlignment="1" applyProtection="1">
      <alignment horizontal="center" vertical="center"/>
      <protection hidden="1"/>
    </xf>
    <xf numFmtId="172" fontId="11" fillId="2" borderId="5" xfId="0" applyNumberFormat="1" applyFont="1" applyFill="1" applyBorder="1" applyAlignment="1" applyProtection="1">
      <alignment horizontal="center" vertical="top"/>
      <protection hidden="1"/>
    </xf>
    <xf numFmtId="172" fontId="11" fillId="2" borderId="11" xfId="0" applyNumberFormat="1" applyFont="1" applyFill="1" applyBorder="1" applyAlignment="1" applyProtection="1">
      <alignment horizontal="center" vertical="top"/>
      <protection hidden="1"/>
    </xf>
    <xf numFmtId="179" fontId="11" fillId="9" borderId="38" xfId="9" applyNumberFormat="1" applyFont="1" applyFill="1" applyBorder="1" applyAlignment="1" applyProtection="1">
      <alignment vertical="center"/>
      <protection hidden="1"/>
    </xf>
    <xf numFmtId="0" fontId="11" fillId="3" borderId="5" xfId="9" applyFont="1" applyFill="1" applyBorder="1" applyAlignment="1" applyProtection="1">
      <alignment horizontal="center" vertical="top"/>
      <protection hidden="1"/>
    </xf>
    <xf numFmtId="0" fontId="11" fillId="3" borderId="0" xfId="9" applyFont="1" applyFill="1" applyBorder="1" applyAlignment="1" applyProtection="1">
      <alignment horizontal="center" vertical="center"/>
      <protection hidden="1"/>
    </xf>
    <xf numFmtId="172" fontId="11" fillId="2" borderId="0" xfId="0" applyNumberFormat="1" applyFont="1" applyFill="1" applyBorder="1" applyAlignment="1" applyProtection="1">
      <alignment horizontal="center" vertical="top"/>
      <protection hidden="1"/>
    </xf>
    <xf numFmtId="0" fontId="10" fillId="3" borderId="11" xfId="9" applyFont="1" applyFill="1" applyBorder="1" applyAlignment="1" applyProtection="1">
      <protection hidden="1"/>
    </xf>
    <xf numFmtId="0" fontId="11" fillId="3" borderId="11" xfId="9" applyFont="1" applyFill="1" applyBorder="1" applyAlignment="1" applyProtection="1">
      <alignment horizontal="left" vertical="center" indent="1"/>
      <protection hidden="1"/>
    </xf>
    <xf numFmtId="0" fontId="10" fillId="3" borderId="11" xfId="9" applyFont="1" applyFill="1" applyBorder="1" applyProtection="1">
      <protection hidden="1"/>
    </xf>
    <xf numFmtId="0" fontId="10" fillId="2" borderId="11" xfId="0" applyFont="1" applyFill="1" applyBorder="1" applyAlignment="1" applyProtection="1">
      <alignment horizontal="left" vertical="center" indent="2"/>
      <protection hidden="1"/>
    </xf>
    <xf numFmtId="0" fontId="11" fillId="2" borderId="11" xfId="0" applyFont="1" applyFill="1" applyBorder="1" applyAlignment="1" applyProtection="1">
      <alignment horizontal="left" vertical="center" indent="2"/>
      <protection hidden="1"/>
    </xf>
    <xf numFmtId="0" fontId="11" fillId="3" borderId="17" xfId="9" applyFont="1" applyFill="1" applyBorder="1" applyAlignment="1" applyProtection="1">
      <alignment horizontal="left" vertical="center" indent="1"/>
      <protection hidden="1"/>
    </xf>
    <xf numFmtId="0" fontId="11" fillId="3" borderId="10" xfId="9" applyFont="1" applyFill="1" applyBorder="1" applyAlignment="1" applyProtection="1">
      <alignment horizontal="center" vertical="center" wrapText="1"/>
      <protection hidden="1"/>
    </xf>
    <xf numFmtId="0" fontId="10" fillId="3" borderId="17" xfId="9" applyFont="1" applyFill="1" applyBorder="1" applyProtection="1">
      <protection hidden="1"/>
    </xf>
    <xf numFmtId="0" fontId="10" fillId="3" borderId="9" xfId="9" applyFont="1" applyFill="1" applyBorder="1" applyAlignment="1" applyProtection="1">
      <protection hidden="1"/>
    </xf>
    <xf numFmtId="0" fontId="11" fillId="2" borderId="35" xfId="0" applyFont="1" applyFill="1" applyBorder="1" applyAlignment="1" applyProtection="1">
      <alignment horizontal="left" vertical="center" indent="2"/>
      <protection hidden="1"/>
    </xf>
    <xf numFmtId="0" fontId="10" fillId="2" borderId="38" xfId="0" applyFont="1" applyFill="1" applyBorder="1" applyAlignment="1" applyProtection="1">
      <alignment horizontal="left" vertical="center" indent="1"/>
      <protection hidden="1"/>
    </xf>
    <xf numFmtId="0" fontId="11" fillId="3" borderId="9" xfId="9" applyFont="1" applyFill="1" applyBorder="1" applyAlignment="1" applyProtection="1">
      <alignment horizontal="center" vertical="center"/>
      <protection hidden="1"/>
    </xf>
    <xf numFmtId="179" fontId="11" fillId="3" borderId="78" xfId="9" applyNumberFormat="1" applyFont="1" applyFill="1" applyBorder="1" applyAlignment="1" applyProtection="1">
      <alignment vertical="center"/>
      <protection hidden="1"/>
    </xf>
    <xf numFmtId="179" fontId="11" fillId="2" borderId="42" xfId="9" applyNumberFormat="1" applyFont="1" applyFill="1" applyBorder="1" applyAlignment="1" applyProtection="1">
      <alignment vertical="center"/>
      <protection hidden="1"/>
    </xf>
    <xf numFmtId="179" fontId="11" fillId="2" borderId="79" xfId="9" applyNumberFormat="1" applyFont="1" applyFill="1" applyBorder="1" applyAlignment="1" applyProtection="1">
      <alignment vertical="center"/>
      <protection hidden="1"/>
    </xf>
    <xf numFmtId="179" fontId="11" fillId="9" borderId="77" xfId="9" applyNumberFormat="1" applyFont="1" applyFill="1" applyBorder="1" applyAlignment="1" applyProtection="1">
      <alignment vertical="center"/>
      <protection hidden="1"/>
    </xf>
    <xf numFmtId="179" fontId="11" fillId="9" borderId="76" xfId="9" applyNumberFormat="1" applyFont="1" applyFill="1" applyBorder="1" applyAlignment="1" applyProtection="1">
      <alignment vertical="center"/>
      <protection hidden="1"/>
    </xf>
    <xf numFmtId="179" fontId="11" fillId="9" borderId="53" xfId="9" applyNumberFormat="1" applyFont="1" applyFill="1" applyBorder="1" applyAlignment="1" applyProtection="1">
      <alignment vertical="center"/>
      <protection hidden="1"/>
    </xf>
    <xf numFmtId="179" fontId="11" fillId="9" borderId="48" xfId="9" applyNumberFormat="1" applyFont="1" applyFill="1" applyBorder="1" applyAlignment="1" applyProtection="1">
      <alignment vertical="center"/>
      <protection hidden="1"/>
    </xf>
    <xf numFmtId="179" fontId="11" fillId="9" borderId="49" xfId="9" applyNumberFormat="1" applyFont="1" applyFill="1" applyBorder="1" applyAlignment="1" applyProtection="1">
      <alignment vertical="center"/>
      <protection hidden="1"/>
    </xf>
    <xf numFmtId="179" fontId="11" fillId="9" borderId="51" xfId="9" applyNumberFormat="1" applyFont="1" applyFill="1" applyBorder="1" applyAlignment="1" applyProtection="1">
      <alignment vertical="center"/>
      <protection hidden="1"/>
    </xf>
    <xf numFmtId="179" fontId="11" fillId="2" borderId="51" xfId="0" applyNumberFormat="1" applyFont="1" applyFill="1" applyBorder="1" applyAlignment="1" applyProtection="1">
      <alignment vertical="center"/>
      <protection hidden="1"/>
    </xf>
    <xf numFmtId="0" fontId="10" fillId="2" borderId="35" xfId="0" applyFont="1" applyFill="1" applyBorder="1" applyAlignment="1" applyProtection="1">
      <alignment horizontal="center" vertical="center"/>
      <protection hidden="1"/>
    </xf>
    <xf numFmtId="2" fontId="10" fillId="2" borderId="16" xfId="0" applyNumberFormat="1" applyFont="1" applyFill="1" applyBorder="1" applyAlignment="1" applyProtection="1">
      <alignment horizontal="center" vertical="center"/>
      <protection hidden="1"/>
    </xf>
    <xf numFmtId="0" fontId="10" fillId="2" borderId="61" xfId="0" applyFont="1" applyFill="1" applyBorder="1" applyAlignment="1" applyProtection="1">
      <protection hidden="1"/>
    </xf>
    <xf numFmtId="0" fontId="10" fillId="2" borderId="0" xfId="9" applyFont="1" applyFill="1" applyAlignment="1" applyProtection="1">
      <protection hidden="1"/>
    </xf>
    <xf numFmtId="169" fontId="11" fillId="3" borderId="0" xfId="0" applyNumberFormat="1" applyFont="1" applyFill="1" applyBorder="1" applyProtection="1">
      <protection hidden="1"/>
    </xf>
    <xf numFmtId="0" fontId="11" fillId="5" borderId="62" xfId="0" applyNumberFormat="1" applyFont="1" applyFill="1" applyBorder="1" applyAlignment="1" applyProtection="1">
      <protection hidden="1"/>
    </xf>
    <xf numFmtId="0" fontId="11" fillId="5" borderId="62" xfId="0" applyFont="1" applyFill="1" applyBorder="1" applyAlignment="1" applyProtection="1">
      <alignment horizontal="center" vertical="center" wrapText="1"/>
      <protection hidden="1"/>
    </xf>
    <xf numFmtId="0" fontId="10" fillId="5" borderId="1" xfId="0" applyFont="1" applyFill="1" applyBorder="1" applyAlignment="1" applyProtection="1">
      <alignment vertical="center"/>
      <protection hidden="1"/>
    </xf>
    <xf numFmtId="0" fontId="11" fillId="5" borderId="0" xfId="0" applyNumberFormat="1" applyFont="1" applyFill="1" applyBorder="1" applyAlignment="1" applyProtection="1">
      <protection hidden="1"/>
    </xf>
    <xf numFmtId="0" fontId="11" fillId="5" borderId="2" xfId="0" applyFont="1" applyFill="1" applyBorder="1" applyAlignment="1" applyProtection="1">
      <alignment horizontal="right" indent="1"/>
      <protection hidden="1"/>
    </xf>
    <xf numFmtId="0" fontId="10" fillId="5" borderId="2" xfId="0" applyFont="1" applyFill="1" applyBorder="1" applyAlignment="1" applyProtection="1">
      <protection hidden="1"/>
    </xf>
    <xf numFmtId="178" fontId="10" fillId="5" borderId="0" xfId="0" applyNumberFormat="1" applyFont="1" applyFill="1" applyBorder="1" applyAlignment="1" applyProtection="1">
      <alignment vertical="center"/>
      <protection hidden="1"/>
    </xf>
    <xf numFmtId="0" fontId="10" fillId="9" borderId="8" xfId="0" applyFont="1" applyFill="1" applyBorder="1" applyProtection="1">
      <protection hidden="1"/>
    </xf>
    <xf numFmtId="0" fontId="10" fillId="5" borderId="2" xfId="0" applyNumberFormat="1" applyFont="1" applyFill="1" applyBorder="1" applyAlignment="1" applyProtection="1">
      <protection hidden="1"/>
    </xf>
    <xf numFmtId="0" fontId="10" fillId="9" borderId="2" xfId="0" applyFont="1" applyFill="1" applyBorder="1" applyAlignment="1" applyProtection="1">
      <alignment vertical="top" wrapText="1"/>
      <protection hidden="1"/>
    </xf>
    <xf numFmtId="0" fontId="10" fillId="9" borderId="2" xfId="0" applyFont="1" applyFill="1" applyBorder="1" applyProtection="1">
      <protection hidden="1"/>
    </xf>
    <xf numFmtId="0" fontId="10" fillId="9" borderId="2" xfId="0" applyNumberFormat="1" applyFont="1" applyFill="1" applyBorder="1" applyAlignment="1" applyProtection="1">
      <protection hidden="1"/>
    </xf>
    <xf numFmtId="0" fontId="10" fillId="9" borderId="5" xfId="0" applyFont="1" applyFill="1" applyBorder="1" applyAlignment="1" applyProtection="1">
      <alignment vertical="top" wrapText="1"/>
      <protection hidden="1"/>
    </xf>
    <xf numFmtId="0" fontId="10" fillId="9" borderId="58" xfId="0" applyFont="1" applyFill="1" applyBorder="1" applyProtection="1">
      <protection hidden="1"/>
    </xf>
    <xf numFmtId="172" fontId="10" fillId="9" borderId="58" xfId="0" applyNumberFormat="1" applyFont="1" applyFill="1" applyBorder="1" applyProtection="1">
      <protection hidden="1"/>
    </xf>
    <xf numFmtId="0" fontId="10" fillId="9" borderId="41" xfId="0" applyFont="1" applyFill="1" applyBorder="1" applyProtection="1">
      <protection hidden="1"/>
    </xf>
    <xf numFmtId="0" fontId="10" fillId="9" borderId="59" xfId="0" applyFont="1" applyFill="1" applyBorder="1" applyProtection="1">
      <protection hidden="1"/>
    </xf>
    <xf numFmtId="0" fontId="11" fillId="4" borderId="0" xfId="0" applyFont="1" applyFill="1" applyBorder="1" applyAlignment="1" applyProtection="1">
      <alignment vertical="center"/>
      <protection hidden="1"/>
    </xf>
    <xf numFmtId="0" fontId="10" fillId="4" borderId="61" xfId="0" applyFont="1" applyFill="1" applyBorder="1" applyAlignment="1" applyProtection="1">
      <alignment horizontal="left" indent="2"/>
      <protection hidden="1"/>
    </xf>
    <xf numFmtId="0" fontId="10" fillId="9" borderId="0" xfId="0" applyFont="1" applyFill="1" applyBorder="1" applyAlignment="1" applyProtection="1">
      <protection hidden="1"/>
    </xf>
    <xf numFmtId="172" fontId="11" fillId="5" borderId="0" xfId="0" applyNumberFormat="1" applyFont="1" applyFill="1" applyBorder="1" applyAlignment="1" applyProtection="1">
      <alignment horizontal="center" vertical="center"/>
      <protection hidden="1"/>
    </xf>
    <xf numFmtId="0" fontId="10" fillId="5" borderId="25" xfId="0" applyFont="1" applyFill="1" applyBorder="1" applyAlignment="1" applyProtection="1">
      <protection hidden="1"/>
    </xf>
    <xf numFmtId="0" fontId="21" fillId="5" borderId="11" xfId="0" applyFont="1" applyFill="1" applyBorder="1" applyAlignment="1" applyProtection="1">
      <alignment vertical="center"/>
      <protection hidden="1"/>
    </xf>
    <xf numFmtId="165" fontId="21" fillId="5" borderId="17" xfId="0" applyNumberFormat="1" applyFont="1" applyFill="1" applyBorder="1" applyAlignment="1" applyProtection="1">
      <protection hidden="1"/>
    </xf>
    <xf numFmtId="0" fontId="16" fillId="9" borderId="61" xfId="0" applyFont="1" applyFill="1" applyBorder="1" applyAlignment="1" applyProtection="1">
      <protection hidden="1"/>
    </xf>
    <xf numFmtId="0" fontId="11" fillId="9" borderId="2" xfId="0" applyNumberFormat="1" applyFont="1" applyFill="1" applyBorder="1" applyAlignment="1" applyProtection="1">
      <alignment vertical="center"/>
      <protection hidden="1"/>
    </xf>
    <xf numFmtId="0" fontId="16" fillId="10" borderId="0" xfId="0" applyFont="1" applyFill="1" applyBorder="1" applyAlignment="1" applyProtection="1">
      <alignment horizontal="center" vertical="center"/>
      <protection hidden="1"/>
    </xf>
    <xf numFmtId="172" fontId="11" fillId="5" borderId="10" xfId="0" applyNumberFormat="1" applyFont="1" applyFill="1" applyBorder="1" applyAlignment="1" applyProtection="1">
      <alignment horizontal="center" vertical="center"/>
      <protection hidden="1"/>
    </xf>
    <xf numFmtId="0" fontId="10" fillId="9" borderId="8" xfId="0" applyFont="1" applyFill="1" applyBorder="1" applyAlignment="1" applyProtection="1">
      <protection hidden="1"/>
    </xf>
    <xf numFmtId="0" fontId="10" fillId="9" borderId="81" xfId="0" applyFont="1" applyFill="1" applyBorder="1" applyProtection="1">
      <protection hidden="1"/>
    </xf>
    <xf numFmtId="0" fontId="10" fillId="9" borderId="7" xfId="4" applyFont="1" applyFill="1" applyBorder="1" applyAlignment="1" applyProtection="1">
      <protection hidden="1"/>
    </xf>
    <xf numFmtId="0" fontId="10" fillId="9" borderId="7" xfId="4" applyFont="1" applyFill="1" applyBorder="1" applyProtection="1">
      <protection hidden="1"/>
    </xf>
    <xf numFmtId="172" fontId="11" fillId="5" borderId="0" xfId="4" applyNumberFormat="1" applyFont="1" applyFill="1" applyBorder="1" applyAlignment="1" applyProtection="1">
      <alignment vertical="center"/>
      <protection hidden="1"/>
    </xf>
    <xf numFmtId="172" fontId="11" fillId="5" borderId="0" xfId="4" applyNumberFormat="1" applyFont="1" applyFill="1" applyBorder="1" applyAlignment="1" applyProtection="1">
      <protection hidden="1"/>
    </xf>
    <xf numFmtId="172" fontId="11" fillId="5" borderId="0" xfId="4" applyNumberFormat="1" applyFont="1" applyFill="1" applyBorder="1" applyAlignment="1" applyProtection="1">
      <alignment horizontal="left" vertical="center" indent="1"/>
      <protection hidden="1"/>
    </xf>
    <xf numFmtId="0" fontId="10" fillId="9" borderId="59" xfId="4" applyFont="1" applyFill="1" applyBorder="1" applyProtection="1">
      <protection hidden="1"/>
    </xf>
    <xf numFmtId="0" fontId="10" fillId="5" borderId="81" xfId="4" applyFont="1" applyFill="1" applyBorder="1" applyAlignment="1" applyProtection="1">
      <protection hidden="1"/>
    </xf>
    <xf numFmtId="0" fontId="14" fillId="6" borderId="81" xfId="0" applyFont="1" applyFill="1" applyBorder="1" applyAlignment="1" applyProtection="1">
      <alignment vertical="center"/>
      <protection hidden="1"/>
    </xf>
    <xf numFmtId="0" fontId="10" fillId="5" borderId="81" xfId="4" applyFont="1" applyFill="1" applyBorder="1" applyProtection="1">
      <protection hidden="1"/>
    </xf>
    <xf numFmtId="0" fontId="14" fillId="6" borderId="81" xfId="0" applyFont="1" applyFill="1" applyBorder="1" applyAlignment="1" applyProtection="1">
      <protection hidden="1"/>
    </xf>
    <xf numFmtId="0" fontId="10" fillId="7" borderId="81" xfId="4" applyFont="1" applyFill="1" applyBorder="1" applyProtection="1">
      <protection hidden="1"/>
    </xf>
    <xf numFmtId="0" fontId="10" fillId="5" borderId="41" xfId="4" applyFont="1" applyFill="1" applyBorder="1" applyProtection="1">
      <protection hidden="1"/>
    </xf>
    <xf numFmtId="0" fontId="10" fillId="7" borderId="59" xfId="4" applyFont="1" applyFill="1" applyBorder="1" applyProtection="1">
      <protection hidden="1"/>
    </xf>
    <xf numFmtId="0" fontId="10" fillId="7" borderId="41" xfId="4" applyFont="1" applyFill="1" applyBorder="1" applyProtection="1">
      <protection hidden="1"/>
    </xf>
    <xf numFmtId="0" fontId="15" fillId="4" borderId="0" xfId="0" applyFont="1" applyFill="1" applyBorder="1" applyAlignment="1" applyProtection="1">
      <protection hidden="1"/>
    </xf>
    <xf numFmtId="0" fontId="11" fillId="4" borderId="0" xfId="0" applyFont="1" applyFill="1" applyBorder="1" applyAlignment="1" applyProtection="1">
      <alignment horizontal="right" vertical="center"/>
      <protection hidden="1"/>
    </xf>
    <xf numFmtId="0" fontId="10" fillId="9" borderId="43" xfId="0" applyFont="1" applyFill="1" applyBorder="1" applyProtection="1">
      <protection hidden="1"/>
    </xf>
    <xf numFmtId="0" fontId="10" fillId="4" borderId="25" xfId="0" applyFont="1" applyFill="1" applyBorder="1" applyAlignment="1" applyProtection="1">
      <protection hidden="1"/>
    </xf>
    <xf numFmtId="0" fontId="10" fillId="4" borderId="11" xfId="0" applyFont="1" applyFill="1" applyBorder="1" applyAlignment="1" applyProtection="1">
      <alignment vertical="center" wrapText="1"/>
      <protection hidden="1"/>
    </xf>
    <xf numFmtId="0" fontId="11" fillId="4" borderId="11" xfId="0" applyFont="1" applyFill="1" applyBorder="1" applyAlignment="1" applyProtection="1">
      <protection hidden="1"/>
    </xf>
    <xf numFmtId="0" fontId="11" fillId="4" borderId="17" xfId="0" applyFont="1" applyFill="1" applyBorder="1" applyAlignment="1" applyProtection="1">
      <protection hidden="1"/>
    </xf>
    <xf numFmtId="0" fontId="11" fillId="4" borderId="11" xfId="0" applyFont="1" applyFill="1" applyBorder="1" applyAlignment="1" applyProtection="1">
      <alignment horizontal="left" vertical="center" indent="1"/>
      <protection hidden="1"/>
    </xf>
    <xf numFmtId="0" fontId="11" fillId="4" borderId="11" xfId="0" applyFont="1" applyFill="1" applyBorder="1" applyAlignment="1" applyProtection="1">
      <alignment horizontal="left" vertical="center" indent="2"/>
      <protection hidden="1"/>
    </xf>
    <xf numFmtId="0" fontId="11" fillId="4" borderId="17" xfId="0" applyFont="1" applyFill="1" applyBorder="1" applyAlignment="1" applyProtection="1">
      <alignment horizontal="left" vertical="center" indent="2"/>
      <protection hidden="1"/>
    </xf>
    <xf numFmtId="0" fontId="15" fillId="4" borderId="0" xfId="0" applyFont="1" applyFill="1" applyBorder="1" applyProtection="1">
      <protection hidden="1"/>
    </xf>
    <xf numFmtId="0" fontId="11" fillId="4" borderId="0" xfId="0" applyFont="1" applyFill="1" applyBorder="1" applyAlignment="1" applyProtection="1">
      <alignment horizontal="left"/>
      <protection hidden="1"/>
    </xf>
    <xf numFmtId="0" fontId="11" fillId="3" borderId="0" xfId="9" applyFont="1" applyFill="1" applyBorder="1" applyProtection="1">
      <protection hidden="1"/>
    </xf>
    <xf numFmtId="0" fontId="11" fillId="4" borderId="58" xfId="0" applyFont="1" applyFill="1" applyBorder="1" applyAlignment="1" applyProtection="1">
      <alignment horizontal="left" vertical="center" indent="1"/>
      <protection hidden="1"/>
    </xf>
    <xf numFmtId="0" fontId="11" fillId="4" borderId="23" xfId="0" applyFont="1" applyFill="1" applyBorder="1" applyAlignment="1" applyProtection="1">
      <alignment horizontal="left"/>
      <protection hidden="1"/>
    </xf>
    <xf numFmtId="0" fontId="11" fillId="4" borderId="5" xfId="0" applyFont="1" applyFill="1" applyBorder="1" applyAlignment="1" applyProtection="1">
      <alignment horizontal="left" vertical="center" indent="1"/>
      <protection hidden="1"/>
    </xf>
    <xf numFmtId="0" fontId="10" fillId="4" borderId="5" xfId="0" applyFont="1" applyFill="1" applyBorder="1" applyAlignment="1" applyProtection="1">
      <alignment vertical="center"/>
      <protection hidden="1"/>
    </xf>
    <xf numFmtId="0" fontId="10" fillId="4" borderId="14" xfId="0" applyFont="1" applyFill="1" applyBorder="1" applyAlignment="1" applyProtection="1">
      <alignment vertical="center"/>
      <protection hidden="1"/>
    </xf>
    <xf numFmtId="0" fontId="10" fillId="4" borderId="5" xfId="0" applyFont="1" applyFill="1" applyBorder="1" applyAlignment="1" applyProtection="1">
      <alignment horizontal="left" vertical="center" indent="2"/>
      <protection hidden="1"/>
    </xf>
    <xf numFmtId="0" fontId="11" fillId="5" borderId="0" xfId="0" applyFont="1" applyFill="1" applyBorder="1" applyAlignment="1" applyProtection="1">
      <alignment horizontal="left" vertical="center"/>
      <protection hidden="1"/>
    </xf>
    <xf numFmtId="0" fontId="11" fillId="5" borderId="0" xfId="0" applyFont="1" applyFill="1" applyBorder="1" applyAlignment="1" applyProtection="1">
      <protection hidden="1"/>
    </xf>
    <xf numFmtId="0" fontId="10" fillId="5" borderId="23" xfId="0" applyFont="1" applyFill="1" applyBorder="1" applyProtection="1">
      <protection hidden="1"/>
    </xf>
    <xf numFmtId="0" fontId="11" fillId="4" borderId="5" xfId="0" applyFont="1" applyFill="1" applyBorder="1" applyAlignment="1" applyProtection="1">
      <alignment horizontal="left" vertical="center" wrapText="1" indent="1"/>
      <protection hidden="1"/>
    </xf>
    <xf numFmtId="0" fontId="10" fillId="5" borderId="5" xfId="0" applyFont="1" applyFill="1" applyBorder="1" applyProtection="1">
      <protection hidden="1"/>
    </xf>
    <xf numFmtId="0" fontId="10" fillId="4" borderId="5" xfId="0" applyFont="1" applyFill="1" applyBorder="1" applyAlignment="1" applyProtection="1">
      <protection hidden="1"/>
    </xf>
    <xf numFmtId="0" fontId="10" fillId="4" borderId="14" xfId="0" applyFont="1" applyFill="1" applyBorder="1" applyAlignment="1" applyProtection="1">
      <protection hidden="1"/>
    </xf>
    <xf numFmtId="0" fontId="10" fillId="4" borderId="5" xfId="0" applyFont="1" applyFill="1" applyBorder="1" applyAlignment="1" applyProtection="1">
      <alignment horizontal="left" vertical="center" indent="1"/>
      <protection hidden="1"/>
    </xf>
    <xf numFmtId="0" fontId="10" fillId="9" borderId="0" xfId="9" applyFont="1" applyFill="1" applyProtection="1">
      <protection hidden="1"/>
    </xf>
    <xf numFmtId="0" fontId="10" fillId="4" borderId="0" xfId="0" applyFont="1" applyFill="1" applyBorder="1" applyAlignment="1" applyProtection="1">
      <alignment horizontal="left" vertical="center"/>
      <protection hidden="1"/>
    </xf>
    <xf numFmtId="0" fontId="11" fillId="3" borderId="0" xfId="9" applyFont="1" applyFill="1" applyBorder="1" applyAlignment="1" applyProtection="1">
      <alignment horizontal="left"/>
      <protection hidden="1"/>
    </xf>
    <xf numFmtId="0" fontId="11" fillId="3" borderId="0" xfId="9" applyFont="1" applyFill="1" applyBorder="1" applyAlignment="1" applyProtection="1">
      <alignment horizontal="left" vertical="center" indent="1"/>
      <protection hidden="1"/>
    </xf>
    <xf numFmtId="0" fontId="11" fillId="3" borderId="0" xfId="0" applyFont="1" applyFill="1" applyBorder="1" applyAlignment="1" applyProtection="1">
      <alignment horizontal="left"/>
      <protection hidden="1"/>
    </xf>
    <xf numFmtId="0" fontId="11" fillId="3" borderId="0" xfId="0" applyFont="1" applyFill="1" applyBorder="1" applyAlignment="1" applyProtection="1">
      <alignment horizontal="left" indent="1"/>
      <protection hidden="1"/>
    </xf>
    <xf numFmtId="0" fontId="11" fillId="5" borderId="14" xfId="0" applyFont="1" applyFill="1" applyBorder="1" applyAlignment="1" applyProtection="1">
      <alignment horizontal="left" vertical="center" wrapText="1" indent="2"/>
      <protection hidden="1"/>
    </xf>
    <xf numFmtId="0" fontId="11" fillId="4" borderId="0" xfId="0" applyFont="1" applyFill="1" applyBorder="1" applyAlignment="1" applyProtection="1">
      <alignment horizontal="left" vertical="center"/>
      <protection hidden="1"/>
    </xf>
    <xf numFmtId="0" fontId="11" fillId="9" borderId="0" xfId="0" applyFont="1" applyFill="1" applyBorder="1" applyProtection="1">
      <protection hidden="1"/>
    </xf>
    <xf numFmtId="0" fontId="10" fillId="10" borderId="0" xfId="0" applyFont="1" applyFill="1" applyBorder="1" applyAlignment="1" applyProtection="1">
      <protection hidden="1"/>
    </xf>
    <xf numFmtId="0" fontId="10" fillId="10" borderId="58" xfId="0" applyFont="1" applyFill="1" applyBorder="1" applyAlignment="1" applyProtection="1">
      <protection hidden="1"/>
    </xf>
    <xf numFmtId="0" fontId="10" fillId="9" borderId="43" xfId="0" applyFont="1" applyFill="1" applyBorder="1" applyAlignment="1" applyProtection="1">
      <alignment vertical="center"/>
      <protection hidden="1"/>
    </xf>
    <xf numFmtId="0" fontId="14" fillId="9" borderId="61" xfId="0" applyFont="1" applyFill="1" applyBorder="1" applyAlignment="1" applyProtection="1">
      <protection hidden="1"/>
    </xf>
    <xf numFmtId="0" fontId="10" fillId="9" borderId="83" xfId="0" applyFont="1" applyFill="1" applyBorder="1" applyAlignment="1" applyProtection="1">
      <alignment vertical="center"/>
      <protection hidden="1"/>
    </xf>
    <xf numFmtId="0" fontId="10" fillId="9" borderId="83" xfId="0" applyFont="1" applyFill="1" applyBorder="1" applyProtection="1">
      <protection hidden="1"/>
    </xf>
    <xf numFmtId="0" fontId="10" fillId="9" borderId="83" xfId="0" applyFont="1" applyFill="1" applyBorder="1" applyAlignment="1" applyProtection="1">
      <protection hidden="1"/>
    </xf>
    <xf numFmtId="0" fontId="14" fillId="5" borderId="61" xfId="0" applyFont="1" applyFill="1" applyBorder="1" applyAlignment="1" applyProtection="1">
      <alignment vertical="center"/>
      <protection hidden="1"/>
    </xf>
    <xf numFmtId="0" fontId="11" fillId="4" borderId="0" xfId="0" applyFont="1" applyFill="1" applyBorder="1" applyAlignment="1" applyProtection="1">
      <alignment horizontal="center" vertical="center"/>
      <protection hidden="1"/>
    </xf>
    <xf numFmtId="0" fontId="10" fillId="4" borderId="9" xfId="0" applyFont="1" applyFill="1" applyBorder="1" applyAlignment="1" applyProtection="1">
      <alignment vertical="center"/>
      <protection hidden="1"/>
    </xf>
    <xf numFmtId="0" fontId="10" fillId="4" borderId="33" xfId="0" applyFont="1" applyFill="1" applyBorder="1" applyAlignment="1" applyProtection="1">
      <alignment vertical="center"/>
      <protection hidden="1"/>
    </xf>
    <xf numFmtId="0" fontId="10" fillId="4" borderId="9" xfId="0" applyFont="1" applyFill="1" applyBorder="1" applyAlignment="1" applyProtection="1">
      <alignment horizontal="left" vertical="center" indent="1"/>
      <protection hidden="1"/>
    </xf>
    <xf numFmtId="0" fontId="10" fillId="4" borderId="38" xfId="0" applyFont="1" applyFill="1" applyBorder="1" applyAlignment="1" applyProtection="1">
      <alignment horizontal="left" vertical="center" indent="1"/>
      <protection hidden="1"/>
    </xf>
    <xf numFmtId="0" fontId="11" fillId="4" borderId="33" xfId="0" applyFont="1" applyFill="1" applyBorder="1" applyAlignment="1" applyProtection="1">
      <alignment horizontal="left" vertical="center" indent="1"/>
      <protection hidden="1"/>
    </xf>
    <xf numFmtId="0" fontId="11" fillId="4" borderId="11" xfId="0" applyFont="1" applyFill="1" applyBorder="1" applyAlignment="1" applyProtection="1">
      <alignment horizontal="center" vertical="center"/>
      <protection hidden="1"/>
    </xf>
    <xf numFmtId="0" fontId="11" fillId="4" borderId="10" xfId="0" applyFont="1" applyFill="1" applyBorder="1" applyAlignment="1" applyProtection="1">
      <alignment horizontal="center" vertical="center" wrapText="1"/>
      <protection hidden="1"/>
    </xf>
    <xf numFmtId="179" fontId="11" fillId="9" borderId="17" xfId="0" applyNumberFormat="1" applyFont="1" applyFill="1" applyBorder="1" applyAlignment="1" applyProtection="1">
      <alignment vertical="center"/>
      <protection hidden="1"/>
    </xf>
    <xf numFmtId="0" fontId="10" fillId="4" borderId="58" xfId="0" applyFont="1" applyFill="1" applyBorder="1" applyAlignment="1" applyProtection="1">
      <protection hidden="1"/>
    </xf>
    <xf numFmtId="0" fontId="10" fillId="9" borderId="9" xfId="0" applyFont="1" applyFill="1" applyBorder="1" applyProtection="1">
      <protection hidden="1"/>
    </xf>
    <xf numFmtId="185" fontId="10" fillId="9" borderId="48" xfId="0" applyNumberFormat="1" applyFont="1" applyFill="1" applyBorder="1" applyAlignment="1" applyProtection="1">
      <alignment vertical="center"/>
      <protection hidden="1"/>
    </xf>
    <xf numFmtId="172" fontId="10" fillId="9" borderId="0" xfId="4" applyNumberFormat="1" applyFont="1" applyFill="1" applyBorder="1" applyAlignment="1" applyProtection="1">
      <alignment vertical="center"/>
      <protection hidden="1"/>
    </xf>
    <xf numFmtId="0" fontId="10" fillId="9" borderId="43" xfId="0" applyNumberFormat="1" applyFont="1" applyFill="1" applyBorder="1" applyProtection="1">
      <protection hidden="1"/>
    </xf>
    <xf numFmtId="0" fontId="11" fillId="9" borderId="62" xfId="0" applyFont="1" applyFill="1" applyBorder="1" applyProtection="1">
      <protection hidden="1"/>
    </xf>
    <xf numFmtId="0" fontId="10" fillId="9" borderId="62" xfId="0" applyFont="1" applyFill="1" applyBorder="1" applyProtection="1">
      <protection hidden="1"/>
    </xf>
    <xf numFmtId="0" fontId="10" fillId="9" borderId="1" xfId="0" applyFont="1" applyFill="1" applyBorder="1" applyProtection="1">
      <protection hidden="1"/>
    </xf>
    <xf numFmtId="0" fontId="10" fillId="9" borderId="83" xfId="0" applyNumberFormat="1" applyFont="1" applyFill="1" applyBorder="1" applyProtection="1">
      <protection hidden="1"/>
    </xf>
    <xf numFmtId="172" fontId="10" fillId="9" borderId="81" xfId="4" applyNumberFormat="1" applyFont="1" applyFill="1" applyBorder="1" applyAlignment="1" applyProtection="1">
      <alignment vertical="center"/>
      <protection hidden="1"/>
    </xf>
    <xf numFmtId="0" fontId="10" fillId="9" borderId="81" xfId="0" applyFont="1" applyFill="1" applyBorder="1" applyAlignment="1" applyProtection="1">
      <alignment horizontal="center" vertical="center"/>
      <protection hidden="1"/>
    </xf>
    <xf numFmtId="0" fontId="28" fillId="9" borderId="34" xfId="0" applyFont="1" applyFill="1" applyBorder="1" applyAlignment="1" applyProtection="1">
      <alignment horizontal="center" vertical="center"/>
      <protection hidden="1"/>
    </xf>
    <xf numFmtId="0" fontId="27" fillId="9" borderId="31" xfId="0" applyFont="1" applyFill="1" applyBorder="1" applyAlignment="1" applyProtection="1">
      <alignment horizontal="left" vertical="center" indent="1"/>
      <protection hidden="1"/>
    </xf>
    <xf numFmtId="0" fontId="27" fillId="9" borderId="1" xfId="0" applyFont="1" applyFill="1" applyBorder="1" applyAlignment="1" applyProtection="1">
      <alignment horizontal="left" vertical="center" indent="1"/>
      <protection hidden="1"/>
    </xf>
    <xf numFmtId="0" fontId="17" fillId="9" borderId="81" xfId="0" applyFont="1" applyFill="1" applyBorder="1" applyAlignment="1" applyProtection="1">
      <alignment horizontal="center" vertical="center"/>
      <protection hidden="1"/>
    </xf>
    <xf numFmtId="0" fontId="28" fillId="0" borderId="10" xfId="0" applyFont="1" applyFill="1" applyBorder="1" applyAlignment="1" applyProtection="1">
      <alignment horizontal="center" vertical="center"/>
      <protection hidden="1"/>
    </xf>
    <xf numFmtId="172" fontId="11" fillId="5" borderId="11" xfId="0" applyNumberFormat="1" applyFont="1" applyFill="1" applyBorder="1" applyAlignment="1" applyProtection="1">
      <alignment horizontal="center" vertical="center"/>
      <protection hidden="1"/>
    </xf>
    <xf numFmtId="0" fontId="17" fillId="9" borderId="0" xfId="0" applyFont="1" applyFill="1" applyBorder="1" applyAlignment="1" applyProtection="1">
      <alignment horizontal="center" vertical="center"/>
      <protection hidden="1"/>
    </xf>
    <xf numFmtId="172" fontId="10" fillId="5" borderId="0" xfId="0" applyNumberFormat="1" applyFont="1" applyFill="1" applyBorder="1" applyProtection="1">
      <protection hidden="1"/>
    </xf>
    <xf numFmtId="164" fontId="10" fillId="5" borderId="86" xfId="0" applyNumberFormat="1" applyFont="1" applyFill="1" applyBorder="1" applyAlignment="1" applyProtection="1">
      <alignment vertical="center"/>
      <protection hidden="1"/>
    </xf>
    <xf numFmtId="0" fontId="10" fillId="5" borderId="86" xfId="0" applyFont="1" applyFill="1" applyBorder="1" applyAlignment="1" applyProtection="1">
      <alignment vertical="center"/>
      <protection hidden="1"/>
    </xf>
    <xf numFmtId="0" fontId="11" fillId="4" borderId="23" xfId="0" applyFont="1" applyFill="1" applyBorder="1" applyAlignment="1" applyProtection="1">
      <alignment horizontal="left" vertical="center" indent="1"/>
      <protection hidden="1"/>
    </xf>
    <xf numFmtId="0" fontId="11" fillId="3" borderId="9" xfId="0" applyFont="1" applyFill="1" applyBorder="1" applyAlignment="1" applyProtection="1">
      <alignment horizontal="left" vertical="center" indent="1"/>
      <protection hidden="1"/>
    </xf>
    <xf numFmtId="0" fontId="11" fillId="3" borderId="9" xfId="0" applyFont="1" applyFill="1" applyBorder="1" applyAlignment="1" applyProtection="1">
      <alignment horizontal="left" vertical="center" indent="2"/>
      <protection hidden="1"/>
    </xf>
    <xf numFmtId="0" fontId="10" fillId="3" borderId="9" xfId="0" applyFont="1" applyFill="1" applyBorder="1" applyAlignment="1" applyProtection="1">
      <alignment horizontal="left" vertical="center" indent="3"/>
      <protection hidden="1"/>
    </xf>
    <xf numFmtId="0" fontId="11" fillId="3" borderId="9" xfId="0" applyFont="1" applyFill="1" applyBorder="1" applyAlignment="1" applyProtection="1">
      <alignment horizontal="left" vertical="center" indent="3"/>
      <protection hidden="1"/>
    </xf>
    <xf numFmtId="0" fontId="11" fillId="10" borderId="20" xfId="0" applyFont="1" applyFill="1" applyBorder="1" applyAlignment="1" applyProtection="1">
      <alignment horizontal="left" vertical="center" indent="1"/>
      <protection hidden="1"/>
    </xf>
    <xf numFmtId="0" fontId="10" fillId="10" borderId="9" xfId="0" applyFont="1" applyFill="1" applyBorder="1" applyAlignment="1" applyProtection="1">
      <alignment horizontal="left" vertical="center" indent="2"/>
      <protection hidden="1"/>
    </xf>
    <xf numFmtId="0" fontId="11" fillId="9" borderId="33" xfId="0" applyFont="1" applyFill="1" applyBorder="1" applyAlignment="1" applyProtection="1">
      <alignment horizontal="left" vertical="center" indent="2"/>
      <protection hidden="1"/>
    </xf>
    <xf numFmtId="0" fontId="11" fillId="9" borderId="45" xfId="0" applyFont="1" applyFill="1" applyBorder="1" applyAlignment="1" applyProtection="1">
      <alignment horizontal="left" vertical="center" indent="1"/>
      <protection hidden="1"/>
    </xf>
    <xf numFmtId="179" fontId="11" fillId="2" borderId="76" xfId="0" applyNumberFormat="1" applyFont="1" applyFill="1" applyBorder="1" applyAlignment="1" applyProtection="1">
      <alignment vertical="center"/>
      <protection hidden="1"/>
    </xf>
    <xf numFmtId="170" fontId="10" fillId="9" borderId="40" xfId="0" applyNumberFormat="1" applyFont="1" applyFill="1" applyBorder="1" applyAlignment="1" applyProtection="1">
      <alignment horizontal="left" vertical="center"/>
      <protection hidden="1"/>
    </xf>
    <xf numFmtId="179" fontId="11" fillId="2" borderId="64" xfId="0" applyNumberFormat="1" applyFont="1" applyFill="1" applyBorder="1" applyAlignment="1" applyProtection="1">
      <alignment vertical="center"/>
      <protection hidden="1"/>
    </xf>
    <xf numFmtId="179" fontId="11" fillId="9" borderId="54" xfId="0" applyNumberFormat="1" applyFont="1" applyFill="1" applyBorder="1" applyAlignment="1" applyProtection="1">
      <alignment vertical="center"/>
      <protection hidden="1"/>
    </xf>
    <xf numFmtId="0" fontId="10" fillId="3" borderId="20" xfId="0" applyFont="1" applyFill="1" applyBorder="1" applyAlignment="1" applyProtection="1">
      <protection hidden="1"/>
    </xf>
    <xf numFmtId="0" fontId="11" fillId="3" borderId="9" xfId="0" applyFont="1" applyFill="1" applyBorder="1" applyProtection="1">
      <protection hidden="1"/>
    </xf>
    <xf numFmtId="0" fontId="10" fillId="3" borderId="9" xfId="0" applyFont="1" applyFill="1" applyBorder="1" applyProtection="1">
      <protection hidden="1"/>
    </xf>
    <xf numFmtId="0" fontId="10" fillId="3" borderId="33" xfId="0" applyFont="1" applyFill="1" applyBorder="1" applyProtection="1">
      <protection hidden="1"/>
    </xf>
    <xf numFmtId="0" fontId="11" fillId="3" borderId="81" xfId="0" applyFont="1" applyFill="1" applyBorder="1" applyAlignment="1" applyProtection="1">
      <alignment horizontal="center" vertical="center"/>
      <protection hidden="1"/>
    </xf>
    <xf numFmtId="0" fontId="10" fillId="5" borderId="0" xfId="12" quotePrefix="1" applyFont="1" applyFill="1" applyBorder="1" applyProtection="1">
      <protection hidden="1"/>
    </xf>
    <xf numFmtId="0" fontId="10" fillId="5" borderId="0" xfId="12" applyFont="1" applyFill="1" applyBorder="1" applyProtection="1">
      <protection hidden="1"/>
    </xf>
    <xf numFmtId="0" fontId="13" fillId="0" borderId="0" xfId="0" applyFont="1" applyAlignment="1" applyProtection="1">
      <alignment horizontal="left" vertical="center" indent="1"/>
      <protection hidden="1"/>
    </xf>
    <xf numFmtId="175" fontId="11" fillId="0" borderId="6" xfId="5" applyNumberFormat="1" applyFont="1" applyFill="1" applyBorder="1" applyAlignment="1" applyProtection="1">
      <alignment horizontal="center" vertical="top" wrapText="1"/>
      <protection hidden="1"/>
    </xf>
    <xf numFmtId="175" fontId="11" fillId="0" borderId="0" xfId="5" applyNumberFormat="1" applyFont="1" applyFill="1" applyBorder="1" applyAlignment="1" applyProtection="1">
      <alignment horizontal="center" vertical="top" wrapText="1"/>
      <protection hidden="1"/>
    </xf>
    <xf numFmtId="0" fontId="11" fillId="0" borderId="6" xfId="11" applyFont="1" applyBorder="1" applyAlignment="1" applyProtection="1">
      <alignment horizontal="center" vertical="center"/>
      <protection hidden="1"/>
    </xf>
    <xf numFmtId="0" fontId="11" fillId="0" borderId="9" xfId="12" applyFont="1" applyBorder="1" applyAlignment="1" applyProtection="1">
      <alignment horizontal="center" vertical="center"/>
      <protection hidden="1"/>
    </xf>
    <xf numFmtId="0" fontId="11" fillId="0" borderId="6" xfId="12" applyFont="1" applyBorder="1" applyAlignment="1" applyProtection="1">
      <alignment horizontal="center" vertical="center"/>
      <protection hidden="1"/>
    </xf>
    <xf numFmtId="0" fontId="11" fillId="0" borderId="7" xfId="12" applyFont="1" applyBorder="1" applyAlignment="1" applyProtection="1">
      <alignment horizontal="center" vertical="center"/>
      <protection hidden="1"/>
    </xf>
    <xf numFmtId="175" fontId="10" fillId="0" borderId="5" xfId="11" applyNumberFormat="1" applyFont="1" applyFill="1" applyBorder="1" applyAlignment="1" applyProtection="1">
      <protection hidden="1"/>
    </xf>
    <xf numFmtId="175" fontId="10" fillId="0" borderId="6" xfId="11" applyNumberFormat="1" applyFont="1" applyFill="1" applyBorder="1" applyAlignment="1" applyProtection="1">
      <protection hidden="1"/>
    </xf>
    <xf numFmtId="175" fontId="11" fillId="0" borderId="7" xfId="12" applyNumberFormat="1" applyFont="1" applyFill="1" applyBorder="1" applyAlignment="1" applyProtection="1">
      <protection hidden="1"/>
    </xf>
    <xf numFmtId="175" fontId="10" fillId="0" borderId="5" xfId="12" applyNumberFormat="1" applyFont="1" applyFill="1" applyBorder="1" applyAlignment="1" applyProtection="1">
      <protection hidden="1"/>
    </xf>
    <xf numFmtId="0" fontId="12" fillId="0" borderId="0" xfId="11" applyNumberFormat="1" applyFont="1" applyFill="1" applyBorder="1" applyAlignment="1" applyProtection="1">
      <protection hidden="1"/>
    </xf>
    <xf numFmtId="0" fontId="12" fillId="0" borderId="0" xfId="12" applyNumberFormat="1" applyFont="1" applyFill="1" applyBorder="1" applyAlignment="1" applyProtection="1">
      <protection hidden="1"/>
    </xf>
    <xf numFmtId="0" fontId="12" fillId="0" borderId="0" xfId="8" applyNumberFormat="1" applyFont="1" applyBorder="1" applyAlignment="1" applyProtection="1">
      <alignment horizontal="left" indent="1"/>
      <protection hidden="1"/>
    </xf>
    <xf numFmtId="0" fontId="11" fillId="7" borderId="0" xfId="0" applyFont="1" applyFill="1" applyBorder="1" applyAlignment="1" applyProtection="1">
      <alignment horizontal="center" vertical="center" wrapText="1"/>
      <protection hidden="1"/>
    </xf>
    <xf numFmtId="0" fontId="22" fillId="7" borderId="0" xfId="0" applyFont="1" applyFill="1" applyBorder="1" applyAlignment="1" applyProtection="1">
      <alignment horizontal="center" vertical="top" wrapText="1"/>
      <protection hidden="1"/>
    </xf>
    <xf numFmtId="0" fontId="10" fillId="7" borderId="56" xfId="4" applyFont="1" applyFill="1" applyBorder="1" applyProtection="1">
      <protection hidden="1"/>
    </xf>
    <xf numFmtId="0" fontId="10" fillId="7" borderId="83" xfId="0" applyFont="1" applyFill="1" applyBorder="1" applyAlignment="1" applyProtection="1">
      <alignment horizontal="center" vertical="top" wrapText="1"/>
      <protection hidden="1"/>
    </xf>
    <xf numFmtId="0" fontId="22" fillId="7" borderId="83" xfId="0" applyFont="1" applyFill="1" applyBorder="1" applyAlignment="1" applyProtection="1">
      <alignment horizontal="center" vertical="top" wrapText="1"/>
      <protection hidden="1"/>
    </xf>
    <xf numFmtId="0" fontId="11" fillId="7" borderId="7" xfId="0" applyFont="1" applyFill="1" applyBorder="1" applyAlignment="1" applyProtection="1">
      <alignment horizontal="center" vertical="center" wrapText="1"/>
      <protection hidden="1"/>
    </xf>
    <xf numFmtId="176" fontId="11" fillId="7" borderId="0" xfId="4" applyNumberFormat="1" applyFont="1" applyFill="1" applyBorder="1" applyAlignment="1" applyProtection="1">
      <alignment vertical="center"/>
      <protection hidden="1"/>
    </xf>
    <xf numFmtId="179" fontId="11" fillId="7" borderId="16" xfId="4" applyNumberFormat="1" applyFont="1" applyFill="1" applyBorder="1" applyAlignment="1" applyProtection="1">
      <alignment vertical="center"/>
      <protection hidden="1"/>
    </xf>
    <xf numFmtId="179" fontId="11" fillId="7" borderId="10" xfId="4" applyNumberFormat="1" applyFont="1" applyFill="1" applyBorder="1" applyAlignment="1" applyProtection="1">
      <alignment vertical="center"/>
      <protection hidden="1"/>
    </xf>
    <xf numFmtId="0" fontId="10" fillId="7" borderId="6" xfId="0" applyFont="1" applyFill="1" applyBorder="1" applyAlignment="1" applyProtection="1">
      <alignment horizontal="center" vertical="top" wrapText="1"/>
      <protection hidden="1"/>
    </xf>
    <xf numFmtId="176" fontId="10" fillId="7" borderId="88" xfId="4" applyNumberFormat="1" applyFont="1" applyFill="1" applyBorder="1" applyAlignment="1" applyProtection="1">
      <alignment vertical="center"/>
      <protection hidden="1"/>
    </xf>
    <xf numFmtId="176" fontId="11" fillId="7" borderId="61" xfId="4" applyNumberFormat="1" applyFont="1" applyFill="1" applyBorder="1" applyAlignment="1" applyProtection="1">
      <alignment vertical="center"/>
      <protection hidden="1"/>
    </xf>
    <xf numFmtId="176" fontId="10" fillId="7" borderId="7" xfId="4" applyNumberFormat="1" applyFont="1" applyFill="1" applyBorder="1" applyAlignment="1" applyProtection="1">
      <alignment vertical="center"/>
      <protection hidden="1"/>
    </xf>
    <xf numFmtId="176" fontId="11" fillId="7" borderId="7" xfId="4" applyNumberFormat="1" applyFont="1" applyFill="1" applyBorder="1" applyAlignment="1" applyProtection="1">
      <alignment vertical="center"/>
      <protection hidden="1"/>
    </xf>
    <xf numFmtId="176" fontId="11" fillId="7" borderId="15" xfId="4" applyNumberFormat="1" applyFont="1" applyFill="1" applyBorder="1" applyAlignment="1" applyProtection="1">
      <alignment vertical="center"/>
      <protection hidden="1"/>
    </xf>
    <xf numFmtId="179" fontId="11" fillId="7" borderId="72" xfId="4" applyNumberFormat="1" applyFont="1" applyFill="1" applyBorder="1" applyAlignment="1" applyProtection="1">
      <alignment vertical="center"/>
      <protection hidden="1"/>
    </xf>
    <xf numFmtId="176" fontId="10" fillId="7" borderId="45" xfId="4" applyNumberFormat="1" applyFont="1" applyFill="1" applyBorder="1" applyAlignment="1" applyProtection="1">
      <alignment vertical="center"/>
      <protection hidden="1"/>
    </xf>
    <xf numFmtId="176" fontId="10" fillId="7" borderId="19" xfId="4" applyNumberFormat="1" applyFont="1" applyFill="1" applyBorder="1" applyAlignment="1" applyProtection="1">
      <alignment vertical="center"/>
      <protection hidden="1"/>
    </xf>
    <xf numFmtId="176" fontId="10" fillId="7" borderId="71" xfId="4" applyNumberFormat="1" applyFont="1" applyFill="1" applyBorder="1" applyAlignment="1" applyProtection="1">
      <alignment vertical="center"/>
      <protection hidden="1"/>
    </xf>
    <xf numFmtId="176" fontId="10" fillId="7" borderId="47" xfId="4" applyNumberFormat="1" applyFont="1" applyFill="1" applyBorder="1" applyAlignment="1" applyProtection="1">
      <alignment vertical="center"/>
      <protection hidden="1"/>
    </xf>
    <xf numFmtId="186" fontId="11" fillId="5" borderId="9" xfId="0" quotePrefix="1" applyNumberFormat="1" applyFont="1" applyFill="1" applyBorder="1" applyAlignment="1" applyProtection="1">
      <alignment horizontal="center" vertical="center" wrapText="1"/>
      <protection hidden="1"/>
    </xf>
    <xf numFmtId="186" fontId="11" fillId="5" borderId="12" xfId="0" quotePrefix="1" applyNumberFormat="1" applyFont="1" applyFill="1" applyBorder="1" applyAlignment="1" applyProtection="1">
      <alignment horizontal="center" vertical="center" wrapText="1"/>
      <protection hidden="1"/>
    </xf>
    <xf numFmtId="186" fontId="11" fillId="5" borderId="13" xfId="0" quotePrefix="1" applyNumberFormat="1" applyFont="1" applyFill="1" applyBorder="1" applyAlignment="1" applyProtection="1">
      <alignment horizontal="center" vertical="center" wrapText="1"/>
      <protection hidden="1"/>
    </xf>
    <xf numFmtId="186" fontId="11" fillId="5" borderId="14" xfId="0" quotePrefix="1" applyNumberFormat="1" applyFont="1" applyFill="1" applyBorder="1" applyAlignment="1" applyProtection="1">
      <alignment horizontal="center" vertical="center" wrapText="1"/>
      <protection hidden="1"/>
    </xf>
    <xf numFmtId="186" fontId="11" fillId="5" borderId="15" xfId="0" quotePrefix="1" applyNumberFormat="1" applyFont="1" applyFill="1" applyBorder="1" applyAlignment="1" applyProtection="1">
      <alignment horizontal="center" vertical="center" wrapText="1"/>
      <protection hidden="1"/>
    </xf>
    <xf numFmtId="186" fontId="11" fillId="5" borderId="17" xfId="0" quotePrefix="1" applyNumberFormat="1" applyFont="1" applyFill="1" applyBorder="1" applyAlignment="1" applyProtection="1">
      <alignment horizontal="center" vertical="center" wrapText="1"/>
      <protection hidden="1"/>
    </xf>
    <xf numFmtId="179" fontId="10" fillId="7" borderId="0" xfId="4" applyNumberFormat="1" applyFont="1" applyFill="1" applyBorder="1" applyAlignment="1" applyProtection="1">
      <alignment vertical="center"/>
      <protection hidden="1"/>
    </xf>
    <xf numFmtId="0" fontId="10" fillId="7" borderId="7" xfId="4" applyNumberFormat="1" applyFont="1" applyFill="1" applyBorder="1" applyAlignment="1" applyProtection="1">
      <alignment vertical="center"/>
      <protection hidden="1"/>
    </xf>
    <xf numFmtId="0" fontId="10" fillId="7" borderId="7" xfId="4" applyNumberFormat="1" applyFont="1" applyFill="1" applyBorder="1" applyAlignment="1" applyProtection="1">
      <protection hidden="1"/>
    </xf>
    <xf numFmtId="0" fontId="10" fillId="7" borderId="15" xfId="4" applyNumberFormat="1" applyFont="1" applyFill="1" applyBorder="1" applyAlignment="1" applyProtection="1">
      <protection hidden="1"/>
    </xf>
    <xf numFmtId="176" fontId="11" fillId="7" borderId="47" xfId="4" applyNumberFormat="1" applyFont="1" applyFill="1" applyBorder="1" applyAlignment="1" applyProtection="1">
      <alignment vertical="center"/>
      <protection hidden="1"/>
    </xf>
    <xf numFmtId="0" fontId="10" fillId="0" borderId="0" xfId="5" applyNumberFormat="1" applyFont="1" applyFill="1" applyBorder="1" applyAlignment="1" applyProtection="1">
      <protection hidden="1"/>
    </xf>
    <xf numFmtId="0" fontId="11" fillId="0" borderId="7" xfId="11" applyFont="1" applyBorder="1" applyAlignment="1" applyProtection="1">
      <alignment horizontal="center" vertical="center"/>
      <protection hidden="1"/>
    </xf>
    <xf numFmtId="175" fontId="11" fillId="5" borderId="93" xfId="0" applyNumberFormat="1" applyFont="1" applyFill="1" applyBorder="1" applyAlignment="1" applyProtection="1">
      <alignment vertical="center"/>
      <protection hidden="1"/>
    </xf>
    <xf numFmtId="186" fontId="11" fillId="3" borderId="14" xfId="0" quotePrefix="1" applyNumberFormat="1" applyFont="1" applyFill="1" applyBorder="1" applyAlignment="1" applyProtection="1">
      <alignment horizontal="center" vertical="center"/>
      <protection hidden="1"/>
    </xf>
    <xf numFmtId="186" fontId="11" fillId="3" borderId="12" xfId="0" quotePrefix="1" applyNumberFormat="1" applyFont="1" applyFill="1" applyBorder="1" applyAlignment="1" applyProtection="1">
      <alignment horizontal="center" vertical="center"/>
      <protection hidden="1"/>
    </xf>
    <xf numFmtId="186" fontId="11" fillId="3" borderId="15" xfId="0" quotePrefix="1" applyNumberFormat="1" applyFont="1" applyFill="1" applyBorder="1" applyAlignment="1" applyProtection="1">
      <alignment horizontal="center" vertical="center"/>
      <protection hidden="1"/>
    </xf>
    <xf numFmtId="186" fontId="11" fillId="4" borderId="64" xfId="0" quotePrefix="1" applyNumberFormat="1" applyFont="1" applyFill="1" applyBorder="1" applyAlignment="1" applyProtection="1">
      <alignment horizontal="center" vertical="center" wrapText="1"/>
      <protection hidden="1"/>
    </xf>
    <xf numFmtId="186" fontId="11" fillId="4" borderId="15" xfId="0" quotePrefix="1" applyNumberFormat="1" applyFont="1" applyFill="1" applyBorder="1" applyAlignment="1" applyProtection="1">
      <alignment horizontal="center" vertical="center" wrapText="1"/>
      <protection hidden="1"/>
    </xf>
    <xf numFmtId="186" fontId="11" fillId="2" borderId="61" xfId="0" quotePrefix="1" applyNumberFormat="1" applyFont="1" applyFill="1" applyBorder="1" applyAlignment="1" applyProtection="1">
      <alignment horizontal="center" vertical="center"/>
      <protection hidden="1"/>
    </xf>
    <xf numFmtId="186" fontId="11" fillId="2" borderId="14" xfId="0" quotePrefix="1" applyNumberFormat="1" applyFont="1" applyFill="1" applyBorder="1" applyAlignment="1" applyProtection="1">
      <alignment horizontal="center" vertical="center"/>
      <protection hidden="1"/>
    </xf>
    <xf numFmtId="186" fontId="11" fillId="2" borderId="12" xfId="0" quotePrefix="1" applyNumberFormat="1" applyFont="1" applyFill="1" applyBorder="1" applyAlignment="1" applyProtection="1">
      <alignment horizontal="center" vertical="center"/>
      <protection hidden="1"/>
    </xf>
    <xf numFmtId="186" fontId="11" fillId="2" borderId="64" xfId="0" quotePrefix="1" applyNumberFormat="1" applyFont="1" applyFill="1" applyBorder="1" applyAlignment="1" applyProtection="1">
      <alignment horizontal="center" vertical="center"/>
      <protection hidden="1"/>
    </xf>
    <xf numFmtId="186" fontId="11" fillId="2" borderId="17" xfId="0" quotePrefix="1" applyNumberFormat="1" applyFont="1" applyFill="1" applyBorder="1" applyAlignment="1" applyProtection="1">
      <alignment horizontal="center" vertical="center"/>
      <protection hidden="1"/>
    </xf>
    <xf numFmtId="186" fontId="11" fillId="2" borderId="15" xfId="0" quotePrefix="1" applyNumberFormat="1" applyFont="1" applyFill="1" applyBorder="1" applyAlignment="1" applyProtection="1">
      <alignment horizontal="center" vertical="center"/>
      <protection hidden="1"/>
    </xf>
    <xf numFmtId="186" fontId="11" fillId="2" borderId="16" xfId="0" quotePrefix="1" applyNumberFormat="1" applyFont="1" applyFill="1" applyBorder="1" applyAlignment="1" applyProtection="1">
      <alignment horizontal="center" vertical="center"/>
      <protection hidden="1"/>
    </xf>
    <xf numFmtId="186" fontId="11" fillId="3" borderId="64" xfId="0" quotePrefix="1" applyNumberFormat="1" applyFont="1" applyFill="1" applyBorder="1" applyAlignment="1" applyProtection="1">
      <alignment horizontal="center" vertical="center"/>
      <protection hidden="1"/>
    </xf>
    <xf numFmtId="186" fontId="11" fillId="5" borderId="64" xfId="0" quotePrefix="1" applyNumberFormat="1" applyFont="1" applyFill="1" applyBorder="1" applyAlignment="1" applyProtection="1">
      <alignment horizontal="center" vertical="center"/>
      <protection hidden="1"/>
    </xf>
    <xf numFmtId="186" fontId="11" fillId="5" borderId="17" xfId="0" quotePrefix="1" applyNumberFormat="1" applyFont="1" applyFill="1" applyBorder="1" applyAlignment="1" applyProtection="1">
      <alignment horizontal="center" vertical="center"/>
      <protection hidden="1"/>
    </xf>
    <xf numFmtId="186" fontId="11" fillId="5" borderId="16" xfId="0" quotePrefix="1" applyNumberFormat="1" applyFont="1" applyFill="1" applyBorder="1" applyAlignment="1" applyProtection="1">
      <alignment horizontal="center" vertical="center"/>
      <protection hidden="1"/>
    </xf>
    <xf numFmtId="0" fontId="13" fillId="0" borderId="0" xfId="14" applyFont="1" applyAlignment="1" applyProtection="1">
      <alignment vertical="center"/>
      <protection hidden="1"/>
    </xf>
    <xf numFmtId="0" fontId="12" fillId="0" borderId="0" xfId="14" applyFont="1" applyProtection="1">
      <protection hidden="1"/>
    </xf>
    <xf numFmtId="0" fontId="13" fillId="0" borderId="0" xfId="14" applyFont="1" applyFill="1" applyBorder="1" applyAlignment="1" applyProtection="1">
      <protection hidden="1"/>
    </xf>
    <xf numFmtId="0" fontId="12" fillId="0" borderId="0" xfId="14" applyNumberFormat="1" applyFont="1" applyFill="1" applyProtection="1">
      <protection hidden="1"/>
    </xf>
    <xf numFmtId="0" fontId="12" fillId="0" borderId="0" xfId="14" applyNumberFormat="1" applyFont="1" applyBorder="1" applyProtection="1">
      <protection hidden="1"/>
    </xf>
    <xf numFmtId="0" fontId="12" fillId="0" borderId="0" xfId="14" applyFont="1" applyFill="1" applyProtection="1">
      <protection hidden="1"/>
    </xf>
    <xf numFmtId="172" fontId="13" fillId="0" borderId="0" xfId="14" applyNumberFormat="1" applyFont="1" applyFill="1" applyBorder="1" applyAlignment="1" applyProtection="1">
      <protection hidden="1"/>
    </xf>
    <xf numFmtId="0" fontId="12" fillId="0" borderId="0" xfId="14" applyFont="1" applyBorder="1" applyAlignment="1" applyProtection="1">
      <protection hidden="1"/>
    </xf>
    <xf numFmtId="177" fontId="12" fillId="0" borderId="0" xfId="14" applyNumberFormat="1" applyFont="1" applyFill="1" applyAlignment="1" applyProtection="1">
      <alignment horizontal="center"/>
      <protection hidden="1"/>
    </xf>
    <xf numFmtId="172" fontId="12" fillId="0" borderId="0" xfId="14" applyNumberFormat="1" applyFont="1" applyFill="1" applyProtection="1">
      <protection hidden="1"/>
    </xf>
    <xf numFmtId="174" fontId="12" fillId="0" borderId="9" xfId="14" applyNumberFormat="1" applyFont="1" applyBorder="1" applyProtection="1">
      <protection hidden="1"/>
    </xf>
    <xf numFmtId="0" fontId="12" fillId="0" borderId="0" xfId="14" applyFont="1" applyFill="1" applyBorder="1" applyAlignment="1" applyProtection="1">
      <alignment horizontal="left" indent="1"/>
      <protection hidden="1"/>
    </xf>
    <xf numFmtId="169" fontId="12" fillId="0" borderId="33" xfId="14" applyNumberFormat="1" applyFont="1" applyBorder="1" applyAlignment="1" applyProtection="1">
      <alignment vertical="center"/>
      <protection hidden="1"/>
    </xf>
    <xf numFmtId="0" fontId="12" fillId="0" borderId="61" xfId="14" applyFont="1" applyFill="1" applyBorder="1" applyAlignment="1" applyProtection="1">
      <alignment horizontal="left" vertical="center" indent="1"/>
      <protection hidden="1"/>
    </xf>
    <xf numFmtId="177" fontId="12" fillId="0" borderId="12" xfId="14" applyNumberFormat="1" applyFont="1" applyFill="1" applyBorder="1" applyAlignment="1" applyProtection="1">
      <alignment horizontal="center" vertical="center"/>
      <protection hidden="1"/>
    </xf>
    <xf numFmtId="177" fontId="12" fillId="0" borderId="12" xfId="14" applyNumberFormat="1" applyFont="1" applyBorder="1" applyAlignment="1" applyProtection="1">
      <alignment horizontal="center" vertical="center"/>
      <protection hidden="1"/>
    </xf>
    <xf numFmtId="177" fontId="12" fillId="0" borderId="12" xfId="14" applyNumberFormat="1" applyFont="1" applyBorder="1" applyAlignment="1" applyProtection="1">
      <alignment horizontal="center"/>
      <protection hidden="1"/>
    </xf>
    <xf numFmtId="181" fontId="12" fillId="0" borderId="64" xfId="14" applyNumberFormat="1" applyFont="1" applyFill="1" applyBorder="1" applyAlignment="1" applyProtection="1">
      <alignment vertical="center"/>
      <protection hidden="1"/>
    </xf>
    <xf numFmtId="181" fontId="12" fillId="0" borderId="13" xfId="14" applyNumberFormat="1" applyFont="1" applyFill="1" applyBorder="1" applyAlignment="1" applyProtection="1">
      <alignment vertical="center"/>
      <protection hidden="1"/>
    </xf>
    <xf numFmtId="0" fontId="12" fillId="0" borderId="0" xfId="14" applyNumberFormat="1" applyFont="1" applyFill="1" applyBorder="1" applyAlignment="1" applyProtection="1">
      <protection hidden="1"/>
    </xf>
    <xf numFmtId="175" fontId="11" fillId="0" borderId="9" xfId="5" applyNumberFormat="1" applyFont="1" applyFill="1" applyBorder="1" applyAlignment="1" applyProtection="1">
      <alignment horizontal="center" vertical="top" wrapText="1"/>
      <protection hidden="1"/>
    </xf>
    <xf numFmtId="175" fontId="11" fillId="0" borderId="96" xfId="5" applyNumberFormat="1" applyFont="1" applyFill="1" applyBorder="1" applyAlignment="1" applyProtection="1">
      <alignment horizontal="center" vertical="top" wrapText="1"/>
      <protection hidden="1"/>
    </xf>
    <xf numFmtId="0" fontId="11" fillId="0" borderId="5" xfId="11" applyFont="1" applyBorder="1" applyAlignment="1" applyProtection="1">
      <alignment horizontal="center" vertical="center"/>
      <protection hidden="1"/>
    </xf>
    <xf numFmtId="0" fontId="11" fillId="0" borderId="5" xfId="12" applyFont="1" applyBorder="1" applyAlignment="1" applyProtection="1">
      <alignment horizontal="center" vertical="center"/>
      <protection hidden="1"/>
    </xf>
    <xf numFmtId="0" fontId="12" fillId="0" borderId="0" xfId="14" applyFont="1" applyBorder="1" applyProtection="1">
      <protection hidden="1"/>
    </xf>
    <xf numFmtId="175" fontId="10" fillId="0" borderId="6" xfId="12" applyNumberFormat="1" applyFont="1" applyFill="1" applyBorder="1" applyAlignment="1" applyProtection="1">
      <protection hidden="1"/>
    </xf>
    <xf numFmtId="175" fontId="10" fillId="0" borderId="0" xfId="12" applyNumberFormat="1" applyFont="1" applyFill="1" applyBorder="1" applyAlignment="1" applyProtection="1">
      <protection hidden="1"/>
    </xf>
    <xf numFmtId="0" fontId="10" fillId="9" borderId="0" xfId="0" applyFont="1" applyFill="1" applyAlignment="1" applyProtection="1">
      <alignment horizontal="center" vertical="center"/>
      <protection hidden="1"/>
    </xf>
    <xf numFmtId="0" fontId="11" fillId="12" borderId="0" xfId="0" applyFont="1" applyFill="1" applyBorder="1" applyAlignment="1" applyProtection="1">
      <alignment horizontal="center" vertical="center" wrapText="1"/>
      <protection hidden="1"/>
    </xf>
    <xf numFmtId="0" fontId="10" fillId="12" borderId="56" xfId="4" applyFont="1" applyFill="1" applyBorder="1" applyProtection="1">
      <protection hidden="1"/>
    </xf>
    <xf numFmtId="186" fontId="11" fillId="7" borderId="14" xfId="0" quotePrefix="1" applyNumberFormat="1" applyFont="1" applyFill="1" applyBorder="1" applyAlignment="1" applyProtection="1">
      <alignment horizontal="center" vertical="center" wrapText="1"/>
      <protection hidden="1"/>
    </xf>
    <xf numFmtId="186" fontId="11" fillId="7" borderId="12" xfId="0" quotePrefix="1" applyNumberFormat="1" applyFont="1" applyFill="1" applyBorder="1" applyAlignment="1" applyProtection="1">
      <alignment horizontal="center" vertical="center" wrapText="1"/>
      <protection hidden="1"/>
    </xf>
    <xf numFmtId="186" fontId="11" fillId="7" borderId="61" xfId="0" quotePrefix="1" applyNumberFormat="1" applyFont="1" applyFill="1" applyBorder="1" applyAlignment="1" applyProtection="1">
      <alignment horizontal="center" vertical="center" wrapText="1"/>
      <protection hidden="1"/>
    </xf>
    <xf numFmtId="186" fontId="11" fillId="7" borderId="33" xfId="0" quotePrefix="1" applyNumberFormat="1" applyFont="1" applyFill="1" applyBorder="1" applyAlignment="1" applyProtection="1">
      <alignment horizontal="center" vertical="center" wrapText="1"/>
      <protection hidden="1"/>
    </xf>
    <xf numFmtId="186" fontId="11" fillId="7" borderId="16" xfId="0" quotePrefix="1" applyNumberFormat="1" applyFont="1" applyFill="1" applyBorder="1" applyAlignment="1" applyProtection="1">
      <alignment horizontal="center" vertical="center" wrapText="1"/>
      <protection hidden="1"/>
    </xf>
    <xf numFmtId="186" fontId="11" fillId="12" borderId="33" xfId="0" quotePrefix="1" applyNumberFormat="1" applyFont="1" applyFill="1" applyBorder="1" applyAlignment="1" applyProtection="1">
      <alignment horizontal="center" vertical="center" wrapText="1"/>
      <protection hidden="1"/>
    </xf>
    <xf numFmtId="186" fontId="11" fillId="12" borderId="12" xfId="0" quotePrefix="1" applyNumberFormat="1" applyFont="1" applyFill="1" applyBorder="1" applyAlignment="1" applyProtection="1">
      <alignment horizontal="center" vertical="center" wrapText="1"/>
      <protection hidden="1"/>
    </xf>
    <xf numFmtId="186" fontId="11" fillId="12" borderId="61" xfId="0" quotePrefix="1" applyNumberFormat="1" applyFont="1" applyFill="1" applyBorder="1" applyAlignment="1" applyProtection="1">
      <alignment horizontal="center" vertical="center" wrapText="1"/>
      <protection hidden="1"/>
    </xf>
    <xf numFmtId="0" fontId="10" fillId="9" borderId="97" xfId="4" applyFont="1" applyFill="1" applyBorder="1" applyAlignment="1" applyProtection="1">
      <alignment vertical="top"/>
      <protection hidden="1"/>
    </xf>
    <xf numFmtId="0" fontId="11" fillId="5" borderId="84" xfId="0" applyNumberFormat="1" applyFont="1" applyFill="1" applyBorder="1" applyAlignment="1" applyProtection="1">
      <protection hidden="1"/>
    </xf>
    <xf numFmtId="172" fontId="10" fillId="5" borderId="84" xfId="4" applyNumberFormat="1" applyFont="1" applyFill="1" applyBorder="1" applyAlignment="1" applyProtection="1">
      <protection hidden="1"/>
    </xf>
    <xf numFmtId="172" fontId="11" fillId="5" borderId="84" xfId="4" applyNumberFormat="1" applyFont="1" applyFill="1" applyBorder="1" applyAlignment="1" applyProtection="1">
      <alignment horizontal="left" indent="1"/>
      <protection hidden="1"/>
    </xf>
    <xf numFmtId="0" fontId="10" fillId="9" borderId="83" xfId="4" applyFont="1" applyFill="1" applyBorder="1" applyAlignment="1" applyProtection="1">
      <alignment vertical="top"/>
      <protection hidden="1"/>
    </xf>
    <xf numFmtId="0" fontId="10" fillId="9" borderId="83" xfId="4" applyFont="1" applyFill="1" applyBorder="1" applyAlignment="1" applyProtection="1">
      <protection hidden="1"/>
    </xf>
    <xf numFmtId="0" fontId="10" fillId="13" borderId="81" xfId="4" applyFont="1" applyFill="1" applyBorder="1" applyAlignment="1" applyProtection="1">
      <protection hidden="1"/>
    </xf>
    <xf numFmtId="0" fontId="14" fillId="6" borderId="83" xfId="0" applyFont="1" applyFill="1" applyBorder="1" applyAlignment="1" applyProtection="1">
      <alignment vertical="center"/>
      <protection hidden="1"/>
    </xf>
    <xf numFmtId="0" fontId="14" fillId="6" borderId="83" xfId="0" applyFont="1" applyFill="1" applyBorder="1" applyAlignment="1" applyProtection="1">
      <protection hidden="1"/>
    </xf>
    <xf numFmtId="172" fontId="22" fillId="6" borderId="97" xfId="0" applyNumberFormat="1" applyFont="1" applyFill="1" applyBorder="1" applyAlignment="1" applyProtection="1">
      <alignment horizontal="center" vertical="top" wrapText="1"/>
      <protection hidden="1"/>
    </xf>
    <xf numFmtId="0" fontId="10" fillId="13" borderId="81" xfId="4" applyFont="1" applyFill="1" applyBorder="1" applyProtection="1">
      <protection hidden="1"/>
    </xf>
    <xf numFmtId="0" fontId="11" fillId="5" borderId="96" xfId="0" applyNumberFormat="1" applyFont="1" applyFill="1" applyBorder="1" applyAlignment="1" applyProtection="1">
      <alignment horizontal="center" vertical="top"/>
      <protection hidden="1"/>
    </xf>
    <xf numFmtId="0" fontId="11" fillId="5" borderId="95" xfId="4" applyFont="1" applyFill="1" applyBorder="1" applyAlignment="1" applyProtection="1">
      <alignment horizontal="center" vertical="top"/>
      <protection hidden="1"/>
    </xf>
    <xf numFmtId="0" fontId="11" fillId="5" borderId="96" xfId="4" applyFont="1" applyFill="1" applyBorder="1" applyAlignment="1" applyProtection="1">
      <alignment horizontal="center" vertical="top"/>
      <protection hidden="1"/>
    </xf>
    <xf numFmtId="0" fontId="10" fillId="7" borderId="83" xfId="4" applyFont="1" applyFill="1" applyBorder="1" applyProtection="1">
      <protection hidden="1"/>
    </xf>
    <xf numFmtId="0" fontId="11" fillId="5" borderId="83" xfId="0" applyFont="1" applyFill="1" applyBorder="1" applyAlignment="1" applyProtection="1">
      <alignment horizontal="center" vertical="center" wrapText="1"/>
      <protection hidden="1"/>
    </xf>
    <xf numFmtId="0" fontId="11" fillId="5" borderId="83" xfId="0" applyFont="1" applyFill="1" applyBorder="1" applyAlignment="1" applyProtection="1">
      <alignment horizontal="center" vertical="top" wrapText="1"/>
      <protection hidden="1"/>
    </xf>
    <xf numFmtId="179" fontId="19" fillId="5" borderId="90" xfId="4" applyNumberFormat="1" applyFont="1" applyFill="1" applyBorder="1" applyAlignment="1" applyProtection="1">
      <alignment vertical="center"/>
      <protection hidden="1"/>
    </xf>
    <xf numFmtId="179" fontId="11" fillId="7" borderId="30" xfId="4" applyNumberFormat="1" applyFont="1" applyFill="1" applyBorder="1" applyAlignment="1" applyProtection="1">
      <alignment vertical="center"/>
      <protection hidden="1"/>
    </xf>
    <xf numFmtId="176" fontId="10" fillId="12" borderId="88" xfId="4" applyNumberFormat="1" applyFont="1" applyFill="1" applyBorder="1" applyAlignment="1" applyProtection="1">
      <alignment vertical="center"/>
      <protection hidden="1"/>
    </xf>
    <xf numFmtId="176" fontId="10" fillId="12" borderId="90" xfId="4" applyNumberFormat="1" applyFont="1" applyFill="1" applyBorder="1" applyAlignment="1" applyProtection="1">
      <alignment vertical="center"/>
      <protection hidden="1"/>
    </xf>
    <xf numFmtId="178" fontId="10" fillId="0" borderId="90" xfId="7" applyNumberFormat="1" applyFont="1" applyFill="1" applyBorder="1" applyAlignment="1" applyProtection="1">
      <alignment vertical="center"/>
      <protection locked="0"/>
    </xf>
    <xf numFmtId="0" fontId="10" fillId="7" borderId="96" xfId="4" applyNumberFormat="1" applyFont="1" applyFill="1" applyBorder="1" applyAlignment="1" applyProtection="1">
      <protection hidden="1"/>
    </xf>
    <xf numFmtId="0" fontId="10" fillId="9" borderId="83" xfId="4" applyFont="1" applyFill="1" applyBorder="1" applyProtection="1">
      <protection hidden="1"/>
    </xf>
    <xf numFmtId="0" fontId="10" fillId="13" borderId="41" xfId="4" applyFont="1" applyFill="1" applyBorder="1" applyProtection="1">
      <protection hidden="1"/>
    </xf>
    <xf numFmtId="172" fontId="23" fillId="11" borderId="97" xfId="0" applyNumberFormat="1" applyFont="1" applyFill="1" applyBorder="1" applyAlignment="1" applyProtection="1">
      <alignment horizontal="center" vertical="top" wrapText="1"/>
      <protection hidden="1"/>
    </xf>
    <xf numFmtId="0" fontId="24" fillId="12" borderId="83" xfId="0" applyFont="1" applyFill="1" applyBorder="1" applyAlignment="1" applyProtection="1">
      <alignment horizontal="center" vertical="top" wrapText="1"/>
      <protection hidden="1"/>
    </xf>
    <xf numFmtId="0" fontId="23" fillId="12" borderId="83" xfId="0" applyFont="1" applyFill="1" applyBorder="1" applyAlignment="1" applyProtection="1">
      <alignment horizontal="center" vertical="top" wrapText="1"/>
      <protection hidden="1"/>
    </xf>
    <xf numFmtId="176" fontId="10" fillId="12" borderId="39" xfId="4" applyNumberFormat="1" applyFont="1" applyFill="1" applyBorder="1" applyAlignment="1" applyProtection="1">
      <alignment vertical="center"/>
      <protection hidden="1"/>
    </xf>
    <xf numFmtId="176" fontId="11" fillId="12" borderId="0" xfId="4" applyNumberFormat="1" applyFont="1" applyFill="1" applyBorder="1" applyAlignment="1" applyProtection="1">
      <alignment vertical="center"/>
      <protection hidden="1"/>
    </xf>
    <xf numFmtId="0" fontId="10" fillId="12" borderId="15" xfId="4" applyFont="1" applyFill="1" applyBorder="1" applyProtection="1">
      <protection hidden="1"/>
    </xf>
    <xf numFmtId="186" fontId="11" fillId="12" borderId="15" xfId="0" quotePrefix="1" applyNumberFormat="1" applyFont="1" applyFill="1" applyBorder="1" applyAlignment="1" applyProtection="1">
      <alignment horizontal="center" vertical="center" wrapText="1"/>
      <protection hidden="1"/>
    </xf>
    <xf numFmtId="179" fontId="11" fillId="12" borderId="55" xfId="4" applyNumberFormat="1" applyFont="1" applyFill="1" applyBorder="1" applyAlignment="1" applyProtection="1">
      <alignment vertical="center"/>
      <protection hidden="1"/>
    </xf>
    <xf numFmtId="0" fontId="10" fillId="12" borderId="46" xfId="4" applyFont="1" applyFill="1" applyBorder="1" applyProtection="1">
      <protection hidden="1"/>
    </xf>
    <xf numFmtId="0" fontId="10" fillId="12" borderId="59" xfId="4" applyFont="1" applyFill="1" applyBorder="1" applyProtection="1">
      <protection hidden="1"/>
    </xf>
    <xf numFmtId="179" fontId="11" fillId="12" borderId="39" xfId="4" applyNumberFormat="1" applyFont="1" applyFill="1" applyBorder="1" applyAlignment="1" applyProtection="1">
      <alignment vertical="center"/>
      <protection hidden="1"/>
    </xf>
    <xf numFmtId="0" fontId="10" fillId="12" borderId="83" xfId="4" applyFont="1" applyFill="1" applyBorder="1" applyProtection="1">
      <protection hidden="1"/>
    </xf>
    <xf numFmtId="179" fontId="11" fillId="12" borderId="52" xfId="4" applyNumberFormat="1" applyFont="1" applyFill="1" applyBorder="1" applyAlignment="1" applyProtection="1">
      <alignment vertical="center"/>
      <protection hidden="1"/>
    </xf>
    <xf numFmtId="0" fontId="10" fillId="12" borderId="39" xfId="4" applyFont="1" applyFill="1" applyBorder="1" applyProtection="1">
      <protection hidden="1"/>
    </xf>
    <xf numFmtId="0" fontId="11" fillId="12" borderId="7" xfId="0" applyFont="1" applyFill="1" applyBorder="1" applyAlignment="1" applyProtection="1">
      <alignment horizontal="center" vertical="center" wrapText="1"/>
      <protection hidden="1"/>
    </xf>
    <xf numFmtId="179" fontId="11" fillId="12" borderId="7" xfId="4" applyNumberFormat="1" applyFont="1" applyFill="1" applyBorder="1" applyAlignment="1" applyProtection="1">
      <alignment vertical="center"/>
      <protection hidden="1"/>
    </xf>
    <xf numFmtId="176" fontId="10" fillId="12" borderId="45" xfId="4" applyNumberFormat="1" applyFont="1" applyFill="1" applyBorder="1" applyAlignment="1" applyProtection="1">
      <alignment vertical="center"/>
      <protection hidden="1"/>
    </xf>
    <xf numFmtId="176" fontId="10" fillId="12" borderId="19" xfId="4" applyNumberFormat="1" applyFont="1" applyFill="1" applyBorder="1" applyAlignment="1" applyProtection="1">
      <alignment vertical="center"/>
      <protection hidden="1"/>
    </xf>
    <xf numFmtId="176" fontId="10" fillId="12" borderId="71" xfId="4" applyNumberFormat="1" applyFont="1" applyFill="1" applyBorder="1" applyAlignment="1" applyProtection="1">
      <alignment vertical="center"/>
      <protection hidden="1"/>
    </xf>
    <xf numFmtId="0" fontId="10" fillId="12" borderId="47" xfId="4" applyFont="1" applyFill="1" applyBorder="1" applyProtection="1">
      <protection hidden="1"/>
    </xf>
    <xf numFmtId="0" fontId="10" fillId="12" borderId="24" xfId="4" applyNumberFormat="1" applyFont="1" applyFill="1" applyBorder="1" applyAlignment="1" applyProtection="1">
      <protection hidden="1"/>
    </xf>
    <xf numFmtId="0" fontId="10" fillId="12" borderId="7" xfId="4" applyNumberFormat="1" applyFont="1" applyFill="1" applyBorder="1" applyAlignment="1" applyProtection="1">
      <protection hidden="1"/>
    </xf>
    <xf numFmtId="179" fontId="10" fillId="12" borderId="32" xfId="4" applyNumberFormat="1" applyFont="1" applyFill="1" applyBorder="1" applyAlignment="1" applyProtection="1">
      <alignment vertical="center"/>
      <protection hidden="1"/>
    </xf>
    <xf numFmtId="176" fontId="10" fillId="7" borderId="32" xfId="4" applyNumberFormat="1" applyFont="1" applyFill="1" applyBorder="1" applyAlignment="1" applyProtection="1">
      <alignment vertical="center"/>
      <protection hidden="1"/>
    </xf>
    <xf numFmtId="0" fontId="20" fillId="9" borderId="0" xfId="0" applyFont="1" applyFill="1" applyBorder="1" applyAlignment="1" applyProtection="1">
      <protection hidden="1"/>
    </xf>
    <xf numFmtId="0" fontId="10" fillId="14" borderId="0" xfId="4" applyFont="1" applyFill="1" applyProtection="1">
      <protection hidden="1"/>
    </xf>
    <xf numFmtId="0" fontId="10" fillId="14" borderId="0" xfId="4" applyFont="1" applyFill="1" applyBorder="1" applyProtection="1">
      <protection hidden="1"/>
    </xf>
    <xf numFmtId="0" fontId="10" fillId="14" borderId="0" xfId="4" applyFont="1" applyFill="1" applyAlignment="1" applyProtection="1">
      <alignment vertical="top"/>
      <protection hidden="1"/>
    </xf>
    <xf numFmtId="0" fontId="10" fillId="14" borderId="0" xfId="4" applyFont="1" applyFill="1" applyAlignment="1" applyProtection="1">
      <protection hidden="1"/>
    </xf>
    <xf numFmtId="170" fontId="10" fillId="14" borderId="0" xfId="0" applyNumberFormat="1" applyFont="1" applyFill="1" applyBorder="1" applyAlignment="1" applyProtection="1">
      <alignment vertical="center"/>
      <protection hidden="1"/>
    </xf>
    <xf numFmtId="170" fontId="10" fillId="14" borderId="0" xfId="0" applyNumberFormat="1" applyFont="1" applyFill="1" applyBorder="1" applyProtection="1">
      <protection hidden="1"/>
    </xf>
    <xf numFmtId="0" fontId="10" fillId="14" borderId="0" xfId="0" applyFont="1" applyFill="1" applyBorder="1" applyProtection="1">
      <protection hidden="1"/>
    </xf>
    <xf numFmtId="0" fontId="10" fillId="14" borderId="0" xfId="0" applyFont="1" applyFill="1" applyProtection="1">
      <protection hidden="1"/>
    </xf>
    <xf numFmtId="0" fontId="11" fillId="14" borderId="0" xfId="0" applyFont="1" applyFill="1" applyAlignment="1" applyProtection="1">
      <alignment vertical="top" wrapText="1"/>
      <protection hidden="1"/>
    </xf>
    <xf numFmtId="0" fontId="10" fillId="14" borderId="0" xfId="0" applyFont="1" applyFill="1" applyAlignment="1" applyProtection="1">
      <protection hidden="1"/>
    </xf>
    <xf numFmtId="0" fontId="10" fillId="14" borderId="0" xfId="0" applyFont="1" applyFill="1" applyBorder="1" applyAlignment="1" applyProtection="1">
      <protection hidden="1"/>
    </xf>
    <xf numFmtId="0" fontId="10" fillId="14" borderId="0" xfId="9" applyFont="1" applyFill="1" applyProtection="1">
      <protection hidden="1"/>
    </xf>
    <xf numFmtId="0" fontId="10" fillId="14" borderId="0" xfId="9" applyFont="1" applyFill="1" applyAlignment="1" applyProtection="1">
      <alignment vertical="top"/>
      <protection hidden="1"/>
    </xf>
    <xf numFmtId="0" fontId="10" fillId="14" borderId="0" xfId="9" applyFont="1" applyFill="1" applyAlignment="1" applyProtection="1">
      <alignment vertical="center"/>
      <protection hidden="1"/>
    </xf>
    <xf numFmtId="0" fontId="10" fillId="14" borderId="0" xfId="0" applyNumberFormat="1" applyFont="1" applyFill="1" applyAlignment="1" applyProtection="1">
      <protection hidden="1"/>
    </xf>
    <xf numFmtId="0" fontId="10" fillId="14" borderId="0" xfId="0" applyFont="1" applyFill="1" applyAlignment="1" applyProtection="1">
      <alignment vertical="center"/>
      <protection hidden="1"/>
    </xf>
    <xf numFmtId="0" fontId="10" fillId="14" borderId="0" xfId="0" applyNumberFormat="1" applyFont="1" applyFill="1" applyBorder="1" applyProtection="1">
      <protection hidden="1"/>
    </xf>
    <xf numFmtId="172" fontId="10" fillId="14" borderId="0" xfId="0" applyNumberFormat="1" applyFont="1" applyFill="1" applyProtection="1">
      <protection hidden="1"/>
    </xf>
    <xf numFmtId="0" fontId="10" fillId="14" borderId="0" xfId="0" applyFont="1" applyFill="1" applyAlignment="1" applyProtection="1">
      <alignment vertical="top"/>
      <protection hidden="1"/>
    </xf>
    <xf numFmtId="0" fontId="12" fillId="0" borderId="12" xfId="14" applyNumberFormat="1" applyFont="1" applyFill="1" applyBorder="1" applyAlignment="1" applyProtection="1">
      <protection hidden="1"/>
    </xf>
    <xf numFmtId="0" fontId="12" fillId="0" borderId="0" xfId="14" applyNumberFormat="1" applyFont="1" applyFill="1" applyAlignment="1" applyProtection="1">
      <protection hidden="1"/>
    </xf>
    <xf numFmtId="179" fontId="11" fillId="9" borderId="61" xfId="0" applyNumberFormat="1" applyFont="1" applyFill="1" applyBorder="1" applyAlignment="1" applyProtection="1">
      <alignment vertical="center"/>
      <protection hidden="1"/>
    </xf>
    <xf numFmtId="0" fontId="10" fillId="5" borderId="81" xfId="0" applyFont="1" applyFill="1" applyBorder="1" applyAlignment="1" applyProtection="1">
      <protection hidden="1"/>
    </xf>
    <xf numFmtId="177" fontId="12" fillId="0" borderId="15" xfId="14" applyNumberFormat="1" applyFont="1" applyBorder="1" applyAlignment="1" applyProtection="1">
      <alignment horizontal="center"/>
      <protection hidden="1"/>
    </xf>
    <xf numFmtId="179" fontId="11" fillId="9" borderId="15" xfId="0" applyNumberFormat="1" applyFont="1" applyFill="1" applyBorder="1" applyAlignment="1" applyProtection="1">
      <alignment vertical="center"/>
      <protection hidden="1"/>
    </xf>
    <xf numFmtId="0" fontId="10" fillId="10" borderId="0" xfId="0" applyFont="1" applyFill="1" applyBorder="1" applyAlignment="1" applyProtection="1">
      <alignment horizontal="left" indent="2"/>
      <protection hidden="1"/>
    </xf>
    <xf numFmtId="0" fontId="11" fillId="5" borderId="100" xfId="0" applyNumberFormat="1" applyFont="1" applyFill="1" applyBorder="1" applyAlignment="1" applyProtection="1">
      <protection hidden="1"/>
    </xf>
    <xf numFmtId="0" fontId="10" fillId="9" borderId="86" xfId="0" applyFont="1" applyFill="1" applyBorder="1" applyProtection="1">
      <protection hidden="1"/>
    </xf>
    <xf numFmtId="0" fontId="11" fillId="9" borderId="45" xfId="5" applyNumberFormat="1" applyFont="1" applyFill="1" applyBorder="1" applyAlignment="1" applyProtection="1">
      <alignment horizontal="left" vertical="center" indent="1"/>
      <protection hidden="1"/>
    </xf>
    <xf numFmtId="0" fontId="11" fillId="9" borderId="71" xfId="5" applyNumberFormat="1" applyFont="1" applyFill="1" applyBorder="1" applyAlignment="1" applyProtection="1">
      <alignment horizontal="left" vertical="center" indent="1"/>
      <protection hidden="1"/>
    </xf>
    <xf numFmtId="0" fontId="29" fillId="0" borderId="89" xfId="0" applyFont="1" applyFill="1" applyBorder="1" applyAlignment="1" applyProtection="1">
      <alignment horizontal="left" vertical="center" indent="1"/>
      <protection hidden="1"/>
    </xf>
    <xf numFmtId="0" fontId="27" fillId="9" borderId="29" xfId="0" applyFont="1" applyFill="1" applyBorder="1" applyAlignment="1" applyProtection="1">
      <alignment horizontal="left" vertical="center" indent="1"/>
      <protection hidden="1"/>
    </xf>
    <xf numFmtId="0" fontId="27" fillId="9" borderId="89" xfId="0" applyFont="1" applyFill="1" applyBorder="1" applyAlignment="1" applyProtection="1">
      <alignment horizontal="left" vertical="center" indent="1"/>
      <protection hidden="1"/>
    </xf>
    <xf numFmtId="174" fontId="9" fillId="0" borderId="47" xfId="0" applyNumberFormat="1" applyFont="1" applyFill="1" applyBorder="1" applyAlignment="1" applyProtection="1">
      <alignment vertical="center"/>
      <protection locked="0"/>
    </xf>
    <xf numFmtId="0" fontId="11" fillId="4" borderId="10" xfId="0" applyFont="1" applyFill="1" applyBorder="1" applyAlignment="1" applyProtection="1">
      <alignment horizontal="center" vertical="center"/>
      <protection hidden="1"/>
    </xf>
    <xf numFmtId="0" fontId="11" fillId="3" borderId="10" xfId="0" applyFont="1" applyFill="1" applyBorder="1" applyAlignment="1" applyProtection="1">
      <alignment horizontal="center" vertical="center"/>
      <protection hidden="1"/>
    </xf>
    <xf numFmtId="186" fontId="11" fillId="3" borderId="16" xfId="0" quotePrefix="1" applyNumberFormat="1" applyFont="1" applyFill="1" applyBorder="1" applyAlignment="1" applyProtection="1">
      <alignment horizontal="center" vertical="center"/>
      <protection hidden="1"/>
    </xf>
    <xf numFmtId="179" fontId="11" fillId="4" borderId="101" xfId="0" applyNumberFormat="1" applyFont="1" applyFill="1" applyBorder="1" applyAlignment="1" applyProtection="1">
      <alignment vertical="center"/>
      <protection hidden="1"/>
    </xf>
    <xf numFmtId="0" fontId="12" fillId="0" borderId="0" xfId="14" applyNumberFormat="1" applyFont="1" applyAlignment="1" applyProtection="1">
      <protection hidden="1"/>
    </xf>
    <xf numFmtId="174" fontId="12" fillId="0" borderId="7" xfId="14" applyNumberFormat="1" applyFont="1" applyBorder="1" applyAlignment="1" applyProtection="1">
      <protection hidden="1"/>
    </xf>
    <xf numFmtId="174" fontId="12" fillId="0" borderId="15" xfId="14" applyNumberFormat="1" applyFont="1" applyBorder="1" applyAlignment="1" applyProtection="1">
      <alignment vertical="center"/>
      <protection hidden="1"/>
    </xf>
    <xf numFmtId="175" fontId="11" fillId="0" borderId="5" xfId="5" applyNumberFormat="1" applyFont="1" applyFill="1" applyBorder="1" applyAlignment="1" applyProtection="1">
      <alignment horizontal="center" vertical="top" wrapText="1"/>
      <protection hidden="1"/>
    </xf>
    <xf numFmtId="175" fontId="10" fillId="0" borderId="95" xfId="12" applyNumberFormat="1" applyFont="1" applyFill="1" applyBorder="1" applyAlignment="1" applyProtection="1">
      <protection hidden="1"/>
    </xf>
    <xf numFmtId="0" fontId="10" fillId="4" borderId="38" xfId="12" applyFont="1" applyFill="1" applyBorder="1" applyAlignment="1" applyProtection="1">
      <alignment horizontal="left" vertical="center" indent="1"/>
      <protection hidden="1"/>
    </xf>
    <xf numFmtId="0" fontId="10" fillId="10" borderId="0" xfId="9" applyFont="1" applyFill="1" applyBorder="1" applyProtection="1">
      <protection hidden="1"/>
    </xf>
    <xf numFmtId="179" fontId="11" fillId="9" borderId="98" xfId="9" applyNumberFormat="1" applyFont="1" applyFill="1" applyBorder="1" applyAlignment="1" applyProtection="1">
      <alignment vertical="center"/>
      <protection hidden="1"/>
    </xf>
    <xf numFmtId="179" fontId="11" fillId="9" borderId="91" xfId="9" applyNumberFormat="1" applyFont="1" applyFill="1" applyBorder="1" applyAlignment="1" applyProtection="1">
      <alignment vertical="center"/>
      <protection hidden="1"/>
    </xf>
    <xf numFmtId="179" fontId="11" fillId="9" borderId="101" xfId="9" applyNumberFormat="1" applyFont="1" applyFill="1" applyBorder="1" applyAlignment="1" applyProtection="1">
      <alignment vertical="center"/>
      <protection hidden="1"/>
    </xf>
    <xf numFmtId="0" fontId="10" fillId="3" borderId="9" xfId="0" applyFont="1" applyFill="1" applyBorder="1" applyAlignment="1" applyProtection="1">
      <protection hidden="1"/>
    </xf>
    <xf numFmtId="0" fontId="10" fillId="3" borderId="81" xfId="0" applyFont="1" applyFill="1" applyBorder="1" applyProtection="1">
      <protection hidden="1"/>
    </xf>
    <xf numFmtId="0" fontId="11" fillId="3" borderId="9" xfId="0" applyFont="1" applyFill="1" applyBorder="1" applyAlignment="1" applyProtection="1">
      <alignment horizontal="center" vertical="center"/>
      <protection hidden="1"/>
    </xf>
    <xf numFmtId="170" fontId="10" fillId="2" borderId="95" xfId="0" applyNumberFormat="1" applyFont="1" applyFill="1" applyBorder="1" applyAlignment="1" applyProtection="1">
      <alignment vertical="center"/>
      <protection hidden="1"/>
    </xf>
    <xf numFmtId="0" fontId="11" fillId="4" borderId="102" xfId="0" applyFont="1" applyFill="1" applyBorder="1" applyAlignment="1" applyProtection="1">
      <alignment horizontal="right"/>
      <protection hidden="1"/>
    </xf>
    <xf numFmtId="0" fontId="11" fillId="4" borderId="83" xfId="0" applyFont="1" applyFill="1" applyBorder="1" applyAlignment="1" applyProtection="1">
      <alignment horizontal="center" vertical="center" wrapText="1"/>
      <protection hidden="1"/>
    </xf>
    <xf numFmtId="186" fontId="11" fillId="4" borderId="13" xfId="0" quotePrefix="1" applyNumberFormat="1" applyFont="1" applyFill="1" applyBorder="1" applyAlignment="1" applyProtection="1">
      <alignment horizontal="center" vertical="center" wrapText="1"/>
      <protection hidden="1"/>
    </xf>
    <xf numFmtId="181" fontId="10" fillId="9" borderId="46" xfId="0" applyNumberFormat="1" applyFont="1" applyFill="1" applyBorder="1" applyAlignment="1" applyProtection="1">
      <alignment vertical="center"/>
      <protection hidden="1"/>
    </xf>
    <xf numFmtId="0" fontId="11" fillId="4" borderId="98" xfId="0" applyFont="1" applyFill="1" applyBorder="1" applyAlignment="1" applyProtection="1">
      <alignment horizontal="right"/>
      <protection hidden="1"/>
    </xf>
    <xf numFmtId="0" fontId="10" fillId="4" borderId="81" xfId="0" applyFont="1" applyFill="1" applyBorder="1" applyAlignment="1" applyProtection="1">
      <alignment vertical="top"/>
      <protection hidden="1"/>
    </xf>
    <xf numFmtId="0" fontId="10" fillId="4" borderId="81" xfId="0" applyFont="1" applyFill="1" applyBorder="1" applyAlignment="1" applyProtection="1">
      <alignment horizontal="right"/>
      <protection hidden="1"/>
    </xf>
    <xf numFmtId="0" fontId="11" fillId="4" borderId="81" xfId="0" applyFont="1" applyFill="1" applyBorder="1" applyAlignment="1" applyProtection="1">
      <alignment horizontal="center" vertical="center" wrapText="1"/>
      <protection hidden="1"/>
    </xf>
    <xf numFmtId="186" fontId="11" fillId="4" borderId="81" xfId="0" quotePrefix="1" applyNumberFormat="1" applyFont="1" applyFill="1" applyBorder="1" applyAlignment="1" applyProtection="1">
      <alignment horizontal="center" vertical="center" wrapText="1"/>
      <protection hidden="1"/>
    </xf>
    <xf numFmtId="181" fontId="10" fillId="9" borderId="81" xfId="0" applyNumberFormat="1" applyFont="1" applyFill="1" applyBorder="1" applyAlignment="1" applyProtection="1">
      <alignment vertical="center"/>
      <protection hidden="1"/>
    </xf>
    <xf numFmtId="0" fontId="11" fillId="4" borderId="81" xfId="0" applyFont="1" applyFill="1" applyBorder="1" applyAlignment="1" applyProtection="1">
      <alignment vertical="center"/>
      <protection hidden="1"/>
    </xf>
    <xf numFmtId="0" fontId="11" fillId="4" borderId="46" xfId="0" applyFont="1" applyFill="1" applyBorder="1" applyAlignment="1" applyProtection="1">
      <alignment horizontal="center" vertical="top" wrapText="1"/>
      <protection hidden="1"/>
    </xf>
    <xf numFmtId="0" fontId="11" fillId="4" borderId="22" xfId="0" applyFont="1" applyFill="1" applyBorder="1" applyAlignment="1" applyProtection="1">
      <alignment horizontal="center" vertical="top"/>
      <protection hidden="1"/>
    </xf>
    <xf numFmtId="186" fontId="11" fillId="4" borderId="16" xfId="0" quotePrefix="1" applyNumberFormat="1" applyFont="1" applyFill="1" applyBorder="1" applyAlignment="1" applyProtection="1">
      <alignment horizontal="center" vertical="center" wrapText="1"/>
      <protection hidden="1"/>
    </xf>
    <xf numFmtId="181" fontId="10" fillId="9" borderId="22" xfId="0" applyNumberFormat="1" applyFont="1" applyFill="1" applyBorder="1" applyAlignment="1" applyProtection="1">
      <alignment vertical="center"/>
      <protection hidden="1"/>
    </xf>
    <xf numFmtId="0" fontId="11" fillId="4" borderId="21" xfId="0" applyFont="1" applyFill="1" applyBorder="1" applyAlignment="1" applyProtection="1">
      <alignment horizontal="center" vertical="top" wrapText="1"/>
      <protection hidden="1"/>
    </xf>
    <xf numFmtId="186" fontId="11" fillId="4" borderId="12" xfId="0" quotePrefix="1" applyNumberFormat="1" applyFont="1" applyFill="1" applyBorder="1" applyAlignment="1" applyProtection="1">
      <alignment horizontal="center" vertical="center" wrapText="1"/>
      <protection hidden="1"/>
    </xf>
    <xf numFmtId="181" fontId="10" fillId="9" borderId="21" xfId="0" applyNumberFormat="1" applyFont="1" applyFill="1" applyBorder="1" applyAlignment="1" applyProtection="1">
      <alignment vertical="center"/>
      <protection hidden="1"/>
    </xf>
    <xf numFmtId="184" fontId="10" fillId="9" borderId="81" xfId="0" applyNumberFormat="1" applyFont="1" applyFill="1" applyBorder="1" applyAlignment="1" applyProtection="1">
      <alignment vertical="center"/>
      <protection hidden="1"/>
    </xf>
    <xf numFmtId="169" fontId="10" fillId="9" borderId="0" xfId="0" applyNumberFormat="1" applyFont="1" applyFill="1" applyBorder="1" applyAlignment="1" applyProtection="1">
      <protection hidden="1"/>
    </xf>
    <xf numFmtId="0" fontId="10" fillId="9" borderId="0" xfId="0" applyFont="1" applyFill="1" applyBorder="1" applyAlignment="1" applyProtection="1">
      <alignment wrapText="1"/>
      <protection hidden="1"/>
    </xf>
    <xf numFmtId="0" fontId="11" fillId="9" borderId="53" xfId="0" applyFont="1" applyFill="1" applyBorder="1" applyAlignment="1" applyProtection="1">
      <alignment horizontal="left" vertical="center" indent="1"/>
      <protection hidden="1"/>
    </xf>
    <xf numFmtId="0" fontId="10" fillId="9" borderId="20" xfId="0" applyFont="1" applyFill="1" applyBorder="1" applyProtection="1">
      <protection hidden="1"/>
    </xf>
    <xf numFmtId="0" fontId="11" fillId="9" borderId="24" xfId="0" applyFont="1" applyFill="1" applyBorder="1" applyAlignment="1" applyProtection="1">
      <alignment horizontal="center" vertical="top" wrapText="1"/>
      <protection hidden="1"/>
    </xf>
    <xf numFmtId="169" fontId="11" fillId="9" borderId="40" xfId="0" applyNumberFormat="1" applyFont="1" applyFill="1" applyBorder="1" applyAlignment="1" applyProtection="1">
      <alignment horizontal="center" vertical="top"/>
      <protection hidden="1"/>
    </xf>
    <xf numFmtId="0" fontId="10" fillId="9" borderId="15" xfId="0" applyFont="1" applyFill="1" applyBorder="1" applyProtection="1">
      <protection hidden="1"/>
    </xf>
    <xf numFmtId="0" fontId="11" fillId="9" borderId="7" xfId="0" applyFont="1" applyFill="1" applyBorder="1" applyAlignment="1" applyProtection="1">
      <alignment horizontal="center" vertical="center" wrapText="1"/>
      <protection hidden="1"/>
    </xf>
    <xf numFmtId="0" fontId="10" fillId="9" borderId="33" xfId="0" applyFont="1" applyFill="1" applyBorder="1" applyProtection="1">
      <protection hidden="1"/>
    </xf>
    <xf numFmtId="0" fontId="10" fillId="9" borderId="12" xfId="0" applyFont="1" applyFill="1" applyBorder="1" applyProtection="1">
      <protection hidden="1"/>
    </xf>
    <xf numFmtId="0" fontId="10" fillId="9" borderId="14" xfId="0" applyFont="1" applyFill="1" applyBorder="1" applyProtection="1">
      <protection hidden="1"/>
    </xf>
    <xf numFmtId="0" fontId="11" fillId="9" borderId="73" xfId="0" applyFont="1" applyFill="1" applyBorder="1" applyAlignment="1" applyProtection="1">
      <alignment horizontal="left" vertical="center" indent="1"/>
      <protection hidden="1"/>
    </xf>
    <xf numFmtId="0" fontId="10" fillId="9" borderId="69" xfId="0" applyFont="1" applyFill="1" applyBorder="1" applyAlignment="1" applyProtection="1">
      <alignment horizontal="center" vertical="center"/>
      <protection hidden="1"/>
    </xf>
    <xf numFmtId="0" fontId="10" fillId="9" borderId="70" xfId="0" applyFont="1" applyFill="1" applyBorder="1" applyAlignment="1" applyProtection="1">
      <alignment horizontal="center" vertical="center"/>
      <protection hidden="1"/>
    </xf>
    <xf numFmtId="0" fontId="10" fillId="9" borderId="48" xfId="0" applyFont="1" applyFill="1" applyBorder="1" applyAlignment="1" applyProtection="1">
      <alignment horizontal="center" vertical="center"/>
      <protection hidden="1"/>
    </xf>
    <xf numFmtId="0" fontId="10" fillId="9" borderId="49" xfId="0" applyFont="1" applyFill="1" applyBorder="1" applyAlignment="1" applyProtection="1">
      <alignment horizontal="center" vertical="center"/>
      <protection hidden="1"/>
    </xf>
    <xf numFmtId="169" fontId="10" fillId="3" borderId="81" xfId="0" applyNumberFormat="1" applyFont="1" applyFill="1" applyBorder="1" applyProtection="1">
      <protection hidden="1"/>
    </xf>
    <xf numFmtId="0" fontId="11" fillId="9" borderId="81" xfId="0" applyFont="1" applyFill="1" applyBorder="1" applyAlignment="1" applyProtection="1">
      <alignment vertical="top" wrapText="1"/>
      <protection hidden="1"/>
    </xf>
    <xf numFmtId="0" fontId="11" fillId="3" borderId="98" xfId="0" applyFont="1" applyFill="1" applyBorder="1" applyAlignment="1" applyProtection="1">
      <alignment horizontal="center" vertical="center"/>
      <protection hidden="1"/>
    </xf>
    <xf numFmtId="179" fontId="11" fillId="2" borderId="88" xfId="0" applyNumberFormat="1" applyFont="1" applyFill="1" applyBorder="1" applyAlignment="1" applyProtection="1">
      <alignment vertical="center"/>
      <protection hidden="1"/>
    </xf>
    <xf numFmtId="0" fontId="11" fillId="3" borderId="11" xfId="0" applyFont="1" applyFill="1" applyBorder="1" applyAlignment="1" applyProtection="1">
      <alignment horizontal="center" vertical="center"/>
      <protection hidden="1"/>
    </xf>
    <xf numFmtId="186" fontId="11" fillId="3" borderId="17" xfId="0" quotePrefix="1" applyNumberFormat="1" applyFont="1" applyFill="1" applyBorder="1" applyAlignment="1" applyProtection="1">
      <alignment horizontal="center" vertical="center"/>
      <protection hidden="1"/>
    </xf>
    <xf numFmtId="0" fontId="11" fillId="3" borderId="25" xfId="0" applyFont="1" applyFill="1" applyBorder="1" applyAlignment="1" applyProtection="1">
      <alignment horizontal="center" vertical="top"/>
      <protection hidden="1"/>
    </xf>
    <xf numFmtId="0" fontId="10" fillId="3" borderId="11" xfId="0" applyFont="1" applyFill="1" applyBorder="1" applyProtection="1">
      <protection hidden="1"/>
    </xf>
    <xf numFmtId="179" fontId="11" fillId="2" borderId="42" xfId="0" applyNumberFormat="1" applyFont="1" applyFill="1" applyBorder="1" applyAlignment="1" applyProtection="1">
      <alignment vertical="center"/>
      <protection hidden="1"/>
    </xf>
    <xf numFmtId="170" fontId="10" fillId="2" borderId="11" xfId="0" applyNumberFormat="1" applyFont="1" applyFill="1" applyBorder="1" applyAlignment="1" applyProtection="1">
      <alignment vertical="center"/>
      <protection hidden="1"/>
    </xf>
    <xf numFmtId="170" fontId="10" fillId="2" borderId="91" xfId="0" applyNumberFormat="1" applyFont="1" applyFill="1" applyBorder="1" applyAlignment="1" applyProtection="1">
      <alignment vertical="center"/>
      <protection hidden="1"/>
    </xf>
    <xf numFmtId="179" fontId="11" fillId="2" borderId="77" xfId="0" applyNumberFormat="1" applyFont="1" applyFill="1" applyBorder="1" applyAlignment="1" applyProtection="1">
      <alignment vertical="center"/>
      <protection hidden="1"/>
    </xf>
    <xf numFmtId="170" fontId="10" fillId="9" borderId="25" xfId="0" applyNumberFormat="1" applyFont="1" applyFill="1" applyBorder="1" applyAlignment="1" applyProtection="1">
      <alignment horizontal="left" vertical="center"/>
      <protection hidden="1"/>
    </xf>
    <xf numFmtId="179" fontId="11" fillId="2" borderId="17" xfId="0" applyNumberFormat="1" applyFont="1" applyFill="1" applyBorder="1" applyAlignment="1" applyProtection="1">
      <alignment vertical="center"/>
      <protection hidden="1"/>
    </xf>
    <xf numFmtId="179" fontId="11" fillId="9" borderId="57" xfId="0" applyNumberFormat="1" applyFont="1" applyFill="1" applyBorder="1" applyAlignment="1" applyProtection="1">
      <alignment vertical="center"/>
      <protection hidden="1"/>
    </xf>
    <xf numFmtId="0" fontId="10" fillId="3" borderId="11" xfId="0" applyFont="1" applyFill="1" applyBorder="1" applyAlignment="1" applyProtection="1">
      <protection hidden="1"/>
    </xf>
    <xf numFmtId="169" fontId="10" fillId="3" borderId="10" xfId="0" applyNumberFormat="1" applyFont="1" applyFill="1" applyBorder="1" applyProtection="1">
      <protection hidden="1"/>
    </xf>
    <xf numFmtId="0" fontId="11" fillId="9" borderId="10" xfId="0" applyFont="1" applyFill="1" applyBorder="1" applyAlignment="1" applyProtection="1">
      <alignment vertical="top" wrapText="1"/>
      <protection hidden="1"/>
    </xf>
    <xf numFmtId="0" fontId="10" fillId="10" borderId="0" xfId="0" applyFont="1" applyFill="1" applyBorder="1" applyAlignment="1" applyProtection="1">
      <alignment vertical="top"/>
      <protection hidden="1"/>
    </xf>
    <xf numFmtId="0" fontId="10" fillId="9" borderId="97" xfId="0" applyFont="1" applyFill="1" applyBorder="1" applyProtection="1">
      <protection hidden="1"/>
    </xf>
    <xf numFmtId="0" fontId="11" fillId="5" borderId="103" xfId="0" applyNumberFormat="1" applyFont="1" applyFill="1" applyBorder="1" applyAlignment="1" applyProtection="1">
      <protection hidden="1"/>
    </xf>
    <xf numFmtId="0" fontId="10" fillId="3" borderId="103" xfId="0" applyFont="1" applyFill="1" applyBorder="1" applyAlignment="1" applyProtection="1">
      <alignment vertical="center"/>
      <protection hidden="1"/>
    </xf>
    <xf numFmtId="0" fontId="11" fillId="3" borderId="103" xfId="0" applyFont="1" applyFill="1" applyBorder="1" applyAlignment="1" applyProtection="1">
      <alignment vertical="center"/>
      <protection hidden="1"/>
    </xf>
    <xf numFmtId="0" fontId="11" fillId="3" borderId="103" xfId="0" applyFont="1" applyFill="1" applyBorder="1" applyAlignment="1" applyProtection="1">
      <alignment horizontal="right" vertical="center" indent="1"/>
      <protection hidden="1"/>
    </xf>
    <xf numFmtId="0" fontId="11" fillId="3" borderId="98" xfId="0" applyFont="1" applyFill="1" applyBorder="1" applyAlignment="1" applyProtection="1">
      <alignment horizontal="right" vertical="center" indent="1"/>
      <protection hidden="1"/>
    </xf>
    <xf numFmtId="0" fontId="10" fillId="3" borderId="81" xfId="0" applyFont="1" applyFill="1" applyBorder="1" applyAlignment="1" applyProtection="1">
      <alignment horizontal="left" vertical="center"/>
      <protection hidden="1"/>
    </xf>
    <xf numFmtId="0" fontId="10" fillId="3" borderId="81" xfId="0" applyFont="1" applyFill="1" applyBorder="1" applyAlignment="1" applyProtection="1">
      <alignment vertical="top"/>
      <protection hidden="1"/>
    </xf>
    <xf numFmtId="0" fontId="11" fillId="3" borderId="95" xfId="0" applyFont="1" applyFill="1" applyBorder="1" applyAlignment="1" applyProtection="1">
      <alignment horizontal="center" vertical="center"/>
      <protection hidden="1"/>
    </xf>
    <xf numFmtId="0" fontId="11" fillId="3" borderId="96" xfId="0" applyFont="1" applyFill="1" applyBorder="1" applyAlignment="1" applyProtection="1">
      <alignment horizontal="center" vertical="center"/>
      <protection hidden="1"/>
    </xf>
    <xf numFmtId="179" fontId="19" fillId="2" borderId="101" xfId="0" applyNumberFormat="1" applyFont="1" applyFill="1" applyBorder="1" applyAlignment="1" applyProtection="1">
      <alignment vertical="center"/>
      <protection hidden="1"/>
    </xf>
    <xf numFmtId="179" fontId="19" fillId="2" borderId="94" xfId="0" applyNumberFormat="1" applyFont="1" applyFill="1" applyBorder="1" applyAlignment="1" applyProtection="1">
      <alignment vertical="center"/>
      <protection hidden="1"/>
    </xf>
    <xf numFmtId="169" fontId="10" fillId="3" borderId="95" xfId="0" applyNumberFormat="1" applyFont="1" applyFill="1" applyBorder="1" applyAlignment="1" applyProtection="1">
      <alignment horizontal="center" vertical="center"/>
      <protection hidden="1"/>
    </xf>
    <xf numFmtId="169" fontId="10" fillId="3" borderId="5" xfId="0" applyNumberFormat="1" applyFont="1" applyFill="1" applyBorder="1" applyProtection="1">
      <protection hidden="1"/>
    </xf>
    <xf numFmtId="0" fontId="10" fillId="3" borderId="81" xfId="0" applyFont="1" applyFill="1" applyBorder="1" applyAlignment="1" applyProtection="1">
      <alignment horizontal="centerContinuous" vertical="center"/>
      <protection hidden="1"/>
    </xf>
    <xf numFmtId="179" fontId="11" fillId="9" borderId="88" xfId="0" applyNumberFormat="1" applyFont="1" applyFill="1" applyBorder="1" applyAlignment="1" applyProtection="1">
      <alignment vertical="center"/>
      <protection hidden="1"/>
    </xf>
    <xf numFmtId="179" fontId="11" fillId="9" borderId="30" xfId="0" applyNumberFormat="1" applyFont="1" applyFill="1" applyBorder="1" applyAlignment="1" applyProtection="1">
      <alignment vertical="center"/>
      <protection hidden="1"/>
    </xf>
    <xf numFmtId="179" fontId="11" fillId="9" borderId="103" xfId="0" applyNumberFormat="1" applyFont="1" applyFill="1" applyBorder="1" applyAlignment="1" applyProtection="1">
      <alignment vertical="center"/>
      <protection hidden="1"/>
    </xf>
    <xf numFmtId="179" fontId="11" fillId="9" borderId="95" xfId="0" applyNumberFormat="1" applyFont="1" applyFill="1" applyBorder="1" applyAlignment="1" applyProtection="1">
      <alignment vertical="center"/>
      <protection hidden="1"/>
    </xf>
    <xf numFmtId="0" fontId="10" fillId="3" borderId="20" xfId="0" applyFont="1" applyFill="1" applyBorder="1" applyProtection="1">
      <protection hidden="1"/>
    </xf>
    <xf numFmtId="0" fontId="11" fillId="10" borderId="9" xfId="0" applyFont="1" applyFill="1" applyBorder="1" applyAlignment="1" applyProtection="1">
      <alignment horizontal="left" vertical="center" indent="2"/>
      <protection hidden="1"/>
    </xf>
    <xf numFmtId="0" fontId="11" fillId="9" borderId="92" xfId="0" applyFont="1" applyFill="1" applyBorder="1" applyAlignment="1" applyProtection="1">
      <alignment horizontal="left" vertical="center" indent="1"/>
      <protection hidden="1"/>
    </xf>
    <xf numFmtId="169" fontId="11" fillId="3" borderId="21" xfId="0" applyNumberFormat="1" applyFont="1" applyFill="1" applyBorder="1" applyAlignment="1" applyProtection="1">
      <alignment horizontal="center" vertical="top"/>
      <protection hidden="1"/>
    </xf>
    <xf numFmtId="0" fontId="11" fillId="10" borderId="33" xfId="0" applyFont="1" applyFill="1" applyBorder="1" applyAlignment="1" applyProtection="1">
      <alignment horizontal="left" vertical="center" indent="2"/>
      <protection hidden="1"/>
    </xf>
    <xf numFmtId="182" fontId="10" fillId="3" borderId="10" xfId="0" applyNumberFormat="1" applyFont="1" applyFill="1" applyBorder="1" applyAlignment="1" applyProtection="1">
      <alignment horizontal="center" vertical="center"/>
      <protection hidden="1"/>
    </xf>
    <xf numFmtId="179" fontId="10" fillId="3" borderId="6" xfId="0" applyNumberFormat="1" applyFont="1" applyFill="1" applyBorder="1" applyAlignment="1" applyProtection="1">
      <alignment vertical="center"/>
      <protection hidden="1"/>
    </xf>
    <xf numFmtId="185" fontId="10" fillId="3" borderId="6" xfId="0" applyNumberFormat="1" applyFont="1" applyFill="1" applyBorder="1" applyAlignment="1" applyProtection="1">
      <alignment vertical="center"/>
      <protection hidden="1"/>
    </xf>
    <xf numFmtId="169" fontId="10" fillId="3" borderId="95" xfId="0" applyNumberFormat="1" applyFont="1" applyFill="1" applyBorder="1" applyProtection="1">
      <protection hidden="1"/>
    </xf>
    <xf numFmtId="169" fontId="10" fillId="3" borderId="94" xfId="0" applyNumberFormat="1" applyFont="1" applyFill="1" applyBorder="1" applyProtection="1">
      <protection hidden="1"/>
    </xf>
    <xf numFmtId="0" fontId="10" fillId="3" borderId="10" xfId="0" applyFont="1" applyFill="1" applyBorder="1" applyAlignment="1" applyProtection="1">
      <alignment horizontal="center" vertical="center"/>
      <protection hidden="1"/>
    </xf>
    <xf numFmtId="179" fontId="10" fillId="3" borderId="12" xfId="0" applyNumberFormat="1" applyFont="1" applyFill="1" applyBorder="1" applyAlignment="1" applyProtection="1">
      <alignment vertical="center"/>
      <protection hidden="1"/>
    </xf>
    <xf numFmtId="185" fontId="10" fillId="3" borderId="12" xfId="0" applyNumberFormat="1" applyFont="1" applyFill="1" applyBorder="1" applyAlignment="1" applyProtection="1">
      <alignment vertical="center"/>
      <protection hidden="1"/>
    </xf>
    <xf numFmtId="169" fontId="10" fillId="3" borderId="16" xfId="0" applyNumberFormat="1" applyFont="1" applyFill="1" applyBorder="1" applyAlignment="1" applyProtection="1">
      <alignment horizontal="center" vertical="center"/>
      <protection hidden="1"/>
    </xf>
    <xf numFmtId="0" fontId="11" fillId="2" borderId="22" xfId="0" applyFont="1" applyFill="1" applyBorder="1" applyAlignment="1" applyProtection="1">
      <alignment horizontal="center" vertical="top"/>
      <protection hidden="1"/>
    </xf>
    <xf numFmtId="3" fontId="13" fillId="0" borderId="10" xfId="14" applyNumberFormat="1" applyFont="1" applyFill="1" applyBorder="1" applyAlignment="1" applyProtection="1">
      <alignment horizontal="center" vertical="center"/>
      <protection hidden="1"/>
    </xf>
    <xf numFmtId="0" fontId="13" fillId="0" borderId="96" xfId="14" applyFont="1" applyFill="1" applyBorder="1" applyAlignment="1" applyProtection="1">
      <alignment horizontal="center" vertical="center"/>
      <protection hidden="1"/>
    </xf>
    <xf numFmtId="0" fontId="13" fillId="0" borderId="99" xfId="14" applyNumberFormat="1" applyFont="1" applyFill="1" applyBorder="1" applyAlignment="1" applyProtection="1">
      <alignment horizontal="center" vertical="center" wrapText="1"/>
      <protection hidden="1"/>
    </xf>
    <xf numFmtId="0" fontId="11" fillId="9" borderId="11" xfId="5" applyFont="1" applyFill="1" applyBorder="1" applyAlignment="1" applyProtection="1">
      <alignment horizontal="left" vertical="center" indent="1"/>
      <protection hidden="1"/>
    </xf>
    <xf numFmtId="0" fontId="11" fillId="9" borderId="77" xfId="5" applyFont="1" applyFill="1" applyBorder="1" applyAlignment="1" applyProtection="1">
      <alignment horizontal="left" vertical="center" indent="1"/>
      <protection hidden="1"/>
    </xf>
    <xf numFmtId="0" fontId="10" fillId="9" borderId="0" xfId="12" applyFont="1" applyFill="1" applyProtection="1">
      <protection hidden="1"/>
    </xf>
    <xf numFmtId="0" fontId="10" fillId="14" borderId="0" xfId="12" applyFont="1" applyFill="1" applyProtection="1">
      <protection hidden="1"/>
    </xf>
    <xf numFmtId="0" fontId="10" fillId="9" borderId="97" xfId="12" applyFont="1" applyFill="1" applyBorder="1" applyAlignment="1" applyProtection="1">
      <alignment vertical="center"/>
      <protection hidden="1"/>
    </xf>
    <xf numFmtId="0" fontId="11" fillId="9" borderId="104" xfId="12" applyNumberFormat="1" applyFont="1" applyFill="1" applyBorder="1" applyAlignment="1" applyProtection="1">
      <protection hidden="1"/>
    </xf>
    <xf numFmtId="0" fontId="11" fillId="9" borderId="104" xfId="12" applyFont="1" applyFill="1" applyBorder="1" applyAlignment="1" applyProtection="1">
      <alignment horizontal="center" vertical="center" wrapText="1"/>
      <protection hidden="1"/>
    </xf>
    <xf numFmtId="0" fontId="11" fillId="9" borderId="98" xfId="12" applyFont="1" applyFill="1" applyBorder="1" applyAlignment="1" applyProtection="1">
      <alignment horizontal="center" vertical="center" wrapText="1"/>
      <protection hidden="1"/>
    </xf>
    <xf numFmtId="0" fontId="10" fillId="14" borderId="0" xfId="12" applyFont="1" applyFill="1" applyAlignment="1" applyProtection="1">
      <alignment vertical="center"/>
      <protection hidden="1"/>
    </xf>
    <xf numFmtId="0" fontId="10" fillId="9" borderId="105" xfId="12" applyFont="1" applyFill="1" applyBorder="1" applyAlignment="1" applyProtection="1">
      <alignment vertical="center"/>
      <protection hidden="1"/>
    </xf>
    <xf numFmtId="0" fontId="11" fillId="10" borderId="0" xfId="12" applyFont="1" applyFill="1" applyBorder="1" applyAlignment="1" applyProtection="1">
      <alignment horizontal="left"/>
      <protection hidden="1"/>
    </xf>
    <xf numFmtId="0" fontId="11" fillId="9" borderId="0" xfId="12" applyFont="1" applyFill="1" applyBorder="1" applyAlignment="1" applyProtection="1">
      <alignment horizontal="center" vertical="center" wrapText="1"/>
      <protection hidden="1"/>
    </xf>
    <xf numFmtId="0" fontId="11" fillId="9" borderId="81" xfId="12" applyFont="1" applyFill="1" applyBorder="1" applyAlignment="1" applyProtection="1">
      <alignment horizontal="center" vertical="center" wrapText="1"/>
      <protection hidden="1"/>
    </xf>
    <xf numFmtId="0" fontId="10" fillId="9" borderId="105" xfId="12" applyFont="1" applyFill="1" applyBorder="1" applyProtection="1">
      <protection hidden="1"/>
    </xf>
    <xf numFmtId="0" fontId="11" fillId="10" borderId="0" xfId="12" applyFont="1" applyFill="1" applyBorder="1" applyAlignment="1" applyProtection="1">
      <alignment horizontal="left" vertical="center"/>
      <protection hidden="1"/>
    </xf>
    <xf numFmtId="0" fontId="10" fillId="9" borderId="0" xfId="12" applyNumberFormat="1" applyFont="1" applyFill="1" applyBorder="1" applyAlignment="1" applyProtection="1">
      <alignment vertical="center"/>
      <protection hidden="1"/>
    </xf>
    <xf numFmtId="0" fontId="17" fillId="9" borderId="81" xfId="12" applyNumberFormat="1" applyFont="1" applyFill="1" applyBorder="1" applyAlignment="1" applyProtection="1">
      <alignment horizontal="center" vertical="center"/>
      <protection hidden="1"/>
    </xf>
    <xf numFmtId="0" fontId="10" fillId="9" borderId="0" xfId="12" applyFont="1" applyFill="1" applyBorder="1" applyProtection="1">
      <protection hidden="1"/>
    </xf>
    <xf numFmtId="0" fontId="10" fillId="9" borderId="81" xfId="12" applyFont="1" applyFill="1" applyBorder="1" applyProtection="1">
      <protection hidden="1"/>
    </xf>
    <xf numFmtId="0" fontId="11" fillId="9" borderId="23" xfId="12" applyFont="1" applyFill="1" applyBorder="1" applyAlignment="1" applyProtection="1">
      <alignment horizontal="left" vertical="center" indent="1"/>
      <protection hidden="1"/>
    </xf>
    <xf numFmtId="0" fontId="11" fillId="9" borderId="21" xfId="12" applyFont="1" applyFill="1" applyBorder="1" applyAlignment="1" applyProtection="1">
      <alignment horizontal="left" vertical="center" indent="1"/>
      <protection hidden="1"/>
    </xf>
    <xf numFmtId="0" fontId="11" fillId="9" borderId="22" xfId="12" applyFont="1" applyFill="1" applyBorder="1" applyAlignment="1" applyProtection="1">
      <alignment horizontal="center" vertical="top" wrapText="1"/>
      <protection hidden="1"/>
    </xf>
    <xf numFmtId="0" fontId="11" fillId="9" borderId="5" xfId="12" applyFont="1" applyFill="1" applyBorder="1" applyAlignment="1" applyProtection="1">
      <alignment horizontal="left" vertical="center" indent="1"/>
      <protection hidden="1"/>
    </xf>
    <xf numFmtId="0" fontId="11" fillId="9" borderId="6" xfId="12" applyFont="1" applyFill="1" applyBorder="1" applyAlignment="1" applyProtection="1">
      <alignment horizontal="left" vertical="center" indent="1"/>
      <protection hidden="1"/>
    </xf>
    <xf numFmtId="0" fontId="11" fillId="9" borderId="10" xfId="12" applyFont="1" applyFill="1" applyBorder="1" applyAlignment="1" applyProtection="1">
      <alignment horizontal="center" vertical="center"/>
      <protection hidden="1"/>
    </xf>
    <xf numFmtId="0" fontId="10" fillId="9" borderId="14" xfId="12" applyFont="1" applyFill="1" applyBorder="1" applyProtection="1">
      <protection hidden="1"/>
    </xf>
    <xf numFmtId="0" fontId="10" fillId="9" borderId="12" xfId="12" applyFont="1" applyFill="1" applyBorder="1" applyProtection="1">
      <protection hidden="1"/>
    </xf>
    <xf numFmtId="186" fontId="11" fillId="9" borderId="16" xfId="12" applyNumberFormat="1" applyFont="1" applyFill="1" applyBorder="1" applyAlignment="1" applyProtection="1">
      <alignment horizontal="center" vertical="center"/>
      <protection hidden="1"/>
    </xf>
    <xf numFmtId="179" fontId="10" fillId="0" borderId="10" xfId="12" applyNumberFormat="1" applyFont="1" applyFill="1" applyBorder="1" applyAlignment="1" applyProtection="1">
      <alignment vertical="center"/>
      <protection locked="0"/>
    </xf>
    <xf numFmtId="0" fontId="11" fillId="9" borderId="29" xfId="12" applyFont="1" applyFill="1" applyBorder="1" applyAlignment="1" applyProtection="1">
      <alignment horizontal="left" vertical="center" indent="1"/>
      <protection hidden="1"/>
    </xf>
    <xf numFmtId="0" fontId="11" fillId="9" borderId="30" xfId="12" applyFont="1" applyFill="1" applyBorder="1" applyAlignment="1" applyProtection="1">
      <alignment horizontal="left" vertical="center" indent="1"/>
      <protection hidden="1"/>
    </xf>
    <xf numFmtId="179" fontId="10" fillId="0" borderId="101" xfId="12" applyNumberFormat="1" applyFont="1" applyFill="1" applyBorder="1" applyAlignment="1" applyProtection="1">
      <alignment vertical="center"/>
      <protection locked="0"/>
    </xf>
    <xf numFmtId="0" fontId="11" fillId="9" borderId="14" xfId="12" applyFont="1" applyFill="1" applyBorder="1" applyAlignment="1" applyProtection="1">
      <alignment horizontal="left" vertical="center" indent="1"/>
      <protection hidden="1"/>
    </xf>
    <xf numFmtId="0" fontId="11" fillId="9" borderId="12" xfId="12" applyFont="1" applyFill="1" applyBorder="1" applyAlignment="1" applyProtection="1">
      <alignment horizontal="left" vertical="center" indent="1"/>
      <protection hidden="1"/>
    </xf>
    <xf numFmtId="179" fontId="10" fillId="0" borderId="16" xfId="12" applyNumberFormat="1" applyFont="1" applyFill="1" applyBorder="1" applyAlignment="1" applyProtection="1">
      <alignment vertical="center"/>
      <protection locked="0"/>
    </xf>
    <xf numFmtId="0" fontId="11" fillId="9" borderId="45" xfId="12" applyFont="1" applyFill="1" applyBorder="1" applyAlignment="1" applyProtection="1">
      <alignment horizontal="left" vertical="center" indent="1"/>
      <protection hidden="1"/>
    </xf>
    <xf numFmtId="0" fontId="10" fillId="9" borderId="71" xfId="12" applyFont="1" applyFill="1" applyBorder="1" applyAlignment="1" applyProtection="1">
      <alignment horizontal="left" vertical="center" indent="1"/>
      <protection hidden="1"/>
    </xf>
    <xf numFmtId="183" fontId="10" fillId="9" borderId="72" xfId="12" applyNumberFormat="1" applyFont="1" applyFill="1" applyBorder="1" applyAlignment="1" applyProtection="1">
      <alignment vertical="center"/>
      <protection hidden="1"/>
    </xf>
    <xf numFmtId="179" fontId="11" fillId="9" borderId="72" xfId="12" applyNumberFormat="1" applyFont="1" applyFill="1" applyBorder="1" applyAlignment="1" applyProtection="1">
      <alignment vertical="center"/>
      <protection hidden="1"/>
    </xf>
    <xf numFmtId="0" fontId="10" fillId="9" borderId="0" xfId="12" applyFont="1" applyFill="1" applyBorder="1" applyAlignment="1" applyProtection="1">
      <protection hidden="1"/>
    </xf>
    <xf numFmtId="0" fontId="10" fillId="9" borderId="59" xfId="12" applyFont="1" applyFill="1" applyBorder="1" applyProtection="1">
      <protection hidden="1"/>
    </xf>
    <xf numFmtId="0" fontId="10" fillId="9" borderId="86" xfId="12" applyFont="1" applyFill="1" applyBorder="1" applyProtection="1">
      <protection hidden="1"/>
    </xf>
    <xf numFmtId="0" fontId="10" fillId="9" borderId="87" xfId="12" applyFont="1" applyFill="1" applyBorder="1" applyProtection="1">
      <protection hidden="1"/>
    </xf>
    <xf numFmtId="0" fontId="11" fillId="5" borderId="104" xfId="0" applyFont="1" applyFill="1" applyBorder="1" applyAlignment="1" applyProtection="1">
      <alignment horizontal="center" vertical="center" wrapText="1"/>
      <protection hidden="1"/>
    </xf>
    <xf numFmtId="172" fontId="10" fillId="9" borderId="86" xfId="0" applyNumberFormat="1" applyFont="1" applyFill="1" applyBorder="1" applyProtection="1">
      <protection hidden="1"/>
    </xf>
    <xf numFmtId="0" fontId="10" fillId="9" borderId="105" xfId="0" applyFont="1" applyFill="1" applyBorder="1" applyProtection="1">
      <protection hidden="1"/>
    </xf>
    <xf numFmtId="172" fontId="11" fillId="5" borderId="95" xfId="0" applyNumberFormat="1" applyFont="1" applyFill="1" applyBorder="1" applyAlignment="1" applyProtection="1">
      <alignment horizontal="center" vertical="center"/>
      <protection hidden="1"/>
    </xf>
    <xf numFmtId="172" fontId="11" fillId="5" borderId="96" xfId="0" applyNumberFormat="1" applyFont="1" applyFill="1" applyBorder="1" applyAlignment="1" applyProtection="1">
      <alignment horizontal="center" vertical="center"/>
      <protection hidden="1"/>
    </xf>
    <xf numFmtId="0" fontId="10" fillId="9" borderId="0" xfId="12" applyFont="1" applyFill="1" applyAlignment="1" applyProtection="1">
      <alignment vertical="center"/>
      <protection hidden="1"/>
    </xf>
    <xf numFmtId="172" fontId="11" fillId="5" borderId="98" xfId="0" applyNumberFormat="1" applyFont="1" applyFill="1" applyBorder="1" applyAlignment="1" applyProtection="1">
      <alignment horizontal="center" vertical="center"/>
      <protection hidden="1"/>
    </xf>
    <xf numFmtId="172" fontId="11" fillId="5" borderId="106" xfId="0" applyNumberFormat="1" applyFont="1" applyFill="1" applyBorder="1" applyAlignment="1" applyProtection="1">
      <alignment horizontal="center" vertical="center"/>
      <protection hidden="1"/>
    </xf>
    <xf numFmtId="186" fontId="11" fillId="5" borderId="13" xfId="0" quotePrefix="1" applyNumberFormat="1" applyFont="1" applyFill="1" applyBorder="1" applyAlignment="1" applyProtection="1">
      <alignment horizontal="center" vertical="center"/>
      <protection hidden="1"/>
    </xf>
    <xf numFmtId="186" fontId="11" fillId="5" borderId="61" xfId="0" quotePrefix="1" applyNumberFormat="1" applyFont="1" applyFill="1" applyBorder="1" applyAlignment="1" applyProtection="1">
      <alignment horizontal="center" vertical="center"/>
      <protection hidden="1"/>
    </xf>
    <xf numFmtId="186" fontId="11" fillId="5" borderId="12" xfId="0" quotePrefix="1" applyNumberFormat="1" applyFont="1" applyFill="1" applyBorder="1" applyAlignment="1" applyProtection="1">
      <alignment horizontal="center" vertical="center"/>
      <protection hidden="1"/>
    </xf>
    <xf numFmtId="0" fontId="11" fillId="0" borderId="57" xfId="0" applyNumberFormat="1" applyFont="1" applyFill="1" applyBorder="1" applyAlignment="1" applyProtection="1">
      <alignment horizontal="left" vertical="center" indent="1"/>
      <protection hidden="1"/>
    </xf>
    <xf numFmtId="0" fontId="11" fillId="0" borderId="57" xfId="12" applyNumberFormat="1" applyFont="1" applyFill="1" applyBorder="1" applyAlignment="1" applyProtection="1">
      <alignment horizontal="left" vertical="center" indent="1"/>
      <protection hidden="1"/>
    </xf>
    <xf numFmtId="0" fontId="17" fillId="5" borderId="106" xfId="0" applyFont="1" applyFill="1" applyBorder="1" applyAlignment="1" applyProtection="1">
      <alignment horizontal="center" vertical="center"/>
      <protection hidden="1"/>
    </xf>
    <xf numFmtId="0" fontId="17" fillId="9" borderId="0" xfId="0" quotePrefix="1" applyFont="1" applyFill="1" applyBorder="1" applyAlignment="1" applyProtection="1">
      <alignment horizontal="center" vertical="center"/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Border="1" applyAlignment="1" applyProtection="1">
      <alignment vertical="center"/>
      <protection hidden="1"/>
    </xf>
    <xf numFmtId="0" fontId="11" fillId="0" borderId="5" xfId="5" applyNumberFormat="1" applyFont="1" applyFill="1" applyBorder="1" applyAlignment="1" applyProtection="1">
      <alignment horizontal="center" vertical="top" wrapText="1"/>
      <protection hidden="1"/>
    </xf>
    <xf numFmtId="172" fontId="11" fillId="5" borderId="0" xfId="0" applyNumberFormat="1" applyFont="1" applyFill="1" applyBorder="1" applyAlignment="1" applyProtection="1">
      <alignment horizontal="center" vertical="center"/>
      <protection hidden="1"/>
    </xf>
    <xf numFmtId="0" fontId="10" fillId="5" borderId="106" xfId="4" applyFont="1" applyFill="1" applyBorder="1" applyProtection="1">
      <protection hidden="1"/>
    </xf>
    <xf numFmtId="0" fontId="10" fillId="7" borderId="105" xfId="4" applyFont="1" applyFill="1" applyBorder="1" applyProtection="1">
      <protection hidden="1"/>
    </xf>
    <xf numFmtId="0" fontId="10" fillId="7" borderId="106" xfId="4" applyFont="1" applyFill="1" applyBorder="1" applyProtection="1">
      <protection hidden="1"/>
    </xf>
    <xf numFmtId="0" fontId="10" fillId="13" borderId="106" xfId="4" applyFont="1" applyFill="1" applyBorder="1" applyProtection="1">
      <protection hidden="1"/>
    </xf>
    <xf numFmtId="0" fontId="11" fillId="5" borderId="95" xfId="0" applyNumberFormat="1" applyFont="1" applyFill="1" applyBorder="1" applyAlignment="1" applyProtection="1">
      <alignment horizontal="center" vertical="top"/>
      <protection hidden="1"/>
    </xf>
    <xf numFmtId="186" fontId="11" fillId="5" borderId="61" xfId="0" quotePrefix="1" applyNumberFormat="1" applyFont="1" applyFill="1" applyBorder="1" applyAlignment="1" applyProtection="1">
      <alignment horizontal="center" vertical="center" wrapText="1"/>
      <protection hidden="1"/>
    </xf>
    <xf numFmtId="179" fontId="19" fillId="5" borderId="88" xfId="4" applyNumberFormat="1" applyFont="1" applyFill="1" applyBorder="1" applyAlignment="1" applyProtection="1">
      <alignment vertical="center"/>
      <protection hidden="1"/>
    </xf>
    <xf numFmtId="179" fontId="11" fillId="5" borderId="72" xfId="4" applyNumberFormat="1" applyFont="1" applyFill="1" applyBorder="1" applyAlignment="1" applyProtection="1">
      <alignment vertical="center"/>
      <protection hidden="1"/>
    </xf>
    <xf numFmtId="0" fontId="11" fillId="5" borderId="89" xfId="0" applyFont="1" applyFill="1" applyBorder="1" applyAlignment="1" applyProtection="1">
      <alignment horizontal="center" vertical="top" wrapText="1"/>
      <protection hidden="1"/>
    </xf>
    <xf numFmtId="0" fontId="11" fillId="5" borderId="105" xfId="0" applyFont="1" applyFill="1" applyBorder="1" applyAlignment="1" applyProtection="1">
      <alignment horizontal="center" vertical="center" wrapText="1"/>
      <protection hidden="1"/>
    </xf>
    <xf numFmtId="0" fontId="11" fillId="5" borderId="105" xfId="0" applyFont="1" applyFill="1" applyBorder="1" applyAlignment="1" applyProtection="1">
      <alignment horizontal="center" vertical="top" wrapText="1"/>
      <protection hidden="1"/>
    </xf>
    <xf numFmtId="179" fontId="19" fillId="9" borderId="47" xfId="4" applyNumberFormat="1" applyFont="1" applyFill="1" applyBorder="1" applyAlignment="1" applyProtection="1">
      <alignment vertical="center"/>
      <protection hidden="1"/>
    </xf>
    <xf numFmtId="179" fontId="11" fillId="5" borderId="14" xfId="4" applyNumberFormat="1" applyFont="1" applyFill="1" applyBorder="1" applyAlignment="1" applyProtection="1">
      <alignment vertical="center"/>
      <protection hidden="1"/>
    </xf>
    <xf numFmtId="179" fontId="11" fillId="5" borderId="58" xfId="4" applyNumberFormat="1" applyFont="1" applyFill="1" applyBorder="1" applyAlignment="1" applyProtection="1">
      <alignment vertical="center"/>
      <protection hidden="1"/>
    </xf>
    <xf numFmtId="179" fontId="11" fillId="5" borderId="15" xfId="4" applyNumberFormat="1" applyFont="1" applyFill="1" applyBorder="1" applyAlignment="1" applyProtection="1">
      <alignment vertical="center"/>
      <protection hidden="1"/>
    </xf>
    <xf numFmtId="179" fontId="19" fillId="9" borderId="32" xfId="4" applyNumberFormat="1" applyFont="1" applyFill="1" applyBorder="1" applyAlignment="1" applyProtection="1">
      <alignment vertical="center"/>
      <protection hidden="1"/>
    </xf>
    <xf numFmtId="179" fontId="19" fillId="5" borderId="42" xfId="4" applyNumberFormat="1" applyFont="1" applyFill="1" applyBorder="1" applyAlignment="1" applyProtection="1">
      <alignment vertical="center"/>
      <protection hidden="1"/>
    </xf>
    <xf numFmtId="0" fontId="10" fillId="5" borderId="45" xfId="7" applyNumberFormat="1" applyFont="1" applyFill="1" applyBorder="1" applyAlignment="1" applyProtection="1">
      <alignment vertical="center"/>
      <protection hidden="1"/>
    </xf>
    <xf numFmtId="0" fontId="10" fillId="5" borderId="20" xfId="7" applyNumberFormat="1" applyFont="1" applyFill="1" applyBorder="1" applyAlignment="1" applyProtection="1">
      <alignment vertical="center"/>
      <protection hidden="1"/>
    </xf>
    <xf numFmtId="0" fontId="10" fillId="5" borderId="9" xfId="7" applyNumberFormat="1" applyFont="1" applyFill="1" applyBorder="1" applyAlignment="1" applyProtection="1">
      <alignment vertical="center"/>
      <protection hidden="1"/>
    </xf>
    <xf numFmtId="0" fontId="10" fillId="9" borderId="35" xfId="7" applyNumberFormat="1" applyFont="1" applyFill="1" applyBorder="1" applyAlignment="1" applyProtection="1">
      <alignment vertical="center"/>
      <protection hidden="1"/>
    </xf>
    <xf numFmtId="0" fontId="10" fillId="5" borderId="23" xfId="7" applyNumberFormat="1" applyFont="1" applyFill="1" applyBorder="1" applyAlignment="1" applyProtection="1">
      <protection hidden="1"/>
    </xf>
    <xf numFmtId="0" fontId="9" fillId="5" borderId="46" xfId="4" applyNumberFormat="1" applyFont="1" applyFill="1" applyBorder="1" applyAlignment="1" applyProtection="1">
      <protection hidden="1"/>
    </xf>
    <xf numFmtId="0" fontId="10" fillId="5" borderId="24" xfId="7" applyNumberFormat="1" applyFont="1" applyFill="1" applyBorder="1" applyAlignment="1" applyProtection="1">
      <protection hidden="1"/>
    </xf>
    <xf numFmtId="0" fontId="10" fillId="5" borderId="22" xfId="4" applyNumberFormat="1" applyFont="1" applyFill="1" applyBorder="1" applyAlignment="1" applyProtection="1">
      <protection hidden="1"/>
    </xf>
    <xf numFmtId="0" fontId="10" fillId="5" borderId="21" xfId="7" applyNumberFormat="1" applyFont="1" applyFill="1" applyBorder="1" applyAlignment="1" applyProtection="1">
      <protection hidden="1"/>
    </xf>
    <xf numFmtId="0" fontId="10" fillId="5" borderId="24" xfId="4" applyNumberFormat="1" applyFont="1" applyFill="1" applyBorder="1" applyAlignment="1" applyProtection="1">
      <protection hidden="1"/>
    </xf>
    <xf numFmtId="0" fontId="10" fillId="5" borderId="21" xfId="4" applyNumberFormat="1" applyFont="1" applyFill="1" applyBorder="1" applyAlignment="1" applyProtection="1">
      <protection hidden="1"/>
    </xf>
    <xf numFmtId="0" fontId="10" fillId="5" borderId="5" xfId="7" applyNumberFormat="1" applyFont="1" applyFill="1" applyBorder="1" applyAlignment="1" applyProtection="1">
      <protection hidden="1"/>
    </xf>
    <xf numFmtId="0" fontId="9" fillId="5" borderId="105" xfId="4" applyNumberFormat="1" applyFont="1" applyFill="1" applyBorder="1" applyAlignment="1" applyProtection="1">
      <protection hidden="1"/>
    </xf>
    <xf numFmtId="0" fontId="10" fillId="5" borderId="7" xfId="7" applyNumberFormat="1" applyFont="1" applyFill="1" applyBorder="1" applyAlignment="1" applyProtection="1">
      <protection hidden="1"/>
    </xf>
    <xf numFmtId="0" fontId="10" fillId="5" borderId="36" xfId="4" applyNumberFormat="1" applyFont="1" applyFill="1" applyBorder="1" applyAlignment="1" applyProtection="1">
      <protection hidden="1"/>
    </xf>
    <xf numFmtId="0" fontId="10" fillId="5" borderId="26" xfId="7" applyNumberFormat="1" applyFont="1" applyFill="1" applyBorder="1" applyAlignment="1" applyProtection="1">
      <protection hidden="1"/>
    </xf>
    <xf numFmtId="0" fontId="10" fillId="5" borderId="27" xfId="7" applyNumberFormat="1" applyFont="1" applyFill="1" applyBorder="1" applyAlignment="1" applyProtection="1">
      <protection hidden="1"/>
    </xf>
    <xf numFmtId="0" fontId="10" fillId="5" borderId="28" xfId="4" applyNumberFormat="1" applyFont="1" applyFill="1" applyBorder="1" applyAlignment="1" applyProtection="1">
      <protection hidden="1"/>
    </xf>
    <xf numFmtId="0" fontId="10" fillId="5" borderId="27" xfId="4" applyNumberFormat="1" applyFont="1" applyFill="1" applyBorder="1" applyAlignment="1" applyProtection="1">
      <protection hidden="1"/>
    </xf>
    <xf numFmtId="179" fontId="11" fillId="5" borderId="16" xfId="4" applyNumberFormat="1" applyFont="1" applyFill="1" applyBorder="1" applyAlignment="1" applyProtection="1">
      <alignment vertical="center"/>
      <protection hidden="1"/>
    </xf>
    <xf numFmtId="0" fontId="11" fillId="5" borderId="105" xfId="0" applyNumberFormat="1" applyFont="1" applyFill="1" applyBorder="1" applyAlignment="1" applyProtection="1">
      <alignment horizontal="center" vertical="top"/>
      <protection hidden="1"/>
    </xf>
    <xf numFmtId="0" fontId="11" fillId="5" borderId="7" xfId="0" applyNumberFormat="1" applyFont="1" applyFill="1" applyBorder="1" applyAlignment="1" applyProtection="1">
      <alignment horizontal="center" vertical="top"/>
      <protection hidden="1"/>
    </xf>
    <xf numFmtId="0" fontId="10" fillId="9" borderId="9" xfId="7" applyNumberFormat="1" applyFont="1" applyFill="1" applyBorder="1" applyAlignment="1" applyProtection="1">
      <alignment vertical="center"/>
      <protection hidden="1"/>
    </xf>
    <xf numFmtId="0" fontId="10" fillId="5" borderId="23" xfId="7" applyNumberFormat="1" applyFont="1" applyFill="1" applyBorder="1" applyAlignment="1" applyProtection="1">
      <alignment vertical="center"/>
      <protection hidden="1"/>
    </xf>
    <xf numFmtId="0" fontId="9" fillId="5" borderId="46" xfId="4" applyNumberFormat="1" applyFont="1" applyFill="1" applyBorder="1" applyAlignment="1" applyProtection="1">
      <alignment horizontal="right" vertical="center" indent="1"/>
      <protection hidden="1"/>
    </xf>
    <xf numFmtId="0" fontId="10" fillId="5" borderId="24" xfId="7" applyNumberFormat="1" applyFont="1" applyFill="1" applyBorder="1" applyAlignment="1" applyProtection="1">
      <alignment vertical="center"/>
      <protection hidden="1"/>
    </xf>
    <xf numFmtId="0" fontId="10" fillId="5" borderId="22" xfId="4" applyNumberFormat="1" applyFont="1" applyFill="1" applyBorder="1" applyProtection="1">
      <protection hidden="1"/>
    </xf>
    <xf numFmtId="0" fontId="10" fillId="5" borderId="21" xfId="7" applyNumberFormat="1" applyFont="1" applyFill="1" applyBorder="1" applyAlignment="1" applyProtection="1">
      <alignment vertical="center"/>
      <protection hidden="1"/>
    </xf>
    <xf numFmtId="0" fontId="10" fillId="5" borderId="24" xfId="4" applyNumberFormat="1" applyFont="1" applyFill="1" applyBorder="1" applyProtection="1">
      <protection hidden="1"/>
    </xf>
    <xf numFmtId="0" fontId="10" fillId="5" borderId="6" xfId="4" applyNumberFormat="1" applyFont="1" applyFill="1" applyBorder="1" applyProtection="1">
      <protection hidden="1"/>
    </xf>
    <xf numFmtId="0" fontId="10" fillId="5" borderId="7" xfId="4" applyNumberFormat="1" applyFont="1" applyFill="1" applyBorder="1" applyProtection="1">
      <protection hidden="1"/>
    </xf>
    <xf numFmtId="0" fontId="10" fillId="5" borderId="26" xfId="7" applyNumberFormat="1" applyFont="1" applyFill="1" applyBorder="1" applyAlignment="1" applyProtection="1">
      <alignment vertical="center"/>
      <protection hidden="1"/>
    </xf>
    <xf numFmtId="0" fontId="9" fillId="5" borderId="59" xfId="4" applyNumberFormat="1" applyFont="1" applyFill="1" applyBorder="1" applyAlignment="1" applyProtection="1">
      <alignment horizontal="right" vertical="center" indent="1"/>
      <protection hidden="1"/>
    </xf>
    <xf numFmtId="0" fontId="10" fillId="5" borderId="28" xfId="7" applyNumberFormat="1" applyFont="1" applyFill="1" applyBorder="1" applyAlignment="1" applyProtection="1">
      <alignment vertical="center"/>
      <protection hidden="1"/>
    </xf>
    <xf numFmtId="0" fontId="10" fillId="5" borderId="36" xfId="4" applyNumberFormat="1" applyFont="1" applyFill="1" applyBorder="1" applyProtection="1">
      <protection hidden="1"/>
    </xf>
    <xf numFmtId="0" fontId="10" fillId="5" borderId="27" xfId="7" applyNumberFormat="1" applyFont="1" applyFill="1" applyBorder="1" applyAlignment="1" applyProtection="1">
      <alignment vertical="center"/>
      <protection hidden="1"/>
    </xf>
    <xf numFmtId="0" fontId="10" fillId="5" borderId="28" xfId="4" applyNumberFormat="1" applyFont="1" applyFill="1" applyBorder="1" applyProtection="1">
      <protection hidden="1"/>
    </xf>
    <xf numFmtId="0" fontId="10" fillId="5" borderId="27" xfId="4" applyNumberFormat="1" applyFont="1" applyFill="1" applyBorder="1" applyProtection="1">
      <protection hidden="1"/>
    </xf>
    <xf numFmtId="0" fontId="10" fillId="5" borderId="21" xfId="4" applyNumberFormat="1" applyFont="1" applyFill="1" applyBorder="1" applyProtection="1">
      <protection hidden="1"/>
    </xf>
    <xf numFmtId="0" fontId="10" fillId="5" borderId="5" xfId="7" applyNumberFormat="1" applyFont="1" applyFill="1" applyBorder="1" applyAlignment="1" applyProtection="1">
      <alignment vertical="center"/>
      <protection hidden="1"/>
    </xf>
    <xf numFmtId="0" fontId="9" fillId="5" borderId="105" xfId="4" applyNumberFormat="1" applyFont="1" applyFill="1" applyBorder="1" applyAlignment="1" applyProtection="1">
      <alignment horizontal="right" vertical="center" indent="1"/>
      <protection hidden="1"/>
    </xf>
    <xf numFmtId="0" fontId="10" fillId="5" borderId="7" xfId="7" applyNumberFormat="1" applyFont="1" applyFill="1" applyBorder="1" applyAlignment="1" applyProtection="1">
      <alignment vertical="center"/>
      <protection hidden="1"/>
    </xf>
    <xf numFmtId="0" fontId="10" fillId="5" borderId="10" xfId="4" applyNumberFormat="1" applyFont="1" applyFill="1" applyBorder="1" applyProtection="1">
      <protection hidden="1"/>
    </xf>
    <xf numFmtId="0" fontId="10" fillId="5" borderId="6" xfId="7" applyNumberFormat="1" applyFont="1" applyFill="1" applyBorder="1" applyAlignment="1" applyProtection="1">
      <alignment vertical="center"/>
      <protection hidden="1"/>
    </xf>
    <xf numFmtId="0" fontId="10" fillId="5" borderId="35" xfId="7" applyNumberFormat="1" applyFont="1" applyFill="1" applyBorder="1" applyAlignment="1" applyProtection="1">
      <alignment vertical="center"/>
      <protection hidden="1"/>
    </xf>
    <xf numFmtId="0" fontId="10" fillId="5" borderId="29" xfId="7" applyNumberFormat="1" applyFont="1" applyFill="1" applyBorder="1" applyAlignment="1" applyProtection="1">
      <alignment vertical="center"/>
      <protection hidden="1"/>
    </xf>
    <xf numFmtId="0" fontId="9" fillId="5" borderId="39" xfId="4" applyNumberFormat="1" applyFont="1" applyFill="1" applyBorder="1" applyAlignment="1" applyProtection="1">
      <alignment horizontal="right" vertical="center" indent="1"/>
      <protection hidden="1"/>
    </xf>
    <xf numFmtId="0" fontId="10" fillId="5" borderId="32" xfId="7" applyNumberFormat="1" applyFont="1" applyFill="1" applyBorder="1" applyAlignment="1" applyProtection="1">
      <alignment vertical="center"/>
      <protection hidden="1"/>
    </xf>
    <xf numFmtId="0" fontId="10" fillId="5" borderId="101" xfId="4" applyNumberFormat="1" applyFont="1" applyFill="1" applyBorder="1" applyProtection="1">
      <protection hidden="1"/>
    </xf>
    <xf numFmtId="0" fontId="10" fillId="5" borderId="90" xfId="7" applyNumberFormat="1" applyFont="1" applyFill="1" applyBorder="1" applyAlignment="1" applyProtection="1">
      <alignment vertical="center"/>
      <protection hidden="1"/>
    </xf>
    <xf numFmtId="0" fontId="10" fillId="5" borderId="30" xfId="7" applyNumberFormat="1" applyFont="1" applyFill="1" applyBorder="1" applyAlignment="1" applyProtection="1">
      <alignment vertical="center"/>
      <protection hidden="1"/>
    </xf>
    <xf numFmtId="0" fontId="10" fillId="5" borderId="32" xfId="4" applyNumberFormat="1" applyFont="1" applyFill="1" applyBorder="1" applyProtection="1">
      <protection hidden="1"/>
    </xf>
    <xf numFmtId="0" fontId="10" fillId="5" borderId="30" xfId="4" applyNumberFormat="1" applyFont="1" applyFill="1" applyBorder="1" applyProtection="1">
      <protection hidden="1"/>
    </xf>
    <xf numFmtId="0" fontId="11" fillId="5" borderId="11" xfId="0" applyNumberFormat="1" applyFont="1" applyFill="1" applyBorder="1" applyAlignment="1" applyProtection="1">
      <alignment horizontal="center" vertical="top" wrapText="1"/>
      <protection hidden="1"/>
    </xf>
    <xf numFmtId="0" fontId="11" fillId="5" borderId="25" xfId="0" applyNumberFormat="1" applyFont="1" applyFill="1" applyBorder="1" applyAlignment="1" applyProtection="1">
      <alignment horizontal="center" vertical="center" wrapText="1"/>
      <protection hidden="1"/>
    </xf>
    <xf numFmtId="179" fontId="11" fillId="5" borderId="57" xfId="4" applyNumberFormat="1" applyFont="1" applyFill="1" applyBorder="1" applyAlignment="1" applyProtection="1">
      <alignment vertical="center"/>
      <protection hidden="1"/>
    </xf>
    <xf numFmtId="0" fontId="10" fillId="5" borderId="9" xfId="4" applyNumberFormat="1" applyFont="1" applyFill="1" applyBorder="1" applyProtection="1">
      <protection hidden="1"/>
    </xf>
    <xf numFmtId="0" fontId="10" fillId="5" borderId="0" xfId="4" applyNumberFormat="1" applyFont="1" applyFill="1" applyBorder="1" applyProtection="1">
      <protection hidden="1"/>
    </xf>
    <xf numFmtId="0" fontId="10" fillId="5" borderId="11" xfId="4" applyNumberFormat="1" applyFont="1" applyFill="1" applyBorder="1" applyProtection="1">
      <protection hidden="1"/>
    </xf>
    <xf numFmtId="0" fontId="10" fillId="5" borderId="20" xfId="4" applyNumberFormat="1" applyFont="1" applyFill="1" applyBorder="1" applyProtection="1">
      <protection hidden="1"/>
    </xf>
    <xf numFmtId="0" fontId="10" fillId="5" borderId="25" xfId="4" applyNumberFormat="1" applyFont="1" applyFill="1" applyBorder="1" applyProtection="1">
      <protection hidden="1"/>
    </xf>
    <xf numFmtId="0" fontId="10" fillId="5" borderId="37" xfId="4" applyNumberFormat="1" applyFont="1" applyFill="1" applyBorder="1" applyProtection="1">
      <protection hidden="1"/>
    </xf>
    <xf numFmtId="0" fontId="10" fillId="5" borderId="38" xfId="7" applyNumberFormat="1" applyFont="1" applyFill="1" applyBorder="1" applyAlignment="1" applyProtection="1">
      <alignment vertical="center"/>
      <protection hidden="1"/>
    </xf>
    <xf numFmtId="0" fontId="10" fillId="5" borderId="34" xfId="4" applyNumberFormat="1" applyFont="1" applyFill="1" applyBorder="1" applyProtection="1">
      <protection hidden="1"/>
    </xf>
    <xf numFmtId="0" fontId="10" fillId="5" borderId="92" xfId="7" applyNumberFormat="1" applyFont="1" applyFill="1" applyBorder="1" applyAlignment="1" applyProtection="1">
      <alignment vertical="center"/>
      <protection hidden="1"/>
    </xf>
    <xf numFmtId="0" fontId="10" fillId="5" borderId="95" xfId="7" applyNumberFormat="1" applyFont="1" applyFill="1" applyBorder="1" applyAlignment="1" applyProtection="1">
      <alignment vertical="center"/>
      <protection hidden="1"/>
    </xf>
    <xf numFmtId="0" fontId="10" fillId="5" borderId="94" xfId="4" applyNumberFormat="1" applyFont="1" applyFill="1" applyBorder="1" applyProtection="1">
      <protection hidden="1"/>
    </xf>
    <xf numFmtId="0" fontId="10" fillId="7" borderId="89" xfId="4" applyFont="1" applyFill="1" applyBorder="1" applyProtection="1">
      <protection hidden="1"/>
    </xf>
    <xf numFmtId="0" fontId="10" fillId="7" borderId="95" xfId="4" applyFont="1" applyFill="1" applyBorder="1" applyProtection="1">
      <protection hidden="1"/>
    </xf>
    <xf numFmtId="0" fontId="10" fillId="12" borderId="89" xfId="4" applyFont="1" applyFill="1" applyBorder="1" applyProtection="1">
      <protection hidden="1"/>
    </xf>
    <xf numFmtId="0" fontId="10" fillId="12" borderId="95" xfId="4" applyFont="1" applyFill="1" applyBorder="1" applyProtection="1">
      <protection hidden="1"/>
    </xf>
    <xf numFmtId="179" fontId="11" fillId="12" borderId="5" xfId="4" applyNumberFormat="1" applyFont="1" applyFill="1" applyBorder="1" applyAlignment="1" applyProtection="1">
      <alignment vertical="center"/>
      <protection hidden="1"/>
    </xf>
    <xf numFmtId="179" fontId="11" fillId="12" borderId="6" xfId="4" applyNumberFormat="1" applyFont="1" applyFill="1" applyBorder="1" applyAlignment="1" applyProtection="1">
      <alignment vertical="center"/>
      <protection hidden="1"/>
    </xf>
    <xf numFmtId="179" fontId="11" fillId="12" borderId="105" xfId="4" applyNumberFormat="1" applyFont="1" applyFill="1" applyBorder="1" applyAlignment="1" applyProtection="1">
      <alignment vertical="center"/>
      <protection hidden="1"/>
    </xf>
    <xf numFmtId="0" fontId="10" fillId="12" borderId="105" xfId="4" applyFont="1" applyFill="1" applyBorder="1" applyProtection="1">
      <protection hidden="1"/>
    </xf>
    <xf numFmtId="179" fontId="10" fillId="12" borderId="15" xfId="4" applyNumberFormat="1" applyFont="1" applyFill="1" applyBorder="1" applyAlignment="1" applyProtection="1">
      <alignment vertical="center"/>
      <protection hidden="1"/>
    </xf>
    <xf numFmtId="179" fontId="11" fillId="12" borderId="9" xfId="4" applyNumberFormat="1" applyFont="1" applyFill="1" applyBorder="1" applyAlignment="1" applyProtection="1">
      <alignment vertical="center"/>
      <protection hidden="1"/>
    </xf>
    <xf numFmtId="179" fontId="11" fillId="12" borderId="95" xfId="4" applyNumberFormat="1" applyFont="1" applyFill="1" applyBorder="1" applyAlignment="1" applyProtection="1">
      <alignment vertical="center"/>
      <protection hidden="1"/>
    </xf>
    <xf numFmtId="176" fontId="11" fillId="12" borderId="71" xfId="4" applyNumberFormat="1" applyFont="1" applyFill="1" applyBorder="1" applyAlignment="1" applyProtection="1">
      <alignment vertical="center"/>
      <protection hidden="1"/>
    </xf>
    <xf numFmtId="176" fontId="11" fillId="12" borderId="19" xfId="4" applyNumberFormat="1" applyFont="1" applyFill="1" applyBorder="1" applyAlignment="1" applyProtection="1">
      <alignment vertical="center"/>
      <protection hidden="1"/>
    </xf>
    <xf numFmtId="0" fontId="11" fillId="3" borderId="11" xfId="9" applyFont="1" applyFill="1" applyBorder="1" applyAlignment="1" applyProtection="1">
      <alignment vertical="top" wrapText="1"/>
      <protection hidden="1"/>
    </xf>
    <xf numFmtId="179" fontId="11" fillId="9" borderId="42" xfId="0" applyNumberFormat="1" applyFont="1" applyFill="1" applyBorder="1" applyAlignment="1" applyProtection="1">
      <alignment vertical="center"/>
      <protection hidden="1"/>
    </xf>
    <xf numFmtId="179" fontId="19" fillId="9" borderId="7" xfId="0" applyNumberFormat="1" applyFont="1" applyFill="1" applyBorder="1" applyAlignment="1" applyProtection="1">
      <alignment vertical="center"/>
      <protection hidden="1"/>
    </xf>
    <xf numFmtId="179" fontId="19" fillId="9" borderId="96" xfId="0" applyNumberFormat="1" applyFont="1" applyFill="1" applyBorder="1" applyAlignment="1" applyProtection="1">
      <alignment vertical="center"/>
      <protection hidden="1"/>
    </xf>
    <xf numFmtId="172" fontId="10" fillId="5" borderId="0" xfId="0" quotePrefix="1" applyNumberFormat="1" applyFont="1" applyFill="1" applyBorder="1" applyAlignment="1" applyProtection="1">
      <alignment horizontal="left"/>
      <protection hidden="1"/>
    </xf>
    <xf numFmtId="0" fontId="28" fillId="9" borderId="36" xfId="0" applyFont="1" applyFill="1" applyBorder="1" applyAlignment="1" applyProtection="1">
      <alignment horizontal="center" vertical="center"/>
      <protection hidden="1"/>
    </xf>
    <xf numFmtId="0" fontId="28" fillId="0" borderId="32" xfId="0" applyFont="1" applyFill="1" applyBorder="1" applyAlignment="1" applyProtection="1">
      <alignment horizontal="center" vertical="center"/>
      <protection hidden="1"/>
    </xf>
    <xf numFmtId="0" fontId="10" fillId="9" borderId="105" xfId="0" applyNumberFormat="1" applyFont="1" applyFill="1" applyBorder="1" applyProtection="1">
      <protection hidden="1"/>
    </xf>
    <xf numFmtId="0" fontId="10" fillId="9" borderId="106" xfId="0" applyFont="1" applyFill="1" applyBorder="1" applyProtection="1">
      <protection hidden="1"/>
    </xf>
    <xf numFmtId="0" fontId="29" fillId="0" borderId="29" xfId="0" applyFont="1" applyFill="1" applyBorder="1" applyAlignment="1" applyProtection="1">
      <alignment horizontal="left" vertical="center" indent="1"/>
      <protection hidden="1"/>
    </xf>
    <xf numFmtId="0" fontId="29" fillId="0" borderId="31" xfId="0" applyFont="1" applyFill="1" applyBorder="1" applyAlignment="1" applyProtection="1">
      <alignment horizontal="left" vertical="center" indent="1"/>
      <protection hidden="1"/>
    </xf>
    <xf numFmtId="0" fontId="10" fillId="3" borderId="0" xfId="0" applyNumberFormat="1" applyFont="1" applyFill="1" applyBorder="1" applyAlignment="1" applyProtection="1">
      <protection hidden="1"/>
    </xf>
    <xf numFmtId="0" fontId="11" fillId="5" borderId="98" xfId="0" applyFont="1" applyFill="1" applyBorder="1" applyAlignment="1" applyProtection="1">
      <alignment horizontal="center" vertical="center" wrapText="1"/>
      <protection hidden="1"/>
    </xf>
    <xf numFmtId="172" fontId="10" fillId="9" borderId="41" xfId="0" applyNumberFormat="1" applyFont="1" applyFill="1" applyBorder="1" applyProtection="1">
      <protection hidden="1"/>
    </xf>
    <xf numFmtId="178" fontId="9" fillId="0" borderId="45" xfId="4" applyNumberFormat="1" applyFont="1" applyFill="1" applyBorder="1" applyAlignment="1" applyProtection="1">
      <alignment vertical="center"/>
      <protection locked="0"/>
    </xf>
    <xf numFmtId="178" fontId="9" fillId="0" borderId="55" xfId="4" applyNumberFormat="1" applyFont="1" applyFill="1" applyBorder="1" applyAlignment="1" applyProtection="1">
      <alignment vertical="center"/>
      <protection locked="0"/>
    </xf>
    <xf numFmtId="180" fontId="11" fillId="8" borderId="108" xfId="0" applyNumberFormat="1" applyFont="1" applyFill="1" applyBorder="1" applyAlignment="1" applyProtection="1">
      <alignment vertical="center"/>
      <protection hidden="1"/>
    </xf>
    <xf numFmtId="0" fontId="27" fillId="9" borderId="90" xfId="0" applyFont="1" applyFill="1" applyBorder="1" applyAlignment="1" applyProtection="1">
      <alignment horizontal="left" vertical="center" indent="1"/>
      <protection hidden="1"/>
    </xf>
    <xf numFmtId="0" fontId="28" fillId="9" borderId="101" xfId="0" applyFont="1" applyFill="1" applyBorder="1" applyAlignment="1" applyProtection="1">
      <alignment horizontal="center" vertical="center"/>
      <protection hidden="1"/>
    </xf>
    <xf numFmtId="0" fontId="17" fillId="9" borderId="106" xfId="0" applyFont="1" applyFill="1" applyBorder="1" applyAlignment="1" applyProtection="1">
      <alignment horizontal="center" vertical="center"/>
      <protection hidden="1"/>
    </xf>
    <xf numFmtId="0" fontId="10" fillId="9" borderId="7" xfId="12" applyFont="1" applyFill="1" applyBorder="1" applyProtection="1">
      <protection hidden="1"/>
    </xf>
    <xf numFmtId="0" fontId="25" fillId="5" borderId="11" xfId="12" applyFont="1" applyFill="1" applyBorder="1" applyAlignment="1" applyProtection="1">
      <alignment horizontal="left" vertical="center" indent="4"/>
      <protection hidden="1"/>
    </xf>
    <xf numFmtId="0" fontId="10" fillId="9" borderId="37" xfId="7" applyNumberFormat="1" applyFont="1" applyFill="1" applyBorder="1" applyAlignment="1" applyProtection="1">
      <alignment vertical="center"/>
      <protection hidden="1"/>
    </xf>
    <xf numFmtId="179" fontId="19" fillId="9" borderId="32" xfId="12" applyNumberFormat="1" applyFont="1" applyFill="1" applyBorder="1" applyAlignment="1" applyProtection="1">
      <alignment vertical="center"/>
      <protection hidden="1"/>
    </xf>
    <xf numFmtId="179" fontId="19" fillId="5" borderId="88" xfId="12" applyNumberFormat="1" applyFont="1" applyFill="1" applyBorder="1" applyAlignment="1" applyProtection="1">
      <alignment vertical="center"/>
      <protection hidden="1"/>
    </xf>
    <xf numFmtId="179" fontId="19" fillId="5" borderId="30" xfId="12" applyNumberFormat="1" applyFont="1" applyFill="1" applyBorder="1" applyAlignment="1" applyProtection="1">
      <alignment vertical="center"/>
      <protection hidden="1"/>
    </xf>
    <xf numFmtId="179" fontId="11" fillId="5" borderId="29" xfId="12" applyNumberFormat="1" applyFont="1" applyFill="1" applyBorder="1" applyAlignment="1" applyProtection="1">
      <alignment vertical="center"/>
      <protection hidden="1"/>
    </xf>
    <xf numFmtId="179" fontId="11" fillId="5" borderId="30" xfId="12" applyNumberFormat="1" applyFont="1" applyFill="1" applyBorder="1" applyAlignment="1" applyProtection="1">
      <alignment vertical="center"/>
      <protection hidden="1"/>
    </xf>
    <xf numFmtId="179" fontId="11" fillId="5" borderId="32" xfId="12" applyNumberFormat="1" applyFont="1" applyFill="1" applyBorder="1" applyAlignment="1" applyProtection="1">
      <alignment vertical="center"/>
      <protection hidden="1"/>
    </xf>
    <xf numFmtId="179" fontId="11" fillId="5" borderId="101" xfId="12" applyNumberFormat="1" applyFont="1" applyFill="1" applyBorder="1" applyAlignment="1" applyProtection="1">
      <alignment vertical="center"/>
      <protection hidden="1"/>
    </xf>
    <xf numFmtId="179" fontId="11" fillId="5" borderId="42" xfId="12" applyNumberFormat="1" applyFont="1" applyFill="1" applyBorder="1" applyAlignment="1" applyProtection="1">
      <alignment vertical="center"/>
      <protection hidden="1"/>
    </xf>
    <xf numFmtId="0" fontId="10" fillId="5" borderId="106" xfId="12" applyFont="1" applyFill="1" applyBorder="1" applyProtection="1">
      <protection hidden="1"/>
    </xf>
    <xf numFmtId="0" fontId="10" fillId="7" borderId="106" xfId="12" applyFont="1" applyFill="1" applyBorder="1" applyProtection="1">
      <protection hidden="1"/>
    </xf>
    <xf numFmtId="0" fontId="10" fillId="12" borderId="0" xfId="12" applyFont="1" applyFill="1" applyBorder="1" applyProtection="1">
      <protection hidden="1"/>
    </xf>
    <xf numFmtId="0" fontId="10" fillId="13" borderId="106" xfId="12" applyFont="1" applyFill="1" applyBorder="1" applyProtection="1">
      <protection hidden="1"/>
    </xf>
    <xf numFmtId="178" fontId="10" fillId="0" borderId="39" xfId="7" applyNumberFormat="1" applyFont="1" applyFill="1" applyBorder="1" applyAlignment="1" applyProtection="1">
      <alignment vertical="center"/>
      <protection locked="0"/>
    </xf>
    <xf numFmtId="178" fontId="10" fillId="0" borderId="92" xfId="7" applyNumberFormat="1" applyFont="1" applyFill="1" applyBorder="1" applyAlignment="1" applyProtection="1">
      <alignment vertical="center"/>
      <protection locked="0"/>
    </xf>
    <xf numFmtId="178" fontId="10" fillId="0" borderId="95" xfId="7" applyNumberFormat="1" applyFont="1" applyFill="1" applyBorder="1" applyAlignment="1" applyProtection="1">
      <alignment vertical="center"/>
      <protection locked="0"/>
    </xf>
    <xf numFmtId="0" fontId="25" fillId="5" borderId="11" xfId="12" applyFont="1" applyFill="1" applyBorder="1" applyAlignment="1" applyProtection="1">
      <alignment horizontal="left" vertical="center" indent="5"/>
      <protection hidden="1"/>
    </xf>
    <xf numFmtId="179" fontId="19" fillId="5" borderId="32" xfId="12" applyNumberFormat="1" applyFont="1" applyFill="1" applyBorder="1" applyAlignment="1" applyProtection="1">
      <alignment vertical="center"/>
      <protection hidden="1"/>
    </xf>
    <xf numFmtId="179" fontId="11" fillId="5" borderId="38" xfId="12" applyNumberFormat="1" applyFont="1" applyFill="1" applyBorder="1" applyAlignment="1" applyProtection="1">
      <alignment vertical="center"/>
      <protection hidden="1"/>
    </xf>
    <xf numFmtId="179" fontId="11" fillId="5" borderId="53" xfId="12" applyNumberFormat="1" applyFont="1" applyFill="1" applyBorder="1" applyAlignment="1" applyProtection="1">
      <alignment vertical="center"/>
      <protection hidden="1"/>
    </xf>
    <xf numFmtId="179" fontId="11" fillId="5" borderId="109" xfId="12" applyNumberFormat="1" applyFont="1" applyFill="1" applyBorder="1" applyAlignment="1" applyProtection="1">
      <alignment vertical="center"/>
      <protection hidden="1"/>
    </xf>
    <xf numFmtId="179" fontId="11" fillId="5" borderId="49" xfId="12" applyNumberFormat="1" applyFont="1" applyFill="1" applyBorder="1" applyAlignment="1" applyProtection="1">
      <alignment vertical="center"/>
      <protection hidden="1"/>
    </xf>
    <xf numFmtId="179" fontId="11" fillId="5" borderId="51" xfId="12" applyNumberFormat="1" applyFont="1" applyFill="1" applyBorder="1" applyAlignment="1" applyProtection="1">
      <alignment vertical="center"/>
      <protection hidden="1"/>
    </xf>
    <xf numFmtId="179" fontId="11" fillId="5" borderId="48" xfId="12" applyNumberFormat="1" applyFont="1" applyFill="1" applyBorder="1" applyAlignment="1" applyProtection="1">
      <alignment vertical="center"/>
      <protection hidden="1"/>
    </xf>
    <xf numFmtId="179" fontId="11" fillId="5" borderId="52" xfId="12" applyNumberFormat="1" applyFont="1" applyFill="1" applyBorder="1" applyAlignment="1" applyProtection="1">
      <alignment vertical="center"/>
      <protection hidden="1"/>
    </xf>
    <xf numFmtId="0" fontId="10" fillId="9" borderId="0" xfId="12" applyFont="1" applyFill="1" applyAlignment="1" applyProtection="1">
      <alignment horizontal="center" vertical="center"/>
      <protection hidden="1"/>
    </xf>
    <xf numFmtId="0" fontId="26" fillId="5" borderId="0" xfId="12" applyFont="1" applyFill="1" applyAlignment="1" applyProtection="1">
      <alignment vertical="center"/>
      <protection hidden="1"/>
    </xf>
    <xf numFmtId="0" fontId="10" fillId="5" borderId="0" xfId="12" applyFont="1" applyFill="1" applyProtection="1">
      <protection hidden="1"/>
    </xf>
    <xf numFmtId="0" fontId="10" fillId="5" borderId="0" xfId="12" applyFont="1" applyFill="1" applyAlignment="1" applyProtection="1">
      <protection hidden="1"/>
    </xf>
    <xf numFmtId="0" fontId="11" fillId="5" borderId="104" xfId="12" applyNumberFormat="1" applyFont="1" applyFill="1" applyBorder="1" applyAlignment="1" applyProtection="1">
      <protection hidden="1"/>
    </xf>
    <xf numFmtId="0" fontId="11" fillId="4" borderId="0" xfId="12" applyFont="1" applyFill="1" applyBorder="1" applyAlignment="1" applyProtection="1">
      <alignment vertical="center"/>
      <protection hidden="1"/>
    </xf>
    <xf numFmtId="0" fontId="10" fillId="2" borderId="0" xfId="12" applyFont="1" applyFill="1" applyProtection="1">
      <protection hidden="1"/>
    </xf>
    <xf numFmtId="0" fontId="15" fillId="4" borderId="0" xfId="12" applyFont="1" applyFill="1" applyBorder="1" applyAlignment="1" applyProtection="1">
      <protection hidden="1"/>
    </xf>
    <xf numFmtId="0" fontId="10" fillId="4" borderId="0" xfId="12" applyFont="1" applyFill="1" applyBorder="1" applyAlignment="1" applyProtection="1">
      <alignment horizontal="left" indent="2"/>
      <protection hidden="1"/>
    </xf>
    <xf numFmtId="0" fontId="10" fillId="4" borderId="106" xfId="12" applyFont="1" applyFill="1" applyBorder="1" applyAlignment="1" applyProtection="1">
      <protection hidden="1"/>
    </xf>
    <xf numFmtId="0" fontId="10" fillId="4" borderId="0" xfId="12" applyFont="1" applyFill="1" applyBorder="1" applyAlignment="1" applyProtection="1">
      <protection hidden="1"/>
    </xf>
    <xf numFmtId="0" fontId="11" fillId="2" borderId="0" xfId="12" applyFont="1" applyFill="1" applyBorder="1" applyAlignment="1" applyProtection="1">
      <alignment vertical="center"/>
      <protection hidden="1"/>
    </xf>
    <xf numFmtId="0" fontId="16" fillId="5" borderId="0" xfId="12" applyFont="1" applyFill="1" applyBorder="1" applyAlignment="1" applyProtection="1">
      <alignment horizontal="center" vertical="center"/>
      <protection hidden="1"/>
    </xf>
    <xf numFmtId="0" fontId="11" fillId="4" borderId="0" xfId="12" applyFont="1" applyFill="1" applyBorder="1" applyAlignment="1" applyProtection="1">
      <protection hidden="1"/>
    </xf>
    <xf numFmtId="0" fontId="11" fillId="5" borderId="0" xfId="12" applyFont="1" applyFill="1" applyBorder="1" applyAlignment="1" applyProtection="1">
      <alignment horizontal="left" vertical="center" indent="1"/>
      <protection hidden="1"/>
    </xf>
    <xf numFmtId="0" fontId="11" fillId="5" borderId="0" xfId="12" applyFont="1" applyFill="1" applyBorder="1" applyAlignment="1" applyProtection="1">
      <alignment vertical="center"/>
      <protection hidden="1"/>
    </xf>
    <xf numFmtId="0" fontId="10" fillId="5" borderId="0" xfId="12" applyFont="1" applyFill="1" applyBorder="1" applyAlignment="1" applyProtection="1">
      <alignment horizontal="left" indent="2"/>
      <protection hidden="1"/>
    </xf>
    <xf numFmtId="0" fontId="11" fillId="4" borderId="0" xfId="12" applyFont="1" applyFill="1" applyBorder="1" applyAlignment="1" applyProtection="1">
      <alignment horizontal="right" vertical="center"/>
      <protection hidden="1"/>
    </xf>
    <xf numFmtId="0" fontId="10" fillId="4" borderId="61" xfId="12" applyFont="1" applyFill="1" applyBorder="1" applyAlignment="1" applyProtection="1">
      <alignment horizontal="left" indent="2"/>
      <protection hidden="1"/>
    </xf>
    <xf numFmtId="0" fontId="10" fillId="4" borderId="25" xfId="12" applyFont="1" applyFill="1" applyBorder="1" applyAlignment="1" applyProtection="1">
      <protection hidden="1"/>
    </xf>
    <xf numFmtId="0" fontId="10" fillId="4" borderId="106" xfId="12" applyFont="1" applyFill="1" applyBorder="1" applyAlignment="1" applyProtection="1">
      <alignment vertical="center"/>
      <protection hidden="1"/>
    </xf>
    <xf numFmtId="0" fontId="10" fillId="4" borderId="0" xfId="12" applyFont="1" applyFill="1" applyBorder="1" applyAlignment="1" applyProtection="1">
      <alignment vertical="center"/>
      <protection hidden="1"/>
    </xf>
    <xf numFmtId="0" fontId="10" fillId="4" borderId="11" xfId="12" applyFont="1" applyFill="1" applyBorder="1" applyAlignment="1" applyProtection="1">
      <alignment vertical="center" wrapText="1"/>
      <protection hidden="1"/>
    </xf>
    <xf numFmtId="0" fontId="11" fillId="4" borderId="5" xfId="12" applyFont="1" applyFill="1" applyBorder="1" applyAlignment="1" applyProtection="1">
      <alignment horizontal="center" vertical="center"/>
      <protection hidden="1"/>
    </xf>
    <xf numFmtId="0" fontId="11" fillId="4" borderId="11" xfId="12" applyFont="1" applyFill="1" applyBorder="1" applyAlignment="1" applyProtection="1">
      <protection hidden="1"/>
    </xf>
    <xf numFmtId="0" fontId="11" fillId="3" borderId="5" xfId="12" applyFont="1" applyFill="1" applyBorder="1" applyAlignment="1" applyProtection="1">
      <alignment horizontal="center" vertical="center"/>
      <protection hidden="1"/>
    </xf>
    <xf numFmtId="0" fontId="11" fillId="3" borderId="106" xfId="12" applyFont="1" applyFill="1" applyBorder="1" applyAlignment="1" applyProtection="1">
      <alignment horizontal="center" vertical="center"/>
      <protection hidden="1"/>
    </xf>
    <xf numFmtId="0" fontId="10" fillId="2" borderId="0" xfId="12" applyFont="1" applyFill="1" applyAlignment="1" applyProtection="1">
      <protection hidden="1"/>
    </xf>
    <xf numFmtId="0" fontId="11" fillId="4" borderId="17" xfId="12" applyFont="1" applyFill="1" applyBorder="1" applyAlignment="1" applyProtection="1">
      <protection hidden="1"/>
    </xf>
    <xf numFmtId="186" fontId="11" fillId="3" borderId="14" xfId="12" quotePrefix="1" applyNumberFormat="1" applyFont="1" applyFill="1" applyBorder="1" applyAlignment="1" applyProtection="1">
      <alignment horizontal="center" vertical="center"/>
      <protection hidden="1"/>
    </xf>
    <xf numFmtId="186" fontId="11" fillId="3" borderId="12" xfId="12" quotePrefix="1" applyNumberFormat="1" applyFont="1" applyFill="1" applyBorder="1" applyAlignment="1" applyProtection="1">
      <alignment horizontal="center" vertical="center"/>
      <protection hidden="1"/>
    </xf>
    <xf numFmtId="186" fontId="11" fillId="3" borderId="15" xfId="12" quotePrefix="1" applyNumberFormat="1" applyFont="1" applyFill="1" applyBorder="1" applyAlignment="1" applyProtection="1">
      <alignment horizontal="center" vertical="center"/>
      <protection hidden="1"/>
    </xf>
    <xf numFmtId="0" fontId="15" fillId="4" borderId="106" xfId="12" applyFont="1" applyFill="1" applyBorder="1" applyAlignment="1" applyProtection="1">
      <alignment vertical="top"/>
      <protection hidden="1"/>
    </xf>
    <xf numFmtId="0" fontId="15" fillId="4" borderId="0" xfId="12" applyFont="1" applyFill="1" applyBorder="1" applyAlignment="1" applyProtection="1">
      <alignment vertical="top"/>
      <protection hidden="1"/>
    </xf>
    <xf numFmtId="0" fontId="10" fillId="14" borderId="0" xfId="12" applyFont="1" applyFill="1" applyAlignment="1" applyProtection="1">
      <protection hidden="1"/>
    </xf>
    <xf numFmtId="0" fontId="10" fillId="14" borderId="0" xfId="12" applyFont="1" applyFill="1" applyBorder="1" applyProtection="1">
      <protection hidden="1"/>
    </xf>
    <xf numFmtId="0" fontId="11" fillId="14" borderId="0" xfId="12" applyFont="1" applyFill="1" applyAlignment="1" applyProtection="1">
      <alignment vertical="top" wrapText="1"/>
      <protection hidden="1"/>
    </xf>
    <xf numFmtId="0" fontId="10" fillId="4" borderId="0" xfId="12" applyFont="1" applyFill="1" applyBorder="1" applyProtection="1">
      <protection hidden="1"/>
    </xf>
    <xf numFmtId="0" fontId="15" fillId="4" borderId="0" xfId="12" applyFont="1" applyFill="1" applyBorder="1" applyProtection="1">
      <protection hidden="1"/>
    </xf>
    <xf numFmtId="0" fontId="11" fillId="4" borderId="0" xfId="12" applyFont="1" applyFill="1" applyBorder="1" applyAlignment="1" applyProtection="1">
      <alignment horizontal="left" vertical="center"/>
      <protection hidden="1"/>
    </xf>
    <xf numFmtId="0" fontId="11" fillId="4" borderId="0" xfId="12" applyFont="1" applyFill="1" applyBorder="1" applyAlignment="1" applyProtection="1">
      <alignment horizontal="left"/>
      <protection hidden="1"/>
    </xf>
    <xf numFmtId="0" fontId="11" fillId="4" borderId="11" xfId="12" applyFont="1" applyFill="1" applyBorder="1" applyAlignment="1" applyProtection="1">
      <alignment horizontal="center" vertical="center"/>
      <protection hidden="1"/>
    </xf>
    <xf numFmtId="186" fontId="11" fillId="5" borderId="17" xfId="12" quotePrefix="1" applyNumberFormat="1" applyFont="1" applyFill="1" applyBorder="1" applyAlignment="1" applyProtection="1">
      <alignment horizontal="center" vertical="center" wrapText="1"/>
      <protection hidden="1"/>
    </xf>
    <xf numFmtId="0" fontId="11" fillId="4" borderId="33" xfId="12" applyFont="1" applyFill="1" applyBorder="1" applyAlignment="1" applyProtection="1">
      <alignment horizontal="left" vertical="center" indent="1"/>
      <protection hidden="1"/>
    </xf>
    <xf numFmtId="179" fontId="11" fillId="9" borderId="77" xfId="12" applyNumberFormat="1" applyFont="1" applyFill="1" applyBorder="1" applyAlignment="1" applyProtection="1">
      <alignment vertical="center"/>
      <protection hidden="1"/>
    </xf>
    <xf numFmtId="0" fontId="10" fillId="4" borderId="58" xfId="12" applyFont="1" applyFill="1" applyBorder="1" applyAlignment="1" applyProtection="1">
      <protection hidden="1"/>
    </xf>
    <xf numFmtId="0" fontId="10" fillId="4" borderId="58" xfId="12" applyFont="1" applyFill="1" applyBorder="1" applyProtection="1">
      <protection hidden="1"/>
    </xf>
    <xf numFmtId="0" fontId="11" fillId="4" borderId="104" xfId="12" applyFont="1" applyFill="1" applyBorder="1" applyAlignment="1" applyProtection="1">
      <alignment horizontal="left" vertical="center" indent="1"/>
      <protection hidden="1"/>
    </xf>
    <xf numFmtId="0" fontId="10" fillId="7" borderId="110" xfId="12" applyFont="1" applyFill="1" applyBorder="1" applyProtection="1">
      <protection hidden="1"/>
    </xf>
    <xf numFmtId="0" fontId="10" fillId="9" borderId="11" xfId="7" applyNumberFormat="1" applyFont="1" applyFill="1" applyBorder="1" applyAlignment="1" applyProtection="1">
      <alignment vertical="center"/>
      <protection hidden="1"/>
    </xf>
    <xf numFmtId="3" fontId="13" fillId="0" borderId="106" xfId="14" applyNumberFormat="1" applyFont="1" applyFill="1" applyBorder="1" applyAlignment="1" applyProtection="1">
      <alignment horizontal="center" vertical="center"/>
      <protection hidden="1"/>
    </xf>
    <xf numFmtId="0" fontId="13" fillId="0" borderId="98" xfId="14" applyNumberFormat="1" applyFont="1" applyFill="1" applyBorder="1" applyAlignment="1" applyProtection="1">
      <alignment horizontal="center" vertical="center" wrapText="1"/>
      <protection hidden="1"/>
    </xf>
    <xf numFmtId="181" fontId="12" fillId="0" borderId="106" xfId="14" applyNumberFormat="1" applyFont="1" applyFill="1" applyBorder="1" applyAlignment="1" applyProtection="1">
      <protection hidden="1"/>
    </xf>
    <xf numFmtId="181" fontId="12" fillId="0" borderId="111" xfId="14" applyNumberFormat="1" applyFont="1" applyFill="1" applyBorder="1" applyAlignment="1" applyProtection="1">
      <protection hidden="1"/>
    </xf>
    <xf numFmtId="0" fontId="12" fillId="0" borderId="106" xfId="14" applyFont="1" applyFill="1" applyBorder="1" applyAlignment="1" applyProtection="1">
      <alignment horizontal="left" indent="1"/>
      <protection hidden="1"/>
    </xf>
    <xf numFmtId="0" fontId="11" fillId="0" borderId="106" xfId="12" applyFont="1" applyBorder="1" applyAlignment="1" applyProtection="1">
      <alignment horizontal="center" vertical="center"/>
      <protection hidden="1"/>
    </xf>
    <xf numFmtId="0" fontId="10" fillId="9" borderId="112" xfId="0" applyNumberFormat="1" applyFont="1" applyFill="1" applyBorder="1" applyProtection="1">
      <protection hidden="1"/>
    </xf>
    <xf numFmtId="0" fontId="29" fillId="0" borderId="106" xfId="0" applyFont="1" applyFill="1" applyBorder="1" applyAlignment="1" applyProtection="1">
      <alignment horizontal="left" vertical="center" indent="1"/>
      <protection hidden="1"/>
    </xf>
    <xf numFmtId="0" fontId="10" fillId="9" borderId="106" xfId="0" applyFont="1" applyFill="1" applyBorder="1" applyAlignment="1" applyProtection="1">
      <alignment horizontal="center" vertical="center"/>
      <protection hidden="1"/>
    </xf>
    <xf numFmtId="0" fontId="28" fillId="9" borderId="32" xfId="0" applyFont="1" applyFill="1" applyBorder="1" applyAlignment="1" applyProtection="1">
      <alignment horizontal="center" vertical="center"/>
      <protection hidden="1"/>
    </xf>
    <xf numFmtId="0" fontId="10" fillId="9" borderId="113" xfId="0" applyNumberFormat="1" applyFont="1" applyFill="1" applyBorder="1" applyProtection="1">
      <protection hidden="1"/>
    </xf>
    <xf numFmtId="0" fontId="28" fillId="0" borderId="96" xfId="0" applyFont="1" applyFill="1" applyBorder="1" applyAlignment="1" applyProtection="1">
      <alignment horizontal="center" vertical="center"/>
      <protection hidden="1"/>
    </xf>
    <xf numFmtId="0" fontId="13" fillId="0" borderId="89" xfId="14" applyFont="1" applyBorder="1" applyAlignment="1" applyProtection="1">
      <alignment horizontal="center" vertical="top" wrapText="1"/>
      <protection hidden="1"/>
    </xf>
    <xf numFmtId="0" fontId="11" fillId="0" borderId="0" xfId="14" applyFont="1" applyFill="1" applyProtection="1">
      <protection hidden="1"/>
    </xf>
    <xf numFmtId="0" fontId="10" fillId="0" borderId="0" xfId="14" applyFont="1" applyFill="1" applyProtection="1">
      <protection hidden="1"/>
    </xf>
    <xf numFmtId="0" fontId="10" fillId="0" borderId="0" xfId="14" applyFont="1" applyFill="1" applyAlignment="1" applyProtection="1">
      <protection hidden="1"/>
    </xf>
    <xf numFmtId="0" fontId="10" fillId="0" borderId="0" xfId="14" applyFont="1" applyFill="1" applyBorder="1" applyProtection="1">
      <protection hidden="1"/>
    </xf>
    <xf numFmtId="0" fontId="10" fillId="0" borderId="0" xfId="14" applyNumberFormat="1" applyFont="1" applyFill="1" applyAlignment="1" applyProtection="1">
      <protection hidden="1"/>
    </xf>
    <xf numFmtId="0" fontId="10" fillId="0" borderId="0" xfId="14" applyFont="1" applyProtection="1">
      <protection hidden="1"/>
    </xf>
    <xf numFmtId="0" fontId="10" fillId="0" borderId="0" xfId="14" applyFont="1" applyBorder="1" applyProtection="1">
      <protection hidden="1"/>
    </xf>
    <xf numFmtId="0" fontId="10" fillId="0" borderId="0" xfId="14" applyNumberFormat="1" applyFont="1" applyAlignment="1" applyProtection="1">
      <protection hidden="1"/>
    </xf>
    <xf numFmtId="0" fontId="10" fillId="0" borderId="20" xfId="14" applyFont="1" applyBorder="1" applyProtection="1">
      <protection hidden="1"/>
    </xf>
    <xf numFmtId="0" fontId="10" fillId="0" borderId="22" xfId="14" applyFont="1" applyBorder="1" applyProtection="1">
      <protection hidden="1"/>
    </xf>
    <xf numFmtId="0" fontId="10" fillId="0" borderId="9" xfId="14" applyFont="1" applyBorder="1" applyProtection="1">
      <protection hidden="1"/>
    </xf>
    <xf numFmtId="0" fontId="10" fillId="0" borderId="10" xfId="14" applyFont="1" applyBorder="1" applyProtection="1">
      <protection hidden="1"/>
    </xf>
    <xf numFmtId="175" fontId="11" fillId="0" borderId="106" xfId="5" applyNumberFormat="1" applyFont="1" applyFill="1" applyBorder="1" applyAlignment="1" applyProtection="1">
      <alignment horizontal="center" vertical="top" wrapText="1"/>
      <protection hidden="1"/>
    </xf>
    <xf numFmtId="0" fontId="11" fillId="0" borderId="0" xfId="14" applyFont="1" applyAlignment="1" applyProtection="1">
      <alignment horizontal="center" vertical="top"/>
      <protection hidden="1"/>
    </xf>
    <xf numFmtId="175" fontId="10" fillId="0" borderId="106" xfId="5" applyNumberFormat="1" applyFont="1" applyFill="1" applyBorder="1" applyAlignment="1" applyProtection="1">
      <protection hidden="1"/>
    </xf>
    <xf numFmtId="0" fontId="11" fillId="0" borderId="9" xfId="14" applyFont="1" applyBorder="1" applyAlignment="1" applyProtection="1">
      <alignment horizontal="center" vertical="top" wrapText="1"/>
      <protection hidden="1"/>
    </xf>
    <xf numFmtId="0" fontId="11" fillId="0" borderId="95" xfId="14" applyFont="1" applyBorder="1" applyAlignment="1" applyProtection="1">
      <alignment horizontal="center" vertical="top" wrapText="1"/>
      <protection hidden="1"/>
    </xf>
    <xf numFmtId="0" fontId="11" fillId="0" borderId="10" xfId="14" applyFont="1" applyBorder="1" applyAlignment="1" applyProtection="1">
      <alignment horizontal="center" vertical="top" wrapText="1"/>
      <protection hidden="1"/>
    </xf>
    <xf numFmtId="0" fontId="11" fillId="0" borderId="10" xfId="14" applyFont="1" applyBorder="1" applyAlignment="1" applyProtection="1">
      <alignment horizontal="center" vertical="top"/>
      <protection hidden="1"/>
    </xf>
    <xf numFmtId="175" fontId="11" fillId="0" borderId="115" xfId="5" applyNumberFormat="1" applyFont="1" applyFill="1" applyBorder="1" applyAlignment="1" applyProtection="1">
      <alignment horizontal="center" vertical="top" wrapText="1"/>
      <protection hidden="1"/>
    </xf>
    <xf numFmtId="0" fontId="11" fillId="0" borderId="89" xfId="14" applyNumberFormat="1" applyFont="1" applyFill="1" applyBorder="1" applyAlignment="1" applyProtection="1">
      <alignment horizontal="center" vertical="top" wrapText="1"/>
      <protection hidden="1"/>
    </xf>
    <xf numFmtId="0" fontId="11" fillId="0" borderId="95" xfId="14" applyNumberFormat="1" applyFont="1" applyFill="1" applyBorder="1" applyAlignment="1" applyProtection="1">
      <alignment horizontal="center" vertical="top" wrapText="1"/>
      <protection hidden="1"/>
    </xf>
    <xf numFmtId="0" fontId="10" fillId="0" borderId="5" xfId="14" applyFont="1" applyBorder="1" applyProtection="1">
      <protection hidden="1"/>
    </xf>
    <xf numFmtId="0" fontId="10" fillId="0" borderId="0" xfId="14" applyFont="1" applyBorder="1" applyAlignment="1" applyProtection="1">
      <protection hidden="1"/>
    </xf>
    <xf numFmtId="0" fontId="11" fillId="0" borderId="89" xfId="14" applyFont="1" applyBorder="1" applyAlignment="1" applyProtection="1">
      <alignment horizontal="center" vertical="center"/>
      <protection hidden="1"/>
    </xf>
    <xf numFmtId="0" fontId="11" fillId="0" borderId="96" xfId="14" applyFont="1" applyBorder="1" applyAlignment="1" applyProtection="1">
      <alignment horizontal="left" vertical="center" indent="1"/>
      <protection hidden="1"/>
    </xf>
    <xf numFmtId="0" fontId="11" fillId="0" borderId="106" xfId="11" applyFont="1" applyBorder="1" applyAlignment="1" applyProtection="1">
      <alignment horizontal="center" vertical="center"/>
      <protection hidden="1"/>
    </xf>
    <xf numFmtId="0" fontId="11" fillId="0" borderId="115" xfId="12" applyFont="1" applyBorder="1" applyAlignment="1" applyProtection="1">
      <alignment horizontal="center" vertical="center"/>
      <protection hidden="1"/>
    </xf>
    <xf numFmtId="0" fontId="11" fillId="0" borderId="7" xfId="14" applyFont="1" applyBorder="1" applyAlignment="1" applyProtection="1">
      <alignment horizontal="center" vertical="center"/>
      <protection hidden="1"/>
    </xf>
    <xf numFmtId="0" fontId="11" fillId="0" borderId="5" xfId="14" applyFont="1" applyBorder="1" applyAlignment="1" applyProtection="1">
      <alignment horizontal="center" vertical="center"/>
      <protection hidden="1"/>
    </xf>
    <xf numFmtId="0" fontId="11" fillId="0" borderId="6" xfId="14" applyFont="1" applyBorder="1" applyAlignment="1" applyProtection="1">
      <alignment horizontal="center" vertical="center"/>
      <protection hidden="1"/>
    </xf>
    <xf numFmtId="0" fontId="11" fillId="0" borderId="10" xfId="14" applyFont="1" applyBorder="1" applyAlignment="1" applyProtection="1">
      <alignment horizontal="center" vertical="center"/>
      <protection hidden="1"/>
    </xf>
    <xf numFmtId="0" fontId="10" fillId="0" borderId="0" xfId="14" applyNumberFormat="1" applyFont="1" applyFill="1" applyBorder="1" applyAlignment="1" applyProtection="1">
      <protection hidden="1"/>
    </xf>
    <xf numFmtId="186" fontId="11" fillId="0" borderId="26" xfId="14" applyNumberFormat="1" applyFont="1" applyBorder="1" applyAlignment="1" applyProtection="1">
      <alignment horizontal="center" vertical="center"/>
      <protection hidden="1"/>
    </xf>
    <xf numFmtId="186" fontId="11" fillId="0" borderId="28" xfId="14" applyNumberFormat="1" applyFont="1" applyBorder="1" applyAlignment="1" applyProtection="1">
      <alignment horizontal="center" vertical="center"/>
      <protection hidden="1"/>
    </xf>
    <xf numFmtId="186" fontId="11" fillId="0" borderId="41" xfId="14" applyNumberFormat="1" applyFont="1" applyBorder="1" applyAlignment="1" applyProtection="1">
      <alignment horizontal="center" vertical="center"/>
      <protection hidden="1"/>
    </xf>
    <xf numFmtId="186" fontId="11" fillId="0" borderId="41" xfId="14" quotePrefix="1" applyNumberFormat="1" applyFont="1" applyBorder="1" applyAlignment="1" applyProtection="1">
      <alignment horizontal="center" vertical="center"/>
      <protection hidden="1"/>
    </xf>
    <xf numFmtId="186" fontId="11" fillId="0" borderId="26" xfId="14" quotePrefix="1" applyNumberFormat="1" applyFont="1" applyBorder="1" applyAlignment="1" applyProtection="1">
      <alignment horizontal="center" vertical="center"/>
      <protection hidden="1"/>
    </xf>
    <xf numFmtId="186" fontId="11" fillId="0" borderId="27" xfId="8" quotePrefix="1" applyNumberFormat="1" applyFont="1" applyBorder="1" applyAlignment="1" applyProtection="1">
      <alignment horizontal="center" vertical="center"/>
      <protection hidden="1"/>
    </xf>
    <xf numFmtId="186" fontId="11" fillId="0" borderId="28" xfId="8" quotePrefix="1" applyNumberFormat="1" applyFont="1" applyBorder="1" applyAlignment="1" applyProtection="1">
      <alignment horizontal="center" vertical="center"/>
      <protection hidden="1"/>
    </xf>
    <xf numFmtId="186" fontId="11" fillId="0" borderId="27" xfId="14" quotePrefix="1" applyNumberFormat="1" applyFont="1" applyBorder="1" applyAlignment="1" applyProtection="1">
      <alignment horizontal="center" vertical="center"/>
      <protection hidden="1"/>
    </xf>
    <xf numFmtId="186" fontId="11" fillId="0" borderId="59" xfId="8" quotePrefix="1" applyNumberFormat="1" applyFont="1" applyBorder="1" applyAlignment="1" applyProtection="1">
      <alignment horizontal="center" vertical="center"/>
      <protection hidden="1"/>
    </xf>
    <xf numFmtId="186" fontId="11" fillId="0" borderId="28" xfId="14" quotePrefix="1" applyNumberFormat="1" applyFont="1" applyBorder="1" applyAlignment="1" applyProtection="1">
      <alignment horizontal="center" vertical="center"/>
      <protection hidden="1"/>
    </xf>
    <xf numFmtId="186" fontId="11" fillId="0" borderId="26" xfId="8" quotePrefix="1" applyNumberFormat="1" applyFont="1" applyBorder="1" applyAlignment="1" applyProtection="1">
      <alignment horizontal="center" vertical="center"/>
      <protection hidden="1"/>
    </xf>
    <xf numFmtId="174" fontId="10" fillId="0" borderId="92" xfId="14" applyNumberFormat="1" applyFont="1" applyBorder="1" applyProtection="1">
      <protection hidden="1"/>
    </xf>
    <xf numFmtId="0" fontId="10" fillId="0" borderId="107" xfId="14" applyFont="1" applyFill="1" applyBorder="1" applyAlignment="1" applyProtection="1">
      <alignment horizontal="left" indent="1"/>
      <protection hidden="1"/>
    </xf>
    <xf numFmtId="183" fontId="10" fillId="0" borderId="106" xfId="14" applyNumberFormat="1" applyFont="1" applyBorder="1" applyProtection="1">
      <protection hidden="1"/>
    </xf>
    <xf numFmtId="175" fontId="10" fillId="0" borderId="9" xfId="14" applyNumberFormat="1" applyFont="1" applyBorder="1" applyAlignment="1" applyProtection="1">
      <protection hidden="1"/>
    </xf>
    <xf numFmtId="175" fontId="10" fillId="0" borderId="95" xfId="14" applyNumberFormat="1" applyFont="1" applyBorder="1" applyAlignment="1" applyProtection="1">
      <protection hidden="1"/>
    </xf>
    <xf numFmtId="175" fontId="10" fillId="0" borderId="96" xfId="14" applyNumberFormat="1" applyFont="1" applyBorder="1" applyAlignment="1" applyProtection="1">
      <protection hidden="1"/>
    </xf>
    <xf numFmtId="175" fontId="11" fillId="0" borderId="96" xfId="14" applyNumberFormat="1" applyFont="1" applyBorder="1" applyAlignment="1" applyProtection="1">
      <protection hidden="1"/>
    </xf>
    <xf numFmtId="174" fontId="10" fillId="0" borderId="96" xfId="14" applyNumberFormat="1" applyFont="1" applyBorder="1" applyProtection="1">
      <protection hidden="1"/>
    </xf>
    <xf numFmtId="174" fontId="10" fillId="0" borderId="5" xfId="14" applyNumberFormat="1" applyFont="1" applyBorder="1" applyProtection="1">
      <protection hidden="1"/>
    </xf>
    <xf numFmtId="174" fontId="10" fillId="0" borderId="0" xfId="14" applyNumberFormat="1" applyFont="1" applyBorder="1" applyProtection="1">
      <protection hidden="1"/>
    </xf>
    <xf numFmtId="174" fontId="10" fillId="0" borderId="6" xfId="14" applyNumberFormat="1" applyFont="1" applyBorder="1" applyProtection="1">
      <protection hidden="1"/>
    </xf>
    <xf numFmtId="174" fontId="10" fillId="0" borderId="106" xfId="14" applyNumberFormat="1" applyFont="1" applyBorder="1" applyProtection="1">
      <protection hidden="1"/>
    </xf>
    <xf numFmtId="174" fontId="10" fillId="0" borderId="7" xfId="14" applyNumberFormat="1" applyFont="1" applyBorder="1" applyProtection="1">
      <protection hidden="1"/>
    </xf>
    <xf numFmtId="174" fontId="10" fillId="0" borderId="9" xfId="14" applyNumberFormat="1" applyFont="1" applyBorder="1" applyProtection="1">
      <protection hidden="1"/>
    </xf>
    <xf numFmtId="0" fontId="10" fillId="0" borderId="10" xfId="14" applyFont="1" applyFill="1" applyBorder="1" applyAlignment="1" applyProtection="1">
      <alignment horizontal="left" indent="1"/>
      <protection hidden="1"/>
    </xf>
    <xf numFmtId="175" fontId="10" fillId="0" borderId="6" xfId="14" applyNumberFormat="1" applyFont="1" applyBorder="1" applyAlignment="1" applyProtection="1">
      <protection hidden="1"/>
    </xf>
    <xf numFmtId="175" fontId="10" fillId="0" borderId="7" xfId="14" applyNumberFormat="1" applyFont="1" applyBorder="1" applyAlignment="1" applyProtection="1">
      <protection hidden="1"/>
    </xf>
    <xf numFmtId="175" fontId="10" fillId="0" borderId="106" xfId="11" applyNumberFormat="1" applyFont="1" applyFill="1" applyBorder="1" applyAlignment="1" applyProtection="1">
      <protection hidden="1"/>
    </xf>
    <xf numFmtId="183" fontId="11" fillId="0" borderId="7" xfId="14" applyNumberFormat="1" applyFont="1" applyBorder="1" applyAlignment="1" applyProtection="1">
      <protection hidden="1"/>
    </xf>
    <xf numFmtId="175" fontId="10" fillId="0" borderId="106" xfId="14" applyNumberFormat="1" applyFont="1" applyBorder="1" applyAlignment="1" applyProtection="1">
      <protection hidden="1"/>
    </xf>
    <xf numFmtId="175" fontId="10" fillId="0" borderId="7" xfId="12" applyNumberFormat="1" applyFont="1" applyFill="1" applyBorder="1" applyAlignment="1" applyProtection="1">
      <protection hidden="1"/>
    </xf>
    <xf numFmtId="0" fontId="10" fillId="0" borderId="10" xfId="8" applyNumberFormat="1" applyFont="1" applyBorder="1" applyAlignment="1" applyProtection="1">
      <alignment horizontal="left" indent="1"/>
      <protection hidden="1"/>
    </xf>
    <xf numFmtId="175" fontId="10" fillId="0" borderId="5" xfId="14" applyNumberFormat="1" applyFont="1" applyBorder="1" applyAlignment="1" applyProtection="1">
      <protection hidden="1"/>
    </xf>
    <xf numFmtId="0" fontId="10" fillId="0" borderId="33" xfId="14" applyFont="1" applyBorder="1" applyAlignment="1" applyProtection="1">
      <protection hidden="1"/>
    </xf>
    <xf numFmtId="0" fontId="11" fillId="0" borderId="16" xfId="14" applyFont="1" applyFill="1" applyBorder="1" applyAlignment="1" applyProtection="1">
      <alignment horizontal="left" vertical="center" indent="1"/>
      <protection hidden="1"/>
    </xf>
    <xf numFmtId="183" fontId="11" fillId="0" borderId="64" xfId="14" applyNumberFormat="1" applyFont="1" applyBorder="1" applyAlignment="1" applyProtection="1">
      <alignment vertical="center"/>
      <protection hidden="1"/>
    </xf>
    <xf numFmtId="183" fontId="11" fillId="0" borderId="33" xfId="14" applyNumberFormat="1" applyFont="1" applyBorder="1" applyAlignment="1" applyProtection="1">
      <alignment vertical="center"/>
      <protection hidden="1"/>
    </xf>
    <xf numFmtId="183" fontId="11" fillId="0" borderId="12" xfId="14" applyNumberFormat="1" applyFont="1" applyBorder="1" applyAlignment="1" applyProtection="1">
      <alignment vertical="center"/>
      <protection hidden="1"/>
    </xf>
    <xf numFmtId="183" fontId="11" fillId="0" borderId="15" xfId="14" applyNumberFormat="1" applyFont="1" applyBorder="1" applyAlignment="1" applyProtection="1">
      <alignment vertical="center"/>
      <protection hidden="1"/>
    </xf>
    <xf numFmtId="175" fontId="11" fillId="0" borderId="14" xfId="14" applyNumberFormat="1" applyFont="1" applyBorder="1" applyAlignment="1" applyProtection="1">
      <alignment vertical="center"/>
      <protection hidden="1"/>
    </xf>
    <xf numFmtId="175" fontId="11" fillId="0" borderId="12" xfId="14" applyNumberFormat="1" applyFont="1" applyBorder="1" applyAlignment="1" applyProtection="1">
      <alignment vertical="center"/>
      <protection hidden="1"/>
    </xf>
    <xf numFmtId="175" fontId="11" fillId="0" borderId="15" xfId="14" applyNumberFormat="1" applyFont="1" applyBorder="1" applyAlignment="1" applyProtection="1">
      <alignment vertical="center"/>
      <protection hidden="1"/>
    </xf>
    <xf numFmtId="175" fontId="11" fillId="0" borderId="33" xfId="14" applyNumberFormat="1" applyFont="1" applyBorder="1" applyAlignment="1" applyProtection="1">
      <alignment vertical="center"/>
      <protection hidden="1"/>
    </xf>
    <xf numFmtId="175" fontId="11" fillId="0" borderId="13" xfId="14" applyNumberFormat="1" applyFont="1" applyBorder="1" applyAlignment="1" applyProtection="1">
      <alignment vertical="center"/>
      <protection hidden="1"/>
    </xf>
    <xf numFmtId="174" fontId="11" fillId="0" borderId="15" xfId="14" applyNumberFormat="1" applyFont="1" applyBorder="1" applyAlignment="1" applyProtection="1">
      <alignment vertical="center"/>
      <protection hidden="1"/>
    </xf>
    <xf numFmtId="174" fontId="11" fillId="0" borderId="14" xfId="14" applyNumberFormat="1" applyFont="1" applyBorder="1" applyAlignment="1" applyProtection="1">
      <alignment vertical="center"/>
      <protection hidden="1"/>
    </xf>
    <xf numFmtId="174" fontId="11" fillId="0" borderId="61" xfId="14" applyNumberFormat="1" applyFont="1" applyBorder="1" applyAlignment="1" applyProtection="1">
      <alignment vertical="center"/>
      <protection hidden="1"/>
    </xf>
    <xf numFmtId="174" fontId="11" fillId="0" borderId="12" xfId="14" applyNumberFormat="1" applyFont="1" applyBorder="1" applyAlignment="1" applyProtection="1">
      <alignment vertical="center"/>
      <protection hidden="1"/>
    </xf>
    <xf numFmtId="174" fontId="11" fillId="0" borderId="64" xfId="14" applyNumberFormat="1" applyFont="1" applyBorder="1" applyAlignment="1" applyProtection="1">
      <alignment vertical="center"/>
      <protection hidden="1"/>
    </xf>
    <xf numFmtId="0" fontId="10" fillId="0" borderId="0" xfId="0" applyFont="1" applyProtection="1">
      <protection hidden="1"/>
    </xf>
    <xf numFmtId="0" fontId="10" fillId="0" borderId="0" xfId="0" applyNumberFormat="1" applyFont="1" applyAlignment="1" applyProtection="1">
      <protection hidden="1"/>
    </xf>
    <xf numFmtId="0" fontId="10" fillId="0" borderId="0" xfId="0" applyNumberFormat="1" applyFont="1" applyFill="1" applyAlignment="1" applyProtection="1">
      <protection hidden="1"/>
    </xf>
    <xf numFmtId="0" fontId="10" fillId="0" borderId="20" xfId="0" applyFont="1" applyBorder="1" applyProtection="1">
      <protection hidden="1"/>
    </xf>
    <xf numFmtId="0" fontId="10" fillId="0" borderId="22" xfId="0" applyFont="1" applyBorder="1" applyProtection="1">
      <protection hidden="1"/>
    </xf>
    <xf numFmtId="0" fontId="11" fillId="0" borderId="73" xfId="0" applyFont="1" applyBorder="1" applyAlignment="1" applyProtection="1">
      <alignment horizontal="centerContinuous" vertical="center"/>
      <protection hidden="1"/>
    </xf>
    <xf numFmtId="0" fontId="11" fillId="0" borderId="74" xfId="0" applyFont="1" applyBorder="1" applyAlignment="1" applyProtection="1">
      <alignment horizontal="centerContinuous" vertical="center"/>
      <protection hidden="1"/>
    </xf>
    <xf numFmtId="0" fontId="11" fillId="0" borderId="68" xfId="0" applyFont="1" applyBorder="1" applyAlignment="1" applyProtection="1">
      <alignment horizontal="centerContinuous" vertical="center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10" fillId="0" borderId="9" xfId="0" applyFont="1" applyBorder="1" applyProtection="1">
      <protection hidden="1"/>
    </xf>
    <xf numFmtId="0" fontId="10" fillId="0" borderId="10" xfId="0" applyFont="1" applyBorder="1" applyProtection="1">
      <protection hidden="1"/>
    </xf>
    <xf numFmtId="0" fontId="11" fillId="0" borderId="9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0" fontId="11" fillId="0" borderId="6" xfId="8" applyNumberFormat="1" applyFont="1" applyBorder="1" applyAlignment="1" applyProtection="1">
      <alignment horizontal="center" vertical="top" wrapText="1"/>
      <protection hidden="1"/>
    </xf>
    <xf numFmtId="0" fontId="11" fillId="0" borderId="115" xfId="0" applyFont="1" applyFill="1" applyBorder="1" applyAlignment="1" applyProtection="1">
      <alignment horizontal="center" vertical="top" wrapText="1"/>
      <protection hidden="1"/>
    </xf>
    <xf numFmtId="0" fontId="11" fillId="0" borderId="91" xfId="0" applyFont="1" applyFill="1" applyBorder="1" applyAlignment="1" applyProtection="1">
      <alignment horizontal="center" vertical="top"/>
      <protection hidden="1"/>
    </xf>
    <xf numFmtId="0" fontId="11" fillId="0" borderId="0" xfId="0" applyFont="1" applyBorder="1" applyAlignment="1" applyProtection="1">
      <alignment horizontal="center" vertical="top" wrapText="1"/>
      <protection hidden="1"/>
    </xf>
    <xf numFmtId="0" fontId="11" fillId="0" borderId="10" xfId="0" applyFont="1" applyBorder="1" applyAlignment="1" applyProtection="1">
      <alignment horizontal="left" vertical="center" indent="1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1" fillId="0" borderId="95" xfId="0" applyFont="1" applyBorder="1" applyAlignment="1" applyProtection="1">
      <alignment horizontal="center" vertical="center"/>
      <protection hidden="1"/>
    </xf>
    <xf numFmtId="0" fontId="11" fillId="0" borderId="99" xfId="0" applyFont="1" applyBorder="1" applyAlignment="1" applyProtection="1">
      <alignment horizontal="center" vertical="center"/>
      <protection hidden="1"/>
    </xf>
    <xf numFmtId="0" fontId="11" fillId="0" borderId="89" xfId="0" applyFont="1" applyBorder="1" applyAlignment="1" applyProtection="1">
      <alignment horizontal="center" vertical="center"/>
      <protection hidden="1"/>
    </xf>
    <xf numFmtId="0" fontId="11" fillId="0" borderId="96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15" xfId="0" applyFont="1" applyBorder="1" applyProtection="1">
      <protection hidden="1"/>
    </xf>
    <xf numFmtId="0" fontId="10" fillId="0" borderId="11" xfId="0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10" fillId="0" borderId="9" xfId="0" applyFont="1" applyBorder="1" applyAlignment="1" applyProtection="1">
      <protection hidden="1"/>
    </xf>
    <xf numFmtId="0" fontId="11" fillId="0" borderId="10" xfId="0" applyFont="1" applyBorder="1" applyAlignment="1" applyProtection="1">
      <alignment horizontal="left" vertical="top" indent="1"/>
      <protection hidden="1"/>
    </xf>
    <xf numFmtId="0" fontId="11" fillId="0" borderId="115" xfId="0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0" fontId="11" fillId="0" borderId="106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center" vertical="center"/>
      <protection hidden="1"/>
    </xf>
    <xf numFmtId="186" fontId="11" fillId="0" borderId="35" xfId="0" applyNumberFormat="1" applyFont="1" applyBorder="1" applyAlignment="1" applyProtection="1">
      <alignment horizontal="center" vertical="center"/>
      <protection hidden="1"/>
    </xf>
    <xf numFmtId="186" fontId="11" fillId="0" borderId="36" xfId="0" applyNumberFormat="1" applyFont="1" applyBorder="1" applyAlignment="1" applyProtection="1">
      <alignment horizontal="center" vertical="center"/>
      <protection hidden="1"/>
    </xf>
    <xf numFmtId="186" fontId="11" fillId="0" borderId="0" xfId="0" quotePrefix="1" applyNumberFormat="1" applyFont="1" applyBorder="1" applyAlignment="1" applyProtection="1">
      <alignment horizontal="center" vertical="center"/>
      <protection hidden="1"/>
    </xf>
    <xf numFmtId="186" fontId="11" fillId="0" borderId="115" xfId="8" quotePrefix="1" applyNumberFormat="1" applyFont="1" applyBorder="1" applyAlignment="1" applyProtection="1">
      <alignment horizontal="center" vertical="center"/>
      <protection hidden="1"/>
    </xf>
    <xf numFmtId="186" fontId="11" fillId="0" borderId="35" xfId="8" quotePrefix="1" applyNumberFormat="1" applyFont="1" applyBorder="1" applyAlignment="1" applyProtection="1">
      <alignment horizontal="center" vertical="center"/>
      <protection hidden="1"/>
    </xf>
    <xf numFmtId="186" fontId="11" fillId="0" borderId="27" xfId="0" quotePrefix="1" applyNumberFormat="1" applyFont="1" applyBorder="1" applyAlignment="1" applyProtection="1">
      <alignment horizontal="center" vertical="center"/>
      <protection hidden="1"/>
    </xf>
    <xf numFmtId="186" fontId="11" fillId="0" borderId="59" xfId="0" quotePrefix="1" applyNumberFormat="1" applyFont="1" applyBorder="1" applyAlignment="1" applyProtection="1">
      <alignment horizontal="center" vertical="center"/>
      <protection hidden="1"/>
    </xf>
    <xf numFmtId="186" fontId="11" fillId="0" borderId="37" xfId="8" quotePrefix="1" applyNumberFormat="1" applyFont="1" applyBorder="1" applyAlignment="1" applyProtection="1">
      <alignment horizontal="center" vertical="center"/>
      <protection hidden="1"/>
    </xf>
    <xf numFmtId="186" fontId="11" fillId="0" borderId="0" xfId="8" quotePrefix="1" applyNumberFormat="1" applyFont="1" applyBorder="1" applyAlignment="1" applyProtection="1">
      <alignment horizontal="center" vertical="center"/>
      <protection hidden="1"/>
    </xf>
    <xf numFmtId="170" fontId="10" fillId="0" borderId="9" xfId="0" applyNumberFormat="1" applyFont="1" applyBorder="1" applyProtection="1">
      <protection hidden="1"/>
    </xf>
    <xf numFmtId="0" fontId="11" fillId="0" borderId="107" xfId="12" applyFont="1" applyFill="1" applyBorder="1" applyAlignment="1" applyProtection="1">
      <alignment horizontal="left" indent="1"/>
      <protection hidden="1"/>
    </xf>
    <xf numFmtId="175" fontId="10" fillId="0" borderId="89" xfId="12" applyNumberFormat="1" applyFont="1" applyFill="1" applyBorder="1" applyAlignment="1" applyProtection="1">
      <protection hidden="1"/>
    </xf>
    <xf numFmtId="175" fontId="10" fillId="0" borderId="99" xfId="12" applyNumberFormat="1" applyFont="1" applyFill="1" applyBorder="1" applyAlignment="1" applyProtection="1">
      <protection hidden="1"/>
    </xf>
    <xf numFmtId="175" fontId="11" fillId="0" borderId="99" xfId="12" applyNumberFormat="1" applyFont="1" applyFill="1" applyBorder="1" applyAlignment="1" applyProtection="1">
      <protection hidden="1"/>
    </xf>
    <xf numFmtId="175" fontId="11" fillId="0" borderId="99" xfId="14" applyNumberFormat="1" applyFont="1" applyBorder="1" applyAlignment="1" applyProtection="1">
      <protection hidden="1"/>
    </xf>
    <xf numFmtId="175" fontId="10" fillId="0" borderId="96" xfId="12" applyNumberFormat="1" applyFont="1" applyFill="1" applyBorder="1" applyAlignment="1" applyProtection="1">
      <protection hidden="1"/>
    </xf>
    <xf numFmtId="175" fontId="10" fillId="0" borderId="106" xfId="12" applyNumberFormat="1" applyFont="1" applyFill="1" applyBorder="1" applyAlignment="1" applyProtection="1">
      <protection hidden="1"/>
    </xf>
    <xf numFmtId="0" fontId="10" fillId="0" borderId="91" xfId="14" applyNumberFormat="1" applyFont="1" applyBorder="1" applyAlignment="1" applyProtection="1">
      <protection hidden="1"/>
    </xf>
    <xf numFmtId="175" fontId="10" fillId="0" borderId="91" xfId="12" applyNumberFormat="1" applyFont="1" applyFill="1" applyBorder="1" applyAlignment="1" applyProtection="1">
      <protection hidden="1"/>
    </xf>
    <xf numFmtId="0" fontId="11" fillId="0" borderId="10" xfId="12" applyFont="1" applyFill="1" applyBorder="1" applyAlignment="1" applyProtection="1">
      <alignment horizontal="left" vertical="center" indent="1"/>
      <protection hidden="1"/>
    </xf>
    <xf numFmtId="0" fontId="10" fillId="0" borderId="5" xfId="12" applyFont="1" applyFill="1" applyBorder="1" applyAlignment="1" applyProtection="1">
      <protection hidden="1"/>
    </xf>
    <xf numFmtId="0" fontId="10" fillId="0" borderId="115" xfId="12" applyFont="1" applyFill="1" applyBorder="1" applyAlignment="1" applyProtection="1">
      <protection hidden="1"/>
    </xf>
    <xf numFmtId="0" fontId="10" fillId="0" borderId="6" xfId="12" applyFont="1" applyFill="1" applyBorder="1" applyAlignment="1" applyProtection="1">
      <protection hidden="1"/>
    </xf>
    <xf numFmtId="175" fontId="10" fillId="0" borderId="115" xfId="12" applyNumberFormat="1" applyFont="1" applyFill="1" applyBorder="1" applyAlignment="1" applyProtection="1">
      <protection hidden="1"/>
    </xf>
    <xf numFmtId="175" fontId="10" fillId="0" borderId="115" xfId="14" applyNumberFormat="1" applyFont="1" applyBorder="1" applyAlignment="1" applyProtection="1">
      <protection hidden="1"/>
    </xf>
    <xf numFmtId="0" fontId="10" fillId="0" borderId="7" xfId="12" applyFont="1" applyFill="1" applyBorder="1" applyAlignment="1" applyProtection="1">
      <protection hidden="1"/>
    </xf>
    <xf numFmtId="0" fontId="10" fillId="0" borderId="11" xfId="14" applyNumberFormat="1" applyFont="1" applyBorder="1" applyAlignment="1" applyProtection="1">
      <protection hidden="1"/>
    </xf>
    <xf numFmtId="175" fontId="10" fillId="0" borderId="11" xfId="12" applyNumberFormat="1" applyFont="1" applyFill="1" applyBorder="1" applyAlignment="1" applyProtection="1">
      <protection hidden="1"/>
    </xf>
    <xf numFmtId="0" fontId="11" fillId="0" borderId="10" xfId="12" applyFont="1" applyFill="1" applyBorder="1" applyAlignment="1" applyProtection="1">
      <alignment horizontal="left" vertical="center" indent="3"/>
      <protection hidden="1"/>
    </xf>
    <xf numFmtId="0" fontId="10" fillId="0" borderId="5" xfId="14" applyFont="1" applyBorder="1" applyAlignment="1" applyProtection="1">
      <protection hidden="1"/>
    </xf>
    <xf numFmtId="0" fontId="10" fillId="0" borderId="115" xfId="14" applyFont="1" applyBorder="1" applyAlignment="1" applyProtection="1">
      <protection hidden="1"/>
    </xf>
    <xf numFmtId="0" fontId="10" fillId="0" borderId="6" xfId="14" applyFont="1" applyBorder="1" applyAlignment="1" applyProtection="1">
      <protection hidden="1"/>
    </xf>
    <xf numFmtId="0" fontId="10" fillId="0" borderId="7" xfId="14" applyFont="1" applyBorder="1" applyAlignment="1" applyProtection="1">
      <protection hidden="1"/>
    </xf>
    <xf numFmtId="170" fontId="10" fillId="0" borderId="9" xfId="0" applyNumberFormat="1" applyFont="1" applyBorder="1" applyAlignment="1" applyProtection="1">
      <alignment vertical="center"/>
      <protection hidden="1"/>
    </xf>
    <xf numFmtId="0" fontId="10" fillId="0" borderId="10" xfId="12" applyFont="1" applyFill="1" applyBorder="1" applyAlignment="1" applyProtection="1">
      <alignment horizontal="left" vertical="center" indent="4"/>
      <protection hidden="1"/>
    </xf>
    <xf numFmtId="175" fontId="10" fillId="0" borderId="5" xfId="12" applyNumberFormat="1" applyFont="1" applyFill="1" applyBorder="1" applyAlignment="1" applyProtection="1">
      <alignment vertical="center"/>
      <protection hidden="1"/>
    </xf>
    <xf numFmtId="175" fontId="10" fillId="0" borderId="115" xfId="12" applyNumberFormat="1" applyFont="1" applyFill="1" applyBorder="1" applyAlignment="1" applyProtection="1">
      <alignment vertical="center"/>
      <protection hidden="1"/>
    </xf>
    <xf numFmtId="175" fontId="10" fillId="0" borderId="6" xfId="12" applyNumberFormat="1" applyFont="1" applyFill="1" applyBorder="1" applyAlignment="1" applyProtection="1">
      <alignment vertical="center"/>
      <protection hidden="1"/>
    </xf>
    <xf numFmtId="175" fontId="11" fillId="0" borderId="115" xfId="12" applyNumberFormat="1" applyFont="1" applyFill="1" applyBorder="1" applyAlignment="1" applyProtection="1">
      <protection hidden="1"/>
    </xf>
    <xf numFmtId="175" fontId="11" fillId="0" borderId="115" xfId="14" applyNumberFormat="1" applyFont="1" applyBorder="1" applyAlignment="1" applyProtection="1">
      <protection hidden="1"/>
    </xf>
    <xf numFmtId="175" fontId="10" fillId="0" borderId="7" xfId="12" applyNumberFormat="1" applyFont="1" applyFill="1" applyBorder="1" applyAlignment="1" applyProtection="1">
      <alignment vertical="center"/>
      <protection hidden="1"/>
    </xf>
    <xf numFmtId="175" fontId="10" fillId="0" borderId="106" xfId="12" applyNumberFormat="1" applyFont="1" applyFill="1" applyBorder="1" applyAlignment="1" applyProtection="1">
      <alignment vertical="center"/>
      <protection hidden="1"/>
    </xf>
    <xf numFmtId="175" fontId="10" fillId="0" borderId="0" xfId="12" applyNumberFormat="1" applyFont="1" applyFill="1" applyBorder="1" applyAlignment="1" applyProtection="1">
      <alignment vertical="center"/>
      <protection hidden="1"/>
    </xf>
    <xf numFmtId="175" fontId="11" fillId="0" borderId="11" xfId="14" applyNumberFormat="1" applyFont="1" applyBorder="1" applyAlignment="1" applyProtection="1">
      <alignment vertical="center"/>
      <protection hidden="1"/>
    </xf>
    <xf numFmtId="170" fontId="10" fillId="0" borderId="9" xfId="0" applyNumberFormat="1" applyFont="1" applyBorder="1" applyAlignment="1" applyProtection="1">
      <alignment horizontal="right"/>
      <protection hidden="1"/>
    </xf>
    <xf numFmtId="0" fontId="10" fillId="0" borderId="0" xfId="0" applyFont="1" applyAlignment="1" applyProtection="1">
      <alignment horizontal="right"/>
      <protection hidden="1"/>
    </xf>
    <xf numFmtId="0" fontId="11" fillId="0" borderId="10" xfId="12" applyFont="1" applyFill="1" applyBorder="1" applyAlignment="1" applyProtection="1">
      <alignment horizontal="left" vertical="center" indent="4"/>
      <protection hidden="1"/>
    </xf>
    <xf numFmtId="0" fontId="10" fillId="0" borderId="5" xfId="0" applyFont="1" applyBorder="1" applyAlignment="1" applyProtection="1">
      <alignment horizontal="right"/>
      <protection hidden="1"/>
    </xf>
    <xf numFmtId="0" fontId="10" fillId="0" borderId="115" xfId="0" applyFont="1" applyBorder="1" applyAlignment="1" applyProtection="1">
      <alignment horizontal="right"/>
      <protection hidden="1"/>
    </xf>
    <xf numFmtId="0" fontId="10" fillId="0" borderId="6" xfId="0" applyFont="1" applyBorder="1" applyAlignment="1" applyProtection="1">
      <alignment horizontal="right"/>
      <protection hidden="1"/>
    </xf>
    <xf numFmtId="0" fontId="10" fillId="0" borderId="7" xfId="0" applyFont="1" applyBorder="1" applyAlignment="1" applyProtection="1">
      <alignment horizontal="right"/>
      <protection hidden="1"/>
    </xf>
    <xf numFmtId="175" fontId="10" fillId="0" borderId="0" xfId="14" applyNumberFormat="1" applyFont="1" applyBorder="1" applyAlignment="1" applyProtection="1">
      <protection hidden="1"/>
    </xf>
    <xf numFmtId="175" fontId="10" fillId="0" borderId="11" xfId="14" applyNumberFormat="1" applyFont="1" applyBorder="1" applyAlignment="1" applyProtection="1">
      <protection hidden="1"/>
    </xf>
    <xf numFmtId="0" fontId="10" fillId="0" borderId="10" xfId="12" applyFont="1" applyFill="1" applyBorder="1" applyAlignment="1" applyProtection="1">
      <alignment horizontal="left" vertical="center" indent="5"/>
      <protection hidden="1"/>
    </xf>
    <xf numFmtId="170" fontId="10" fillId="0" borderId="9" xfId="0" applyNumberFormat="1" applyFont="1" applyBorder="1" applyAlignment="1" applyProtection="1">
      <alignment horizontal="right" vertical="center"/>
      <protection hidden="1"/>
    </xf>
    <xf numFmtId="0" fontId="10" fillId="0" borderId="5" xfId="0" applyFont="1" applyBorder="1" applyAlignment="1" applyProtection="1">
      <protection hidden="1"/>
    </xf>
    <xf numFmtId="0" fontId="10" fillId="0" borderId="115" xfId="0" applyFont="1" applyBorder="1" applyAlignment="1" applyProtection="1">
      <protection hidden="1"/>
    </xf>
    <xf numFmtId="0" fontId="10" fillId="0" borderId="6" xfId="0" applyFont="1" applyBorder="1" applyAlignment="1" applyProtection="1">
      <protection hidden="1"/>
    </xf>
    <xf numFmtId="0" fontId="10" fillId="0" borderId="7" xfId="0" applyFont="1" applyBorder="1" applyAlignment="1" applyProtection="1">
      <protection hidden="1"/>
    </xf>
    <xf numFmtId="175" fontId="11" fillId="0" borderId="6" xfId="12" applyNumberFormat="1" applyFont="1" applyFill="1" applyBorder="1" applyAlignment="1" applyProtection="1">
      <protection hidden="1"/>
    </xf>
    <xf numFmtId="170" fontId="10" fillId="0" borderId="9" xfId="0" applyNumberFormat="1" applyFont="1" applyBorder="1" applyAlignment="1" applyProtection="1">
      <protection hidden="1"/>
    </xf>
    <xf numFmtId="175" fontId="10" fillId="0" borderId="0" xfId="14" applyNumberFormat="1" applyFont="1" applyAlignment="1" applyProtection="1">
      <protection hidden="1"/>
    </xf>
    <xf numFmtId="175" fontId="11" fillId="0" borderId="5" xfId="12" applyNumberFormat="1" applyFont="1" applyFill="1" applyBorder="1" applyAlignment="1" applyProtection="1">
      <alignment vertical="center"/>
      <protection hidden="1"/>
    </xf>
    <xf numFmtId="175" fontId="11" fillId="0" borderId="115" xfId="12" applyNumberFormat="1" applyFont="1" applyFill="1" applyBorder="1" applyAlignment="1" applyProtection="1">
      <alignment vertical="center"/>
      <protection hidden="1"/>
    </xf>
    <xf numFmtId="175" fontId="11" fillId="0" borderId="6" xfId="12" applyNumberFormat="1" applyFont="1" applyFill="1" applyBorder="1" applyAlignment="1" applyProtection="1">
      <alignment vertical="center"/>
      <protection hidden="1"/>
    </xf>
    <xf numFmtId="175" fontId="11" fillId="0" borderId="7" xfId="12" applyNumberFormat="1" applyFont="1" applyFill="1" applyBorder="1" applyAlignment="1" applyProtection="1">
      <alignment vertical="center"/>
      <protection hidden="1"/>
    </xf>
    <xf numFmtId="181" fontId="10" fillId="0" borderId="33" xfId="0" applyNumberFormat="1" applyFont="1" applyBorder="1" applyAlignment="1" applyProtection="1">
      <alignment vertical="center"/>
      <protection hidden="1"/>
    </xf>
    <xf numFmtId="0" fontId="11" fillId="0" borderId="16" xfId="0" applyFont="1" applyBorder="1" applyAlignment="1" applyProtection="1">
      <alignment horizontal="left" vertical="center" indent="1"/>
      <protection hidden="1"/>
    </xf>
    <xf numFmtId="175" fontId="11" fillId="0" borderId="14" xfId="12" applyNumberFormat="1" applyFont="1" applyFill="1" applyBorder="1" applyAlignment="1" applyProtection="1">
      <alignment vertical="center"/>
      <protection hidden="1"/>
    </xf>
    <xf numFmtId="175" fontId="11" fillId="0" borderId="13" xfId="12" applyNumberFormat="1" applyFont="1" applyFill="1" applyBorder="1" applyAlignment="1" applyProtection="1">
      <alignment vertical="center"/>
      <protection hidden="1"/>
    </xf>
    <xf numFmtId="175" fontId="11" fillId="0" borderId="12" xfId="12" applyNumberFormat="1" applyFont="1" applyFill="1" applyBorder="1" applyAlignment="1" applyProtection="1">
      <alignment vertical="center"/>
      <protection hidden="1"/>
    </xf>
    <xf numFmtId="175" fontId="11" fillId="0" borderId="15" xfId="12" applyNumberFormat="1" applyFont="1" applyFill="1" applyBorder="1" applyAlignment="1" applyProtection="1">
      <alignment vertical="center"/>
      <protection hidden="1"/>
    </xf>
    <xf numFmtId="0" fontId="10" fillId="0" borderId="0" xfId="12" applyNumberFormat="1" applyFont="1" applyFill="1" applyBorder="1" applyAlignment="1" applyProtection="1">
      <protection hidden="1"/>
    </xf>
    <xf numFmtId="0" fontId="10" fillId="0" borderId="0" xfId="0" applyNumberFormat="1" applyFont="1" applyBorder="1" applyAlignment="1" applyProtection="1">
      <protection hidden="1"/>
    </xf>
    <xf numFmtId="0" fontId="10" fillId="0" borderId="106" xfId="12" applyNumberFormat="1" applyFont="1" applyFill="1" applyBorder="1" applyAlignment="1" applyProtection="1">
      <protection hidden="1"/>
    </xf>
    <xf numFmtId="0" fontId="10" fillId="0" borderId="106" xfId="14" applyNumberFormat="1" applyFont="1" applyBorder="1" applyAlignment="1" applyProtection="1">
      <protection hidden="1"/>
    </xf>
    <xf numFmtId="175" fontId="11" fillId="0" borderId="64" xfId="12" applyNumberFormat="1" applyFont="1" applyFill="1" applyBorder="1" applyAlignment="1" applyProtection="1">
      <alignment vertical="center"/>
      <protection hidden="1"/>
    </xf>
    <xf numFmtId="0" fontId="11" fillId="0" borderId="0" xfId="0" applyNumberFormat="1" applyFont="1" applyBorder="1" applyAlignment="1" applyProtection="1">
      <protection hidden="1"/>
    </xf>
    <xf numFmtId="0" fontId="11" fillId="0" borderId="23" xfId="0" applyNumberFormat="1" applyFont="1" applyBorder="1" applyAlignment="1" applyProtection="1">
      <alignment horizontal="center" vertical="center"/>
      <protection hidden="1"/>
    </xf>
    <xf numFmtId="0" fontId="11" fillId="0" borderId="56" xfId="0" applyFont="1" applyFill="1" applyBorder="1" applyAlignment="1" applyProtection="1">
      <alignment horizontal="center" vertical="top"/>
      <protection hidden="1"/>
    </xf>
    <xf numFmtId="0" fontId="11" fillId="0" borderId="24" xfId="0" applyFont="1" applyFill="1" applyBorder="1" applyAlignment="1" applyProtection="1">
      <alignment horizontal="center" vertical="top" wrapText="1"/>
      <protection hidden="1"/>
    </xf>
    <xf numFmtId="0" fontId="10" fillId="0" borderId="5" xfId="0" applyNumberFormat="1" applyFont="1" applyBorder="1" applyAlignment="1" applyProtection="1">
      <protection hidden="1"/>
    </xf>
    <xf numFmtId="186" fontId="11" fillId="0" borderId="26" xfId="0" applyNumberFormat="1" applyFont="1" applyBorder="1" applyAlignment="1" applyProtection="1">
      <alignment horizontal="center" vertical="center"/>
      <protection hidden="1"/>
    </xf>
    <xf numFmtId="186" fontId="11" fillId="0" borderId="58" xfId="8" quotePrefix="1" applyNumberFormat="1" applyFont="1" applyBorder="1" applyAlignment="1" applyProtection="1">
      <alignment horizontal="center" vertical="center"/>
      <protection hidden="1"/>
    </xf>
    <xf numFmtId="175" fontId="10" fillId="0" borderId="95" xfId="0" applyNumberFormat="1" applyFont="1" applyBorder="1" applyAlignment="1" applyProtection="1">
      <alignment horizontal="left" indent="1"/>
      <protection hidden="1"/>
    </xf>
    <xf numFmtId="175" fontId="10" fillId="0" borderId="96" xfId="0" applyNumberFormat="1" applyFont="1" applyBorder="1" applyAlignment="1" applyProtection="1">
      <protection hidden="1"/>
    </xf>
    <xf numFmtId="175" fontId="10" fillId="0" borderId="6" xfId="0" applyNumberFormat="1" applyFont="1" applyBorder="1" applyAlignment="1" applyProtection="1">
      <alignment horizontal="left" indent="1"/>
      <protection hidden="1"/>
    </xf>
    <xf numFmtId="175" fontId="10" fillId="0" borderId="7" xfId="0" applyNumberFormat="1" applyFont="1" applyBorder="1" applyAlignment="1" applyProtection="1">
      <protection hidden="1"/>
    </xf>
    <xf numFmtId="175" fontId="11" fillId="0" borderId="12" xfId="0" applyNumberFormat="1" applyFont="1" applyBorder="1" applyAlignment="1" applyProtection="1">
      <alignment vertical="center"/>
      <protection hidden="1"/>
    </xf>
    <xf numFmtId="175" fontId="11" fillId="0" borderId="15" xfId="0" applyNumberFormat="1" applyFont="1" applyBorder="1" applyAlignment="1" applyProtection="1">
      <alignment vertical="center"/>
      <protection hidden="1"/>
    </xf>
    <xf numFmtId="0" fontId="10" fillId="0" borderId="56" xfId="0" applyNumberFormat="1" applyFont="1" applyBorder="1" applyAlignment="1" applyProtection="1">
      <alignment horizontal="left" indent="1"/>
      <protection hidden="1"/>
    </xf>
    <xf numFmtId="175" fontId="10" fillId="0" borderId="56" xfId="0" applyNumberFormat="1" applyFont="1" applyBorder="1" applyAlignment="1" applyProtection="1">
      <protection hidden="1"/>
    </xf>
    <xf numFmtId="183" fontId="10" fillId="0" borderId="0" xfId="0" applyNumberFormat="1" applyFont="1" applyAlignment="1" applyProtection="1">
      <protection hidden="1"/>
    </xf>
    <xf numFmtId="175" fontId="10" fillId="0" borderId="0" xfId="0" applyNumberFormat="1" applyFont="1" applyBorder="1" applyAlignment="1" applyProtection="1">
      <protection hidden="1"/>
    </xf>
    <xf numFmtId="0" fontId="10" fillId="0" borderId="0" xfId="0" applyNumberFormat="1" applyFont="1" applyFill="1" applyBorder="1" applyAlignment="1" applyProtection="1">
      <protection hidden="1"/>
    </xf>
    <xf numFmtId="0" fontId="13" fillId="0" borderId="98" xfId="14" applyFont="1" applyBorder="1" applyAlignment="1" applyProtection="1">
      <alignment horizontal="left" vertical="top" indent="1"/>
      <protection hidden="1"/>
    </xf>
    <xf numFmtId="0" fontId="13" fillId="0" borderId="0" xfId="14" applyFont="1" applyBorder="1" applyAlignment="1" applyProtection="1">
      <alignment horizontal="left" vertical="top" indent="1"/>
      <protection hidden="1"/>
    </xf>
    <xf numFmtId="3" fontId="13" fillId="0" borderId="106" xfId="14" applyNumberFormat="1" applyFont="1" applyFill="1" applyBorder="1" applyAlignment="1" applyProtection="1">
      <alignment horizontal="center" vertical="top"/>
      <protection hidden="1"/>
    </xf>
    <xf numFmtId="0" fontId="13" fillId="0" borderId="106" xfId="14" applyNumberFormat="1" applyFont="1" applyFill="1" applyBorder="1" applyAlignment="1" applyProtection="1">
      <alignment horizontal="center" vertical="center" wrapText="1"/>
      <protection hidden="1"/>
    </xf>
    <xf numFmtId="0" fontId="13" fillId="0" borderId="115" xfId="14" applyNumberFormat="1" applyFont="1" applyFill="1" applyBorder="1" applyAlignment="1" applyProtection="1">
      <alignment horizontal="center" vertical="center" wrapText="1"/>
      <protection hidden="1"/>
    </xf>
    <xf numFmtId="0" fontId="13" fillId="0" borderId="7" xfId="14" applyFont="1" applyFill="1" applyBorder="1" applyAlignment="1" applyProtection="1">
      <alignment horizontal="center" vertical="center"/>
      <protection hidden="1"/>
    </xf>
    <xf numFmtId="0" fontId="13" fillId="0" borderId="5" xfId="14" applyFont="1" applyBorder="1" applyAlignment="1" applyProtection="1">
      <alignment horizontal="center" vertical="top" wrapText="1"/>
      <protection hidden="1"/>
    </xf>
    <xf numFmtId="186" fontId="13" fillId="0" borderId="28" xfId="14" applyNumberFormat="1" applyFont="1" applyFill="1" applyBorder="1" applyAlignment="1" applyProtection="1">
      <alignment horizontal="center" vertical="center"/>
      <protection hidden="1"/>
    </xf>
    <xf numFmtId="186" fontId="13" fillId="0" borderId="59" xfId="14" applyNumberFormat="1" applyFont="1" applyFill="1" applyBorder="1" applyAlignment="1" applyProtection="1">
      <alignment horizontal="center" vertical="center"/>
      <protection hidden="1"/>
    </xf>
    <xf numFmtId="186" fontId="13" fillId="0" borderId="27" xfId="14" applyNumberFormat="1" applyFont="1" applyFill="1" applyBorder="1" applyAlignment="1" applyProtection="1">
      <alignment horizontal="center" vertical="center"/>
      <protection hidden="1"/>
    </xf>
    <xf numFmtId="186" fontId="13" fillId="0" borderId="58" xfId="14" applyNumberFormat="1" applyFont="1" applyBorder="1" applyAlignment="1" applyProtection="1">
      <alignment horizontal="center" vertical="center"/>
      <protection hidden="1"/>
    </xf>
    <xf numFmtId="186" fontId="13" fillId="0" borderId="26" xfId="14" applyNumberFormat="1" applyFont="1" applyBorder="1" applyAlignment="1" applyProtection="1">
      <alignment horizontal="center" vertical="center"/>
      <protection hidden="1"/>
    </xf>
    <xf numFmtId="0" fontId="10" fillId="7" borderId="115" xfId="4" applyFont="1" applyFill="1" applyBorder="1" applyProtection="1">
      <protection hidden="1"/>
    </xf>
    <xf numFmtId="176" fontId="10" fillId="7" borderId="0" xfId="4" applyNumberFormat="1" applyFont="1" applyFill="1" applyBorder="1" applyAlignment="1" applyProtection="1">
      <alignment vertical="center"/>
      <protection hidden="1"/>
    </xf>
    <xf numFmtId="176" fontId="10" fillId="7" borderId="6" xfId="4" applyNumberFormat="1" applyFont="1" applyFill="1" applyBorder="1" applyAlignment="1" applyProtection="1">
      <alignment vertical="center"/>
      <protection hidden="1"/>
    </xf>
    <xf numFmtId="179" fontId="10" fillId="12" borderId="7" xfId="4" applyNumberFormat="1" applyFont="1" applyFill="1" applyBorder="1" applyAlignment="1" applyProtection="1">
      <alignment vertical="center"/>
      <protection hidden="1"/>
    </xf>
    <xf numFmtId="176" fontId="10" fillId="12" borderId="0" xfId="4" applyNumberFormat="1" applyFont="1" applyFill="1" applyBorder="1" applyAlignment="1" applyProtection="1">
      <alignment vertical="center"/>
      <protection hidden="1"/>
    </xf>
    <xf numFmtId="176" fontId="10" fillId="12" borderId="6" xfId="4" applyNumberFormat="1" applyFont="1" applyFill="1" applyBorder="1" applyAlignment="1" applyProtection="1">
      <alignment vertical="center"/>
      <protection hidden="1"/>
    </xf>
    <xf numFmtId="176" fontId="10" fillId="12" borderId="7" xfId="4" applyNumberFormat="1" applyFont="1" applyFill="1" applyBorder="1" applyAlignment="1" applyProtection="1">
      <alignment vertical="center"/>
      <protection hidden="1"/>
    </xf>
    <xf numFmtId="0" fontId="10" fillId="9" borderId="91" xfId="7" applyNumberFormat="1" applyFont="1" applyFill="1" applyBorder="1" applyAlignment="1" applyProtection="1">
      <alignment vertical="center"/>
      <protection hidden="1"/>
    </xf>
    <xf numFmtId="0" fontId="10" fillId="5" borderId="25" xfId="7" applyNumberFormat="1" applyFont="1" applyFill="1" applyBorder="1" applyAlignment="1" applyProtection="1">
      <alignment vertical="center"/>
      <protection hidden="1"/>
    </xf>
    <xf numFmtId="0" fontId="10" fillId="5" borderId="11" xfId="7" applyNumberFormat="1" applyFont="1" applyFill="1" applyBorder="1" applyAlignment="1" applyProtection="1">
      <alignment vertical="center"/>
      <protection hidden="1"/>
    </xf>
    <xf numFmtId="0" fontId="10" fillId="14" borderId="0" xfId="0" applyNumberFormat="1" applyFont="1" applyFill="1" applyBorder="1" applyAlignment="1" applyProtection="1">
      <protection hidden="1"/>
    </xf>
    <xf numFmtId="0" fontId="10" fillId="7" borderId="24" xfId="4" applyFont="1" applyFill="1" applyBorder="1" applyProtection="1">
      <protection hidden="1"/>
    </xf>
    <xf numFmtId="179" fontId="10" fillId="7" borderId="32" xfId="4" applyNumberFormat="1" applyFont="1" applyFill="1" applyBorder="1" applyAlignment="1" applyProtection="1">
      <alignment vertical="center"/>
      <protection hidden="1"/>
    </xf>
    <xf numFmtId="175" fontId="11" fillId="0" borderId="17" xfId="12" applyNumberFormat="1" applyFont="1" applyFill="1" applyBorder="1" applyAlignment="1" applyProtection="1">
      <alignment vertical="center"/>
      <protection hidden="1"/>
    </xf>
    <xf numFmtId="183" fontId="11" fillId="0" borderId="64" xfId="12" applyNumberFormat="1" applyFont="1" applyFill="1" applyBorder="1" applyAlignment="1" applyProtection="1">
      <alignment vertical="center"/>
      <protection hidden="1"/>
    </xf>
    <xf numFmtId="183" fontId="11" fillId="0" borderId="61" xfId="12" applyNumberFormat="1" applyFont="1" applyFill="1" applyBorder="1" applyAlignment="1" applyProtection="1">
      <alignment vertical="center"/>
      <protection hidden="1"/>
    </xf>
    <xf numFmtId="183" fontId="11" fillId="0" borderId="17" xfId="14" applyNumberFormat="1" applyFont="1" applyBorder="1" applyAlignment="1" applyProtection="1">
      <alignment vertical="center"/>
      <protection hidden="1"/>
    </xf>
    <xf numFmtId="179" fontId="11" fillId="9" borderId="107" xfId="9" applyNumberFormat="1" applyFont="1" applyFill="1" applyBorder="1" applyAlignment="1" applyProtection="1">
      <alignment vertical="center"/>
      <protection hidden="1"/>
    </xf>
    <xf numFmtId="0" fontId="11" fillId="3" borderId="106" xfId="9" applyFont="1" applyFill="1" applyBorder="1" applyAlignment="1" applyProtection="1">
      <alignment horizontal="center" vertical="top"/>
      <protection hidden="1"/>
    </xf>
    <xf numFmtId="0" fontId="10" fillId="4" borderId="106" xfId="9" applyFont="1" applyFill="1" applyBorder="1" applyProtection="1">
      <protection hidden="1"/>
    </xf>
    <xf numFmtId="179" fontId="11" fillId="9" borderId="95" xfId="9" applyNumberFormat="1" applyFont="1" applyFill="1" applyBorder="1" applyAlignment="1" applyProtection="1">
      <alignment vertical="center"/>
      <protection hidden="1"/>
    </xf>
    <xf numFmtId="172" fontId="11" fillId="2" borderId="11" xfId="0" applyNumberFormat="1" applyFont="1" applyFill="1" applyBorder="1" applyAlignment="1" applyProtection="1">
      <alignment horizontal="center" vertical="center"/>
      <protection hidden="1"/>
    </xf>
    <xf numFmtId="0" fontId="11" fillId="3" borderId="106" xfId="9" applyFont="1" applyFill="1" applyBorder="1" applyAlignment="1" applyProtection="1">
      <alignment horizontal="center" vertical="center"/>
      <protection hidden="1"/>
    </xf>
    <xf numFmtId="172" fontId="11" fillId="2" borderId="106" xfId="0" applyNumberFormat="1" applyFont="1" applyFill="1" applyBorder="1" applyAlignment="1" applyProtection="1">
      <alignment horizontal="center" vertical="center"/>
      <protection hidden="1"/>
    </xf>
    <xf numFmtId="179" fontId="11" fillId="9" borderId="109" xfId="9" applyNumberFormat="1" applyFont="1" applyFill="1" applyBorder="1" applyAlignment="1" applyProtection="1">
      <alignment vertical="center"/>
      <protection hidden="1"/>
    </xf>
    <xf numFmtId="179" fontId="11" fillId="9" borderId="96" xfId="9" applyNumberFormat="1" applyFont="1" applyFill="1" applyBorder="1" applyAlignment="1" applyProtection="1">
      <alignment vertical="center"/>
      <protection hidden="1"/>
    </xf>
    <xf numFmtId="179" fontId="11" fillId="9" borderId="12" xfId="9" applyNumberFormat="1" applyFont="1" applyFill="1" applyBorder="1" applyAlignment="1" applyProtection="1">
      <alignment vertical="center"/>
      <protection hidden="1"/>
    </xf>
    <xf numFmtId="179" fontId="11" fillId="9" borderId="15" xfId="9" applyNumberFormat="1" applyFont="1" applyFill="1" applyBorder="1" applyAlignment="1" applyProtection="1">
      <alignment vertical="center"/>
      <protection hidden="1"/>
    </xf>
    <xf numFmtId="179" fontId="11" fillId="9" borderId="64" xfId="9" applyNumberFormat="1" applyFont="1" applyFill="1" applyBorder="1" applyAlignment="1" applyProtection="1">
      <alignment vertical="center"/>
      <protection hidden="1"/>
    </xf>
    <xf numFmtId="179" fontId="11" fillId="9" borderId="17" xfId="9" applyNumberFormat="1" applyFont="1" applyFill="1" applyBorder="1" applyAlignment="1" applyProtection="1">
      <alignment vertical="center"/>
      <protection hidden="1"/>
    </xf>
    <xf numFmtId="179" fontId="11" fillId="9" borderId="16" xfId="9" applyNumberFormat="1" applyFont="1" applyFill="1" applyBorder="1" applyAlignment="1" applyProtection="1">
      <alignment vertical="center"/>
      <protection hidden="1"/>
    </xf>
    <xf numFmtId="0" fontId="11" fillId="2" borderId="25" xfId="0" applyFont="1" applyFill="1" applyBorder="1" applyAlignment="1" applyProtection="1">
      <alignment horizontal="left" vertical="center" indent="1"/>
      <protection hidden="1"/>
    </xf>
    <xf numFmtId="0" fontId="10" fillId="9" borderId="69" xfId="9" applyNumberFormat="1" applyFont="1" applyFill="1" applyBorder="1" applyAlignment="1" applyProtection="1">
      <protection hidden="1"/>
    </xf>
    <xf numFmtId="0" fontId="10" fillId="9" borderId="70" xfId="9" applyNumberFormat="1" applyFont="1" applyFill="1" applyBorder="1" applyAlignment="1" applyProtection="1">
      <protection hidden="1"/>
    </xf>
    <xf numFmtId="0" fontId="10" fillId="9" borderId="67" xfId="9" applyNumberFormat="1" applyFont="1" applyFill="1" applyBorder="1" applyAlignment="1" applyProtection="1">
      <protection hidden="1"/>
    </xf>
    <xf numFmtId="0" fontId="10" fillId="9" borderId="80" xfId="9" applyNumberFormat="1" applyFont="1" applyFill="1" applyBorder="1" applyAlignment="1" applyProtection="1">
      <protection hidden="1"/>
    </xf>
    <xf numFmtId="0" fontId="10" fillId="9" borderId="21" xfId="9" applyNumberFormat="1" applyFont="1" applyFill="1" applyBorder="1" applyAlignment="1" applyProtection="1">
      <protection hidden="1"/>
    </xf>
    <xf numFmtId="0" fontId="10" fillId="3" borderId="116" xfId="9" applyNumberFormat="1" applyFont="1" applyFill="1" applyBorder="1" applyAlignment="1" applyProtection="1">
      <protection hidden="1"/>
    </xf>
    <xf numFmtId="172" fontId="11" fillId="9" borderId="22" xfId="0" applyNumberFormat="1" applyFont="1" applyFill="1" applyBorder="1" applyAlignment="1" applyProtection="1">
      <alignment vertical="center"/>
      <protection hidden="1"/>
    </xf>
    <xf numFmtId="179" fontId="11" fillId="3" borderId="117" xfId="9" applyNumberFormat="1" applyFont="1" applyFill="1" applyBorder="1" applyAlignment="1" applyProtection="1">
      <alignment vertical="center"/>
      <protection hidden="1"/>
    </xf>
    <xf numFmtId="0" fontId="11" fillId="2" borderId="17" xfId="0" applyFont="1" applyFill="1" applyBorder="1" applyAlignment="1" applyProtection="1">
      <alignment horizontal="left" vertical="center" indent="2"/>
      <protection hidden="1"/>
    </xf>
    <xf numFmtId="179" fontId="11" fillId="3" borderId="51" xfId="9" applyNumberFormat="1" applyFont="1" applyFill="1" applyBorder="1" applyAlignment="1" applyProtection="1">
      <alignment vertical="center"/>
      <protection hidden="1"/>
    </xf>
    <xf numFmtId="0" fontId="11" fillId="10" borderId="0" xfId="9" applyFont="1" applyFill="1" applyBorder="1" applyAlignment="1" applyProtection="1">
      <alignment vertical="center"/>
      <protection hidden="1"/>
    </xf>
    <xf numFmtId="0" fontId="10" fillId="9" borderId="0" xfId="9" applyFont="1" applyFill="1" applyBorder="1" applyProtection="1">
      <protection hidden="1"/>
    </xf>
    <xf numFmtId="172" fontId="11" fillId="5" borderId="0" xfId="0" applyNumberFormat="1" applyFont="1" applyFill="1" applyBorder="1" applyAlignment="1" applyProtection="1">
      <alignment horizontal="center" vertical="center"/>
      <protection hidden="1"/>
    </xf>
    <xf numFmtId="172" fontId="11" fillId="5" borderId="10" xfId="0" applyNumberFormat="1" applyFont="1" applyFill="1" applyBorder="1" applyAlignment="1" applyProtection="1">
      <alignment horizontal="center" vertical="center"/>
      <protection hidden="1"/>
    </xf>
    <xf numFmtId="172" fontId="11" fillId="5" borderId="11" xfId="0" applyNumberFormat="1" applyFont="1" applyFill="1" applyBorder="1" applyAlignment="1" applyProtection="1">
      <alignment horizontal="center" vertical="top" wrapText="1"/>
      <protection hidden="1"/>
    </xf>
    <xf numFmtId="0" fontId="11" fillId="2" borderId="33" xfId="0" applyFont="1" applyFill="1" applyBorder="1" applyAlignment="1" applyProtection="1">
      <alignment horizontal="center" vertical="top" wrapText="1"/>
      <protection hidden="1"/>
    </xf>
    <xf numFmtId="0" fontId="10" fillId="2" borderId="60" xfId="0" applyFont="1" applyFill="1" applyBorder="1" applyAlignment="1" applyProtection="1">
      <alignment horizontal="center" vertical="center"/>
      <protection hidden="1"/>
    </xf>
    <xf numFmtId="0" fontId="10" fillId="2" borderId="61" xfId="0" applyFont="1" applyFill="1" applyBorder="1" applyAlignment="1" applyProtection="1">
      <alignment horizontal="center" vertical="center"/>
      <protection hidden="1"/>
    </xf>
    <xf numFmtId="0" fontId="11" fillId="2" borderId="104" xfId="0" applyFont="1" applyFill="1" applyBorder="1" applyAlignment="1" applyProtection="1">
      <alignment horizontal="center" vertical="top" wrapText="1"/>
      <protection hidden="1"/>
    </xf>
    <xf numFmtId="0" fontId="11" fillId="2" borderId="61" xfId="0" applyFont="1" applyFill="1" applyBorder="1" applyAlignment="1" applyProtection="1">
      <alignment horizontal="center" vertical="top" wrapText="1"/>
      <protection hidden="1"/>
    </xf>
    <xf numFmtId="179" fontId="10" fillId="2" borderId="88" xfId="0" applyNumberFormat="1" applyFont="1" applyFill="1" applyBorder="1" applyAlignment="1" applyProtection="1">
      <alignment vertical="center"/>
      <protection hidden="1"/>
    </xf>
    <xf numFmtId="0" fontId="11" fillId="2" borderId="107" xfId="0" applyFont="1" applyFill="1" applyBorder="1" applyAlignment="1" applyProtection="1">
      <alignment horizontal="center" vertical="top" wrapText="1"/>
      <protection hidden="1"/>
    </xf>
    <xf numFmtId="0" fontId="10" fillId="9" borderId="16" xfId="9" applyFont="1" applyFill="1" applyBorder="1" applyProtection="1">
      <protection hidden="1"/>
    </xf>
    <xf numFmtId="2" fontId="10" fillId="2" borderId="101" xfId="0" applyNumberFormat="1" applyFont="1" applyFill="1" applyBorder="1" applyAlignment="1" applyProtection="1">
      <alignment horizontal="center" vertical="center"/>
      <protection hidden="1"/>
    </xf>
    <xf numFmtId="2" fontId="10" fillId="2" borderId="107" xfId="0" applyNumberFormat="1" applyFont="1" applyFill="1" applyBorder="1" applyAlignment="1" applyProtection="1">
      <alignment horizontal="center" vertical="center"/>
      <protection hidden="1"/>
    </xf>
    <xf numFmtId="185" fontId="10" fillId="2" borderId="30" xfId="0" quotePrefix="1" applyNumberFormat="1" applyFont="1" applyFill="1" applyBorder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protection hidden="1"/>
    </xf>
    <xf numFmtId="172" fontId="11" fillId="2" borderId="0" xfId="0" applyNumberFormat="1" applyFont="1" applyFill="1" applyBorder="1" applyAlignment="1" applyProtection="1">
      <alignment horizontal="center" vertical="center"/>
      <protection hidden="1"/>
    </xf>
    <xf numFmtId="172" fontId="11" fillId="2" borderId="5" xfId="0" applyNumberFormat="1" applyFont="1" applyFill="1" applyBorder="1" applyAlignment="1" applyProtection="1">
      <alignment horizontal="center" vertical="center"/>
      <protection hidden="1"/>
    </xf>
    <xf numFmtId="0" fontId="11" fillId="3" borderId="104" xfId="0" applyFont="1" applyFill="1" applyBorder="1" applyAlignment="1" applyProtection="1">
      <alignment vertical="center"/>
      <protection hidden="1"/>
    </xf>
    <xf numFmtId="179" fontId="11" fillId="2" borderId="91" xfId="0" applyNumberFormat="1" applyFont="1" applyFill="1" applyBorder="1" applyAlignment="1" applyProtection="1">
      <alignment vertical="center"/>
      <protection hidden="1"/>
    </xf>
    <xf numFmtId="179" fontId="11" fillId="2" borderId="104" xfId="0" applyNumberFormat="1" applyFont="1" applyFill="1" applyBorder="1" applyAlignment="1" applyProtection="1">
      <alignment vertical="center"/>
      <protection hidden="1"/>
    </xf>
    <xf numFmtId="179" fontId="11" fillId="2" borderId="95" xfId="0" applyNumberFormat="1" applyFont="1" applyFill="1" applyBorder="1" applyAlignment="1" applyProtection="1">
      <alignment vertical="center"/>
      <protection hidden="1"/>
    </xf>
    <xf numFmtId="179" fontId="19" fillId="2" borderId="107" xfId="0" applyNumberFormat="1" applyFont="1" applyFill="1" applyBorder="1" applyAlignment="1" applyProtection="1">
      <alignment vertical="center"/>
      <protection hidden="1"/>
    </xf>
    <xf numFmtId="0" fontId="11" fillId="3" borderId="92" xfId="0" applyFont="1" applyFill="1" applyBorder="1" applyAlignment="1" applyProtection="1">
      <alignment horizontal="left" vertical="center" indent="2"/>
      <protection hidden="1"/>
    </xf>
    <xf numFmtId="169" fontId="10" fillId="3" borderId="91" xfId="0" applyNumberFormat="1" applyFont="1" applyFill="1" applyBorder="1" applyAlignment="1" applyProtection="1">
      <alignment horizontal="center" vertical="center"/>
      <protection hidden="1"/>
    </xf>
    <xf numFmtId="169" fontId="10" fillId="3" borderId="104" xfId="0" applyNumberFormat="1" applyFont="1" applyFill="1" applyBorder="1" applyAlignment="1" applyProtection="1">
      <alignment horizontal="center" vertical="center"/>
      <protection hidden="1"/>
    </xf>
    <xf numFmtId="169" fontId="10" fillId="3" borderId="107" xfId="0" applyNumberFormat="1" applyFont="1" applyFill="1" applyBorder="1" applyAlignment="1" applyProtection="1">
      <alignment horizontal="center" vertical="center"/>
      <protection hidden="1"/>
    </xf>
    <xf numFmtId="179" fontId="11" fillId="9" borderId="104" xfId="0" applyNumberFormat="1" applyFont="1" applyFill="1" applyBorder="1" applyAlignment="1" applyProtection="1">
      <alignment vertical="center"/>
      <protection hidden="1"/>
    </xf>
    <xf numFmtId="0" fontId="11" fillId="3" borderId="35" xfId="0" applyFont="1" applyFill="1" applyBorder="1" applyAlignment="1" applyProtection="1">
      <alignment horizontal="left" vertical="center" indent="3"/>
      <protection hidden="1"/>
    </xf>
    <xf numFmtId="170" fontId="10" fillId="2" borderId="107" xfId="0" applyNumberFormat="1" applyFont="1" applyFill="1" applyBorder="1" applyAlignment="1" applyProtection="1">
      <alignment vertical="center"/>
      <protection hidden="1"/>
    </xf>
    <xf numFmtId="0" fontId="11" fillId="3" borderId="60" xfId="0" applyFont="1" applyFill="1" applyBorder="1" applyAlignment="1" applyProtection="1">
      <alignment horizontal="left" vertical="center" indent="1"/>
      <protection hidden="1"/>
    </xf>
    <xf numFmtId="0" fontId="11" fillId="4" borderId="83" xfId="0" applyFont="1" applyFill="1" applyBorder="1" applyAlignment="1" applyProtection="1">
      <alignment horizontal="center" vertical="center"/>
      <protection hidden="1"/>
    </xf>
    <xf numFmtId="0" fontId="11" fillId="3" borderId="10" xfId="9" applyFont="1" applyFill="1" applyBorder="1" applyAlignment="1" applyProtection="1">
      <alignment horizontal="center" vertical="top" wrapText="1"/>
      <protection hidden="1"/>
    </xf>
    <xf numFmtId="0" fontId="11" fillId="3" borderId="25" xfId="9" applyFont="1" applyFill="1" applyBorder="1" applyAlignment="1" applyProtection="1">
      <alignment horizontal="center" vertical="top" wrapText="1"/>
      <protection hidden="1"/>
    </xf>
    <xf numFmtId="0" fontId="11" fillId="3" borderId="11" xfId="9" applyFont="1" applyFill="1" applyBorder="1" applyAlignment="1" applyProtection="1">
      <alignment horizontal="center" vertical="top" wrapText="1"/>
      <protection hidden="1"/>
    </xf>
    <xf numFmtId="0" fontId="10" fillId="0" borderId="0" xfId="12" applyFont="1" applyFill="1" applyBorder="1" applyAlignment="1" applyProtection="1">
      <protection hidden="1"/>
    </xf>
    <xf numFmtId="183" fontId="11" fillId="0" borderId="61" xfId="14" applyNumberFormat="1" applyFont="1" applyBorder="1" applyAlignment="1" applyProtection="1">
      <alignment vertical="center"/>
      <protection hidden="1"/>
    </xf>
    <xf numFmtId="0" fontId="11" fillId="5" borderId="104" xfId="0" applyNumberFormat="1" applyFont="1" applyFill="1" applyBorder="1" applyAlignment="1" applyProtection="1">
      <protection hidden="1"/>
    </xf>
    <xf numFmtId="0" fontId="11" fillId="9" borderId="0" xfId="0" applyNumberFormat="1" applyFont="1" applyFill="1" applyBorder="1" applyAlignment="1" applyProtection="1">
      <alignment vertical="center"/>
      <protection hidden="1"/>
    </xf>
    <xf numFmtId="0" fontId="16" fillId="4" borderId="9" xfId="0" applyFont="1" applyFill="1" applyBorder="1" applyAlignment="1" applyProtection="1">
      <alignment horizontal="center" vertical="center"/>
      <protection hidden="1"/>
    </xf>
    <xf numFmtId="172" fontId="11" fillId="5" borderId="106" xfId="0" applyNumberFormat="1" applyFont="1" applyFill="1" applyBorder="1" applyAlignment="1" applyProtection="1">
      <alignment horizontal="center" vertical="top" wrapText="1"/>
      <protection hidden="1"/>
    </xf>
    <xf numFmtId="1" fontId="11" fillId="5" borderId="0" xfId="0" applyNumberFormat="1" applyFont="1" applyFill="1" applyBorder="1" applyAlignment="1" applyProtection="1">
      <alignment horizontal="center" vertical="center"/>
      <protection hidden="1"/>
    </xf>
    <xf numFmtId="0" fontId="11" fillId="5" borderId="11" xfId="0" applyFont="1" applyFill="1" applyBorder="1" applyAlignment="1" applyProtection="1">
      <alignment horizontal="center" vertical="top"/>
      <protection hidden="1"/>
    </xf>
    <xf numFmtId="1" fontId="11" fillId="5" borderId="95" xfId="0" applyNumberFormat="1" applyFont="1" applyFill="1" applyBorder="1" applyAlignment="1" applyProtection="1">
      <alignment horizontal="center" vertical="center"/>
      <protection hidden="1"/>
    </xf>
    <xf numFmtId="178" fontId="10" fillId="5" borderId="11" xfId="0" applyNumberFormat="1" applyFont="1" applyFill="1" applyBorder="1" applyAlignment="1" applyProtection="1">
      <alignment vertical="center"/>
      <protection hidden="1"/>
    </xf>
    <xf numFmtId="178" fontId="10" fillId="5" borderId="77" xfId="0" applyNumberFormat="1" applyFont="1" applyFill="1" applyBorder="1" applyAlignment="1" applyProtection="1">
      <alignment vertical="center"/>
      <protection hidden="1"/>
    </xf>
    <xf numFmtId="0" fontId="10" fillId="9" borderId="99" xfId="0" applyFont="1" applyFill="1" applyBorder="1" applyAlignment="1" applyProtection="1">
      <alignment vertical="center"/>
      <protection hidden="1"/>
    </xf>
    <xf numFmtId="0" fontId="10" fillId="9" borderId="118" xfId="0" applyFont="1" applyFill="1" applyBorder="1" applyAlignment="1" applyProtection="1">
      <alignment vertical="center"/>
      <protection hidden="1"/>
    </xf>
    <xf numFmtId="0" fontId="11" fillId="5" borderId="106" xfId="0" applyFont="1" applyFill="1" applyBorder="1" applyAlignment="1" applyProtection="1">
      <alignment horizontal="center" vertical="center" wrapText="1"/>
      <protection hidden="1"/>
    </xf>
    <xf numFmtId="0" fontId="10" fillId="9" borderId="118" xfId="0" applyFont="1" applyFill="1" applyBorder="1" applyProtection="1">
      <protection hidden="1"/>
    </xf>
    <xf numFmtId="172" fontId="10" fillId="9" borderId="106" xfId="0" applyNumberFormat="1" applyFont="1" applyFill="1" applyBorder="1" applyProtection="1">
      <protection hidden="1"/>
    </xf>
    <xf numFmtId="0" fontId="10" fillId="9" borderId="118" xfId="0" applyFont="1" applyFill="1" applyBorder="1" applyAlignment="1" applyProtection="1">
      <protection hidden="1"/>
    </xf>
    <xf numFmtId="0" fontId="10" fillId="5" borderId="106" xfId="0" applyFont="1" applyFill="1" applyBorder="1" applyAlignment="1" applyProtection="1">
      <alignment horizontal="center" vertical="center" wrapText="1"/>
      <protection hidden="1"/>
    </xf>
    <xf numFmtId="0" fontId="16" fillId="4" borderId="106" xfId="0" applyFont="1" applyFill="1" applyBorder="1" applyAlignment="1" applyProtection="1">
      <alignment horizontal="center" vertical="center"/>
      <protection hidden="1"/>
    </xf>
    <xf numFmtId="172" fontId="11" fillId="5" borderId="106" xfId="0" quotePrefix="1" applyNumberFormat="1" applyFont="1" applyFill="1" applyBorder="1" applyAlignment="1" applyProtection="1">
      <alignment horizontal="center" vertical="center"/>
      <protection hidden="1"/>
    </xf>
    <xf numFmtId="179" fontId="19" fillId="5" borderId="106" xfId="0" applyNumberFormat="1" applyFont="1" applyFill="1" applyBorder="1" applyAlignment="1" applyProtection="1">
      <alignment vertical="center"/>
      <protection hidden="1"/>
    </xf>
    <xf numFmtId="0" fontId="10" fillId="9" borderId="118" xfId="12" applyFont="1" applyFill="1" applyBorder="1" applyProtection="1">
      <protection hidden="1"/>
    </xf>
    <xf numFmtId="0" fontId="10" fillId="9" borderId="106" xfId="12" applyFont="1" applyFill="1" applyBorder="1" applyProtection="1">
      <protection hidden="1"/>
    </xf>
    <xf numFmtId="0" fontId="10" fillId="9" borderId="16" xfId="12" applyFont="1" applyFill="1" applyBorder="1" applyProtection="1">
      <protection hidden="1"/>
    </xf>
    <xf numFmtId="183" fontId="11" fillId="9" borderId="10" xfId="12" applyNumberFormat="1" applyFont="1" applyFill="1" applyBorder="1" applyAlignment="1" applyProtection="1">
      <alignment vertical="center"/>
      <protection hidden="1"/>
    </xf>
    <xf numFmtId="183" fontId="11" fillId="9" borderId="101" xfId="12" applyNumberFormat="1" applyFont="1" applyFill="1" applyBorder="1" applyAlignment="1" applyProtection="1">
      <alignment vertical="center"/>
      <protection hidden="1"/>
    </xf>
    <xf numFmtId="183" fontId="11" fillId="9" borderId="16" xfId="12" applyNumberFormat="1" applyFont="1" applyFill="1" applyBorder="1" applyAlignment="1" applyProtection="1">
      <alignment vertical="center"/>
      <protection hidden="1"/>
    </xf>
    <xf numFmtId="0" fontId="11" fillId="5" borderId="11" xfId="0" applyFont="1" applyFill="1" applyBorder="1" applyAlignment="1" applyProtection="1">
      <alignment horizontal="left" vertical="top" indent="1"/>
      <protection hidden="1"/>
    </xf>
    <xf numFmtId="0" fontId="11" fillId="9" borderId="80" xfId="5" applyFont="1" applyFill="1" applyBorder="1" applyAlignment="1" applyProtection="1">
      <alignment horizontal="left" vertical="center" indent="1"/>
      <protection hidden="1"/>
    </xf>
    <xf numFmtId="0" fontId="11" fillId="9" borderId="42" xfId="0" applyFont="1" applyFill="1" applyBorder="1" applyAlignment="1" applyProtection="1">
      <alignment horizontal="left" vertical="center" indent="1"/>
      <protection hidden="1"/>
    </xf>
    <xf numFmtId="0" fontId="11" fillId="9" borderId="17" xfId="0" applyFont="1" applyFill="1" applyBorder="1" applyAlignment="1" applyProtection="1">
      <alignment horizontal="left" vertical="center" indent="1"/>
      <protection hidden="1"/>
    </xf>
    <xf numFmtId="178" fontId="10" fillId="9" borderId="0" xfId="0" applyNumberFormat="1" applyFont="1" applyFill="1" applyBorder="1" applyAlignment="1" applyProtection="1">
      <alignment vertical="center"/>
      <protection locked="0"/>
    </xf>
    <xf numFmtId="178" fontId="10" fillId="9" borderId="6" xfId="0" applyNumberFormat="1" applyFont="1" applyFill="1" applyBorder="1" applyAlignment="1" applyProtection="1">
      <alignment vertical="center"/>
      <protection locked="0"/>
    </xf>
    <xf numFmtId="178" fontId="10" fillId="9" borderId="109" xfId="0" applyNumberFormat="1" applyFont="1" applyFill="1" applyBorder="1" applyAlignment="1" applyProtection="1">
      <alignment vertical="center"/>
      <protection locked="0"/>
    </xf>
    <xf numFmtId="178" fontId="10" fillId="9" borderId="76" xfId="0" applyNumberFormat="1" applyFont="1" applyFill="1" applyBorder="1" applyAlignment="1" applyProtection="1">
      <alignment vertical="center"/>
      <protection locked="0"/>
    </xf>
    <xf numFmtId="178" fontId="10" fillId="9" borderId="48" xfId="0" applyNumberFormat="1" applyFont="1" applyFill="1" applyBorder="1" applyAlignment="1" applyProtection="1">
      <alignment vertical="center"/>
      <protection locked="0"/>
    </xf>
    <xf numFmtId="0" fontId="10" fillId="9" borderId="0" xfId="0" applyFont="1" applyFill="1" applyAlignment="1" applyProtection="1">
      <alignment vertical="center"/>
      <protection hidden="1"/>
    </xf>
    <xf numFmtId="0" fontId="10" fillId="9" borderId="0" xfId="0" applyFont="1" applyFill="1" applyAlignment="1" applyProtection="1">
      <protection hidden="1"/>
    </xf>
    <xf numFmtId="0" fontId="11" fillId="9" borderId="21" xfId="0" applyFont="1" applyFill="1" applyBorder="1" applyAlignment="1" applyProtection="1">
      <alignment horizontal="center"/>
      <protection hidden="1"/>
    </xf>
    <xf numFmtId="0" fontId="11" fillId="9" borderId="24" xfId="0" applyFont="1" applyFill="1" applyBorder="1" applyAlignment="1" applyProtection="1">
      <alignment horizontal="center"/>
      <protection hidden="1"/>
    </xf>
    <xf numFmtId="0" fontId="10" fillId="10" borderId="0" xfId="9" applyFont="1" applyFill="1" applyBorder="1" applyAlignment="1" applyProtection="1">
      <alignment vertical="top"/>
      <protection hidden="1"/>
    </xf>
    <xf numFmtId="0" fontId="10" fillId="9" borderId="99" xfId="9" applyFont="1" applyFill="1" applyBorder="1" applyAlignment="1" applyProtection="1">
      <alignment vertical="top"/>
      <protection hidden="1"/>
    </xf>
    <xf numFmtId="0" fontId="11" fillId="3" borderId="84" xfId="9" applyFont="1" applyFill="1" applyBorder="1" applyAlignment="1" applyProtection="1">
      <alignment horizontal="left" vertical="center"/>
      <protection hidden="1"/>
    </xf>
    <xf numFmtId="0" fontId="11" fillId="10" borderId="84" xfId="9" applyFont="1" applyFill="1" applyBorder="1" applyAlignment="1" applyProtection="1">
      <alignment horizontal="left" vertical="center"/>
      <protection hidden="1"/>
    </xf>
    <xf numFmtId="0" fontId="11" fillId="4" borderId="98" xfId="9" applyFont="1" applyFill="1" applyBorder="1" applyAlignment="1" applyProtection="1">
      <alignment horizontal="right" vertical="top"/>
      <protection hidden="1"/>
    </xf>
    <xf numFmtId="0" fontId="10" fillId="9" borderId="118" xfId="9" applyFont="1" applyFill="1" applyBorder="1" applyProtection="1">
      <protection hidden="1"/>
    </xf>
    <xf numFmtId="0" fontId="10" fillId="4" borderId="106" xfId="9" applyFont="1" applyFill="1" applyBorder="1" applyAlignment="1" applyProtection="1">
      <alignment vertical="center"/>
      <protection hidden="1"/>
    </xf>
    <xf numFmtId="0" fontId="11" fillId="9" borderId="0" xfId="0" applyFont="1" applyFill="1" applyAlignment="1" applyProtection="1">
      <alignment vertical="top" wrapText="1"/>
      <protection hidden="1"/>
    </xf>
    <xf numFmtId="172" fontId="11" fillId="2" borderId="114" xfId="0" applyNumberFormat="1" applyFont="1" applyFill="1" applyBorder="1" applyAlignment="1" applyProtection="1">
      <alignment horizontal="center" vertical="center"/>
      <protection hidden="1"/>
    </xf>
    <xf numFmtId="0" fontId="10" fillId="3" borderId="10" xfId="9" applyFont="1" applyFill="1" applyBorder="1" applyProtection="1">
      <protection hidden="1"/>
    </xf>
    <xf numFmtId="0" fontId="11" fillId="3" borderId="114" xfId="9" applyFont="1" applyFill="1" applyBorder="1" applyAlignment="1" applyProtection="1">
      <alignment horizontal="center" vertical="center"/>
      <protection hidden="1"/>
    </xf>
    <xf numFmtId="0" fontId="10" fillId="3" borderId="114" xfId="9" applyFont="1" applyFill="1" applyBorder="1" applyProtection="1">
      <protection hidden="1"/>
    </xf>
    <xf numFmtId="0" fontId="10" fillId="3" borderId="26" xfId="9" applyFont="1" applyFill="1" applyBorder="1" applyProtection="1">
      <protection hidden="1"/>
    </xf>
    <xf numFmtId="186" fontId="11" fillId="2" borderId="27" xfId="0" quotePrefix="1" applyNumberFormat="1" applyFont="1" applyFill="1" applyBorder="1" applyAlignment="1" applyProtection="1">
      <alignment horizontal="center" vertical="center"/>
      <protection hidden="1"/>
    </xf>
    <xf numFmtId="186" fontId="11" fillId="2" borderId="28" xfId="0" quotePrefix="1" applyNumberFormat="1" applyFont="1" applyFill="1" applyBorder="1" applyAlignment="1" applyProtection="1">
      <alignment horizontal="center" vertical="center"/>
      <protection hidden="1"/>
    </xf>
    <xf numFmtId="0" fontId="11" fillId="3" borderId="114" xfId="9" applyFont="1" applyFill="1" applyBorder="1" applyAlignment="1" applyProtection="1">
      <alignment horizontal="center" vertical="center" wrapText="1"/>
      <protection hidden="1"/>
    </xf>
    <xf numFmtId="186" fontId="11" fillId="2" borderId="36" xfId="0" quotePrefix="1" applyNumberFormat="1" applyFont="1" applyFill="1" applyBorder="1" applyAlignment="1" applyProtection="1">
      <alignment horizontal="center" vertical="center"/>
      <protection hidden="1"/>
    </xf>
    <xf numFmtId="0" fontId="11" fillId="9" borderId="95" xfId="9" applyFont="1" applyFill="1" applyBorder="1" applyAlignment="1" applyProtection="1">
      <alignment horizontal="center" vertical="center"/>
      <protection hidden="1"/>
    </xf>
    <xf numFmtId="0" fontId="10" fillId="9" borderId="114" xfId="9" applyFont="1" applyFill="1" applyBorder="1" applyProtection="1">
      <protection hidden="1"/>
    </xf>
    <xf numFmtId="0" fontId="10" fillId="3" borderId="23" xfId="9" applyFont="1" applyFill="1" applyBorder="1" applyProtection="1">
      <protection hidden="1"/>
    </xf>
    <xf numFmtId="0" fontId="10" fillId="3" borderId="5" xfId="9" applyFont="1" applyFill="1" applyBorder="1" applyProtection="1">
      <protection hidden="1"/>
    </xf>
    <xf numFmtId="0" fontId="11" fillId="2" borderId="5" xfId="0" applyFont="1" applyFill="1" applyBorder="1" applyAlignment="1" applyProtection="1">
      <alignment horizontal="left" vertical="center" indent="1"/>
      <protection hidden="1"/>
    </xf>
    <xf numFmtId="0" fontId="11" fillId="3" borderId="5" xfId="9" applyFont="1" applyFill="1" applyBorder="1" applyAlignment="1" applyProtection="1">
      <alignment horizontal="left" vertical="center" indent="2"/>
      <protection hidden="1"/>
    </xf>
    <xf numFmtId="0" fontId="10" fillId="2" borderId="5" xfId="0" applyFont="1" applyFill="1" applyBorder="1" applyAlignment="1" applyProtection="1">
      <alignment horizontal="left" vertical="center" indent="2"/>
      <protection hidden="1"/>
    </xf>
    <xf numFmtId="0" fontId="11" fillId="2" borderId="5" xfId="0" applyFont="1" applyFill="1" applyBorder="1" applyAlignment="1" applyProtection="1">
      <alignment horizontal="left" vertical="center" indent="2"/>
      <protection hidden="1"/>
    </xf>
    <xf numFmtId="0" fontId="10" fillId="3" borderId="5" xfId="9" applyFont="1" applyFill="1" applyBorder="1" applyAlignment="1" applyProtection="1">
      <alignment horizontal="left" vertical="center" indent="3"/>
      <protection hidden="1"/>
    </xf>
    <xf numFmtId="0" fontId="11" fillId="10" borderId="96" xfId="9" applyFont="1" applyFill="1" applyBorder="1" applyAlignment="1" applyProtection="1">
      <alignment horizontal="center" vertical="center"/>
      <protection hidden="1"/>
    </xf>
    <xf numFmtId="0" fontId="11" fillId="3" borderId="113" xfId="9" applyFont="1" applyFill="1" applyBorder="1" applyAlignment="1" applyProtection="1">
      <alignment horizontal="center" vertical="center"/>
      <protection hidden="1"/>
    </xf>
    <xf numFmtId="0" fontId="10" fillId="10" borderId="113" xfId="9" applyFont="1" applyFill="1" applyBorder="1" applyProtection="1">
      <protection hidden="1"/>
    </xf>
    <xf numFmtId="179" fontId="11" fillId="3" borderId="101" xfId="9" applyNumberFormat="1" applyFont="1" applyFill="1" applyBorder="1" applyAlignment="1" applyProtection="1">
      <alignment vertical="center"/>
      <protection hidden="1"/>
    </xf>
    <xf numFmtId="179" fontId="11" fillId="3" borderId="95" xfId="9" applyNumberFormat="1" applyFont="1" applyFill="1" applyBorder="1" applyAlignment="1" applyProtection="1">
      <alignment vertical="center"/>
      <protection hidden="1"/>
    </xf>
    <xf numFmtId="0" fontId="11" fillId="2" borderId="18" xfId="0" applyFont="1" applyFill="1" applyBorder="1" applyAlignment="1" applyProtection="1">
      <alignment horizontal="left" vertical="center" indent="1"/>
      <protection hidden="1"/>
    </xf>
    <xf numFmtId="179" fontId="11" fillId="10" borderId="47" xfId="9" applyNumberFormat="1" applyFont="1" applyFill="1" applyBorder="1" applyAlignment="1" applyProtection="1">
      <alignment vertical="center"/>
      <protection hidden="1"/>
    </xf>
    <xf numFmtId="0" fontId="11" fillId="3" borderId="18" xfId="9" applyFont="1" applyFill="1" applyBorder="1" applyAlignment="1" applyProtection="1">
      <alignment horizontal="left" vertical="center" indent="1"/>
      <protection hidden="1"/>
    </xf>
    <xf numFmtId="179" fontId="11" fillId="3" borderId="19" xfId="9" applyNumberFormat="1" applyFont="1" applyFill="1" applyBorder="1" applyAlignment="1" applyProtection="1">
      <alignment vertical="center"/>
      <protection hidden="1"/>
    </xf>
    <xf numFmtId="179" fontId="11" fillId="3" borderId="55" xfId="9" applyNumberFormat="1" applyFont="1" applyFill="1" applyBorder="1" applyAlignment="1" applyProtection="1">
      <alignment vertical="center"/>
      <protection hidden="1"/>
    </xf>
    <xf numFmtId="179" fontId="11" fillId="3" borderId="57" xfId="9" applyNumberFormat="1" applyFont="1" applyFill="1" applyBorder="1" applyAlignment="1" applyProtection="1">
      <alignment vertical="center"/>
      <protection hidden="1"/>
    </xf>
    <xf numFmtId="179" fontId="11" fillId="3" borderId="77" xfId="9" applyNumberFormat="1" applyFont="1" applyFill="1" applyBorder="1" applyAlignment="1" applyProtection="1">
      <alignment vertical="center"/>
      <protection hidden="1"/>
    </xf>
    <xf numFmtId="179" fontId="11" fillId="9" borderId="113" xfId="9" applyNumberFormat="1" applyFont="1" applyFill="1" applyBorder="1" applyAlignment="1" applyProtection="1">
      <alignment vertical="center"/>
      <protection hidden="1"/>
    </xf>
    <xf numFmtId="0" fontId="11" fillId="2" borderId="53" xfId="0" applyFont="1" applyFill="1" applyBorder="1" applyAlignment="1" applyProtection="1">
      <alignment horizontal="left" vertical="center" indent="2"/>
      <protection hidden="1"/>
    </xf>
    <xf numFmtId="179" fontId="11" fillId="3" borderId="48" xfId="9" applyNumberFormat="1" applyFont="1" applyFill="1" applyBorder="1" applyAlignment="1" applyProtection="1">
      <alignment vertical="center"/>
      <protection hidden="1"/>
    </xf>
    <xf numFmtId="179" fontId="11" fillId="3" borderId="49" xfId="9" applyNumberFormat="1" applyFont="1" applyFill="1" applyBorder="1" applyAlignment="1" applyProtection="1">
      <alignment vertical="center"/>
      <protection hidden="1"/>
    </xf>
    <xf numFmtId="0" fontId="11" fillId="3" borderId="26" xfId="9" applyFont="1" applyFill="1" applyBorder="1" applyAlignment="1" applyProtection="1">
      <alignment horizontal="left" vertical="center" indent="3"/>
      <protection hidden="1"/>
    </xf>
    <xf numFmtId="0" fontId="11" fillId="3" borderId="114" xfId="9" applyFont="1" applyFill="1" applyBorder="1" applyAlignment="1" applyProtection="1">
      <alignment horizontal="center" vertical="top"/>
      <protection hidden="1"/>
    </xf>
    <xf numFmtId="0" fontId="11" fillId="3" borderId="113" xfId="9" applyFont="1" applyFill="1" applyBorder="1" applyAlignment="1" applyProtection="1">
      <alignment horizontal="center" vertical="top" wrapText="1"/>
      <protection hidden="1"/>
    </xf>
    <xf numFmtId="172" fontId="11" fillId="2" borderId="106" xfId="0" applyNumberFormat="1" applyFont="1" applyFill="1" applyBorder="1" applyAlignment="1" applyProtection="1">
      <alignment horizontal="center" vertical="top"/>
      <protection hidden="1"/>
    </xf>
    <xf numFmtId="172" fontId="11" fillId="2" borderId="114" xfId="0" applyNumberFormat="1" applyFont="1" applyFill="1" applyBorder="1" applyAlignment="1" applyProtection="1">
      <alignment horizontal="center" vertical="top"/>
      <protection hidden="1"/>
    </xf>
    <xf numFmtId="0" fontId="11" fillId="3" borderId="58" xfId="9" applyFont="1" applyFill="1" applyBorder="1" applyAlignment="1" applyProtection="1">
      <alignment vertical="center"/>
      <protection hidden="1"/>
    </xf>
    <xf numFmtId="0" fontId="11" fillId="3" borderId="36" xfId="9" applyFont="1" applyFill="1" applyBorder="1" applyAlignment="1" applyProtection="1">
      <alignment vertical="center"/>
      <protection hidden="1"/>
    </xf>
    <xf numFmtId="0" fontId="10" fillId="9" borderId="11" xfId="9" applyFont="1" applyFill="1" applyBorder="1" applyProtection="1">
      <protection hidden="1"/>
    </xf>
    <xf numFmtId="0" fontId="10" fillId="9" borderId="25" xfId="9" applyFont="1" applyFill="1" applyBorder="1" applyProtection="1">
      <protection hidden="1"/>
    </xf>
    <xf numFmtId="0" fontId="11" fillId="3" borderId="11" xfId="9" applyFont="1" applyFill="1" applyBorder="1" applyAlignment="1" applyProtection="1">
      <alignment horizontal="center" vertical="top"/>
      <protection hidden="1"/>
    </xf>
    <xf numFmtId="179" fontId="10" fillId="9" borderId="91" xfId="9" applyNumberFormat="1" applyFont="1" applyFill="1" applyBorder="1" applyAlignment="1" applyProtection="1">
      <alignment vertical="center"/>
      <protection hidden="1"/>
    </xf>
    <xf numFmtId="179" fontId="10" fillId="9" borderId="77" xfId="9" applyNumberFormat="1" applyFont="1" applyFill="1" applyBorder="1" applyAlignment="1" applyProtection="1">
      <protection hidden="1"/>
    </xf>
    <xf numFmtId="0" fontId="11" fillId="10" borderId="37" xfId="9" applyFont="1" applyFill="1" applyBorder="1" applyAlignment="1" applyProtection="1">
      <alignment horizontal="center" vertical="center"/>
      <protection hidden="1"/>
    </xf>
    <xf numFmtId="0" fontId="11" fillId="9" borderId="25" xfId="9" applyFont="1" applyFill="1" applyBorder="1" applyAlignment="1" applyProtection="1">
      <alignment horizontal="center" vertical="center"/>
      <protection hidden="1"/>
    </xf>
    <xf numFmtId="0" fontId="10" fillId="4" borderId="56" xfId="9" applyFont="1" applyFill="1" applyBorder="1" applyAlignment="1" applyProtection="1">
      <alignment horizontal="centerContinuous" vertical="center"/>
      <protection hidden="1"/>
    </xf>
    <xf numFmtId="0" fontId="11" fillId="4" borderId="84" xfId="9" applyFont="1" applyFill="1" applyBorder="1" applyAlignment="1" applyProtection="1">
      <alignment horizontal="right" vertical="top"/>
      <protection hidden="1"/>
    </xf>
    <xf numFmtId="0" fontId="10" fillId="4" borderId="61" xfId="9" applyFont="1" applyFill="1" applyBorder="1" applyProtection="1">
      <protection hidden="1"/>
    </xf>
    <xf numFmtId="0" fontId="10" fillId="4" borderId="106" xfId="9" applyFont="1" applyFill="1" applyBorder="1" applyAlignment="1" applyProtection="1">
      <alignment horizontal="center" vertical="center"/>
      <protection hidden="1"/>
    </xf>
    <xf numFmtId="0" fontId="10" fillId="9" borderId="118" xfId="9" applyFont="1" applyFill="1" applyBorder="1" applyAlignment="1" applyProtection="1">
      <alignment vertical="center"/>
      <protection hidden="1"/>
    </xf>
    <xf numFmtId="0" fontId="10" fillId="4" borderId="106" xfId="9" applyFont="1" applyFill="1" applyBorder="1" applyAlignment="1" applyProtection="1">
      <alignment horizontal="centerContinuous" vertical="center"/>
      <protection hidden="1"/>
    </xf>
    <xf numFmtId="179" fontId="11" fillId="9" borderId="84" xfId="9" applyNumberFormat="1" applyFont="1" applyFill="1" applyBorder="1" applyAlignment="1" applyProtection="1">
      <alignment vertical="center"/>
      <protection hidden="1"/>
    </xf>
    <xf numFmtId="179" fontId="11" fillId="9" borderId="119" xfId="9" applyNumberFormat="1" applyFont="1" applyFill="1" applyBorder="1" applyAlignment="1" applyProtection="1">
      <alignment vertical="center"/>
      <protection hidden="1"/>
    </xf>
    <xf numFmtId="0" fontId="10" fillId="9" borderId="120" xfId="9" applyFont="1" applyFill="1" applyBorder="1" applyAlignment="1" applyProtection="1">
      <alignment vertical="center"/>
      <protection hidden="1"/>
    </xf>
    <xf numFmtId="0" fontId="15" fillId="4" borderId="86" xfId="0" applyFont="1" applyFill="1" applyBorder="1" applyAlignment="1" applyProtection="1">
      <alignment horizontal="left" vertical="center"/>
      <protection hidden="1"/>
    </xf>
    <xf numFmtId="0" fontId="10" fillId="3" borderId="86" xfId="9" applyFont="1" applyFill="1" applyBorder="1" applyAlignment="1" applyProtection="1">
      <alignment horizontal="centerContinuous" vertical="center"/>
      <protection hidden="1"/>
    </xf>
    <xf numFmtId="0" fontId="10" fillId="4" borderId="86" xfId="9" applyFont="1" applyFill="1" applyBorder="1" applyAlignment="1" applyProtection="1">
      <alignment horizontal="centerContinuous" vertical="center"/>
      <protection hidden="1"/>
    </xf>
    <xf numFmtId="0" fontId="10" fillId="4" borderId="87" xfId="9" applyFont="1" applyFill="1" applyBorder="1" applyAlignment="1" applyProtection="1">
      <alignment horizontal="centerContinuous" vertical="center"/>
      <protection hidden="1"/>
    </xf>
    <xf numFmtId="0" fontId="11" fillId="2" borderId="84" xfId="0" applyFont="1" applyFill="1" applyBorder="1" applyAlignment="1" applyProtection="1">
      <alignment horizontal="center" vertical="top" wrapText="1"/>
      <protection hidden="1"/>
    </xf>
    <xf numFmtId="179" fontId="10" fillId="2" borderId="76" xfId="0" applyNumberFormat="1" applyFont="1" applyFill="1" applyBorder="1" applyAlignment="1" applyProtection="1">
      <alignment vertical="center"/>
      <protection hidden="1"/>
    </xf>
    <xf numFmtId="185" fontId="10" fillId="2" borderId="48" xfId="0" quotePrefix="1" applyNumberFormat="1" applyFont="1" applyFill="1" applyBorder="1" applyAlignment="1" applyProtection="1">
      <alignment vertical="center"/>
      <protection hidden="1"/>
    </xf>
    <xf numFmtId="0" fontId="10" fillId="2" borderId="56" xfId="0" applyNumberFormat="1" applyFont="1" applyFill="1" applyBorder="1" applyAlignment="1" applyProtection="1">
      <protection hidden="1"/>
    </xf>
    <xf numFmtId="0" fontId="10" fillId="2" borderId="56" xfId="0" quotePrefix="1" applyNumberFormat="1" applyFont="1" applyFill="1" applyBorder="1" applyAlignment="1" applyProtection="1">
      <protection hidden="1"/>
    </xf>
    <xf numFmtId="179" fontId="10" fillId="9" borderId="42" xfId="9" applyNumberFormat="1" applyFont="1" applyFill="1" applyBorder="1" applyAlignment="1" applyProtection="1">
      <alignment vertical="center"/>
      <protection locked="0"/>
    </xf>
    <xf numFmtId="179" fontId="10" fillId="9" borderId="101" xfId="9" applyNumberFormat="1" applyFont="1" applyFill="1" applyBorder="1" applyAlignment="1" applyProtection="1">
      <alignment vertical="center"/>
      <protection locked="0"/>
    </xf>
    <xf numFmtId="179" fontId="10" fillId="9" borderId="88" xfId="9" applyNumberFormat="1" applyFont="1" applyFill="1" applyBorder="1" applyAlignment="1" applyProtection="1">
      <alignment vertical="center"/>
      <protection locked="0"/>
    </xf>
    <xf numFmtId="179" fontId="10" fillId="9" borderId="29" xfId="9" applyNumberFormat="1" applyFont="1" applyFill="1" applyBorder="1" applyAlignment="1" applyProtection="1">
      <alignment vertical="center"/>
      <protection locked="0"/>
    </xf>
    <xf numFmtId="179" fontId="10" fillId="9" borderId="30" xfId="9" applyNumberFormat="1" applyFont="1" applyFill="1" applyBorder="1" applyAlignment="1" applyProtection="1">
      <alignment vertical="center"/>
      <protection locked="0"/>
    </xf>
    <xf numFmtId="179" fontId="10" fillId="9" borderId="11" xfId="9" applyNumberFormat="1" applyFont="1" applyFill="1" applyBorder="1" applyAlignment="1" applyProtection="1">
      <alignment vertical="center"/>
      <protection locked="0"/>
    </xf>
    <xf numFmtId="179" fontId="10" fillId="9" borderId="36" xfId="9" applyNumberFormat="1" applyFont="1" applyFill="1" applyBorder="1" applyAlignment="1" applyProtection="1">
      <alignment vertical="center"/>
      <protection locked="0"/>
    </xf>
    <xf numFmtId="179" fontId="10" fillId="9" borderId="0" xfId="9" applyNumberFormat="1" applyFont="1" applyFill="1" applyBorder="1" applyAlignment="1" applyProtection="1">
      <alignment vertical="center"/>
      <protection locked="0"/>
    </xf>
    <xf numFmtId="179" fontId="10" fillId="9" borderId="5" xfId="9" applyNumberFormat="1" applyFont="1" applyFill="1" applyBorder="1" applyAlignment="1" applyProtection="1">
      <alignment vertical="center"/>
      <protection locked="0"/>
    </xf>
    <xf numFmtId="179" fontId="10" fillId="9" borderId="114" xfId="9" applyNumberFormat="1" applyFont="1" applyFill="1" applyBorder="1" applyAlignment="1" applyProtection="1">
      <alignment vertical="center"/>
      <protection locked="0"/>
    </xf>
    <xf numFmtId="179" fontId="10" fillId="9" borderId="91" xfId="9" applyNumberFormat="1" applyFont="1" applyFill="1" applyBorder="1" applyAlignment="1" applyProtection="1">
      <alignment vertical="center"/>
      <protection locked="0"/>
    </xf>
    <xf numFmtId="179" fontId="10" fillId="9" borderId="84" xfId="9" applyNumberFormat="1" applyFont="1" applyFill="1" applyBorder="1" applyAlignment="1" applyProtection="1">
      <alignment vertical="center"/>
      <protection locked="0"/>
    </xf>
    <xf numFmtId="179" fontId="10" fillId="9" borderId="89" xfId="9" applyNumberFormat="1" applyFont="1" applyFill="1" applyBorder="1" applyAlignment="1" applyProtection="1">
      <alignment vertical="center"/>
      <protection locked="0"/>
    </xf>
    <xf numFmtId="179" fontId="10" fillId="9" borderId="95" xfId="9" applyNumberFormat="1" applyFont="1" applyFill="1" applyBorder="1" applyAlignment="1" applyProtection="1">
      <alignment vertical="center"/>
      <protection locked="0"/>
    </xf>
    <xf numFmtId="179" fontId="10" fillId="9" borderId="10" xfId="9" applyNumberFormat="1" applyFont="1" applyFill="1" applyBorder="1" applyAlignment="1" applyProtection="1">
      <alignment vertical="center"/>
      <protection locked="0"/>
    </xf>
    <xf numFmtId="179" fontId="10" fillId="9" borderId="107" xfId="9" applyNumberFormat="1" applyFont="1" applyFill="1" applyBorder="1" applyAlignment="1" applyProtection="1">
      <alignment vertical="center"/>
      <protection locked="0"/>
    </xf>
    <xf numFmtId="178" fontId="10" fillId="9" borderId="30" xfId="9" applyNumberFormat="1" applyFont="1" applyFill="1" applyBorder="1" applyAlignment="1" applyProtection="1">
      <alignment vertical="center"/>
      <protection locked="0"/>
    </xf>
    <xf numFmtId="178" fontId="10" fillId="9" borderId="95" xfId="9" applyNumberFormat="1" applyFont="1" applyFill="1" applyBorder="1" applyAlignment="1" applyProtection="1">
      <alignment vertical="center"/>
      <protection locked="0"/>
    </xf>
    <xf numFmtId="178" fontId="11" fillId="9" borderId="30" xfId="9" applyNumberFormat="1" applyFont="1" applyFill="1" applyBorder="1" applyAlignment="1" applyProtection="1">
      <alignment vertical="center"/>
      <protection locked="0"/>
    </xf>
    <xf numFmtId="178" fontId="10" fillId="9" borderId="114" xfId="9" applyNumberFormat="1" applyFont="1" applyFill="1" applyBorder="1" applyAlignment="1" applyProtection="1">
      <alignment vertical="center"/>
      <protection locked="0"/>
    </xf>
    <xf numFmtId="178" fontId="11" fillId="9" borderId="42" xfId="9" applyNumberFormat="1" applyFont="1" applyFill="1" applyBorder="1" applyAlignment="1" applyProtection="1">
      <alignment vertical="center"/>
      <protection locked="0"/>
    </xf>
    <xf numFmtId="178" fontId="10" fillId="9" borderId="11" xfId="9" applyNumberFormat="1" applyFont="1" applyFill="1" applyBorder="1" applyAlignment="1" applyProtection="1">
      <alignment vertical="center"/>
      <protection locked="0"/>
    </xf>
    <xf numFmtId="184" fontId="10" fillId="9" borderId="19" xfId="9" applyNumberFormat="1" applyFont="1" applyFill="1" applyBorder="1" applyAlignment="1" applyProtection="1">
      <alignment vertical="center"/>
      <protection locked="0"/>
    </xf>
    <xf numFmtId="184" fontId="10" fillId="9" borderId="72" xfId="9" applyNumberFormat="1" applyFont="1" applyFill="1" applyBorder="1" applyAlignment="1" applyProtection="1">
      <alignment vertical="center"/>
      <protection locked="0"/>
    </xf>
    <xf numFmtId="178" fontId="10" fillId="9" borderId="42" xfId="9" applyNumberFormat="1" applyFont="1" applyFill="1" applyBorder="1" applyAlignment="1" applyProtection="1">
      <alignment vertical="center"/>
      <protection locked="0"/>
    </xf>
    <xf numFmtId="179" fontId="10" fillId="9" borderId="90" xfId="9" applyNumberFormat="1" applyFont="1" applyFill="1" applyBorder="1" applyAlignment="1" applyProtection="1">
      <alignment vertical="center"/>
      <protection locked="0"/>
    </xf>
    <xf numFmtId="179" fontId="10" fillId="9" borderId="98" xfId="9" applyNumberFormat="1" applyFont="1" applyFill="1" applyBorder="1" applyAlignment="1" applyProtection="1">
      <alignment vertical="center"/>
      <protection locked="0"/>
    </xf>
    <xf numFmtId="179" fontId="10" fillId="9" borderId="107" xfId="0" applyNumberFormat="1" applyFont="1" applyFill="1" applyBorder="1" applyAlignment="1" applyProtection="1">
      <alignment vertical="center"/>
      <protection locked="0"/>
    </xf>
    <xf numFmtId="178" fontId="10" fillId="9" borderId="42" xfId="0" applyNumberFormat="1" applyFont="1" applyFill="1" applyBorder="1" applyAlignment="1" applyProtection="1">
      <alignment vertical="center"/>
      <protection locked="0"/>
    </xf>
    <xf numFmtId="178" fontId="10" fillId="9" borderId="88" xfId="0" applyNumberFormat="1" applyFont="1" applyFill="1" applyBorder="1" applyAlignment="1" applyProtection="1">
      <alignment vertical="center"/>
      <protection locked="0"/>
    </xf>
    <xf numFmtId="178" fontId="10" fillId="9" borderId="30" xfId="0" applyNumberFormat="1" applyFont="1" applyFill="1" applyBorder="1" applyAlignment="1" applyProtection="1">
      <alignment vertical="center"/>
      <protection locked="0"/>
    </xf>
    <xf numFmtId="178" fontId="10" fillId="9" borderId="11" xfId="0" applyNumberFormat="1" applyFont="1" applyFill="1" applyBorder="1" applyAlignment="1" applyProtection="1">
      <alignment vertical="center"/>
      <protection locked="0"/>
    </xf>
    <xf numFmtId="178" fontId="10" fillId="9" borderId="91" xfId="0" applyNumberFormat="1" applyFont="1" applyFill="1" applyBorder="1" applyAlignment="1" applyProtection="1">
      <alignment vertical="center"/>
      <protection locked="0"/>
    </xf>
    <xf numFmtId="178" fontId="10" fillId="9" borderId="103" xfId="0" applyNumberFormat="1" applyFont="1" applyFill="1" applyBorder="1" applyAlignment="1" applyProtection="1">
      <alignment vertical="center"/>
      <protection locked="0"/>
    </xf>
    <xf numFmtId="178" fontId="10" fillId="9" borderId="95" xfId="0" applyNumberFormat="1" applyFont="1" applyFill="1" applyBorder="1" applyAlignment="1" applyProtection="1">
      <alignment vertical="center"/>
      <protection locked="0"/>
    </xf>
    <xf numFmtId="178" fontId="10" fillId="9" borderId="104" xfId="0" applyNumberFormat="1" applyFont="1" applyFill="1" applyBorder="1" applyAlignment="1" applyProtection="1">
      <alignment vertical="center"/>
      <protection locked="0"/>
    </xf>
    <xf numFmtId="178" fontId="10" fillId="9" borderId="90" xfId="0" applyNumberFormat="1" applyFont="1" applyFill="1" applyBorder="1" applyAlignment="1" applyProtection="1">
      <alignment vertical="center"/>
      <protection locked="0"/>
    </xf>
    <xf numFmtId="184" fontId="10" fillId="9" borderId="83" xfId="0" applyNumberFormat="1" applyFont="1" applyFill="1" applyBorder="1" applyAlignment="1" applyProtection="1">
      <alignment vertical="center"/>
      <protection locked="0"/>
    </xf>
    <xf numFmtId="184" fontId="10" fillId="9" borderId="6" xfId="0" applyNumberFormat="1" applyFont="1" applyFill="1" applyBorder="1" applyAlignment="1" applyProtection="1">
      <alignment vertical="center"/>
      <protection locked="0"/>
    </xf>
    <xf numFmtId="184" fontId="10" fillId="9" borderId="39" xfId="0" applyNumberFormat="1" applyFont="1" applyFill="1" applyBorder="1" applyAlignment="1" applyProtection="1">
      <alignment vertical="center"/>
      <protection locked="0"/>
    </xf>
    <xf numFmtId="184" fontId="10" fillId="9" borderId="30" xfId="0" applyNumberFormat="1" applyFont="1" applyFill="1" applyBorder="1" applyAlignment="1" applyProtection="1">
      <alignment vertical="center"/>
      <protection locked="0"/>
    </xf>
    <xf numFmtId="167" fontId="10" fillId="9" borderId="27" xfId="0" applyNumberFormat="1" applyFont="1" applyFill="1" applyBorder="1" applyAlignment="1" applyProtection="1">
      <alignment vertical="center"/>
      <protection locked="0"/>
    </xf>
    <xf numFmtId="170" fontId="10" fillId="9" borderId="41" xfId="0" applyNumberFormat="1" applyFont="1" applyFill="1" applyBorder="1" applyAlignment="1" applyProtection="1">
      <alignment vertical="center"/>
      <protection locked="0"/>
    </xf>
    <xf numFmtId="167" fontId="10" fillId="9" borderId="59" xfId="0" applyNumberFormat="1" applyFont="1" applyFill="1" applyBorder="1" applyAlignment="1" applyProtection="1">
      <alignment vertical="center"/>
      <protection locked="0"/>
    </xf>
    <xf numFmtId="170" fontId="10" fillId="9" borderId="27" xfId="0" applyNumberFormat="1" applyFont="1" applyFill="1" applyBorder="1" applyAlignment="1" applyProtection="1">
      <alignment vertical="center"/>
      <protection locked="0"/>
    </xf>
    <xf numFmtId="167" fontId="10" fillId="9" borderId="12" xfId="0" applyNumberFormat="1" applyFont="1" applyFill="1" applyBorder="1" applyAlignment="1" applyProtection="1">
      <alignment vertical="center"/>
      <protection locked="0"/>
    </xf>
    <xf numFmtId="170" fontId="10" fillId="9" borderId="64" xfId="0" applyNumberFormat="1" applyFont="1" applyFill="1" applyBorder="1" applyAlignment="1" applyProtection="1">
      <alignment vertical="center"/>
      <protection locked="0"/>
    </xf>
    <xf numFmtId="167" fontId="10" fillId="9" borderId="13" xfId="0" applyNumberFormat="1" applyFont="1" applyFill="1" applyBorder="1" applyAlignment="1" applyProtection="1">
      <alignment vertical="center"/>
      <protection locked="0"/>
    </xf>
    <xf numFmtId="170" fontId="10" fillId="9" borderId="12" xfId="0" applyNumberFormat="1" applyFont="1" applyFill="1" applyBorder="1" applyAlignment="1" applyProtection="1">
      <alignment vertical="center"/>
      <protection locked="0"/>
    </xf>
    <xf numFmtId="181" fontId="10" fillId="9" borderId="41" xfId="0" applyNumberFormat="1" applyFont="1" applyFill="1" applyBorder="1" applyAlignment="1" applyProtection="1">
      <alignment vertical="center"/>
      <protection locked="0"/>
    </xf>
    <xf numFmtId="3" fontId="13" fillId="0" borderId="106" xfId="14" applyNumberFormat="1" applyFont="1" applyFill="1" applyBorder="1" applyAlignment="1" applyProtection="1">
      <alignment horizontal="center" vertical="top" wrapText="1"/>
      <protection hidden="1"/>
    </xf>
    <xf numFmtId="186" fontId="13" fillId="0" borderId="87" xfId="14" applyNumberFormat="1" applyFont="1" applyFill="1" applyBorder="1" applyAlignment="1" applyProtection="1">
      <alignment horizontal="center" vertical="center"/>
      <protection hidden="1"/>
    </xf>
    <xf numFmtId="172" fontId="13" fillId="0" borderId="114" xfId="14" applyNumberFormat="1" applyFont="1" applyFill="1" applyBorder="1" applyAlignment="1" applyProtection="1">
      <alignment horizontal="center" vertical="center"/>
      <protection hidden="1"/>
    </xf>
    <xf numFmtId="3" fontId="13" fillId="0" borderId="114" xfId="14" applyNumberFormat="1" applyFont="1" applyFill="1" applyBorder="1" applyAlignment="1" applyProtection="1">
      <alignment horizontal="center" vertical="center"/>
      <protection hidden="1"/>
    </xf>
    <xf numFmtId="172" fontId="13" fillId="0" borderId="114" xfId="14" applyNumberFormat="1" applyFont="1" applyFill="1" applyBorder="1" applyAlignment="1" applyProtection="1">
      <alignment horizontal="center" vertical="top"/>
      <protection hidden="1"/>
    </xf>
    <xf numFmtId="172" fontId="13" fillId="0" borderId="114" xfId="14" applyNumberFormat="1" applyFont="1" applyFill="1" applyBorder="1" applyAlignment="1" applyProtection="1">
      <alignment horizontal="center" vertical="top" wrapText="1"/>
      <protection hidden="1"/>
    </xf>
    <xf numFmtId="3" fontId="13" fillId="0" borderId="114" xfId="14" applyNumberFormat="1" applyFont="1" applyFill="1" applyBorder="1" applyAlignment="1" applyProtection="1">
      <alignment horizontal="center" vertical="top"/>
      <protection hidden="1"/>
    </xf>
    <xf numFmtId="3" fontId="13" fillId="0" borderId="114" xfId="14" applyNumberFormat="1" applyFont="1" applyFill="1" applyBorder="1" applyAlignment="1" applyProtection="1">
      <alignment horizontal="center" vertical="top" wrapText="1"/>
      <protection hidden="1"/>
    </xf>
    <xf numFmtId="3" fontId="13" fillId="0" borderId="113" xfId="14" applyNumberFormat="1" applyFont="1" applyFill="1" applyBorder="1" applyAlignment="1" applyProtection="1">
      <alignment horizontal="center" vertical="top"/>
      <protection hidden="1"/>
    </xf>
    <xf numFmtId="177" fontId="12" fillId="0" borderId="114" xfId="14" applyNumberFormat="1" applyFont="1" applyFill="1" applyBorder="1" applyAlignment="1" applyProtection="1">
      <alignment horizontal="center"/>
      <protection hidden="1"/>
    </xf>
    <xf numFmtId="177" fontId="12" fillId="0" borderId="114" xfId="14" applyNumberFormat="1" applyFont="1" applyBorder="1" applyAlignment="1" applyProtection="1">
      <alignment horizontal="center"/>
      <protection hidden="1"/>
    </xf>
    <xf numFmtId="177" fontId="12" fillId="0" borderId="113" xfId="14" applyNumberFormat="1" applyFont="1" applyBorder="1" applyAlignment="1" applyProtection="1">
      <alignment horizontal="center"/>
      <protection hidden="1"/>
    </xf>
    <xf numFmtId="0" fontId="10" fillId="5" borderId="98" xfId="12" applyFont="1" applyFill="1" applyBorder="1" applyAlignment="1" applyProtection="1">
      <alignment vertical="center"/>
      <protection hidden="1"/>
    </xf>
    <xf numFmtId="0" fontId="11" fillId="9" borderId="106" xfId="12" applyNumberFormat="1" applyFont="1" applyFill="1" applyBorder="1" applyAlignment="1" applyProtection="1">
      <alignment vertical="center"/>
      <protection hidden="1"/>
    </xf>
    <xf numFmtId="0" fontId="11" fillId="0" borderId="30" xfId="12" applyNumberFormat="1" applyFont="1" applyFill="1" applyBorder="1" applyAlignment="1" applyProtection="1">
      <alignment horizontal="left" vertical="center" indent="1"/>
      <protection hidden="1"/>
    </xf>
    <xf numFmtId="0" fontId="17" fillId="9" borderId="0" xfId="12" applyFont="1" applyFill="1" applyBorder="1" applyAlignment="1" applyProtection="1">
      <alignment horizontal="center" vertical="center"/>
      <protection hidden="1"/>
    </xf>
    <xf numFmtId="0" fontId="10" fillId="5" borderId="0" xfId="12" applyFont="1" applyFill="1" applyBorder="1" applyAlignment="1" applyProtection="1">
      <alignment horizontal="center" vertical="center" wrapText="1"/>
      <protection hidden="1"/>
    </xf>
    <xf numFmtId="0" fontId="10" fillId="5" borderId="106" xfId="12" applyFont="1" applyFill="1" applyBorder="1" applyAlignment="1" applyProtection="1">
      <protection hidden="1"/>
    </xf>
    <xf numFmtId="0" fontId="14" fillId="9" borderId="0" xfId="12" applyFont="1" applyFill="1" applyBorder="1" applyAlignment="1" applyProtection="1">
      <protection hidden="1"/>
    </xf>
    <xf numFmtId="0" fontId="16" fillId="9" borderId="0" xfId="12" applyFont="1" applyFill="1" applyBorder="1" applyAlignment="1" applyProtection="1">
      <protection hidden="1"/>
    </xf>
    <xf numFmtId="0" fontId="10" fillId="9" borderId="106" xfId="12" applyNumberFormat="1" applyFont="1" applyFill="1" applyBorder="1" applyAlignment="1" applyProtection="1">
      <protection hidden="1"/>
    </xf>
    <xf numFmtId="0" fontId="11" fillId="9" borderId="0" xfId="12" applyFont="1" applyFill="1" applyBorder="1" applyAlignment="1" applyProtection="1">
      <alignment vertical="center"/>
      <protection hidden="1"/>
    </xf>
    <xf numFmtId="188" fontId="11" fillId="5" borderId="0" xfId="12" applyNumberFormat="1" applyFont="1" applyFill="1" applyBorder="1" applyAlignment="1" applyProtection="1">
      <alignment vertical="center"/>
      <protection hidden="1"/>
    </xf>
    <xf numFmtId="0" fontId="11" fillId="5" borderId="25" xfId="12" applyFont="1" applyFill="1" applyBorder="1" applyAlignment="1" applyProtection="1">
      <alignment horizontal="center" vertical="center"/>
      <protection hidden="1"/>
    </xf>
    <xf numFmtId="172" fontId="11" fillId="5" borderId="25" xfId="12" applyNumberFormat="1" applyFont="1" applyFill="1" applyBorder="1" applyAlignment="1" applyProtection="1">
      <alignment horizontal="center" vertical="center" wrapText="1"/>
      <protection hidden="1"/>
    </xf>
    <xf numFmtId="0" fontId="10" fillId="5" borderId="11" xfId="12" applyFont="1" applyFill="1" applyBorder="1" applyAlignment="1" applyProtection="1">
      <protection hidden="1"/>
    </xf>
    <xf numFmtId="172" fontId="11" fillId="5" borderId="10" xfId="12" applyNumberFormat="1" applyFont="1" applyFill="1" applyBorder="1" applyAlignment="1" applyProtection="1">
      <alignment horizontal="center" vertical="center"/>
      <protection hidden="1"/>
    </xf>
    <xf numFmtId="0" fontId="10" fillId="9" borderId="106" xfId="12" applyFont="1" applyFill="1" applyBorder="1" applyAlignment="1" applyProtection="1">
      <alignment vertical="top" wrapText="1"/>
      <protection hidden="1"/>
    </xf>
    <xf numFmtId="0" fontId="11" fillId="5" borderId="11" xfId="12" applyFont="1" applyFill="1" applyBorder="1" applyAlignment="1" applyProtection="1">
      <alignment horizontal="center" vertical="center"/>
      <protection hidden="1"/>
    </xf>
    <xf numFmtId="186" fontId="11" fillId="5" borderId="17" xfId="12" applyNumberFormat="1" applyFont="1" applyFill="1" applyBorder="1" applyAlignment="1" applyProtection="1">
      <alignment horizontal="center" vertical="center"/>
      <protection hidden="1"/>
    </xf>
    <xf numFmtId="186" fontId="11" fillId="5" borderId="16" xfId="12" quotePrefix="1" applyNumberFormat="1" applyFont="1" applyFill="1" applyBorder="1" applyAlignment="1" applyProtection="1">
      <alignment horizontal="center" vertical="center"/>
      <protection hidden="1"/>
    </xf>
    <xf numFmtId="0" fontId="11" fillId="9" borderId="106" xfId="12" applyFont="1" applyFill="1" applyBorder="1" applyAlignment="1" applyProtection="1">
      <alignment vertical="top" wrapText="1"/>
      <protection hidden="1"/>
    </xf>
    <xf numFmtId="189" fontId="11" fillId="9" borderId="42" xfId="12" applyNumberFormat="1" applyFont="1" applyFill="1" applyBorder="1" applyAlignment="1" applyProtection="1">
      <alignment horizontal="left" vertical="center" wrapText="1" indent="1"/>
      <protection locked="0"/>
    </xf>
    <xf numFmtId="178" fontId="10" fillId="9" borderId="42" xfId="12" applyNumberFormat="1" applyFont="1" applyFill="1" applyBorder="1" applyAlignment="1" applyProtection="1">
      <alignment vertical="center"/>
      <protection locked="0"/>
    </xf>
    <xf numFmtId="189" fontId="11" fillId="9" borderId="42" xfId="5" applyNumberFormat="1" applyFont="1" applyFill="1" applyBorder="1" applyAlignment="1" applyProtection="1">
      <alignment horizontal="left" vertical="center" wrapText="1" indent="1"/>
      <protection locked="0"/>
    </xf>
    <xf numFmtId="178" fontId="9" fillId="9" borderId="10" xfId="12" applyNumberFormat="1" applyFont="1" applyFill="1" applyBorder="1" applyAlignment="1" applyProtection="1">
      <alignment vertical="center"/>
      <protection locked="0"/>
    </xf>
    <xf numFmtId="179" fontId="19" fillId="5" borderId="68" xfId="12" applyNumberFormat="1" applyFont="1" applyFill="1" applyBorder="1" applyAlignment="1" applyProtection="1">
      <alignment vertical="center"/>
      <protection hidden="1"/>
    </xf>
    <xf numFmtId="0" fontId="11" fillId="9" borderId="77" xfId="12" applyFont="1" applyFill="1" applyBorder="1" applyAlignment="1" applyProtection="1">
      <alignment horizontal="left" vertical="center" indent="1"/>
      <protection hidden="1"/>
    </xf>
    <xf numFmtId="179" fontId="11" fillId="9" borderId="16" xfId="12" applyNumberFormat="1" applyFont="1" applyFill="1" applyBorder="1" applyAlignment="1" applyProtection="1">
      <alignment vertical="center"/>
      <protection hidden="1"/>
    </xf>
    <xf numFmtId="0" fontId="10" fillId="10" borderId="56" xfId="12" applyFont="1" applyFill="1" applyBorder="1" applyAlignment="1" applyProtection="1">
      <protection hidden="1"/>
    </xf>
    <xf numFmtId="172" fontId="10" fillId="9" borderId="0" xfId="12" applyNumberFormat="1" applyFont="1" applyFill="1" applyBorder="1" applyProtection="1">
      <protection hidden="1"/>
    </xf>
    <xf numFmtId="0" fontId="10" fillId="10" borderId="0" xfId="12" applyFont="1" applyFill="1" applyBorder="1" applyAlignment="1" applyProtection="1">
      <alignment horizontal="left" indent="2"/>
      <protection hidden="1"/>
    </xf>
    <xf numFmtId="0" fontId="10" fillId="9" borderId="120" xfId="12" applyFont="1" applyFill="1" applyBorder="1" applyProtection="1">
      <protection hidden="1"/>
    </xf>
    <xf numFmtId="172" fontId="10" fillId="9" borderId="86" xfId="12" applyNumberFormat="1" applyFont="1" applyFill="1" applyBorder="1" applyProtection="1">
      <protection hidden="1"/>
    </xf>
    <xf numFmtId="172" fontId="10" fillId="14" borderId="0" xfId="12" applyNumberFormat="1" applyFont="1" applyFill="1" applyProtection="1">
      <protection hidden="1"/>
    </xf>
    <xf numFmtId="0" fontId="17" fillId="9" borderId="133" xfId="12" applyFont="1" applyFill="1" applyBorder="1" applyAlignment="1" applyProtection="1">
      <alignment horizontal="center" vertical="center"/>
      <protection hidden="1"/>
    </xf>
    <xf numFmtId="0" fontId="10" fillId="9" borderId="37" xfId="5" applyNumberFormat="1" applyFont="1" applyFill="1" applyBorder="1" applyAlignment="1" applyProtection="1">
      <alignment horizontal="left" vertical="center" wrapText="1" indent="1"/>
      <protection locked="0"/>
    </xf>
    <xf numFmtId="178" fontId="9" fillId="9" borderId="0" xfId="0" applyNumberFormat="1" applyFont="1" applyFill="1" applyBorder="1" applyAlignment="1" applyProtection="1">
      <alignment vertical="center"/>
      <protection locked="0"/>
    </xf>
    <xf numFmtId="178" fontId="9" fillId="9" borderId="11" xfId="0" applyNumberFormat="1" applyFont="1" applyFill="1" applyBorder="1" applyAlignment="1" applyProtection="1">
      <alignment vertical="center"/>
      <protection locked="0"/>
    </xf>
    <xf numFmtId="178" fontId="9" fillId="9" borderId="105" xfId="0" applyNumberFormat="1" applyFont="1" applyFill="1" applyBorder="1" applyAlignment="1" applyProtection="1">
      <alignment vertical="center"/>
      <protection locked="0"/>
    </xf>
    <xf numFmtId="0" fontId="10" fillId="9" borderId="42" xfId="5" applyNumberFormat="1" applyFont="1" applyFill="1" applyBorder="1" applyAlignment="1" applyProtection="1">
      <alignment horizontal="left" vertical="center" wrapText="1" indent="1"/>
      <protection locked="0"/>
    </xf>
    <xf numFmtId="178" fontId="9" fillId="9" borderId="88" xfId="0" applyNumberFormat="1" applyFont="1" applyFill="1" applyBorder="1" applyAlignment="1" applyProtection="1">
      <alignment vertical="center"/>
      <protection locked="0"/>
    </xf>
    <xf numFmtId="178" fontId="9" fillId="9" borderId="42" xfId="0" applyNumberFormat="1" applyFont="1" applyFill="1" applyBorder="1" applyAlignment="1" applyProtection="1">
      <alignment vertical="center"/>
      <protection locked="0"/>
    </xf>
    <xf numFmtId="178" fontId="9" fillId="9" borderId="39" xfId="0" applyNumberFormat="1" applyFont="1" applyFill="1" applyBorder="1" applyAlignment="1" applyProtection="1">
      <alignment vertical="center"/>
      <protection locked="0"/>
    </xf>
    <xf numFmtId="0" fontId="10" fillId="9" borderId="77" xfId="5" applyNumberFormat="1" applyFont="1" applyFill="1" applyBorder="1" applyAlignment="1" applyProtection="1">
      <alignment horizontal="left" vertical="center" wrapText="1" indent="1"/>
      <protection locked="0"/>
    </xf>
    <xf numFmtId="178" fontId="9" fillId="9" borderId="17" xfId="0" applyNumberFormat="1" applyFont="1" applyFill="1" applyBorder="1" applyAlignment="1" applyProtection="1">
      <alignment vertical="center"/>
      <protection locked="0"/>
    </xf>
    <xf numFmtId="179" fontId="19" fillId="9" borderId="74" xfId="0" applyNumberFormat="1" applyFont="1" applyFill="1" applyBorder="1" applyAlignment="1" applyProtection="1">
      <alignment vertical="center"/>
      <protection hidden="1"/>
    </xf>
    <xf numFmtId="179" fontId="19" fillId="9" borderId="80" xfId="0" applyNumberFormat="1" applyFont="1" applyFill="1" applyBorder="1" applyAlignment="1" applyProtection="1">
      <alignment vertical="center"/>
      <protection hidden="1"/>
    </xf>
    <xf numFmtId="179" fontId="19" fillId="9" borderId="67" xfId="0" applyNumberFormat="1" applyFont="1" applyFill="1" applyBorder="1" applyAlignment="1" applyProtection="1">
      <alignment vertical="center"/>
      <protection hidden="1"/>
    </xf>
    <xf numFmtId="179" fontId="19" fillId="9" borderId="69" xfId="0" applyNumberFormat="1" applyFont="1" applyFill="1" applyBorder="1" applyAlignment="1" applyProtection="1">
      <alignment vertical="center"/>
      <protection hidden="1"/>
    </xf>
    <xf numFmtId="179" fontId="19" fillId="9" borderId="70" xfId="0" applyNumberFormat="1" applyFont="1" applyFill="1" applyBorder="1" applyAlignment="1" applyProtection="1">
      <alignment vertical="center"/>
      <protection hidden="1"/>
    </xf>
    <xf numFmtId="178" fontId="11" fillId="9" borderId="88" xfId="0" applyNumberFormat="1" applyFont="1" applyFill="1" applyBorder="1" applyAlignment="1" applyProtection="1">
      <alignment vertical="center"/>
      <protection hidden="1"/>
    </xf>
    <xf numFmtId="178" fontId="11" fillId="9" borderId="42" xfId="0" applyNumberFormat="1" applyFont="1" applyFill="1" applyBorder="1" applyAlignment="1" applyProtection="1">
      <alignment vertical="center"/>
      <protection hidden="1"/>
    </xf>
    <xf numFmtId="178" fontId="11" fillId="9" borderId="32" xfId="0" applyNumberFormat="1" applyFont="1" applyFill="1" applyBorder="1" applyAlignment="1" applyProtection="1">
      <alignment vertical="center"/>
      <protection hidden="1"/>
    </xf>
    <xf numFmtId="178" fontId="11" fillId="9" borderId="38" xfId="0" applyNumberFormat="1" applyFont="1" applyFill="1" applyBorder="1" applyAlignment="1" applyProtection="1">
      <alignment vertical="center"/>
      <protection hidden="1"/>
    </xf>
    <xf numFmtId="178" fontId="11" fillId="9" borderId="31" xfId="0" applyNumberFormat="1" applyFont="1" applyFill="1" applyBorder="1" applyAlignment="1" applyProtection="1">
      <alignment vertical="center"/>
      <protection hidden="1"/>
    </xf>
    <xf numFmtId="179" fontId="11" fillId="9" borderId="33" xfId="0" applyNumberFormat="1" applyFont="1" applyFill="1" applyBorder="1" applyAlignment="1" applyProtection="1">
      <alignment vertical="center"/>
      <protection hidden="1"/>
    </xf>
    <xf numFmtId="179" fontId="11" fillId="9" borderId="64" xfId="0" applyNumberFormat="1" applyFont="1" applyFill="1" applyBorder="1" applyAlignment="1" applyProtection="1">
      <alignment vertical="center"/>
      <protection hidden="1"/>
    </xf>
    <xf numFmtId="0" fontId="3" fillId="9" borderId="20" xfId="73" applyFill="1" applyBorder="1" applyProtection="1">
      <protection hidden="1"/>
    </xf>
    <xf numFmtId="0" fontId="3" fillId="9" borderId="56" xfId="73" applyFill="1" applyBorder="1" applyProtection="1">
      <protection hidden="1"/>
    </xf>
    <xf numFmtId="0" fontId="3" fillId="9" borderId="22" xfId="73" applyFill="1" applyBorder="1" applyProtection="1">
      <protection hidden="1"/>
    </xf>
    <xf numFmtId="0" fontId="3" fillId="9" borderId="9" xfId="73" applyFill="1" applyBorder="1" applyProtection="1">
      <protection hidden="1"/>
    </xf>
    <xf numFmtId="0" fontId="3" fillId="9" borderId="0" xfId="73" applyFill="1" applyBorder="1" applyProtection="1">
      <protection hidden="1"/>
    </xf>
    <xf numFmtId="0" fontId="3" fillId="9" borderId="10" xfId="73" applyFill="1" applyBorder="1" applyProtection="1">
      <protection hidden="1"/>
    </xf>
    <xf numFmtId="0" fontId="31" fillId="9" borderId="0" xfId="73" applyFont="1" applyFill="1" applyBorder="1" applyAlignment="1" applyProtection="1">
      <alignment vertical="center"/>
      <protection hidden="1"/>
    </xf>
    <xf numFmtId="0" fontId="3" fillId="9" borderId="0" xfId="73" applyFill="1" applyBorder="1" applyAlignment="1" applyProtection="1">
      <alignment horizontal="left" vertical="center" indent="1"/>
      <protection hidden="1"/>
    </xf>
    <xf numFmtId="0" fontId="31" fillId="9" borderId="0" xfId="73" applyFont="1" applyFill="1" applyBorder="1" applyProtection="1">
      <protection hidden="1"/>
    </xf>
    <xf numFmtId="0" fontId="3" fillId="9" borderId="23" xfId="73" applyFill="1" applyBorder="1" applyAlignment="1" applyProtection="1">
      <alignment vertical="center"/>
      <protection hidden="1"/>
    </xf>
    <xf numFmtId="0" fontId="31" fillId="9" borderId="134" xfId="73" applyFont="1" applyFill="1" applyBorder="1" applyAlignment="1" applyProtection="1">
      <alignment horizontal="center" vertical="center"/>
      <protection hidden="1"/>
    </xf>
    <xf numFmtId="0" fontId="31" fillId="9" borderId="95" xfId="73" applyFont="1" applyFill="1" applyBorder="1" applyAlignment="1" applyProtection="1">
      <alignment horizontal="center" vertical="center"/>
      <protection hidden="1"/>
    </xf>
    <xf numFmtId="0" fontId="31" fillId="9" borderId="96" xfId="73" applyFont="1" applyFill="1" applyBorder="1" applyAlignment="1" applyProtection="1">
      <alignment horizontal="center" vertical="center"/>
      <protection hidden="1"/>
    </xf>
    <xf numFmtId="0" fontId="3" fillId="9" borderId="5" xfId="73" applyFill="1" applyBorder="1" applyAlignment="1" applyProtection="1">
      <alignment horizontal="center" vertical="center"/>
      <protection hidden="1"/>
    </xf>
    <xf numFmtId="0" fontId="32" fillId="9" borderId="5" xfId="73" applyFont="1" applyFill="1" applyBorder="1" applyAlignment="1" applyProtection="1">
      <alignment horizontal="left" vertical="center" indent="2"/>
      <protection hidden="1"/>
    </xf>
    <xf numFmtId="0" fontId="3" fillId="9" borderId="33" xfId="73" applyFill="1" applyBorder="1" applyProtection="1">
      <protection hidden="1"/>
    </xf>
    <xf numFmtId="0" fontId="3" fillId="9" borderId="61" xfId="73" applyFill="1" applyBorder="1" applyProtection="1">
      <protection hidden="1"/>
    </xf>
    <xf numFmtId="0" fontId="3" fillId="9" borderId="16" xfId="73" applyFill="1" applyBorder="1" applyProtection="1">
      <protection hidden="1"/>
    </xf>
    <xf numFmtId="0" fontId="31" fillId="9" borderId="0" xfId="73" applyFont="1" applyFill="1" applyBorder="1" applyAlignment="1" applyProtection="1">
      <protection hidden="1"/>
    </xf>
    <xf numFmtId="0" fontId="3" fillId="14" borderId="0" xfId="73" applyFill="1" applyProtection="1">
      <protection hidden="1"/>
    </xf>
    <xf numFmtId="0" fontId="31" fillId="9" borderId="5" xfId="73" applyFont="1" applyFill="1" applyBorder="1" applyAlignment="1" applyProtection="1">
      <alignment horizontal="center"/>
      <protection hidden="1"/>
    </xf>
    <xf numFmtId="0" fontId="11" fillId="4" borderId="45" xfId="12" applyFont="1" applyFill="1" applyBorder="1" applyAlignment="1" applyProtection="1">
      <alignment horizontal="center" vertical="center"/>
      <protection hidden="1"/>
    </xf>
    <xf numFmtId="0" fontId="11" fillId="4" borderId="72" xfId="12" applyFont="1" applyFill="1" applyBorder="1" applyAlignment="1" applyProtection="1">
      <alignment horizontal="center" vertical="center"/>
      <protection hidden="1"/>
    </xf>
    <xf numFmtId="0" fontId="31" fillId="9" borderId="9" xfId="73" applyFont="1" applyFill="1" applyBorder="1" applyAlignment="1" applyProtection="1">
      <alignment horizontal="left" vertical="center" indent="1"/>
      <protection hidden="1"/>
    </xf>
    <xf numFmtId="0" fontId="31" fillId="9" borderId="5" xfId="73" applyFont="1" applyFill="1" applyBorder="1" applyAlignment="1" applyProtection="1">
      <alignment horizontal="left" vertical="center" indent="2"/>
      <protection hidden="1"/>
    </xf>
    <xf numFmtId="0" fontId="31" fillId="9" borderId="104" xfId="73" applyFont="1" applyFill="1" applyBorder="1" applyAlignment="1" applyProtection="1">
      <alignment horizontal="center" vertical="center"/>
      <protection hidden="1"/>
    </xf>
    <xf numFmtId="0" fontId="31" fillId="9" borderId="92" xfId="73" applyFont="1" applyFill="1" applyBorder="1" applyAlignment="1" applyProtection="1">
      <alignment horizontal="center" vertical="center"/>
      <protection hidden="1"/>
    </xf>
    <xf numFmtId="186" fontId="31" fillId="9" borderId="114" xfId="73" quotePrefix="1" applyNumberFormat="1" applyFont="1" applyFill="1" applyBorder="1" applyAlignment="1" applyProtection="1">
      <alignment horizontal="center" vertical="center"/>
      <protection hidden="1"/>
    </xf>
    <xf numFmtId="186" fontId="31" fillId="9" borderId="133" xfId="73" quotePrefix="1" applyNumberFormat="1" applyFont="1" applyFill="1" applyBorder="1" applyAlignment="1" applyProtection="1">
      <alignment horizontal="center" vertical="center"/>
      <protection hidden="1"/>
    </xf>
    <xf numFmtId="186" fontId="31" fillId="9" borderId="5" xfId="73" quotePrefix="1" applyNumberFormat="1" applyFont="1" applyFill="1" applyBorder="1" applyAlignment="1" applyProtection="1">
      <alignment horizontal="center" vertical="center"/>
      <protection hidden="1"/>
    </xf>
    <xf numFmtId="186" fontId="31" fillId="9" borderId="113" xfId="73" quotePrefix="1" applyNumberFormat="1" applyFont="1" applyFill="1" applyBorder="1" applyAlignment="1" applyProtection="1">
      <alignment horizontal="center" vertical="center"/>
      <protection hidden="1"/>
    </xf>
    <xf numFmtId="186" fontId="31" fillId="9" borderId="106" xfId="73" quotePrefix="1" applyNumberFormat="1" applyFont="1" applyFill="1" applyBorder="1" applyAlignment="1" applyProtection="1">
      <alignment horizontal="center" vertical="center"/>
      <protection hidden="1"/>
    </xf>
    <xf numFmtId="0" fontId="31" fillId="9" borderId="23" xfId="73" applyFont="1" applyFill="1" applyBorder="1" applyAlignment="1" applyProtection="1">
      <alignment horizontal="left" vertical="center" indent="1"/>
      <protection hidden="1"/>
    </xf>
    <xf numFmtId="0" fontId="0" fillId="14" borderId="0" xfId="0" applyFill="1" applyProtection="1">
      <protection hidden="1"/>
    </xf>
    <xf numFmtId="180" fontId="3" fillId="0" borderId="30" xfId="73" applyNumberFormat="1" applyFill="1" applyBorder="1" applyAlignment="1" applyProtection="1">
      <alignment vertical="center"/>
      <protection locked="0"/>
    </xf>
    <xf numFmtId="180" fontId="31" fillId="9" borderId="82" xfId="73" applyNumberFormat="1" applyFont="1" applyFill="1" applyBorder="1" applyAlignment="1" applyProtection="1">
      <alignment vertical="center"/>
      <protection hidden="1"/>
    </xf>
    <xf numFmtId="180" fontId="3" fillId="0" borderId="29" xfId="73" applyNumberFormat="1" applyFill="1" applyBorder="1" applyAlignment="1" applyProtection="1">
      <alignment vertical="center"/>
      <protection locked="0"/>
    </xf>
    <xf numFmtId="180" fontId="31" fillId="9" borderId="32" xfId="73" applyNumberFormat="1" applyFont="1" applyFill="1" applyBorder="1" applyAlignment="1" applyProtection="1">
      <alignment vertical="center"/>
      <protection hidden="1"/>
    </xf>
    <xf numFmtId="180" fontId="31" fillId="9" borderId="90" xfId="73" applyNumberFormat="1" applyFont="1" applyFill="1" applyBorder="1" applyAlignment="1" applyProtection="1">
      <alignment vertical="center"/>
      <protection hidden="1"/>
    </xf>
    <xf numFmtId="180" fontId="31" fillId="9" borderId="30" xfId="73" applyNumberFormat="1" applyFont="1" applyFill="1" applyBorder="1" applyAlignment="1" applyProtection="1">
      <alignment vertical="center"/>
      <protection hidden="1"/>
    </xf>
    <xf numFmtId="180" fontId="31" fillId="9" borderId="95" xfId="73" applyNumberFormat="1" applyFont="1" applyFill="1" applyBorder="1" applyAlignment="1" applyProtection="1">
      <alignment vertical="center"/>
      <protection hidden="1"/>
    </xf>
    <xf numFmtId="180" fontId="31" fillId="9" borderId="134" xfId="73" applyNumberFormat="1" applyFont="1" applyFill="1" applyBorder="1" applyAlignment="1" applyProtection="1">
      <alignment vertical="center"/>
      <protection hidden="1"/>
    </xf>
    <xf numFmtId="180" fontId="31" fillId="9" borderId="89" xfId="73" applyNumberFormat="1" applyFont="1" applyFill="1" applyBorder="1" applyAlignment="1" applyProtection="1">
      <alignment vertical="center"/>
      <protection hidden="1"/>
    </xf>
    <xf numFmtId="180" fontId="31" fillId="9" borderId="96" xfId="73" applyNumberFormat="1" applyFont="1" applyFill="1" applyBorder="1" applyAlignment="1" applyProtection="1">
      <alignment vertical="center"/>
      <protection hidden="1"/>
    </xf>
    <xf numFmtId="180" fontId="31" fillId="9" borderId="98" xfId="73" applyNumberFormat="1" applyFont="1" applyFill="1" applyBorder="1" applyAlignment="1" applyProtection="1">
      <alignment vertical="center"/>
      <protection hidden="1"/>
    </xf>
    <xf numFmtId="180" fontId="31" fillId="9" borderId="27" xfId="73" quotePrefix="1" applyNumberFormat="1" applyFont="1" applyFill="1" applyBorder="1" applyAlignment="1" applyProtection="1">
      <alignment horizontal="center" vertical="center"/>
      <protection hidden="1"/>
    </xf>
    <xf numFmtId="180" fontId="31" fillId="9" borderId="59" xfId="73" quotePrefix="1" applyNumberFormat="1" applyFont="1" applyFill="1" applyBorder="1" applyAlignment="1" applyProtection="1">
      <alignment horizontal="center" vertical="center"/>
      <protection hidden="1"/>
    </xf>
    <xf numFmtId="180" fontId="31" fillId="9" borderId="26" xfId="73" quotePrefix="1" applyNumberFormat="1" applyFont="1" applyFill="1" applyBorder="1" applyAlignment="1" applyProtection="1">
      <alignment horizontal="center" vertical="center"/>
      <protection hidden="1"/>
    </xf>
    <xf numFmtId="180" fontId="31" fillId="9" borderId="28" xfId="73" quotePrefix="1" applyNumberFormat="1" applyFont="1" applyFill="1" applyBorder="1" applyAlignment="1" applyProtection="1">
      <alignment horizontal="center" vertical="center"/>
      <protection hidden="1"/>
    </xf>
    <xf numFmtId="180" fontId="31" fillId="9" borderId="41" xfId="73" quotePrefix="1" applyNumberFormat="1" applyFont="1" applyFill="1" applyBorder="1" applyAlignment="1" applyProtection="1">
      <alignment horizontal="center" vertical="center"/>
      <protection hidden="1"/>
    </xf>
    <xf numFmtId="180" fontId="31" fillId="9" borderId="29" xfId="73" applyNumberFormat="1" applyFont="1" applyFill="1" applyBorder="1" applyAlignment="1" applyProtection="1">
      <alignment vertical="center"/>
      <protection hidden="1"/>
    </xf>
    <xf numFmtId="0" fontId="2" fillId="9" borderId="0" xfId="73" applyFont="1" applyFill="1" applyBorder="1" applyProtection="1">
      <protection hidden="1"/>
    </xf>
    <xf numFmtId="0" fontId="11" fillId="4" borderId="0" xfId="0" applyFont="1" applyFill="1" applyBorder="1" applyAlignment="1" applyProtection="1">
      <alignment horizontal="right"/>
      <protection hidden="1"/>
    </xf>
    <xf numFmtId="0" fontId="11" fillId="4" borderId="0" xfId="0" applyFont="1" applyFill="1" applyBorder="1" applyAlignment="1" applyProtection="1">
      <alignment horizontal="center" vertical="top" wrapText="1"/>
      <protection hidden="1"/>
    </xf>
    <xf numFmtId="0" fontId="11" fillId="5" borderId="0" xfId="0" quotePrefix="1" applyFont="1" applyFill="1" applyBorder="1" applyAlignment="1" applyProtection="1">
      <alignment horizontal="center" vertical="center" wrapText="1"/>
      <protection hidden="1"/>
    </xf>
    <xf numFmtId="180" fontId="11" fillId="8" borderId="0" xfId="0" applyNumberFormat="1" applyFont="1" applyFill="1" applyBorder="1" applyAlignment="1" applyProtection="1">
      <alignment vertical="center"/>
      <protection hidden="1"/>
    </xf>
    <xf numFmtId="0" fontId="10" fillId="9" borderId="133" xfId="0" applyFont="1" applyFill="1" applyBorder="1" applyProtection="1">
      <protection hidden="1"/>
    </xf>
    <xf numFmtId="0" fontId="10" fillId="4" borderId="106" xfId="0" applyFont="1" applyFill="1" applyBorder="1" applyProtection="1">
      <protection hidden="1"/>
    </xf>
    <xf numFmtId="0" fontId="11" fillId="4" borderId="25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Border="1" applyProtection="1">
      <protection hidden="1"/>
    </xf>
    <xf numFmtId="0" fontId="11" fillId="4" borderId="104" xfId="0" applyFont="1" applyFill="1" applyBorder="1" applyAlignment="1" applyProtection="1">
      <alignment horizontal="right"/>
      <protection hidden="1"/>
    </xf>
    <xf numFmtId="0" fontId="11" fillId="4" borderId="20" xfId="0" applyFont="1" applyFill="1" applyBorder="1" applyAlignment="1" applyProtection="1">
      <alignment horizontal="center" vertical="center"/>
      <protection hidden="1"/>
    </xf>
    <xf numFmtId="0" fontId="10" fillId="4" borderId="60" xfId="0" applyFont="1" applyFill="1" applyBorder="1" applyAlignment="1" applyProtection="1">
      <alignment horizontal="left" vertical="center" indent="1"/>
      <protection hidden="1"/>
    </xf>
    <xf numFmtId="0" fontId="11" fillId="4" borderId="45" xfId="0" applyFont="1" applyFill="1" applyBorder="1" applyAlignment="1" applyProtection="1">
      <alignment horizontal="left" vertical="center" indent="1"/>
      <protection hidden="1"/>
    </xf>
    <xf numFmtId="179" fontId="11" fillId="9" borderId="72" xfId="0" applyNumberFormat="1" applyFont="1" applyFill="1" applyBorder="1" applyAlignment="1" applyProtection="1">
      <alignment vertical="center"/>
      <protection hidden="1"/>
    </xf>
    <xf numFmtId="0" fontId="17" fillId="10" borderId="0" xfId="0" applyFont="1" applyFill="1" applyBorder="1" applyAlignment="1" applyProtection="1">
      <alignment horizontal="left" vertical="center" indent="2"/>
      <protection hidden="1"/>
    </xf>
    <xf numFmtId="0" fontId="11" fillId="4" borderId="0" xfId="0" applyFont="1" applyFill="1" applyBorder="1" applyProtection="1">
      <protection hidden="1"/>
    </xf>
    <xf numFmtId="180" fontId="11" fillId="8" borderId="11" xfId="0" applyNumberFormat="1" applyFont="1" applyFill="1" applyBorder="1" applyAlignment="1" applyProtection="1">
      <alignment vertical="center"/>
      <protection hidden="1"/>
    </xf>
    <xf numFmtId="0" fontId="11" fillId="4" borderId="20" xfId="0" applyFont="1" applyFill="1" applyBorder="1" applyAlignment="1" applyProtection="1">
      <alignment horizontal="center"/>
      <protection hidden="1"/>
    </xf>
    <xf numFmtId="0" fontId="10" fillId="9" borderId="134" xfId="0" applyFont="1" applyFill="1" applyBorder="1" applyProtection="1">
      <protection hidden="1"/>
    </xf>
    <xf numFmtId="0" fontId="10" fillId="4" borderId="104" xfId="0" applyFont="1" applyFill="1" applyBorder="1" applyProtection="1">
      <protection hidden="1"/>
    </xf>
    <xf numFmtId="0" fontId="10" fillId="4" borderId="106" xfId="0" applyFont="1" applyFill="1" applyBorder="1" applyAlignment="1" applyProtection="1">
      <alignment horizontal="left" indent="2"/>
      <protection hidden="1"/>
    </xf>
    <xf numFmtId="0" fontId="11" fillId="4" borderId="106" xfId="0" applyFont="1" applyFill="1" applyBorder="1" applyAlignment="1" applyProtection="1">
      <alignment horizontal="center" vertical="top" wrapText="1"/>
      <protection hidden="1"/>
    </xf>
    <xf numFmtId="0" fontId="11" fillId="5" borderId="106" xfId="0" quotePrefix="1" applyFont="1" applyFill="1" applyBorder="1" applyAlignment="1" applyProtection="1">
      <alignment horizontal="center" vertical="center" wrapText="1"/>
      <protection hidden="1"/>
    </xf>
    <xf numFmtId="180" fontId="11" fillId="8" borderId="106" xfId="0" applyNumberFormat="1" applyFont="1" applyFill="1" applyBorder="1" applyAlignment="1" applyProtection="1">
      <alignment vertical="center"/>
      <protection hidden="1"/>
    </xf>
    <xf numFmtId="179" fontId="10" fillId="9" borderId="11" xfId="0" applyNumberFormat="1" applyFont="1" applyFill="1" applyBorder="1" applyAlignment="1" applyProtection="1">
      <alignment vertical="center"/>
      <protection locked="0"/>
    </xf>
    <xf numFmtId="179" fontId="10" fillId="9" borderId="42" xfId="0" applyNumberFormat="1" applyFont="1" applyFill="1" applyBorder="1" applyAlignment="1" applyProtection="1">
      <alignment vertical="center"/>
      <protection locked="0"/>
    </xf>
    <xf numFmtId="179" fontId="10" fillId="9" borderId="77" xfId="0" applyNumberFormat="1" applyFont="1" applyFill="1" applyBorder="1" applyAlignment="1" applyProtection="1">
      <alignment vertical="center"/>
      <protection locked="0"/>
    </xf>
    <xf numFmtId="0" fontId="10" fillId="9" borderId="80" xfId="0" applyFont="1" applyFill="1" applyBorder="1" applyAlignment="1" applyProtection="1">
      <alignment horizontal="left" vertical="center" indent="1"/>
      <protection locked="0"/>
    </xf>
    <xf numFmtId="0" fontId="10" fillId="9" borderId="42" xfId="0" applyFont="1" applyFill="1" applyBorder="1" applyAlignment="1" applyProtection="1">
      <alignment horizontal="left" vertical="center" indent="1"/>
      <protection locked="0"/>
    </xf>
    <xf numFmtId="0" fontId="10" fillId="9" borderId="91" xfId="0" applyFont="1" applyFill="1" applyBorder="1" applyAlignment="1" applyProtection="1">
      <alignment horizontal="left" vertical="center" indent="1"/>
      <protection locked="0"/>
    </xf>
    <xf numFmtId="179" fontId="10" fillId="9" borderId="91" xfId="0" applyNumberFormat="1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top"/>
      <protection hidden="1"/>
    </xf>
    <xf numFmtId="0" fontId="10" fillId="4" borderId="9" xfId="0" applyFont="1" applyFill="1" applyBorder="1" applyAlignment="1" applyProtection="1">
      <protection hidden="1"/>
    </xf>
    <xf numFmtId="179" fontId="10" fillId="9" borderId="53" xfId="0" applyNumberFormat="1" applyFont="1" applyFill="1" applyBorder="1" applyAlignment="1" applyProtection="1">
      <alignment vertical="center"/>
      <protection hidden="1"/>
    </xf>
    <xf numFmtId="2" fontId="10" fillId="9" borderId="49" xfId="0" applyNumberFormat="1" applyFont="1" applyFill="1" applyBorder="1" applyAlignment="1" applyProtection="1">
      <alignment horizontal="center" vertical="center"/>
      <protection hidden="1"/>
    </xf>
    <xf numFmtId="0" fontId="10" fillId="9" borderId="5" xfId="0" applyFont="1" applyFill="1" applyBorder="1" applyProtection="1">
      <protection hidden="1"/>
    </xf>
    <xf numFmtId="0" fontId="10" fillId="9" borderId="113" xfId="0" applyFont="1" applyFill="1" applyBorder="1" applyProtection="1">
      <protection hidden="1"/>
    </xf>
    <xf numFmtId="0" fontId="11" fillId="9" borderId="23" xfId="0" applyFont="1" applyFill="1" applyBorder="1" applyAlignment="1" applyProtection="1">
      <alignment horizontal="center" vertical="top"/>
      <protection hidden="1"/>
    </xf>
    <xf numFmtId="0" fontId="11" fillId="9" borderId="24" xfId="0" applyFont="1" applyFill="1" applyBorder="1" applyAlignment="1" applyProtection="1">
      <alignment horizontal="center" vertical="top"/>
      <protection hidden="1"/>
    </xf>
    <xf numFmtId="0" fontId="10" fillId="10" borderId="0" xfId="0" applyFont="1" applyFill="1" applyBorder="1" applyProtection="1">
      <protection hidden="1"/>
    </xf>
    <xf numFmtId="0" fontId="11" fillId="9" borderId="0" xfId="0" applyFont="1" applyFill="1" applyBorder="1" applyAlignment="1" applyProtection="1">
      <protection hidden="1"/>
    </xf>
    <xf numFmtId="0" fontId="10" fillId="4" borderId="104" xfId="0" applyFont="1" applyFill="1" applyBorder="1" applyAlignment="1" applyProtection="1">
      <alignment vertical="center"/>
      <protection hidden="1"/>
    </xf>
    <xf numFmtId="0" fontId="10" fillId="10" borderId="0" xfId="0" applyNumberFormat="1" applyFont="1" applyFill="1" applyBorder="1" applyAlignment="1" applyProtection="1">
      <protection hidden="1"/>
    </xf>
    <xf numFmtId="0" fontId="11" fillId="4" borderId="114" xfId="0" applyFont="1" applyFill="1" applyBorder="1" applyAlignment="1" applyProtection="1">
      <alignment horizontal="center" vertical="center"/>
      <protection hidden="1"/>
    </xf>
    <xf numFmtId="0" fontId="11" fillId="4" borderId="133" xfId="0" applyFont="1" applyFill="1" applyBorder="1" applyAlignment="1" applyProtection="1">
      <alignment horizontal="center" vertical="center"/>
      <protection hidden="1"/>
    </xf>
    <xf numFmtId="0" fontId="11" fillId="4" borderId="113" xfId="0" applyFont="1" applyFill="1" applyBorder="1" applyAlignment="1" applyProtection="1">
      <alignment horizontal="center" vertical="center"/>
      <protection hidden="1"/>
    </xf>
    <xf numFmtId="0" fontId="11" fillId="3" borderId="114" xfId="0" applyFont="1" applyFill="1" applyBorder="1" applyAlignment="1" applyProtection="1">
      <alignment horizontal="center" vertical="center"/>
      <protection hidden="1"/>
    </xf>
    <xf numFmtId="0" fontId="11" fillId="3" borderId="113" xfId="0" applyFont="1" applyFill="1" applyBorder="1" applyAlignment="1" applyProtection="1">
      <alignment horizontal="center" vertical="center"/>
      <protection hidden="1"/>
    </xf>
    <xf numFmtId="169" fontId="10" fillId="4" borderId="9" xfId="0" applyNumberFormat="1" applyFont="1" applyFill="1" applyBorder="1" applyAlignment="1" applyProtection="1">
      <alignment vertical="center"/>
      <protection hidden="1"/>
    </xf>
    <xf numFmtId="0" fontId="11" fillId="4" borderId="104" xfId="0" applyFont="1" applyFill="1" applyBorder="1" applyAlignment="1" applyProtection="1">
      <alignment horizontal="center"/>
      <protection hidden="1"/>
    </xf>
    <xf numFmtId="0" fontId="11" fillId="4" borderId="98" xfId="0" applyFont="1" applyFill="1" applyBorder="1" applyAlignment="1" applyProtection="1">
      <alignment vertical="center"/>
      <protection hidden="1"/>
    </xf>
    <xf numFmtId="0" fontId="10" fillId="4" borderId="106" xfId="0" applyFont="1" applyFill="1" applyBorder="1" applyAlignment="1" applyProtection="1">
      <protection hidden="1"/>
    </xf>
    <xf numFmtId="0" fontId="10" fillId="4" borderId="106" xfId="0" applyFont="1" applyFill="1" applyBorder="1" applyAlignment="1" applyProtection="1">
      <alignment vertical="center"/>
      <protection hidden="1"/>
    </xf>
    <xf numFmtId="0" fontId="11" fillId="3" borderId="106" xfId="0" applyFont="1" applyFill="1" applyBorder="1" applyAlignment="1" applyProtection="1">
      <alignment horizontal="center" vertical="center"/>
      <protection hidden="1"/>
    </xf>
    <xf numFmtId="0" fontId="15" fillId="4" borderId="106" xfId="0" applyFont="1" applyFill="1" applyBorder="1" applyAlignment="1" applyProtection="1">
      <alignment vertical="top"/>
      <protection hidden="1"/>
    </xf>
    <xf numFmtId="0" fontId="10" fillId="10" borderId="104" xfId="0" applyNumberFormat="1" applyFont="1" applyFill="1" applyBorder="1" applyAlignment="1" applyProtection="1">
      <protection hidden="1"/>
    </xf>
    <xf numFmtId="0" fontId="16" fillId="9" borderId="0" xfId="0" applyNumberFormat="1" applyFont="1" applyFill="1" applyBorder="1" applyAlignment="1" applyProtection="1">
      <protection hidden="1"/>
    </xf>
    <xf numFmtId="0" fontId="10" fillId="10" borderId="9" xfId="0" applyNumberFormat="1" applyFont="1" applyFill="1" applyBorder="1" applyAlignment="1" applyProtection="1">
      <protection hidden="1"/>
    </xf>
    <xf numFmtId="0" fontId="10" fillId="10" borderId="0" xfId="0" quotePrefix="1" applyNumberFormat="1" applyFont="1" applyFill="1" applyBorder="1" applyAlignment="1" applyProtection="1">
      <protection hidden="1"/>
    </xf>
    <xf numFmtId="0" fontId="10" fillId="10" borderId="58" xfId="0" applyNumberFormat="1" applyFont="1" applyFill="1" applyBorder="1" applyAlignment="1" applyProtection="1">
      <protection hidden="1"/>
    </xf>
    <xf numFmtId="178" fontId="10" fillId="9" borderId="29" xfId="0" applyNumberFormat="1" applyFont="1" applyFill="1" applyBorder="1" applyAlignment="1" applyProtection="1">
      <alignment vertical="center"/>
      <protection locked="0"/>
    </xf>
    <xf numFmtId="179" fontId="11" fillId="10" borderId="101" xfId="0" applyNumberFormat="1" applyFont="1" applyFill="1" applyBorder="1" applyAlignment="1" applyProtection="1">
      <alignment vertical="center"/>
      <protection hidden="1"/>
    </xf>
    <xf numFmtId="178" fontId="10" fillId="9" borderId="38" xfId="0" applyNumberFormat="1" applyFont="1" applyFill="1" applyBorder="1" applyAlignment="1" applyProtection="1">
      <alignment vertical="center"/>
      <protection locked="0"/>
    </xf>
    <xf numFmtId="179" fontId="11" fillId="10" borderId="29" xfId="0" applyNumberFormat="1" applyFont="1" applyFill="1" applyBorder="1" applyAlignment="1" applyProtection="1">
      <alignment vertical="center"/>
      <protection hidden="1"/>
    </xf>
    <xf numFmtId="179" fontId="11" fillId="10" borderId="38" xfId="0" applyNumberFormat="1" applyFont="1" applyFill="1" applyBorder="1" applyAlignment="1" applyProtection="1">
      <alignment vertical="center"/>
      <protection hidden="1"/>
    </xf>
    <xf numFmtId="179" fontId="11" fillId="10" borderId="30" xfId="0" applyNumberFormat="1" applyFont="1" applyFill="1" applyBorder="1" applyAlignment="1" applyProtection="1">
      <alignment vertical="center"/>
      <protection hidden="1"/>
    </xf>
    <xf numFmtId="179" fontId="11" fillId="10" borderId="53" xfId="0" applyNumberFormat="1" applyFont="1" applyFill="1" applyBorder="1" applyAlignment="1" applyProtection="1">
      <alignment vertical="center"/>
      <protection hidden="1"/>
    </xf>
    <xf numFmtId="179" fontId="11" fillId="10" borderId="109" xfId="0" applyNumberFormat="1" applyFont="1" applyFill="1" applyBorder="1" applyAlignment="1" applyProtection="1">
      <alignment vertical="center"/>
      <protection hidden="1"/>
    </xf>
    <xf numFmtId="179" fontId="11" fillId="10" borderId="51" xfId="0" applyNumberFormat="1" applyFont="1" applyFill="1" applyBorder="1" applyAlignment="1" applyProtection="1">
      <alignment vertical="center"/>
      <protection hidden="1"/>
    </xf>
    <xf numFmtId="179" fontId="11" fillId="10" borderId="48" xfId="0" applyNumberFormat="1" applyFont="1" applyFill="1" applyBorder="1" applyAlignment="1" applyProtection="1">
      <alignment vertical="center"/>
      <protection hidden="1"/>
    </xf>
    <xf numFmtId="0" fontId="10" fillId="4" borderId="35" xfId="0" applyFont="1" applyFill="1" applyBorder="1" applyAlignment="1" applyProtection="1">
      <protection hidden="1"/>
    </xf>
    <xf numFmtId="0" fontId="10" fillId="10" borderId="36" xfId="0" applyFont="1" applyFill="1" applyBorder="1" applyProtection="1">
      <protection hidden="1"/>
    </xf>
    <xf numFmtId="0" fontId="10" fillId="4" borderId="35" xfId="0" applyFont="1" applyFill="1" applyBorder="1" applyProtection="1">
      <protection hidden="1"/>
    </xf>
    <xf numFmtId="0" fontId="10" fillId="4" borderId="36" xfId="0" applyFont="1" applyFill="1" applyBorder="1" applyProtection="1">
      <protection hidden="1"/>
    </xf>
    <xf numFmtId="0" fontId="10" fillId="10" borderId="38" xfId="0" applyFont="1" applyFill="1" applyBorder="1" applyAlignment="1" applyProtection="1">
      <protection hidden="1"/>
    </xf>
    <xf numFmtId="0" fontId="10" fillId="10" borderId="101" xfId="0" applyFont="1" applyFill="1" applyBorder="1" applyProtection="1">
      <protection hidden="1"/>
    </xf>
    <xf numFmtId="0" fontId="10" fillId="10" borderId="38" xfId="0" applyFont="1" applyFill="1" applyBorder="1" applyProtection="1">
      <protection hidden="1"/>
    </xf>
    <xf numFmtId="0" fontId="10" fillId="10" borderId="88" xfId="0" applyFont="1" applyFill="1" applyBorder="1" applyProtection="1">
      <protection hidden="1"/>
    </xf>
    <xf numFmtId="178" fontId="10" fillId="46" borderId="82" xfId="0" applyNumberFormat="1" applyFont="1" applyFill="1" applyBorder="1" applyAlignment="1" applyProtection="1">
      <alignment vertical="center"/>
      <protection hidden="1"/>
    </xf>
    <xf numFmtId="169" fontId="10" fillId="46" borderId="88" xfId="0" applyNumberFormat="1" applyFont="1" applyFill="1" applyBorder="1" applyAlignment="1" applyProtection="1">
      <alignment vertical="center"/>
      <protection hidden="1"/>
    </xf>
    <xf numFmtId="169" fontId="10" fillId="46" borderId="90" xfId="0" applyNumberFormat="1" applyFont="1" applyFill="1" applyBorder="1" applyAlignment="1" applyProtection="1">
      <alignment horizontal="right" vertical="center"/>
      <protection hidden="1"/>
    </xf>
    <xf numFmtId="169" fontId="10" fillId="46" borderId="82" xfId="0" applyNumberFormat="1" applyFont="1" applyFill="1" applyBorder="1" applyAlignment="1" applyProtection="1">
      <alignment vertical="center"/>
      <protection hidden="1"/>
    </xf>
    <xf numFmtId="169" fontId="10" fillId="46" borderId="52" xfId="0" applyNumberFormat="1" applyFont="1" applyFill="1" applyBorder="1" applyAlignment="1" applyProtection="1">
      <alignment vertical="center"/>
      <protection hidden="1"/>
    </xf>
    <xf numFmtId="169" fontId="10" fillId="46" borderId="76" xfId="0" applyNumberFormat="1" applyFont="1" applyFill="1" applyBorder="1" applyAlignment="1" applyProtection="1">
      <alignment vertical="center"/>
      <protection hidden="1"/>
    </xf>
    <xf numFmtId="169" fontId="10" fillId="46" borderId="109" xfId="0" applyNumberFormat="1" applyFont="1" applyFill="1" applyBorder="1" applyAlignment="1" applyProtection="1">
      <alignment horizontal="right" vertical="center"/>
      <protection hidden="1"/>
    </xf>
    <xf numFmtId="179" fontId="11" fillId="9" borderId="29" xfId="0" applyNumberFormat="1" applyFont="1" applyFill="1" applyBorder="1" applyAlignment="1" applyProtection="1">
      <alignment vertical="center"/>
      <protection hidden="1"/>
    </xf>
    <xf numFmtId="179" fontId="11" fillId="9" borderId="90" xfId="0" applyNumberFormat="1" applyFont="1" applyFill="1" applyBorder="1" applyAlignment="1" applyProtection="1">
      <alignment vertical="center"/>
      <protection hidden="1"/>
    </xf>
    <xf numFmtId="0" fontId="10" fillId="10" borderId="11" xfId="0" applyFont="1" applyFill="1" applyBorder="1" applyProtection="1">
      <protection hidden="1"/>
    </xf>
    <xf numFmtId="0" fontId="14" fillId="10" borderId="0" xfId="0" applyNumberFormat="1" applyFont="1" applyFill="1" applyBorder="1" applyAlignment="1" applyProtection="1">
      <protection hidden="1"/>
    </xf>
    <xf numFmtId="0" fontId="10" fillId="9" borderId="133" xfId="0" applyNumberFormat="1" applyFont="1" applyFill="1" applyBorder="1" applyAlignment="1" applyProtection="1">
      <protection hidden="1"/>
    </xf>
    <xf numFmtId="0" fontId="10" fillId="10" borderId="61" xfId="0" applyNumberFormat="1" applyFont="1" applyFill="1" applyBorder="1" applyAlignment="1" applyProtection="1">
      <protection hidden="1"/>
    </xf>
    <xf numFmtId="0" fontId="10" fillId="10" borderId="76" xfId="0" applyNumberFormat="1" applyFont="1" applyFill="1" applyBorder="1" applyAlignment="1" applyProtection="1">
      <protection hidden="1"/>
    </xf>
    <xf numFmtId="169" fontId="10" fillId="46" borderId="90" xfId="0" applyNumberFormat="1" applyFont="1" applyFill="1" applyBorder="1" applyAlignment="1" applyProtection="1">
      <alignment vertical="center"/>
      <protection hidden="1"/>
    </xf>
    <xf numFmtId="169" fontId="10" fillId="46" borderId="109" xfId="0" applyNumberFormat="1" applyFont="1" applyFill="1" applyBorder="1" applyAlignment="1" applyProtection="1">
      <alignment vertical="center"/>
      <protection hidden="1"/>
    </xf>
    <xf numFmtId="0" fontId="11" fillId="4" borderId="17" xfId="0" applyFont="1" applyFill="1" applyBorder="1" applyAlignment="1" applyProtection="1">
      <alignment vertical="center" wrapText="1"/>
      <protection hidden="1"/>
    </xf>
    <xf numFmtId="0" fontId="11" fillId="2" borderId="96" xfId="0" applyFont="1" applyFill="1" applyBorder="1" applyAlignment="1" applyProtection="1">
      <alignment horizontal="center" vertical="top" wrapText="1"/>
      <protection hidden="1"/>
    </xf>
    <xf numFmtId="0" fontId="10" fillId="2" borderId="107" xfId="0" applyNumberFormat="1" applyFont="1" applyFill="1" applyBorder="1" applyAlignment="1" applyProtection="1">
      <protection hidden="1"/>
    </xf>
    <xf numFmtId="0" fontId="10" fillId="2" borderId="10" xfId="0" applyNumberFormat="1" applyFont="1" applyFill="1" applyBorder="1" applyAlignment="1" applyProtection="1">
      <protection hidden="1"/>
    </xf>
    <xf numFmtId="178" fontId="10" fillId="9" borderId="53" xfId="0" applyNumberFormat="1" applyFont="1" applyFill="1" applyBorder="1" applyAlignment="1" applyProtection="1">
      <alignment vertical="center"/>
      <protection locked="0"/>
    </xf>
    <xf numFmtId="178" fontId="10" fillId="9" borderId="60" xfId="0" applyNumberFormat="1" applyFont="1" applyFill="1" applyBorder="1" applyAlignment="1" applyProtection="1">
      <alignment vertical="center"/>
      <protection locked="0"/>
    </xf>
    <xf numFmtId="0" fontId="14" fillId="10" borderId="0" xfId="0" applyFont="1" applyFill="1" applyBorder="1" applyAlignment="1" applyProtection="1">
      <protection hidden="1"/>
    </xf>
    <xf numFmtId="185" fontId="10" fillId="2" borderId="69" xfId="0" applyNumberFormat="1" applyFont="1" applyFill="1" applyBorder="1" applyAlignment="1" applyProtection="1">
      <alignment vertical="center"/>
      <protection hidden="1"/>
    </xf>
    <xf numFmtId="2" fontId="10" fillId="2" borderId="68" xfId="0" applyNumberFormat="1" applyFont="1" applyFill="1" applyBorder="1" applyAlignment="1" applyProtection="1">
      <alignment horizontal="center" vertical="center"/>
      <protection hidden="1"/>
    </xf>
    <xf numFmtId="0" fontId="10" fillId="9" borderId="61" xfId="0" applyNumberFormat="1" applyFont="1" applyFill="1" applyBorder="1" applyAlignment="1" applyProtection="1">
      <protection hidden="1"/>
    </xf>
    <xf numFmtId="0" fontId="10" fillId="2" borderId="56" xfId="0" applyFont="1" applyFill="1" applyBorder="1" applyAlignment="1" applyProtection="1">
      <protection hidden="1"/>
    </xf>
    <xf numFmtId="185" fontId="10" fillId="2" borderId="19" xfId="0" applyNumberFormat="1" applyFont="1" applyFill="1" applyBorder="1" applyAlignment="1" applyProtection="1">
      <alignment vertical="center"/>
      <protection hidden="1"/>
    </xf>
    <xf numFmtId="0" fontId="11" fillId="2" borderId="98" xfId="0" applyFont="1" applyFill="1" applyBorder="1" applyAlignment="1" applyProtection="1">
      <alignment horizontal="center" vertical="top" wrapText="1"/>
      <protection hidden="1"/>
    </xf>
    <xf numFmtId="0" fontId="11" fillId="2" borderId="17" xfId="0" applyFont="1" applyFill="1" applyBorder="1" applyAlignment="1" applyProtection="1">
      <alignment horizontal="center" vertical="top" wrapText="1"/>
      <protection hidden="1"/>
    </xf>
    <xf numFmtId="0" fontId="10" fillId="2" borderId="80" xfId="0" applyFont="1" applyFill="1" applyBorder="1" applyAlignment="1" applyProtection="1">
      <alignment horizontal="center" vertical="center"/>
      <protection hidden="1"/>
    </xf>
    <xf numFmtId="0" fontId="10" fillId="2" borderId="42" xfId="0" applyFont="1" applyFill="1" applyBorder="1" applyAlignment="1" applyProtection="1">
      <alignment horizontal="center" vertical="center"/>
      <protection hidden="1"/>
    </xf>
    <xf numFmtId="0" fontId="10" fillId="2" borderId="77" xfId="0" applyFont="1" applyFill="1" applyBorder="1" applyAlignment="1" applyProtection="1">
      <alignment horizontal="center" vertical="center"/>
      <protection hidden="1"/>
    </xf>
    <xf numFmtId="0" fontId="10" fillId="2" borderId="57" xfId="0" applyFont="1" applyFill="1" applyBorder="1" applyAlignment="1" applyProtection="1">
      <alignment horizontal="center" vertical="center"/>
      <protection hidden="1"/>
    </xf>
    <xf numFmtId="0" fontId="10" fillId="46" borderId="109" xfId="0" applyNumberFormat="1" applyFont="1" applyFill="1" applyBorder="1" applyAlignment="1" applyProtection="1">
      <alignment vertical="center"/>
      <protection hidden="1"/>
    </xf>
    <xf numFmtId="190" fontId="10" fillId="9" borderId="42" xfId="0" applyNumberFormat="1" applyFont="1" applyFill="1" applyBorder="1" applyAlignment="1" applyProtection="1">
      <alignment vertical="center"/>
      <protection locked="0"/>
    </xf>
    <xf numFmtId="191" fontId="11" fillId="10" borderId="42" xfId="0" applyNumberFormat="1" applyFont="1" applyFill="1" applyBorder="1" applyAlignment="1" applyProtection="1">
      <alignment vertical="center"/>
      <protection hidden="1"/>
    </xf>
    <xf numFmtId="191" fontId="11" fillId="9" borderId="42" xfId="0" applyNumberFormat="1" applyFont="1" applyFill="1" applyBorder="1" applyAlignment="1" applyProtection="1">
      <alignment vertical="center"/>
      <protection hidden="1"/>
    </xf>
    <xf numFmtId="191" fontId="11" fillId="10" borderId="77" xfId="0" applyNumberFormat="1" applyFont="1" applyFill="1" applyBorder="1" applyAlignment="1" applyProtection="1">
      <alignment vertical="center"/>
      <protection hidden="1"/>
    </xf>
    <xf numFmtId="185" fontId="10" fillId="2" borderId="48" xfId="0" applyNumberFormat="1" applyFont="1" applyFill="1" applyBorder="1" applyAlignment="1" applyProtection="1">
      <alignment vertical="center"/>
      <protection hidden="1"/>
    </xf>
    <xf numFmtId="179" fontId="11" fillId="10" borderId="49" xfId="0" applyNumberFormat="1" applyFont="1" applyFill="1" applyBorder="1" applyAlignment="1" applyProtection="1">
      <alignment vertical="center"/>
      <protection hidden="1"/>
    </xf>
    <xf numFmtId="0" fontId="11" fillId="4" borderId="89" xfId="0" applyFont="1" applyFill="1" applyBorder="1" applyAlignment="1" applyProtection="1">
      <alignment horizontal="center" vertical="center"/>
      <protection hidden="1"/>
    </xf>
    <xf numFmtId="0" fontId="11" fillId="4" borderId="95" xfId="0" applyFont="1" applyFill="1" applyBorder="1" applyAlignment="1" applyProtection="1">
      <alignment horizontal="center" vertical="center"/>
      <protection hidden="1"/>
    </xf>
    <xf numFmtId="0" fontId="11" fillId="4" borderId="134" xfId="0" applyFont="1" applyFill="1" applyBorder="1" applyAlignment="1" applyProtection="1">
      <alignment horizontal="center" vertical="center"/>
      <protection hidden="1"/>
    </xf>
    <xf numFmtId="0" fontId="11" fillId="4" borderId="96" xfId="0" applyFont="1" applyFill="1" applyBorder="1" applyAlignment="1" applyProtection="1">
      <alignment horizontal="center" vertical="center" wrapText="1"/>
      <protection hidden="1"/>
    </xf>
    <xf numFmtId="0" fontId="10" fillId="5" borderId="0" xfId="12" applyNumberFormat="1" applyFont="1" applyFill="1" applyBorder="1" applyAlignment="1" applyProtection="1">
      <protection hidden="1"/>
    </xf>
    <xf numFmtId="0" fontId="10" fillId="9" borderId="134" xfId="12" applyFont="1" applyFill="1" applyBorder="1" applyProtection="1">
      <protection hidden="1"/>
    </xf>
    <xf numFmtId="0" fontId="10" fillId="4" borderId="104" xfId="12" applyNumberFormat="1" applyFont="1" applyFill="1" applyBorder="1" applyAlignment="1" applyProtection="1">
      <protection hidden="1"/>
    </xf>
    <xf numFmtId="0" fontId="10" fillId="9" borderId="133" xfId="12" applyFont="1" applyFill="1" applyBorder="1" applyProtection="1">
      <protection hidden="1"/>
    </xf>
    <xf numFmtId="0" fontId="10" fillId="4" borderId="0" xfId="12" applyNumberFormat="1" applyFont="1" applyFill="1" applyBorder="1" applyAlignment="1" applyProtection="1">
      <protection hidden="1"/>
    </xf>
    <xf numFmtId="0" fontId="11" fillId="4" borderId="114" xfId="12" applyFont="1" applyFill="1" applyBorder="1" applyAlignment="1" applyProtection="1">
      <alignment horizontal="center" vertical="center"/>
      <protection hidden="1"/>
    </xf>
    <xf numFmtId="0" fontId="11" fillId="4" borderId="113" xfId="12" applyFont="1" applyFill="1" applyBorder="1" applyAlignment="1" applyProtection="1">
      <alignment horizontal="center" vertical="center"/>
      <protection hidden="1"/>
    </xf>
    <xf numFmtId="0" fontId="11" fillId="3" borderId="113" xfId="12" applyFont="1" applyFill="1" applyBorder="1" applyAlignment="1" applyProtection="1">
      <alignment horizontal="center" vertical="center"/>
      <protection hidden="1"/>
    </xf>
    <xf numFmtId="0" fontId="11" fillId="3" borderId="114" xfId="12" applyFont="1" applyFill="1" applyBorder="1" applyAlignment="1" applyProtection="1">
      <alignment horizontal="center" vertical="center"/>
      <protection hidden="1"/>
    </xf>
    <xf numFmtId="0" fontId="10" fillId="3" borderId="0" xfId="12" quotePrefix="1" applyNumberFormat="1" applyFont="1" applyFill="1" applyBorder="1" applyAlignment="1" applyProtection="1">
      <protection hidden="1"/>
    </xf>
    <xf numFmtId="0" fontId="10" fillId="9" borderId="42" xfId="12" applyFont="1" applyFill="1" applyBorder="1" applyAlignment="1" applyProtection="1">
      <alignment horizontal="left" vertical="center" wrapText="1" indent="2"/>
      <protection locked="0"/>
    </xf>
    <xf numFmtId="178" fontId="10" fillId="9" borderId="29" xfId="12" applyNumberFormat="1" applyFont="1" applyFill="1" applyBorder="1" applyAlignment="1" applyProtection="1">
      <alignment vertical="center"/>
      <protection locked="0"/>
    </xf>
    <xf numFmtId="0" fontId="10" fillId="10" borderId="0" xfId="12" applyNumberFormat="1" applyFont="1" applyFill="1" applyBorder="1" applyAlignment="1" applyProtection="1">
      <protection hidden="1"/>
    </xf>
    <xf numFmtId="178" fontId="10" fillId="9" borderId="30" xfId="12" applyNumberFormat="1" applyFont="1" applyFill="1" applyBorder="1" applyAlignment="1" applyProtection="1">
      <alignment vertical="center"/>
      <protection locked="0"/>
    </xf>
    <xf numFmtId="0" fontId="11" fillId="4" borderId="0" xfId="12" applyFont="1" applyFill="1" applyBorder="1" applyAlignment="1" applyProtection="1">
      <alignment horizontal="left" vertical="center" indent="2"/>
      <protection hidden="1"/>
    </xf>
    <xf numFmtId="179" fontId="11" fillId="4" borderId="0" xfId="12" applyNumberFormat="1" applyFont="1" applyFill="1" applyBorder="1" applyAlignment="1" applyProtection="1">
      <alignment vertical="center"/>
      <protection hidden="1"/>
    </xf>
    <xf numFmtId="0" fontId="10" fillId="4" borderId="58" xfId="12" applyNumberFormat="1" applyFont="1" applyFill="1" applyBorder="1" applyAlignment="1" applyProtection="1">
      <protection hidden="1"/>
    </xf>
    <xf numFmtId="0" fontId="11" fillId="9" borderId="0" xfId="12" applyFont="1" applyFill="1" applyAlignment="1" applyProtection="1">
      <alignment vertical="top" wrapText="1"/>
      <protection hidden="1"/>
    </xf>
    <xf numFmtId="0" fontId="10" fillId="9" borderId="0" xfId="12" applyNumberFormat="1" applyFont="1" applyFill="1" applyBorder="1" applyAlignment="1" applyProtection="1">
      <protection hidden="1"/>
    </xf>
    <xf numFmtId="0" fontId="10" fillId="14" borderId="0" xfId="12" applyNumberFormat="1" applyFont="1" applyFill="1" applyBorder="1" applyAlignment="1" applyProtection="1">
      <protection hidden="1"/>
    </xf>
    <xf numFmtId="0" fontId="10" fillId="4" borderId="133" xfId="12" applyNumberFormat="1" applyFont="1" applyFill="1" applyBorder="1" applyAlignment="1" applyProtection="1">
      <protection hidden="1"/>
    </xf>
    <xf numFmtId="0" fontId="11" fillId="4" borderId="133" xfId="12" applyFont="1" applyFill="1" applyBorder="1" applyAlignment="1" applyProtection="1">
      <alignment horizontal="center" vertical="center"/>
      <protection hidden="1"/>
    </xf>
    <xf numFmtId="0" fontId="10" fillId="3" borderId="133" xfId="12" applyNumberFormat="1" applyFont="1" applyFill="1" applyBorder="1" applyAlignment="1" applyProtection="1">
      <protection hidden="1"/>
    </xf>
    <xf numFmtId="0" fontId="10" fillId="3" borderId="133" xfId="12" quotePrefix="1" applyNumberFormat="1" applyFont="1" applyFill="1" applyBorder="1" applyAlignment="1" applyProtection="1">
      <protection hidden="1"/>
    </xf>
    <xf numFmtId="0" fontId="10" fillId="5" borderId="0" xfId="12" applyNumberFormat="1" applyFont="1" applyFill="1" applyAlignment="1" applyProtection="1">
      <protection hidden="1"/>
    </xf>
    <xf numFmtId="0" fontId="10" fillId="4" borderId="104" xfId="12" applyFont="1" applyFill="1" applyBorder="1" applyAlignment="1" applyProtection="1">
      <protection hidden="1"/>
    </xf>
    <xf numFmtId="0" fontId="10" fillId="4" borderId="98" xfId="12" applyNumberFormat="1" applyFont="1" applyFill="1" applyBorder="1" applyAlignment="1" applyProtection="1">
      <protection hidden="1"/>
    </xf>
    <xf numFmtId="0" fontId="10" fillId="5" borderId="104" xfId="12" applyNumberFormat="1" applyFont="1" applyFill="1" applyBorder="1" applyAlignment="1" applyProtection="1">
      <protection hidden="1"/>
    </xf>
    <xf numFmtId="0" fontId="10" fillId="4" borderId="106" xfId="12" applyNumberFormat="1" applyFont="1" applyFill="1" applyBorder="1" applyAlignment="1" applyProtection="1">
      <protection hidden="1"/>
    </xf>
    <xf numFmtId="0" fontId="17" fillId="4" borderId="0" xfId="12" applyNumberFormat="1" applyFont="1" applyFill="1" applyBorder="1" applyAlignment="1" applyProtection="1">
      <protection hidden="1"/>
    </xf>
    <xf numFmtId="0" fontId="17" fillId="4" borderId="106" xfId="12" applyNumberFormat="1" applyFont="1" applyFill="1" applyBorder="1" applyAlignment="1" applyProtection="1">
      <protection hidden="1"/>
    </xf>
    <xf numFmtId="0" fontId="11" fillId="4" borderId="25" xfId="12" applyFont="1" applyFill="1" applyBorder="1" applyAlignment="1" applyProtection="1">
      <alignment horizontal="center" vertical="center"/>
      <protection hidden="1"/>
    </xf>
    <xf numFmtId="0" fontId="11" fillId="4" borderId="25" xfId="12" applyFont="1" applyFill="1" applyBorder="1" applyAlignment="1" applyProtection="1">
      <alignment horizontal="center" vertical="top"/>
      <protection hidden="1"/>
    </xf>
    <xf numFmtId="0" fontId="11" fillId="4" borderId="25" xfId="12" applyFont="1" applyFill="1" applyBorder="1" applyAlignment="1" applyProtection="1">
      <alignment horizontal="center" vertical="top" wrapText="1"/>
      <protection hidden="1"/>
    </xf>
    <xf numFmtId="0" fontId="11" fillId="4" borderId="35" xfId="12" applyFont="1" applyFill="1" applyBorder="1" applyAlignment="1" applyProtection="1">
      <alignment horizontal="center"/>
      <protection hidden="1"/>
    </xf>
    <xf numFmtId="0" fontId="11" fillId="4" borderId="36" xfId="12" applyFont="1" applyFill="1" applyBorder="1" applyAlignment="1" applyProtection="1">
      <alignment horizontal="center"/>
      <protection hidden="1"/>
    </xf>
    <xf numFmtId="0" fontId="11" fillId="4" borderId="9" xfId="12" applyFont="1" applyFill="1" applyBorder="1" applyAlignment="1" applyProtection="1">
      <alignment horizontal="center"/>
      <protection hidden="1"/>
    </xf>
    <xf numFmtId="0" fontId="11" fillId="4" borderId="10" xfId="12" applyFont="1" applyFill="1" applyBorder="1" applyAlignment="1" applyProtection="1">
      <alignment horizontal="center"/>
      <protection hidden="1"/>
    </xf>
    <xf numFmtId="0" fontId="11" fillId="4" borderId="89" xfId="12" applyFont="1" applyFill="1" applyBorder="1" applyAlignment="1" applyProtection="1">
      <alignment horizontal="center" vertical="center"/>
      <protection hidden="1"/>
    </xf>
    <xf numFmtId="0" fontId="11" fillId="4" borderId="10" xfId="12" applyFont="1" applyFill="1" applyBorder="1" applyAlignment="1" applyProtection="1">
      <alignment horizontal="center" vertical="center"/>
      <protection hidden="1"/>
    </xf>
    <xf numFmtId="186" fontId="11" fillId="5" borderId="14" xfId="12" quotePrefix="1" applyNumberFormat="1" applyFont="1" applyFill="1" applyBorder="1" applyAlignment="1" applyProtection="1">
      <alignment horizontal="center" vertical="center"/>
      <protection hidden="1"/>
    </xf>
    <xf numFmtId="0" fontId="10" fillId="5" borderId="106" xfId="12" quotePrefix="1" applyNumberFormat="1" applyFont="1" applyFill="1" applyBorder="1" applyAlignment="1" applyProtection="1">
      <protection hidden="1"/>
    </xf>
    <xf numFmtId="0" fontId="11" fillId="4" borderId="72" xfId="12" applyFont="1" applyFill="1" applyBorder="1" applyAlignment="1" applyProtection="1">
      <alignment vertical="center"/>
      <protection hidden="1"/>
    </xf>
    <xf numFmtId="186" fontId="11" fillId="5" borderId="57" xfId="12" quotePrefix="1" applyNumberFormat="1" applyFont="1" applyFill="1" applyBorder="1" applyAlignment="1" applyProtection="1">
      <alignment horizontal="center" vertical="center" wrapText="1"/>
      <protection hidden="1"/>
    </xf>
    <xf numFmtId="0" fontId="10" fillId="5" borderId="0" xfId="12" quotePrefix="1" applyNumberFormat="1" applyFont="1" applyFill="1" applyBorder="1" applyAlignment="1" applyProtection="1">
      <protection hidden="1"/>
    </xf>
    <xf numFmtId="186" fontId="11" fillId="5" borderId="72" xfId="12" quotePrefix="1" applyNumberFormat="1" applyFont="1" applyFill="1" applyBorder="1" applyAlignment="1" applyProtection="1">
      <alignment horizontal="center" vertical="center" wrapText="1"/>
      <protection hidden="1"/>
    </xf>
    <xf numFmtId="0" fontId="10" fillId="10" borderId="35" xfId="12" applyFont="1" applyFill="1" applyBorder="1" applyAlignment="1" applyProtection="1">
      <alignment horizontal="left" vertical="center" indent="1"/>
      <protection locked="0"/>
    </xf>
    <xf numFmtId="0" fontId="10" fillId="10" borderId="36" xfId="12" applyFont="1" applyFill="1" applyBorder="1" applyAlignment="1" applyProtection="1">
      <alignment horizontal="left" vertical="center" indent="2"/>
      <protection hidden="1"/>
    </xf>
    <xf numFmtId="179" fontId="10" fillId="9" borderId="36" xfId="12" applyNumberFormat="1" applyFont="1" applyFill="1" applyBorder="1" applyAlignment="1" applyProtection="1">
      <alignment vertical="center"/>
      <protection locked="0"/>
    </xf>
    <xf numFmtId="0" fontId="10" fillId="8" borderId="106" xfId="12" applyNumberFormat="1" applyFont="1" applyFill="1" applyBorder="1" applyAlignment="1" applyProtection="1">
      <protection hidden="1"/>
    </xf>
    <xf numFmtId="0" fontId="10" fillId="8" borderId="0" xfId="12" applyNumberFormat="1" applyFont="1" applyFill="1" applyBorder="1" applyAlignment="1" applyProtection="1">
      <protection hidden="1"/>
    </xf>
    <xf numFmtId="0" fontId="10" fillId="10" borderId="36" xfId="12" applyFont="1" applyFill="1" applyBorder="1" applyAlignment="1" applyProtection="1">
      <alignment horizontal="left" vertical="center" indent="1"/>
      <protection hidden="1"/>
    </xf>
    <xf numFmtId="179" fontId="11" fillId="9" borderId="36" xfId="12" applyNumberFormat="1" applyFont="1" applyFill="1" applyBorder="1" applyAlignment="1" applyProtection="1">
      <alignment vertical="center"/>
      <protection hidden="1"/>
    </xf>
    <xf numFmtId="0" fontId="10" fillId="10" borderId="101" xfId="12" applyFont="1" applyFill="1" applyBorder="1" applyAlignment="1" applyProtection="1">
      <alignment horizontal="left" vertical="center" indent="2"/>
      <protection hidden="1"/>
    </xf>
    <xf numFmtId="0" fontId="10" fillId="10" borderId="101" xfId="12" applyFont="1" applyFill="1" applyBorder="1" applyAlignment="1" applyProtection="1">
      <alignment horizontal="left" vertical="center" indent="1"/>
      <protection hidden="1"/>
    </xf>
    <xf numFmtId="179" fontId="10" fillId="9" borderId="101" xfId="12" applyNumberFormat="1" applyFont="1" applyFill="1" applyBorder="1" applyAlignment="1" applyProtection="1">
      <alignment vertical="center"/>
      <protection locked="0"/>
    </xf>
    <xf numFmtId="0" fontId="10" fillId="10" borderId="51" xfId="12" applyFont="1" applyFill="1" applyBorder="1" applyAlignment="1" applyProtection="1">
      <alignment horizontal="left" vertical="center" indent="2"/>
      <protection hidden="1"/>
    </xf>
    <xf numFmtId="179" fontId="10" fillId="9" borderId="107" xfId="12" applyNumberFormat="1" applyFont="1" applyFill="1" applyBorder="1" applyAlignment="1" applyProtection="1">
      <alignment vertical="center"/>
      <protection locked="0"/>
    </xf>
    <xf numFmtId="0" fontId="10" fillId="10" borderId="107" xfId="12" applyFont="1" applyFill="1" applyBorder="1" applyAlignment="1" applyProtection="1">
      <alignment horizontal="left" vertical="center" indent="1"/>
      <protection hidden="1"/>
    </xf>
    <xf numFmtId="186" fontId="11" fillId="5" borderId="22" xfId="12" quotePrefix="1" applyNumberFormat="1" applyFont="1" applyFill="1" applyBorder="1" applyAlignment="1" applyProtection="1">
      <alignment horizontal="center" vertical="center" wrapText="1"/>
      <protection hidden="1"/>
    </xf>
    <xf numFmtId="0" fontId="11" fillId="4" borderId="18" xfId="12" applyFont="1" applyFill="1" applyBorder="1" applyAlignment="1" applyProtection="1">
      <alignment horizontal="center" vertical="center"/>
      <protection hidden="1"/>
    </xf>
    <xf numFmtId="0" fontId="11" fillId="4" borderId="18" xfId="12" applyFont="1" applyFill="1" applyBorder="1" applyAlignment="1" applyProtection="1">
      <alignment horizontal="left" vertical="center" indent="1"/>
      <protection hidden="1"/>
    </xf>
    <xf numFmtId="0" fontId="11" fillId="4" borderId="72" xfId="12" applyFont="1" applyFill="1" applyBorder="1" applyAlignment="1" applyProtection="1">
      <alignment horizontal="left" vertical="center" indent="1"/>
      <protection hidden="1"/>
    </xf>
    <xf numFmtId="186" fontId="11" fillId="5" borderId="16" xfId="12" quotePrefix="1" applyNumberFormat="1" applyFont="1" applyFill="1" applyBorder="1" applyAlignment="1" applyProtection="1">
      <alignment horizontal="center" vertical="center" wrapText="1"/>
      <protection hidden="1"/>
    </xf>
    <xf numFmtId="0" fontId="10" fillId="10" borderId="70" xfId="12" applyFont="1" applyFill="1" applyBorder="1" applyAlignment="1" applyProtection="1">
      <alignment horizontal="left" vertical="center" indent="1"/>
      <protection locked="0"/>
    </xf>
    <xf numFmtId="0" fontId="10" fillId="10" borderId="28" xfId="12" applyFont="1" applyFill="1" applyBorder="1" applyAlignment="1" applyProtection="1">
      <alignment horizontal="left" vertical="center" indent="1"/>
      <protection locked="0"/>
    </xf>
    <xf numFmtId="0" fontId="10" fillId="10" borderId="60" xfId="12" applyFont="1" applyFill="1" applyBorder="1" applyAlignment="1" applyProtection="1">
      <alignment horizontal="left" vertical="center" indent="1"/>
      <protection locked="0"/>
    </xf>
    <xf numFmtId="0" fontId="10" fillId="10" borderId="49" xfId="12" applyFont="1" applyFill="1" applyBorder="1" applyAlignment="1" applyProtection="1">
      <alignment horizontal="left" vertical="center" indent="1"/>
      <protection locked="0"/>
    </xf>
    <xf numFmtId="179" fontId="10" fillId="9" borderId="51" xfId="12" applyNumberFormat="1" applyFont="1" applyFill="1" applyBorder="1" applyAlignment="1" applyProtection="1">
      <alignment vertical="center"/>
      <protection locked="0"/>
    </xf>
    <xf numFmtId="0" fontId="11" fillId="4" borderId="16" xfId="12" applyFont="1" applyFill="1" applyBorder="1" applyAlignment="1" applyProtection="1">
      <alignment horizontal="left" vertical="center" indent="1"/>
      <protection hidden="1"/>
    </xf>
    <xf numFmtId="0" fontId="11" fillId="4" borderId="45" xfId="12" applyFont="1" applyFill="1" applyBorder="1" applyAlignment="1" applyProtection="1">
      <alignment horizontal="left" vertical="center" indent="1"/>
      <protection hidden="1"/>
    </xf>
    <xf numFmtId="0" fontId="10" fillId="4" borderId="41" xfId="12" applyNumberFormat="1" applyFont="1" applyFill="1" applyBorder="1" applyAlignment="1" applyProtection="1">
      <protection hidden="1"/>
    </xf>
    <xf numFmtId="0" fontId="11" fillId="4" borderId="0" xfId="12" applyFont="1" applyFill="1" applyBorder="1" applyAlignment="1" applyProtection="1">
      <alignment horizontal="left" vertical="center" indent="1"/>
      <protection hidden="1"/>
    </xf>
    <xf numFmtId="0" fontId="10" fillId="14" borderId="0" xfId="12" applyNumberFormat="1" applyFont="1" applyFill="1" applyAlignment="1" applyProtection="1">
      <protection hidden="1"/>
    </xf>
    <xf numFmtId="0" fontId="10" fillId="9" borderId="133" xfId="0" applyFont="1" applyFill="1" applyBorder="1" applyAlignment="1" applyProtection="1">
      <alignment vertical="top"/>
      <protection hidden="1"/>
    </xf>
    <xf numFmtId="0" fontId="10" fillId="9" borderId="133" xfId="0" applyFont="1" applyFill="1" applyBorder="1" applyAlignment="1" applyProtection="1">
      <protection hidden="1"/>
    </xf>
    <xf numFmtId="0" fontId="21" fillId="5" borderId="11" xfId="0" applyFont="1" applyFill="1" applyBorder="1" applyAlignment="1" applyProtection="1">
      <alignment horizontal="center"/>
      <protection hidden="1"/>
    </xf>
    <xf numFmtId="172" fontId="11" fillId="5" borderId="133" xfId="0" applyNumberFormat="1" applyFont="1" applyFill="1" applyBorder="1" applyAlignment="1" applyProtection="1">
      <alignment horizontal="center" vertical="top"/>
      <protection hidden="1"/>
    </xf>
    <xf numFmtId="172" fontId="11" fillId="5" borderId="9" xfId="0" applyNumberFormat="1" applyFont="1" applyFill="1" applyBorder="1" applyAlignment="1" applyProtection="1">
      <alignment horizontal="center" vertical="top" wrapText="1"/>
      <protection hidden="1"/>
    </xf>
    <xf numFmtId="0" fontId="10" fillId="9" borderId="11" xfId="0" applyFont="1" applyFill="1" applyBorder="1" applyAlignment="1" applyProtection="1">
      <alignment vertical="center" wrapText="1"/>
      <protection hidden="1"/>
    </xf>
    <xf numFmtId="0" fontId="11" fillId="5" borderId="106" xfId="0" applyFont="1" applyFill="1" applyBorder="1" applyAlignment="1" applyProtection="1">
      <alignment horizontal="center" vertical="center"/>
      <protection hidden="1"/>
    </xf>
    <xf numFmtId="0" fontId="11" fillId="5" borderId="133" xfId="0" applyFont="1" applyFill="1" applyBorder="1" applyAlignment="1" applyProtection="1">
      <alignment horizontal="center" vertical="center"/>
      <protection hidden="1"/>
    </xf>
    <xf numFmtId="0" fontId="11" fillId="5" borderId="11" xfId="0" applyFont="1" applyFill="1" applyBorder="1" applyAlignment="1" applyProtection="1">
      <alignment horizontal="center" vertical="center"/>
      <protection hidden="1"/>
    </xf>
    <xf numFmtId="0" fontId="11" fillId="5" borderId="5" xfId="0" applyFont="1" applyFill="1" applyBorder="1" applyAlignment="1" applyProtection="1">
      <alignment horizontal="center" vertical="center"/>
      <protection hidden="1"/>
    </xf>
    <xf numFmtId="172" fontId="11" fillId="5" borderId="5" xfId="0" applyNumberFormat="1" applyFont="1" applyFill="1" applyBorder="1" applyAlignment="1" applyProtection="1">
      <alignment horizontal="center" vertical="center"/>
      <protection hidden="1"/>
    </xf>
    <xf numFmtId="0" fontId="10" fillId="5" borderId="17" xfId="0" applyFont="1" applyFill="1" applyBorder="1" applyAlignment="1" applyProtection="1">
      <alignment horizontal="left" vertical="center" wrapText="1" indent="2"/>
      <protection hidden="1"/>
    </xf>
    <xf numFmtId="186" fontId="11" fillId="5" borderId="14" xfId="0" quotePrefix="1" applyNumberFormat="1" applyFont="1" applyFill="1" applyBorder="1" applyAlignment="1" applyProtection="1">
      <alignment horizontal="center" vertical="center"/>
      <protection hidden="1"/>
    </xf>
    <xf numFmtId="186" fontId="11" fillId="5" borderId="15" xfId="0" quotePrefix="1" applyNumberFormat="1" applyFont="1" applyFill="1" applyBorder="1" applyAlignment="1" applyProtection="1">
      <alignment horizontal="center" vertical="center"/>
      <protection hidden="1"/>
    </xf>
    <xf numFmtId="165" fontId="21" fillId="5" borderId="11" xfId="0" applyNumberFormat="1" applyFont="1" applyFill="1" applyBorder="1" applyAlignment="1" applyProtection="1">
      <alignment horizontal="left" vertical="center" indent="1"/>
      <protection hidden="1"/>
    </xf>
    <xf numFmtId="172" fontId="10" fillId="5" borderId="135" xfId="0" quotePrefix="1" applyNumberFormat="1" applyFont="1" applyFill="1" applyBorder="1" applyAlignment="1" applyProtection="1">
      <alignment horizontal="center" vertical="center"/>
      <protection hidden="1"/>
    </xf>
    <xf numFmtId="172" fontId="10" fillId="5" borderId="106" xfId="0" quotePrefix="1" applyNumberFormat="1" applyFont="1" applyFill="1" applyBorder="1" applyAlignment="1" applyProtection="1">
      <alignment horizontal="center" vertical="center"/>
      <protection hidden="1"/>
    </xf>
    <xf numFmtId="172" fontId="10" fillId="5" borderId="133" xfId="0" quotePrefix="1" applyNumberFormat="1" applyFont="1" applyFill="1" applyBorder="1" applyAlignment="1" applyProtection="1">
      <alignment horizontal="center" vertical="center"/>
      <protection hidden="1"/>
    </xf>
    <xf numFmtId="172" fontId="10" fillId="5" borderId="11" xfId="0" quotePrefix="1" applyNumberFormat="1" applyFont="1" applyFill="1" applyBorder="1" applyAlignment="1" applyProtection="1">
      <alignment horizontal="center" vertical="center"/>
      <protection hidden="1"/>
    </xf>
    <xf numFmtId="172" fontId="10" fillId="5" borderId="136" xfId="0" quotePrefix="1" applyNumberFormat="1" applyFont="1" applyFill="1" applyBorder="1" applyAlignment="1" applyProtection="1">
      <alignment horizontal="center" vertical="center"/>
      <protection hidden="1"/>
    </xf>
    <xf numFmtId="0" fontId="11" fillId="5" borderId="11" xfId="0" applyFont="1" applyFill="1" applyBorder="1" applyAlignment="1" applyProtection="1">
      <alignment horizontal="left" vertical="center" indent="2"/>
      <protection hidden="1"/>
    </xf>
    <xf numFmtId="175" fontId="11" fillId="5" borderId="137" xfId="0" applyNumberFormat="1" applyFont="1" applyFill="1" applyBorder="1" applyAlignment="1" applyProtection="1">
      <alignment vertical="center"/>
      <protection hidden="1"/>
    </xf>
    <xf numFmtId="175" fontId="11" fillId="5" borderId="138" xfId="0" applyNumberFormat="1" applyFont="1" applyFill="1" applyBorder="1" applyAlignment="1" applyProtection="1">
      <alignment vertical="center"/>
      <protection hidden="1"/>
    </xf>
    <xf numFmtId="175" fontId="11" fillId="5" borderId="139" xfId="0" applyNumberFormat="1" applyFont="1" applyFill="1" applyBorder="1" applyAlignment="1" applyProtection="1">
      <alignment vertical="center"/>
      <protection hidden="1"/>
    </xf>
    <xf numFmtId="175" fontId="11" fillId="5" borderId="140" xfId="0" applyNumberFormat="1" applyFont="1" applyFill="1" applyBorder="1" applyAlignment="1" applyProtection="1">
      <alignment vertical="center"/>
      <protection hidden="1"/>
    </xf>
    <xf numFmtId="175" fontId="19" fillId="5" borderId="141" xfId="0" applyNumberFormat="1" applyFont="1" applyFill="1" applyBorder="1" applyAlignment="1" applyProtection="1">
      <alignment vertical="center"/>
      <protection hidden="1"/>
    </xf>
    <xf numFmtId="176" fontId="19" fillId="5" borderId="32" xfId="0" applyNumberFormat="1" applyFont="1" applyFill="1" applyBorder="1" applyAlignment="1" applyProtection="1">
      <alignment vertical="center"/>
      <protection hidden="1"/>
    </xf>
    <xf numFmtId="175" fontId="11" fillId="5" borderId="98" xfId="0" applyNumberFormat="1" applyFont="1" applyFill="1" applyBorder="1" applyAlignment="1" applyProtection="1">
      <alignment vertical="center"/>
      <protection hidden="1"/>
    </xf>
    <xf numFmtId="175" fontId="11" fillId="5" borderId="142" xfId="0" applyNumberFormat="1" applyFont="1" applyFill="1" applyBorder="1" applyAlignment="1" applyProtection="1">
      <alignment vertical="center"/>
      <protection hidden="1"/>
    </xf>
    <xf numFmtId="175" fontId="11" fillId="5" borderId="143" xfId="0" applyNumberFormat="1" applyFont="1" applyFill="1" applyBorder="1" applyAlignment="1" applyProtection="1">
      <alignment vertical="center"/>
      <protection hidden="1"/>
    </xf>
    <xf numFmtId="175" fontId="11" fillId="5" borderId="144" xfId="0" applyNumberFormat="1" applyFont="1" applyFill="1" applyBorder="1" applyAlignment="1" applyProtection="1">
      <alignment vertical="center"/>
      <protection hidden="1"/>
    </xf>
    <xf numFmtId="175" fontId="11" fillId="5" borderId="145" xfId="0" applyNumberFormat="1" applyFont="1" applyFill="1" applyBorder="1" applyAlignment="1" applyProtection="1">
      <alignment vertical="center"/>
      <protection hidden="1"/>
    </xf>
    <xf numFmtId="175" fontId="11" fillId="5" borderId="146" xfId="0" applyNumberFormat="1" applyFont="1" applyFill="1" applyBorder="1" applyAlignment="1" applyProtection="1">
      <alignment vertical="center"/>
      <protection hidden="1"/>
    </xf>
    <xf numFmtId="175" fontId="19" fillId="5" borderId="147" xfId="0" applyNumberFormat="1" applyFont="1" applyFill="1" applyBorder="1" applyAlignment="1" applyProtection="1">
      <alignment vertical="center"/>
      <protection hidden="1"/>
    </xf>
    <xf numFmtId="0" fontId="11" fillId="5" borderId="107" xfId="0" applyFont="1" applyFill="1" applyBorder="1" applyAlignment="1" applyProtection="1">
      <alignment horizontal="center" vertical="center"/>
      <protection hidden="1"/>
    </xf>
    <xf numFmtId="0" fontId="21" fillId="5" borderId="25" xfId="0" applyFont="1" applyFill="1" applyBorder="1" applyAlignment="1" applyProtection="1">
      <alignment horizontal="left" vertical="center" indent="1"/>
      <protection hidden="1"/>
    </xf>
    <xf numFmtId="172" fontId="10" fillId="5" borderId="40" xfId="0" applyNumberFormat="1" applyFont="1" applyFill="1" applyBorder="1" applyAlignment="1" applyProtection="1">
      <alignment vertical="center"/>
      <protection hidden="1"/>
    </xf>
    <xf numFmtId="172" fontId="10" fillId="5" borderId="46" xfId="0" applyNumberFormat="1" applyFont="1" applyFill="1" applyBorder="1" applyAlignment="1" applyProtection="1">
      <alignment vertical="center"/>
      <protection hidden="1"/>
    </xf>
    <xf numFmtId="172" fontId="10" fillId="5" borderId="25" xfId="0" applyNumberFormat="1" applyFont="1" applyFill="1" applyBorder="1" applyAlignment="1" applyProtection="1">
      <alignment vertical="center"/>
      <protection hidden="1"/>
    </xf>
    <xf numFmtId="172" fontId="9" fillId="5" borderId="23" xfId="0" applyNumberFormat="1" applyFont="1" applyFill="1" applyBorder="1" applyAlignment="1" applyProtection="1">
      <alignment vertical="center"/>
      <protection hidden="1"/>
    </xf>
    <xf numFmtId="176" fontId="9" fillId="5" borderId="24" xfId="0" applyNumberFormat="1" applyFont="1" applyFill="1" applyBorder="1" applyAlignment="1" applyProtection="1">
      <alignment vertical="center"/>
      <protection hidden="1"/>
    </xf>
    <xf numFmtId="0" fontId="20" fillId="5" borderId="22" xfId="0" applyFont="1" applyFill="1" applyBorder="1" applyAlignment="1" applyProtection="1">
      <protection hidden="1"/>
    </xf>
    <xf numFmtId="175" fontId="11" fillId="5" borderId="85" xfId="0" applyNumberFormat="1" applyFont="1" applyFill="1" applyBorder="1" applyAlignment="1" applyProtection="1">
      <alignment vertical="center"/>
      <protection hidden="1"/>
    </xf>
    <xf numFmtId="164" fontId="11" fillId="9" borderId="17" xfId="0" applyNumberFormat="1" applyFont="1" applyFill="1" applyBorder="1" applyAlignment="1" applyProtection="1">
      <alignment horizontal="left" vertical="center" indent="2"/>
      <protection hidden="1"/>
    </xf>
    <xf numFmtId="175" fontId="11" fillId="5" borderId="148" xfId="0" applyNumberFormat="1" applyFont="1" applyFill="1" applyBorder="1" applyAlignment="1" applyProtection="1">
      <alignment vertical="center"/>
      <protection hidden="1"/>
    </xf>
    <xf numFmtId="175" fontId="11" fillId="5" borderId="149" xfId="0" applyNumberFormat="1" applyFont="1" applyFill="1" applyBorder="1" applyAlignment="1" applyProtection="1">
      <alignment vertical="center"/>
      <protection hidden="1"/>
    </xf>
    <xf numFmtId="175" fontId="11" fillId="5" borderId="77" xfId="0" applyNumberFormat="1" applyFont="1" applyFill="1" applyBorder="1" applyAlignment="1" applyProtection="1">
      <alignment vertical="center"/>
      <protection hidden="1"/>
    </xf>
    <xf numFmtId="175" fontId="19" fillId="5" borderId="53" xfId="0" applyNumberFormat="1" applyFont="1" applyFill="1" applyBorder="1" applyAlignment="1" applyProtection="1">
      <alignment vertical="center"/>
      <protection hidden="1"/>
    </xf>
    <xf numFmtId="176" fontId="19" fillId="5" borderId="49" xfId="0" applyNumberFormat="1" applyFont="1" applyFill="1" applyBorder="1" applyAlignment="1" applyProtection="1">
      <alignment vertical="center"/>
      <protection hidden="1"/>
    </xf>
    <xf numFmtId="0" fontId="11" fillId="5" borderId="51" xfId="0" applyFont="1" applyFill="1" applyBorder="1" applyAlignment="1" applyProtection="1">
      <alignment horizontal="center" vertical="center"/>
      <protection hidden="1"/>
    </xf>
    <xf numFmtId="0" fontId="21" fillId="5" borderId="11" xfId="0" applyFont="1" applyFill="1" applyBorder="1" applyAlignment="1" applyProtection="1">
      <alignment horizontal="left" vertical="center" indent="1"/>
      <protection hidden="1"/>
    </xf>
    <xf numFmtId="0" fontId="10" fillId="5" borderId="135" xfId="0" applyNumberFormat="1" applyFont="1" applyFill="1" applyBorder="1" applyAlignment="1" applyProtection="1">
      <protection hidden="1"/>
    </xf>
    <xf numFmtId="0" fontId="10" fillId="5" borderId="63" xfId="0" applyNumberFormat="1" applyFont="1" applyFill="1" applyBorder="1" applyAlignment="1" applyProtection="1">
      <protection hidden="1"/>
    </xf>
    <xf numFmtId="0" fontId="10" fillId="5" borderId="133" xfId="0" applyNumberFormat="1" applyFont="1" applyFill="1" applyBorder="1" applyAlignment="1" applyProtection="1">
      <protection hidden="1"/>
    </xf>
    <xf numFmtId="0" fontId="10" fillId="5" borderId="11" xfId="0" applyNumberFormat="1" applyFont="1" applyFill="1" applyBorder="1" applyAlignment="1" applyProtection="1">
      <protection hidden="1"/>
    </xf>
    <xf numFmtId="0" fontId="9" fillId="5" borderId="136" xfId="0" applyNumberFormat="1" applyFont="1" applyFill="1" applyBorder="1" applyAlignment="1" applyProtection="1">
      <protection hidden="1"/>
    </xf>
    <xf numFmtId="0" fontId="20" fillId="5" borderId="10" xfId="0" applyNumberFormat="1" applyFont="1" applyFill="1" applyBorder="1" applyAlignment="1" applyProtection="1">
      <protection hidden="1"/>
    </xf>
    <xf numFmtId="175" fontId="19" fillId="5" borderId="150" xfId="0" applyNumberFormat="1" applyFont="1" applyFill="1" applyBorder="1" applyAlignment="1" applyProtection="1">
      <alignment vertical="center"/>
      <protection hidden="1"/>
    </xf>
    <xf numFmtId="175" fontId="11" fillId="5" borderId="151" xfId="0" applyNumberFormat="1" applyFont="1" applyFill="1" applyBorder="1" applyAlignment="1" applyProtection="1">
      <alignment vertical="center"/>
      <protection hidden="1"/>
    </xf>
    <xf numFmtId="0" fontId="10" fillId="5" borderId="135" xfId="0" applyNumberFormat="1" applyFont="1" applyFill="1" applyBorder="1" applyAlignment="1" applyProtection="1">
      <alignment vertical="center"/>
      <protection hidden="1"/>
    </xf>
    <xf numFmtId="0" fontId="10" fillId="5" borderId="63" xfId="0" applyNumberFormat="1" applyFont="1" applyFill="1" applyBorder="1" applyAlignment="1" applyProtection="1">
      <alignment vertical="center"/>
      <protection hidden="1"/>
    </xf>
    <xf numFmtId="0" fontId="10" fillId="5" borderId="133" xfId="0" applyNumberFormat="1" applyFont="1" applyFill="1" applyBorder="1" applyAlignment="1" applyProtection="1">
      <alignment vertical="center"/>
      <protection hidden="1"/>
    </xf>
    <xf numFmtId="0" fontId="10" fillId="5" borderId="11" xfId="0" applyNumberFormat="1" applyFont="1" applyFill="1" applyBorder="1" applyAlignment="1" applyProtection="1">
      <alignment vertical="center"/>
      <protection hidden="1"/>
    </xf>
    <xf numFmtId="0" fontId="9" fillId="5" borderId="136" xfId="0" applyNumberFormat="1" applyFont="1" applyFill="1" applyBorder="1" applyAlignment="1" applyProtection="1">
      <alignment vertical="center"/>
      <protection hidden="1"/>
    </xf>
    <xf numFmtId="0" fontId="11" fillId="5" borderId="17" xfId="0" applyFont="1" applyFill="1" applyBorder="1" applyAlignment="1" applyProtection="1">
      <alignment horizontal="left" vertical="center" indent="2"/>
      <protection hidden="1"/>
    </xf>
    <xf numFmtId="175" fontId="11" fillId="5" borderId="152" xfId="0" applyNumberFormat="1" applyFont="1" applyFill="1" applyBorder="1" applyAlignment="1" applyProtection="1">
      <alignment vertical="center"/>
      <protection hidden="1"/>
    </xf>
    <xf numFmtId="175" fontId="19" fillId="5" borderId="154" xfId="0" applyNumberFormat="1" applyFont="1" applyFill="1" applyBorder="1" applyAlignment="1" applyProtection="1">
      <alignment vertical="center"/>
      <protection hidden="1"/>
    </xf>
    <xf numFmtId="0" fontId="10" fillId="5" borderId="0" xfId="0" applyNumberFormat="1" applyFont="1" applyFill="1" applyBorder="1" applyAlignment="1" applyProtection="1">
      <protection hidden="1"/>
    </xf>
    <xf numFmtId="0" fontId="20" fillId="5" borderId="0" xfId="0" applyNumberFormat="1" applyFont="1" applyFill="1" applyBorder="1" applyAlignment="1" applyProtection="1">
      <protection hidden="1"/>
    </xf>
    <xf numFmtId="172" fontId="11" fillId="5" borderId="134" xfId="0" applyNumberFormat="1" applyFont="1" applyFill="1" applyBorder="1" applyAlignment="1" applyProtection="1">
      <alignment horizontal="center" vertical="top" wrapText="1"/>
      <protection hidden="1"/>
    </xf>
    <xf numFmtId="172" fontId="11" fillId="5" borderId="104" xfId="0" applyNumberFormat="1" applyFont="1" applyFill="1" applyBorder="1" applyAlignment="1" applyProtection="1">
      <alignment horizontal="center" vertical="top"/>
      <protection hidden="1"/>
    </xf>
    <xf numFmtId="0" fontId="10" fillId="9" borderId="10" xfId="0" applyFont="1" applyFill="1" applyBorder="1" applyAlignment="1" applyProtection="1">
      <alignment horizontal="center" vertical="top" wrapText="1"/>
      <protection hidden="1"/>
    </xf>
    <xf numFmtId="0" fontId="11" fillId="5" borderId="0" xfId="0" applyFont="1" applyFill="1" applyBorder="1" applyAlignment="1" applyProtection="1">
      <alignment horizontal="center" vertical="center"/>
      <protection hidden="1"/>
    </xf>
    <xf numFmtId="0" fontId="10" fillId="5" borderId="11" xfId="0" applyFont="1" applyFill="1" applyBorder="1" applyAlignment="1" applyProtection="1">
      <alignment horizontal="left" vertical="center" wrapText="1" indent="2"/>
      <protection hidden="1"/>
    </xf>
    <xf numFmtId="0" fontId="11" fillId="5" borderId="11" xfId="0" applyFont="1" applyFill="1" applyBorder="1" applyAlignment="1" applyProtection="1">
      <alignment horizontal="left" vertical="center" wrapText="1" indent="1"/>
      <protection hidden="1"/>
    </xf>
    <xf numFmtId="175" fontId="11" fillId="5" borderId="106" xfId="0" applyNumberFormat="1" applyFont="1" applyFill="1" applyBorder="1" applyAlignment="1" applyProtection="1">
      <alignment vertical="center"/>
      <protection hidden="1"/>
    </xf>
    <xf numFmtId="175" fontId="11" fillId="9" borderId="0" xfId="0" applyNumberFormat="1" applyFont="1" applyFill="1" applyBorder="1" applyAlignment="1" applyProtection="1">
      <alignment vertical="center"/>
      <protection hidden="1"/>
    </xf>
    <xf numFmtId="175" fontId="11" fillId="5" borderId="11" xfId="0" applyNumberFormat="1" applyFont="1" applyFill="1" applyBorder="1" applyAlignment="1" applyProtection="1">
      <alignment vertical="center"/>
      <protection hidden="1"/>
    </xf>
    <xf numFmtId="175" fontId="11" fillId="5" borderId="5" xfId="0" applyNumberFormat="1" applyFont="1" applyFill="1" applyBorder="1" applyAlignment="1" applyProtection="1">
      <alignment vertical="center"/>
      <protection hidden="1"/>
    </xf>
    <xf numFmtId="176" fontId="11" fillId="5" borderId="10" xfId="0" applyNumberFormat="1" applyFont="1" applyFill="1" applyBorder="1" applyAlignment="1" applyProtection="1">
      <alignment vertical="center"/>
      <protection hidden="1"/>
    </xf>
    <xf numFmtId="0" fontId="11" fillId="5" borderId="10" xfId="0" applyFont="1" applyFill="1" applyBorder="1" applyAlignment="1" applyProtection="1">
      <alignment horizontal="center" vertical="center"/>
      <protection hidden="1"/>
    </xf>
    <xf numFmtId="175" fontId="11" fillId="5" borderId="109" xfId="0" applyNumberFormat="1" applyFont="1" applyFill="1" applyBorder="1" applyAlignment="1" applyProtection="1">
      <alignment vertical="center"/>
      <protection hidden="1"/>
    </xf>
    <xf numFmtId="183" fontId="11" fillId="9" borderId="48" xfId="0" applyNumberFormat="1" applyFont="1" applyFill="1" applyBorder="1" applyAlignment="1" applyProtection="1">
      <alignment vertical="center"/>
      <protection hidden="1"/>
    </xf>
    <xf numFmtId="175" fontId="11" fillId="9" borderId="49" xfId="0" applyNumberFormat="1" applyFont="1" applyFill="1" applyBorder="1" applyAlignment="1" applyProtection="1">
      <alignment vertical="center"/>
      <protection hidden="1"/>
    </xf>
    <xf numFmtId="175" fontId="11" fillId="5" borderId="53" xfId="0" applyNumberFormat="1" applyFont="1" applyFill="1" applyBorder="1" applyAlignment="1" applyProtection="1">
      <alignment vertical="center"/>
      <protection hidden="1"/>
    </xf>
    <xf numFmtId="176" fontId="11" fillId="5" borderId="51" xfId="0" applyNumberFormat="1" applyFont="1" applyFill="1" applyBorder="1" applyAlignment="1" applyProtection="1">
      <alignment vertical="center"/>
      <protection hidden="1"/>
    </xf>
    <xf numFmtId="0" fontId="10" fillId="5" borderId="0" xfId="0" quotePrefix="1" applyNumberFormat="1" applyFont="1" applyFill="1" applyBorder="1" applyAlignment="1" applyProtection="1">
      <protection hidden="1"/>
    </xf>
    <xf numFmtId="172" fontId="11" fillId="5" borderId="46" xfId="0" applyNumberFormat="1" applyFont="1" applyFill="1" applyBorder="1" applyAlignment="1" applyProtection="1">
      <alignment horizontal="center" vertical="top" wrapText="1"/>
      <protection hidden="1"/>
    </xf>
    <xf numFmtId="172" fontId="11" fillId="5" borderId="22" xfId="0" applyNumberFormat="1" applyFont="1" applyFill="1" applyBorder="1" applyAlignment="1" applyProtection="1">
      <alignment horizontal="center" vertical="top" wrapText="1"/>
      <protection hidden="1"/>
    </xf>
    <xf numFmtId="0" fontId="10" fillId="5" borderId="11" xfId="0" applyFont="1" applyFill="1" applyBorder="1" applyAlignment="1" applyProtection="1">
      <alignment horizontal="left"/>
      <protection hidden="1"/>
    </xf>
    <xf numFmtId="0" fontId="10" fillId="5" borderId="10" xfId="0" applyFont="1" applyFill="1" applyBorder="1" applyAlignment="1" applyProtection="1">
      <protection hidden="1"/>
    </xf>
    <xf numFmtId="172" fontId="11" fillId="5" borderId="133" xfId="0" applyNumberFormat="1" applyFont="1" applyFill="1" applyBorder="1" applyAlignment="1" applyProtection="1">
      <alignment horizontal="center" vertical="center"/>
      <protection hidden="1"/>
    </xf>
    <xf numFmtId="0" fontId="10" fillId="5" borderId="11" xfId="0" applyFont="1" applyFill="1" applyBorder="1" applyAlignment="1" applyProtection="1">
      <alignment horizontal="left" wrapText="1" indent="2"/>
      <protection hidden="1"/>
    </xf>
    <xf numFmtId="186" fontId="11" fillId="5" borderId="106" xfId="0" quotePrefix="1" applyNumberFormat="1" applyFont="1" applyFill="1" applyBorder="1" applyAlignment="1" applyProtection="1">
      <alignment horizontal="center" vertical="center"/>
      <protection hidden="1"/>
    </xf>
    <xf numFmtId="186" fontId="11" fillId="5" borderId="133" xfId="0" quotePrefix="1" applyNumberFormat="1" applyFont="1" applyFill="1" applyBorder="1" applyAlignment="1" applyProtection="1">
      <alignment horizontal="center" vertical="center"/>
      <protection hidden="1"/>
    </xf>
    <xf numFmtId="186" fontId="11" fillId="5" borderId="5" xfId="0" quotePrefix="1" applyNumberFormat="1" applyFont="1" applyFill="1" applyBorder="1" applyAlignment="1" applyProtection="1">
      <alignment horizontal="center" vertical="center"/>
      <protection hidden="1"/>
    </xf>
    <xf numFmtId="186" fontId="11" fillId="5" borderId="10" xfId="0" quotePrefix="1" applyNumberFormat="1" applyFont="1" applyFill="1" applyBorder="1" applyAlignment="1" applyProtection="1">
      <alignment horizontal="center" vertical="center"/>
      <protection hidden="1"/>
    </xf>
    <xf numFmtId="165" fontId="21" fillId="5" borderId="25" xfId="0" applyNumberFormat="1" applyFont="1" applyFill="1" applyBorder="1" applyAlignment="1" applyProtection="1">
      <alignment horizontal="left" vertical="center" wrapText="1" indent="1"/>
      <protection hidden="1"/>
    </xf>
    <xf numFmtId="0" fontId="10" fillId="5" borderId="40" xfId="0" applyNumberFormat="1" applyFont="1" applyFill="1" applyBorder="1" applyAlignment="1" applyProtection="1">
      <alignment vertical="center"/>
      <protection hidden="1"/>
    </xf>
    <xf numFmtId="175" fontId="11" fillId="5" borderId="46" xfId="0" applyNumberFormat="1" applyFont="1" applyFill="1" applyBorder="1" applyAlignment="1" applyProtection="1">
      <alignment vertical="center"/>
      <protection hidden="1"/>
    </xf>
    <xf numFmtId="175" fontId="11" fillId="5" borderId="23" xfId="0" applyNumberFormat="1" applyFont="1" applyFill="1" applyBorder="1" applyAlignment="1" applyProtection="1">
      <alignment vertical="center"/>
      <protection hidden="1"/>
    </xf>
    <xf numFmtId="176" fontId="11" fillId="5" borderId="24" xfId="0" applyNumberFormat="1" applyFont="1" applyFill="1" applyBorder="1" applyAlignment="1" applyProtection="1">
      <alignment vertical="center"/>
      <protection hidden="1"/>
    </xf>
    <xf numFmtId="172" fontId="11" fillId="5" borderId="22" xfId="0" applyNumberFormat="1" applyFont="1" applyFill="1" applyBorder="1" applyAlignment="1" applyProtection="1">
      <alignment horizontal="center" vertical="center"/>
      <protection hidden="1"/>
    </xf>
    <xf numFmtId="175" fontId="11" fillId="5" borderId="29" xfId="0" applyNumberFormat="1" applyFont="1" applyFill="1" applyBorder="1" applyAlignment="1" applyProtection="1">
      <alignment vertical="center"/>
      <protection hidden="1"/>
    </xf>
    <xf numFmtId="176" fontId="11" fillId="5" borderId="32" xfId="0" applyNumberFormat="1" applyFont="1" applyFill="1" applyBorder="1" applyAlignment="1" applyProtection="1">
      <alignment vertical="center"/>
      <protection hidden="1"/>
    </xf>
    <xf numFmtId="0" fontId="10" fillId="5" borderId="29" xfId="0" applyFont="1" applyFill="1" applyBorder="1" applyAlignment="1" applyProtection="1">
      <alignment vertical="center"/>
      <protection hidden="1"/>
    </xf>
    <xf numFmtId="0" fontId="11" fillId="5" borderId="11" xfId="0" applyFont="1" applyFill="1" applyBorder="1" applyAlignment="1" applyProtection="1">
      <alignment horizontal="left" vertical="center" indent="3"/>
      <protection hidden="1"/>
    </xf>
    <xf numFmtId="175" fontId="11" fillId="5" borderId="52" xfId="0" applyNumberFormat="1" applyFont="1" applyFill="1" applyBorder="1" applyAlignment="1" applyProtection="1">
      <alignment vertical="center"/>
      <protection hidden="1"/>
    </xf>
    <xf numFmtId="176" fontId="11" fillId="5" borderId="49" xfId="0" applyNumberFormat="1" applyFont="1" applyFill="1" applyBorder="1" applyAlignment="1" applyProtection="1">
      <alignment vertical="center"/>
      <protection hidden="1"/>
    </xf>
    <xf numFmtId="172" fontId="11" fillId="5" borderId="51" xfId="0" applyNumberFormat="1" applyFont="1" applyFill="1" applyBorder="1" applyAlignment="1" applyProtection="1">
      <alignment horizontal="center" vertical="center"/>
      <protection hidden="1"/>
    </xf>
    <xf numFmtId="0" fontId="10" fillId="5" borderId="41" xfId="0" applyFont="1" applyFill="1" applyBorder="1" applyAlignment="1" applyProtection="1">
      <alignment vertical="center"/>
      <protection hidden="1"/>
    </xf>
    <xf numFmtId="0" fontId="10" fillId="5" borderId="59" xfId="0" applyFont="1" applyFill="1" applyBorder="1" applyAlignment="1" applyProtection="1">
      <alignment vertical="center"/>
      <protection hidden="1"/>
    </xf>
    <xf numFmtId="0" fontId="10" fillId="5" borderId="26" xfId="0" applyFont="1" applyFill="1" applyBorder="1" applyAlignment="1" applyProtection="1">
      <alignment vertical="center"/>
      <protection hidden="1"/>
    </xf>
    <xf numFmtId="0" fontId="10" fillId="5" borderId="28" xfId="0" applyFont="1" applyFill="1" applyBorder="1" applyAlignment="1" applyProtection="1">
      <alignment vertical="center"/>
      <protection hidden="1"/>
    </xf>
    <xf numFmtId="0" fontId="10" fillId="5" borderId="36" xfId="0" applyFont="1" applyFill="1" applyBorder="1" applyAlignment="1" applyProtection="1">
      <alignment vertical="center"/>
      <protection hidden="1"/>
    </xf>
    <xf numFmtId="0" fontId="10" fillId="5" borderId="86" xfId="0" applyNumberFormat="1" applyFont="1" applyFill="1" applyBorder="1" applyAlignment="1" applyProtection="1">
      <protection hidden="1"/>
    </xf>
    <xf numFmtId="0" fontId="18" fillId="5" borderId="0" xfId="0" applyNumberFormat="1" applyFont="1" applyFill="1" applyBorder="1" applyAlignment="1" applyProtection="1">
      <protection hidden="1"/>
    </xf>
    <xf numFmtId="0" fontId="18" fillId="9" borderId="0" xfId="0" applyNumberFormat="1" applyFont="1" applyFill="1" applyBorder="1" applyAlignment="1" applyProtection="1">
      <protection hidden="1"/>
    </xf>
    <xf numFmtId="165" fontId="21" fillId="5" borderId="25" xfId="0" applyNumberFormat="1" applyFont="1" applyFill="1" applyBorder="1" applyAlignment="1" applyProtection="1">
      <alignment horizontal="left" vertical="center" indent="1"/>
      <protection hidden="1"/>
    </xf>
    <xf numFmtId="172" fontId="10" fillId="5" borderId="155" xfId="0" quotePrefix="1" applyNumberFormat="1" applyFont="1" applyFill="1" applyBorder="1" applyAlignment="1" applyProtection="1">
      <alignment horizontal="center" vertical="center"/>
      <protection hidden="1"/>
    </xf>
    <xf numFmtId="172" fontId="10" fillId="5" borderId="22" xfId="0" quotePrefix="1" applyNumberFormat="1" applyFont="1" applyFill="1" applyBorder="1" applyAlignment="1" applyProtection="1">
      <alignment horizontal="center" vertical="center"/>
      <protection hidden="1"/>
    </xf>
    <xf numFmtId="172" fontId="10" fillId="5" borderId="23" xfId="0" quotePrefix="1" applyNumberFormat="1" applyFont="1" applyFill="1" applyBorder="1" applyAlignment="1" applyProtection="1">
      <alignment horizontal="center" vertical="center"/>
      <protection hidden="1"/>
    </xf>
    <xf numFmtId="0" fontId="10" fillId="5" borderId="9" xfId="0" quotePrefix="1" applyNumberFormat="1" applyFont="1" applyFill="1" applyBorder="1" applyAlignment="1" applyProtection="1">
      <protection hidden="1"/>
    </xf>
    <xf numFmtId="175" fontId="11" fillId="5" borderId="156" xfId="0" applyNumberFormat="1" applyFont="1" applyFill="1" applyBorder="1" applyAlignment="1" applyProtection="1">
      <alignment vertical="center"/>
      <protection hidden="1"/>
    </xf>
    <xf numFmtId="175" fontId="11" fillId="5" borderId="141" xfId="0" applyNumberFormat="1" applyFont="1" applyFill="1" applyBorder="1" applyAlignment="1" applyProtection="1">
      <alignment vertical="center"/>
      <protection hidden="1"/>
    </xf>
    <xf numFmtId="176" fontId="11" fillId="5" borderId="157" xfId="0" applyNumberFormat="1" applyFont="1" applyFill="1" applyBorder="1" applyAlignment="1" applyProtection="1">
      <alignment vertical="center"/>
      <protection hidden="1"/>
    </xf>
    <xf numFmtId="0" fontId="9" fillId="5" borderId="9" xfId="0" applyNumberFormat="1" applyFont="1" applyFill="1" applyBorder="1" applyAlignment="1" applyProtection="1">
      <protection hidden="1"/>
    </xf>
    <xf numFmtId="0" fontId="9" fillId="5" borderId="0" xfId="0" applyNumberFormat="1" applyFont="1" applyFill="1" applyBorder="1" applyAlignment="1" applyProtection="1">
      <protection hidden="1"/>
    </xf>
    <xf numFmtId="175" fontId="11" fillId="5" borderId="158" xfId="0" applyNumberFormat="1" applyFont="1" applyFill="1" applyBorder="1" applyAlignment="1" applyProtection="1">
      <alignment vertical="center"/>
      <protection hidden="1"/>
    </xf>
    <xf numFmtId="172" fontId="10" fillId="5" borderId="22" xfId="0" applyNumberFormat="1" applyFont="1" applyFill="1" applyBorder="1" applyAlignment="1" applyProtection="1">
      <alignment vertical="center"/>
      <protection hidden="1"/>
    </xf>
    <xf numFmtId="172" fontId="10" fillId="5" borderId="23" xfId="0" applyNumberFormat="1" applyFont="1" applyFill="1" applyBorder="1" applyAlignment="1" applyProtection="1">
      <alignment vertical="center"/>
      <protection hidden="1"/>
    </xf>
    <xf numFmtId="175" fontId="11" fillId="5" borderId="159" xfId="0" applyNumberFormat="1" applyFont="1" applyFill="1" applyBorder="1" applyAlignment="1" applyProtection="1">
      <alignment vertical="center"/>
      <protection hidden="1"/>
    </xf>
    <xf numFmtId="175" fontId="11" fillId="5" borderId="147" xfId="0" applyNumberFormat="1" applyFont="1" applyFill="1" applyBorder="1" applyAlignment="1" applyProtection="1">
      <alignment vertical="center"/>
      <protection hidden="1"/>
    </xf>
    <xf numFmtId="176" fontId="11" fillId="5" borderId="160" xfId="0" applyNumberFormat="1" applyFont="1" applyFill="1" applyBorder="1" applyAlignment="1" applyProtection="1">
      <alignment vertical="center"/>
      <protection hidden="1"/>
    </xf>
    <xf numFmtId="0" fontId="10" fillId="5" borderId="78" xfId="0" applyNumberFormat="1" applyFont="1" applyFill="1" applyBorder="1" applyAlignment="1" applyProtection="1">
      <protection hidden="1"/>
    </xf>
    <xf numFmtId="0" fontId="10" fillId="5" borderId="23" xfId="0" applyNumberFormat="1" applyFont="1" applyFill="1" applyBorder="1" applyAlignment="1" applyProtection="1">
      <protection hidden="1"/>
    </xf>
    <xf numFmtId="0" fontId="10" fillId="5" borderId="22" xfId="0" applyNumberFormat="1" applyFont="1" applyFill="1" applyBorder="1" applyAlignment="1" applyProtection="1">
      <protection hidden="1"/>
    </xf>
    <xf numFmtId="175" fontId="11" fillId="5" borderId="157" xfId="0" applyNumberFormat="1" applyFont="1" applyFill="1" applyBorder="1" applyAlignment="1" applyProtection="1">
      <alignment vertical="center"/>
      <protection hidden="1"/>
    </xf>
    <xf numFmtId="0" fontId="10" fillId="5" borderId="78" xfId="0" applyNumberFormat="1" applyFont="1" applyFill="1" applyBorder="1" applyAlignment="1" applyProtection="1">
      <alignment vertical="center"/>
      <protection hidden="1"/>
    </xf>
    <xf numFmtId="0" fontId="10" fillId="5" borderId="5" xfId="0" applyNumberFormat="1" applyFont="1" applyFill="1" applyBorder="1" applyAlignment="1" applyProtection="1">
      <alignment vertical="center"/>
      <protection hidden="1"/>
    </xf>
    <xf numFmtId="0" fontId="10" fillId="5" borderId="10" xfId="0" applyNumberFormat="1" applyFont="1" applyFill="1" applyBorder="1" applyAlignment="1" applyProtection="1">
      <alignment vertical="center"/>
      <protection hidden="1"/>
    </xf>
    <xf numFmtId="175" fontId="11" fillId="5" borderId="154" xfId="0" applyNumberFormat="1" applyFont="1" applyFill="1" applyBorder="1" applyAlignment="1" applyProtection="1">
      <alignment vertical="center"/>
      <protection hidden="1"/>
    </xf>
    <xf numFmtId="176" fontId="11" fillId="5" borderId="161" xfId="0" applyNumberFormat="1" applyFont="1" applyFill="1" applyBorder="1" applyAlignment="1" applyProtection="1">
      <alignment vertical="center"/>
      <protection hidden="1"/>
    </xf>
    <xf numFmtId="0" fontId="14" fillId="10" borderId="106" xfId="0" applyNumberFormat="1" applyFont="1" applyFill="1" applyBorder="1" applyAlignment="1" applyProtection="1">
      <protection hidden="1"/>
    </xf>
    <xf numFmtId="0" fontId="10" fillId="4" borderId="41" xfId="0" applyFont="1" applyFill="1" applyBorder="1" applyAlignment="1" applyProtection="1">
      <alignment vertical="center"/>
      <protection hidden="1"/>
    </xf>
    <xf numFmtId="0" fontId="11" fillId="9" borderId="106" xfId="0" applyFont="1" applyFill="1" applyBorder="1" applyAlignment="1" applyProtection="1">
      <alignment vertical="top" wrapText="1"/>
      <protection hidden="1"/>
    </xf>
    <xf numFmtId="0" fontId="11" fillId="3" borderId="58" xfId="9" applyFont="1" applyFill="1" applyBorder="1" applyAlignment="1" applyProtection="1">
      <alignment horizontal="centerContinuous" vertical="center"/>
      <protection hidden="1"/>
    </xf>
    <xf numFmtId="0" fontId="11" fillId="2" borderId="15" xfId="0" applyFont="1" applyFill="1" applyBorder="1" applyAlignment="1" applyProtection="1">
      <alignment horizontal="center" vertical="top" wrapText="1"/>
      <protection hidden="1"/>
    </xf>
    <xf numFmtId="0" fontId="11" fillId="2" borderId="64" xfId="0" applyFont="1" applyFill="1" applyBorder="1" applyAlignment="1" applyProtection="1">
      <alignment horizontal="center" vertical="top" wrapText="1"/>
      <protection hidden="1"/>
    </xf>
    <xf numFmtId="179" fontId="10" fillId="2" borderId="67" xfId="0" applyNumberFormat="1" applyFont="1" applyFill="1" applyBorder="1" applyAlignment="1" applyProtection="1">
      <alignment vertical="center"/>
      <protection hidden="1"/>
    </xf>
    <xf numFmtId="179" fontId="10" fillId="2" borderId="90" xfId="0" applyNumberFormat="1" applyFont="1" applyFill="1" applyBorder="1" applyAlignment="1" applyProtection="1">
      <alignment vertical="center"/>
      <protection hidden="1"/>
    </xf>
    <xf numFmtId="2" fontId="10" fillId="2" borderId="47" xfId="0" applyNumberFormat="1" applyFont="1" applyFill="1" applyBorder="1" applyAlignment="1" applyProtection="1">
      <alignment horizontal="center" vertical="center"/>
      <protection hidden="1"/>
    </xf>
    <xf numFmtId="2" fontId="10" fillId="2" borderId="70" xfId="0" applyNumberFormat="1" applyFont="1" applyFill="1" applyBorder="1" applyAlignment="1" applyProtection="1">
      <alignment horizontal="center" vertical="center"/>
      <protection hidden="1"/>
    </xf>
    <xf numFmtId="2" fontId="10" fillId="2" borderId="32" xfId="0" applyNumberFormat="1" applyFont="1" applyFill="1" applyBorder="1" applyAlignment="1" applyProtection="1">
      <alignment horizontal="center" vertical="center"/>
      <protection hidden="1"/>
    </xf>
    <xf numFmtId="2" fontId="10" fillId="2" borderId="49" xfId="0" applyNumberFormat="1" applyFont="1" applyFill="1" applyBorder="1" applyAlignment="1" applyProtection="1">
      <alignment horizontal="center" vertical="center"/>
      <protection hidden="1"/>
    </xf>
    <xf numFmtId="179" fontId="10" fillId="2" borderId="54" xfId="0" applyNumberFormat="1" applyFont="1" applyFill="1" applyBorder="1" applyAlignment="1" applyProtection="1">
      <alignment vertical="center"/>
      <protection hidden="1"/>
    </xf>
    <xf numFmtId="179" fontId="10" fillId="2" borderId="109" xfId="0" applyNumberFormat="1" applyFont="1" applyFill="1" applyBorder="1" applyAlignment="1" applyProtection="1">
      <alignment vertical="center"/>
      <protection hidden="1"/>
    </xf>
    <xf numFmtId="0" fontId="10" fillId="2" borderId="0" xfId="12" applyNumberFormat="1" applyFont="1" applyFill="1" applyBorder="1" applyAlignment="1" applyProtection="1">
      <protection hidden="1"/>
    </xf>
    <xf numFmtId="0" fontId="10" fillId="9" borderId="61" xfId="0" applyFont="1" applyFill="1" applyBorder="1" applyProtection="1">
      <protection hidden="1"/>
    </xf>
    <xf numFmtId="0" fontId="11" fillId="4" borderId="98" xfId="0" applyFont="1" applyFill="1" applyBorder="1" applyAlignment="1" applyProtection="1">
      <alignment horizontal="center" vertical="top" wrapText="1"/>
      <protection hidden="1"/>
    </xf>
    <xf numFmtId="0" fontId="11" fillId="4" borderId="106" xfId="0" applyFont="1" applyFill="1" applyBorder="1" applyAlignment="1" applyProtection="1">
      <alignment horizontal="center" vertical="center"/>
      <protection hidden="1"/>
    </xf>
    <xf numFmtId="186" fontId="11" fillId="5" borderId="64" xfId="0" quotePrefix="1" applyNumberFormat="1" applyFont="1" applyFill="1" applyBorder="1" applyAlignment="1" applyProtection="1">
      <alignment horizontal="center" vertical="center" wrapText="1"/>
      <protection hidden="1"/>
    </xf>
    <xf numFmtId="179" fontId="11" fillId="8" borderId="58" xfId="0" applyNumberFormat="1" applyFont="1" applyFill="1" applyBorder="1" applyAlignment="1" applyProtection="1">
      <alignment vertical="center"/>
      <protection hidden="1"/>
    </xf>
    <xf numFmtId="179" fontId="11" fillId="8" borderId="76" xfId="0" applyNumberFormat="1" applyFont="1" applyFill="1" applyBorder="1" applyAlignment="1" applyProtection="1">
      <alignment vertical="center"/>
      <protection hidden="1"/>
    </xf>
    <xf numFmtId="0" fontId="11" fillId="4" borderId="82" xfId="0" applyFont="1" applyFill="1" applyBorder="1" applyAlignment="1" applyProtection="1">
      <alignment horizontal="centerContinuous" vertical="center"/>
      <protection hidden="1"/>
    </xf>
    <xf numFmtId="0" fontId="11" fillId="4" borderId="101" xfId="0" applyFont="1" applyFill="1" applyBorder="1" applyAlignment="1" applyProtection="1">
      <alignment horizontal="centerContinuous" vertical="center"/>
      <protection hidden="1"/>
    </xf>
    <xf numFmtId="0" fontId="11" fillId="4" borderId="95" xfId="0" applyFont="1" applyFill="1" applyBorder="1" applyAlignment="1" applyProtection="1">
      <alignment horizontal="center" vertical="top"/>
      <protection hidden="1"/>
    </xf>
    <xf numFmtId="0" fontId="11" fillId="4" borderId="107" xfId="0" applyFont="1" applyFill="1" applyBorder="1" applyAlignment="1" applyProtection="1">
      <alignment horizontal="center" vertical="top" wrapText="1"/>
      <protection hidden="1"/>
    </xf>
    <xf numFmtId="170" fontId="10" fillId="9" borderId="36" xfId="0" applyNumberFormat="1" applyFont="1" applyFill="1" applyBorder="1" applyAlignment="1" applyProtection="1">
      <alignment vertical="center"/>
      <protection locked="0"/>
    </xf>
    <xf numFmtId="170" fontId="10" fillId="9" borderId="16" xfId="0" applyNumberFormat="1" applyFont="1" applyFill="1" applyBorder="1" applyAlignment="1" applyProtection="1">
      <alignment vertical="center"/>
      <protection locked="0"/>
    </xf>
    <xf numFmtId="0" fontId="10" fillId="4" borderId="89" xfId="0" applyFont="1" applyFill="1" applyBorder="1" applyAlignment="1" applyProtection="1">
      <alignment horizontal="left" vertical="center" indent="1"/>
      <protection hidden="1"/>
    </xf>
    <xf numFmtId="181" fontId="10" fillId="9" borderId="106" xfId="0" applyNumberFormat="1" applyFont="1" applyFill="1" applyBorder="1" applyAlignment="1" applyProtection="1">
      <alignment vertical="center"/>
      <protection locked="0"/>
    </xf>
    <xf numFmtId="0" fontId="11" fillId="5" borderId="18" xfId="0" applyFont="1" applyFill="1" applyBorder="1" applyAlignment="1" applyProtection="1">
      <alignment horizontal="left" vertical="center" wrapText="1" indent="1"/>
      <protection hidden="1"/>
    </xf>
    <xf numFmtId="180" fontId="11" fillId="4" borderId="19" xfId="0" applyNumberFormat="1" applyFont="1" applyFill="1" applyBorder="1" applyAlignment="1" applyProtection="1">
      <alignment vertical="center"/>
      <protection hidden="1"/>
    </xf>
    <xf numFmtId="180" fontId="11" fillId="4" borderId="47" xfId="0" applyNumberFormat="1" applyFont="1" applyFill="1" applyBorder="1" applyAlignment="1" applyProtection="1">
      <alignment vertical="center"/>
      <protection hidden="1"/>
    </xf>
    <xf numFmtId="180" fontId="11" fillId="4" borderId="36" xfId="0" applyNumberFormat="1" applyFont="1" applyFill="1" applyBorder="1" applyAlignment="1" applyProtection="1">
      <alignment vertical="center"/>
      <protection hidden="1"/>
    </xf>
    <xf numFmtId="180" fontId="11" fillId="4" borderId="10" xfId="0" applyNumberFormat="1" applyFont="1" applyFill="1" applyBorder="1" applyAlignment="1" applyProtection="1">
      <alignment vertical="center"/>
      <protection hidden="1"/>
    </xf>
    <xf numFmtId="180" fontId="11" fillId="4" borderId="72" xfId="0" applyNumberFormat="1" applyFont="1" applyFill="1" applyBorder="1" applyAlignment="1" applyProtection="1">
      <alignment vertical="center"/>
      <protection hidden="1"/>
    </xf>
    <xf numFmtId="0" fontId="11" fillId="4" borderId="96" xfId="0" applyFont="1" applyFill="1" applyBorder="1" applyAlignment="1" applyProtection="1">
      <alignment horizontal="center" vertical="top" wrapText="1"/>
      <protection hidden="1"/>
    </xf>
    <xf numFmtId="0" fontId="11" fillId="4" borderId="113" xfId="0" applyFont="1" applyFill="1" applyBorder="1" applyAlignment="1" applyProtection="1">
      <alignment horizontal="center" vertical="center" wrapText="1"/>
      <protection hidden="1"/>
    </xf>
    <xf numFmtId="181" fontId="10" fillId="9" borderId="28" xfId="0" applyNumberFormat="1" applyFont="1" applyFill="1" applyBorder="1" applyAlignment="1" applyProtection="1">
      <alignment vertical="center"/>
      <protection locked="0"/>
    </xf>
    <xf numFmtId="181" fontId="10" fillId="9" borderId="113" xfId="0" applyNumberFormat="1" applyFont="1" applyFill="1" applyBorder="1" applyAlignment="1" applyProtection="1">
      <alignment vertical="center"/>
      <protection locked="0"/>
    </xf>
    <xf numFmtId="179" fontId="11" fillId="10" borderId="107" xfId="12" applyNumberFormat="1" applyFont="1" applyFill="1" applyBorder="1" applyAlignment="1" applyProtection="1">
      <alignment vertical="center"/>
      <protection hidden="1"/>
    </xf>
    <xf numFmtId="0" fontId="11" fillId="4" borderId="57" xfId="12" applyFont="1" applyFill="1" applyBorder="1" applyAlignment="1" applyProtection="1">
      <alignment horizontal="left" vertical="center" indent="2"/>
      <protection hidden="1"/>
    </xf>
    <xf numFmtId="179" fontId="11" fillId="4" borderId="18" xfId="12" applyNumberFormat="1" applyFont="1" applyFill="1" applyBorder="1" applyAlignment="1" applyProtection="1">
      <alignment vertical="center"/>
      <protection hidden="1"/>
    </xf>
    <xf numFmtId="179" fontId="11" fillId="4" borderId="54" xfId="12" applyNumberFormat="1" applyFont="1" applyFill="1" applyBorder="1" applyAlignment="1" applyProtection="1">
      <alignment vertical="center"/>
      <protection hidden="1"/>
    </xf>
    <xf numFmtId="179" fontId="11" fillId="4" borderId="72" xfId="12" applyNumberFormat="1" applyFont="1" applyFill="1" applyBorder="1" applyAlignment="1" applyProtection="1">
      <alignment vertical="center"/>
      <protection hidden="1"/>
    </xf>
    <xf numFmtId="179" fontId="11" fillId="4" borderId="107" xfId="12" applyNumberFormat="1" applyFont="1" applyFill="1" applyBorder="1" applyAlignment="1" applyProtection="1">
      <alignment vertical="center"/>
      <protection hidden="1"/>
    </xf>
    <xf numFmtId="179" fontId="11" fillId="4" borderId="19" xfId="12" applyNumberFormat="1" applyFont="1" applyFill="1" applyBorder="1" applyAlignment="1" applyProtection="1">
      <alignment vertical="center"/>
      <protection hidden="1"/>
    </xf>
    <xf numFmtId="0" fontId="10" fillId="4" borderId="55" xfId="12" applyNumberFormat="1" applyFont="1" applyFill="1" applyBorder="1" applyAlignment="1" applyProtection="1">
      <alignment vertical="center"/>
      <protection hidden="1"/>
    </xf>
    <xf numFmtId="0" fontId="10" fillId="4" borderId="71" xfId="12" applyNumberFormat="1" applyFont="1" applyFill="1" applyBorder="1" applyAlignment="1" applyProtection="1">
      <alignment vertical="center"/>
      <protection hidden="1"/>
    </xf>
    <xf numFmtId="0" fontId="10" fillId="4" borderId="54" xfId="12" applyNumberFormat="1" applyFont="1" applyFill="1" applyBorder="1" applyAlignment="1" applyProtection="1">
      <alignment vertical="center"/>
      <protection hidden="1"/>
    </xf>
    <xf numFmtId="0" fontId="10" fillId="2" borderId="20" xfId="0" applyNumberFormat="1" applyFont="1" applyFill="1" applyBorder="1" applyAlignment="1" applyProtection="1">
      <protection hidden="1"/>
    </xf>
    <xf numFmtId="0" fontId="10" fillId="2" borderId="9" xfId="0" applyNumberFormat="1" applyFont="1" applyFill="1" applyBorder="1" applyAlignment="1" applyProtection="1">
      <protection hidden="1"/>
    </xf>
    <xf numFmtId="0" fontId="10" fillId="2" borderId="91" xfId="0" applyFont="1" applyFill="1" applyBorder="1" applyAlignment="1" applyProtection="1">
      <alignment horizontal="center" vertical="center"/>
      <protection hidden="1"/>
    </xf>
    <xf numFmtId="0" fontId="10" fillId="10" borderId="66" xfId="12" applyFont="1" applyFill="1" applyBorder="1" applyAlignment="1" applyProtection="1">
      <alignment horizontal="left" vertical="center" indent="1"/>
      <protection locked="0"/>
    </xf>
    <xf numFmtId="0" fontId="10" fillId="10" borderId="26" xfId="12" applyFont="1" applyFill="1" applyBorder="1" applyAlignment="1" applyProtection="1">
      <alignment horizontal="left" vertical="center" indent="1"/>
      <protection locked="0"/>
    </xf>
    <xf numFmtId="0" fontId="10" fillId="10" borderId="14" xfId="12" applyFont="1" applyFill="1" applyBorder="1" applyAlignment="1" applyProtection="1">
      <alignment horizontal="left" vertical="center" indent="1"/>
      <protection locked="0"/>
    </xf>
    <xf numFmtId="0" fontId="10" fillId="0" borderId="0" xfId="0" applyFont="1" applyFill="1" applyBorder="1" applyAlignment="1" applyProtection="1">
      <protection hidden="1"/>
    </xf>
    <xf numFmtId="0" fontId="10" fillId="4" borderId="62" xfId="12" applyNumberFormat="1" applyFont="1" applyFill="1" applyBorder="1" applyAlignment="1" applyProtection="1">
      <protection hidden="1"/>
    </xf>
    <xf numFmtId="0" fontId="17" fillId="4" borderId="0" xfId="12" applyNumberFormat="1" applyFont="1" applyFill="1" applyBorder="1" applyAlignment="1" applyProtection="1">
      <alignment horizontal="center" vertical="center"/>
      <protection hidden="1"/>
    </xf>
    <xf numFmtId="0" fontId="10" fillId="4" borderId="43" xfId="12" applyNumberFormat="1" applyFont="1" applyFill="1" applyBorder="1" applyAlignment="1" applyProtection="1">
      <protection hidden="1"/>
    </xf>
    <xf numFmtId="0" fontId="11" fillId="5" borderId="62" xfId="12" applyNumberFormat="1" applyFont="1" applyFill="1" applyBorder="1" applyAlignment="1" applyProtection="1">
      <protection hidden="1"/>
    </xf>
    <xf numFmtId="0" fontId="10" fillId="4" borderId="62" xfId="12" applyFont="1" applyFill="1" applyBorder="1" applyAlignment="1" applyProtection="1">
      <protection hidden="1"/>
    </xf>
    <xf numFmtId="0" fontId="10" fillId="9" borderId="1" xfId="12" applyFont="1" applyFill="1" applyBorder="1" applyProtection="1">
      <protection hidden="1"/>
    </xf>
    <xf numFmtId="0" fontId="17" fillId="4" borderId="133" xfId="12" applyNumberFormat="1" applyFont="1" applyFill="1" applyBorder="1" applyAlignment="1" applyProtection="1">
      <protection hidden="1"/>
    </xf>
    <xf numFmtId="0" fontId="10" fillId="4" borderId="114" xfId="12" applyNumberFormat="1" applyFont="1" applyFill="1" applyBorder="1" applyAlignment="1" applyProtection="1">
      <protection hidden="1"/>
    </xf>
    <xf numFmtId="0" fontId="10" fillId="5" borderId="114" xfId="12" quotePrefix="1" applyNumberFormat="1" applyFont="1" applyFill="1" applyBorder="1" applyAlignment="1" applyProtection="1">
      <protection hidden="1"/>
    </xf>
    <xf numFmtId="0" fontId="10" fillId="5" borderId="118" xfId="12" quotePrefix="1" applyNumberFormat="1" applyFont="1" applyFill="1" applyBorder="1" applyAlignment="1" applyProtection="1">
      <protection hidden="1"/>
    </xf>
    <xf numFmtId="0" fontId="10" fillId="8" borderId="118" xfId="12" applyNumberFormat="1" applyFont="1" applyFill="1" applyBorder="1" applyAlignment="1" applyProtection="1">
      <protection hidden="1"/>
    </xf>
    <xf numFmtId="0" fontId="10" fillId="10" borderId="34" xfId="12" applyFont="1" applyFill="1" applyBorder="1" applyAlignment="1" applyProtection="1">
      <alignment horizontal="left" vertical="center" indent="1"/>
      <protection hidden="1"/>
    </xf>
    <xf numFmtId="179" fontId="10" fillId="9" borderId="34" xfId="12" applyNumberFormat="1" applyFont="1" applyFill="1" applyBorder="1" applyAlignment="1" applyProtection="1">
      <alignment vertical="center"/>
      <protection locked="0"/>
    </xf>
    <xf numFmtId="0" fontId="10" fillId="10" borderId="44" xfId="12" applyFont="1" applyFill="1" applyBorder="1" applyAlignment="1" applyProtection="1">
      <alignment horizontal="left" vertical="center" indent="1"/>
      <protection hidden="1"/>
    </xf>
    <xf numFmtId="179" fontId="10" fillId="9" borderId="44" xfId="12" applyNumberFormat="1" applyFont="1" applyFill="1" applyBorder="1" applyAlignment="1" applyProtection="1">
      <alignment vertical="center"/>
      <protection locked="0"/>
    </xf>
    <xf numFmtId="0" fontId="10" fillId="8" borderId="114" xfId="12" applyNumberFormat="1" applyFont="1" applyFill="1" applyBorder="1" applyAlignment="1" applyProtection="1">
      <protection hidden="1"/>
    </xf>
    <xf numFmtId="0" fontId="10" fillId="4" borderId="59" xfId="12" applyNumberFormat="1" applyFont="1" applyFill="1" applyBorder="1" applyAlignment="1" applyProtection="1">
      <protection hidden="1"/>
    </xf>
    <xf numFmtId="0" fontId="10" fillId="9" borderId="41" xfId="12" applyFont="1" applyFill="1" applyBorder="1" applyProtection="1">
      <protection hidden="1"/>
    </xf>
    <xf numFmtId="0" fontId="10" fillId="10" borderId="10" xfId="0" applyNumberFormat="1" applyFont="1" applyFill="1" applyBorder="1" applyAlignment="1" applyProtection="1">
      <protection hidden="1"/>
    </xf>
    <xf numFmtId="0" fontId="10" fillId="4" borderId="9" xfId="0" applyNumberFormat="1" applyFont="1" applyFill="1" applyBorder="1" applyAlignment="1" applyProtection="1">
      <protection hidden="1"/>
    </xf>
    <xf numFmtId="0" fontId="10" fillId="10" borderId="48" xfId="0" applyNumberFormat="1" applyFont="1" applyFill="1" applyBorder="1" applyAlignment="1" applyProtection="1">
      <protection hidden="1"/>
    </xf>
    <xf numFmtId="0" fontId="10" fillId="9" borderId="162" xfId="12" applyFont="1" applyFill="1" applyBorder="1" applyAlignment="1" applyProtection="1">
      <alignment horizontal="left" vertical="center" wrapText="1" indent="2"/>
      <protection locked="0"/>
    </xf>
    <xf numFmtId="178" fontId="10" fillId="9" borderId="38" xfId="12" applyNumberFormat="1" applyFont="1" applyFill="1" applyBorder="1" applyAlignment="1" applyProtection="1">
      <alignment vertical="center"/>
      <protection locked="0"/>
    </xf>
    <xf numFmtId="178" fontId="10" fillId="9" borderId="163" xfId="12" applyNumberFormat="1" applyFont="1" applyFill="1" applyBorder="1" applyAlignment="1" applyProtection="1">
      <alignment vertical="center"/>
      <protection locked="0"/>
    </xf>
    <xf numFmtId="179" fontId="11" fillId="4" borderId="45" xfId="12" applyNumberFormat="1" applyFont="1" applyFill="1" applyBorder="1" applyAlignment="1" applyProtection="1">
      <alignment vertical="center"/>
      <protection hidden="1"/>
    </xf>
    <xf numFmtId="178" fontId="10" fillId="9" borderId="26" xfId="0" applyNumberFormat="1" applyFont="1" applyFill="1" applyBorder="1" applyAlignment="1" applyProtection="1">
      <alignment vertical="center"/>
      <protection locked="0"/>
    </xf>
    <xf numFmtId="178" fontId="10" fillId="9" borderId="41" xfId="0" applyNumberFormat="1" applyFont="1" applyFill="1" applyBorder="1" applyAlignment="1" applyProtection="1">
      <alignment vertical="center"/>
      <protection locked="0"/>
    </xf>
    <xf numFmtId="179" fontId="11" fillId="4" borderId="36" xfId="0" applyNumberFormat="1" applyFont="1" applyFill="1" applyBorder="1" applyAlignment="1" applyProtection="1">
      <alignment vertical="center"/>
      <protection hidden="1"/>
    </xf>
    <xf numFmtId="178" fontId="10" fillId="9" borderId="35" xfId="0" applyNumberFormat="1" applyFont="1" applyFill="1" applyBorder="1" applyAlignment="1" applyProtection="1">
      <alignment vertical="center"/>
      <protection locked="0"/>
    </xf>
    <xf numFmtId="178" fontId="10" fillId="9" borderId="27" xfId="0" applyNumberFormat="1" applyFont="1" applyFill="1" applyBorder="1" applyAlignment="1" applyProtection="1">
      <alignment vertical="center"/>
      <protection locked="0"/>
    </xf>
    <xf numFmtId="169" fontId="10" fillId="46" borderId="41" xfId="0" applyNumberFormat="1" applyFont="1" applyFill="1" applyBorder="1" applyAlignment="1" applyProtection="1">
      <alignment vertical="center"/>
      <protection hidden="1"/>
    </xf>
    <xf numFmtId="0" fontId="10" fillId="46" borderId="41" xfId="0" applyNumberFormat="1" applyFont="1" applyFill="1" applyBorder="1" applyAlignment="1" applyProtection="1">
      <alignment vertical="center"/>
      <protection hidden="1"/>
    </xf>
    <xf numFmtId="0" fontId="10" fillId="9" borderId="37" xfId="12" applyFont="1" applyFill="1" applyBorder="1" applyAlignment="1" applyProtection="1">
      <alignment horizontal="left" vertical="center" wrapText="1" indent="2"/>
      <protection locked="0"/>
    </xf>
    <xf numFmtId="178" fontId="10" fillId="9" borderId="26" xfId="12" applyNumberFormat="1" applyFont="1" applyFill="1" applyBorder="1" applyAlignment="1" applyProtection="1">
      <alignment vertical="center"/>
      <protection locked="0"/>
    </xf>
    <xf numFmtId="178" fontId="10" fillId="9" borderId="41" xfId="12" applyNumberFormat="1" applyFont="1" applyFill="1" applyBorder="1" applyAlignment="1" applyProtection="1">
      <alignment vertical="center"/>
      <protection locked="0"/>
    </xf>
    <xf numFmtId="179" fontId="11" fillId="10" borderId="36" xfId="12" applyNumberFormat="1" applyFont="1" applyFill="1" applyBorder="1" applyAlignment="1" applyProtection="1">
      <alignment vertical="center"/>
      <protection hidden="1"/>
    </xf>
    <xf numFmtId="178" fontId="10" fillId="9" borderId="27" xfId="12" applyNumberFormat="1" applyFont="1" applyFill="1" applyBorder="1" applyAlignment="1" applyProtection="1">
      <alignment vertical="center"/>
      <protection locked="0"/>
    </xf>
    <xf numFmtId="178" fontId="10" fillId="14" borderId="59" xfId="12" applyNumberFormat="1" applyFont="1" applyFill="1" applyBorder="1" applyAlignment="1" applyProtection="1">
      <alignment vertical="center"/>
      <protection hidden="1"/>
    </xf>
    <xf numFmtId="178" fontId="10" fillId="14" borderId="58" xfId="12" applyNumberFormat="1" applyFont="1" applyFill="1" applyBorder="1" applyAlignment="1" applyProtection="1">
      <alignment vertical="center"/>
      <protection hidden="1"/>
    </xf>
    <xf numFmtId="178" fontId="10" fillId="14" borderId="41" xfId="12" applyNumberFormat="1" applyFont="1" applyFill="1" applyBorder="1" applyAlignment="1" applyProtection="1">
      <alignment horizontal="right" vertical="center"/>
      <protection hidden="1"/>
    </xf>
    <xf numFmtId="179" fontId="11" fillId="4" borderId="36" xfId="12" applyNumberFormat="1" applyFont="1" applyFill="1" applyBorder="1" applyAlignment="1" applyProtection="1">
      <alignment vertical="center"/>
      <protection hidden="1"/>
    </xf>
    <xf numFmtId="178" fontId="10" fillId="9" borderId="41" xfId="12" applyNumberFormat="1" applyFont="1" applyFill="1" applyBorder="1" applyAlignment="1" applyProtection="1">
      <alignment horizontal="right" vertical="center"/>
      <protection locked="0"/>
    </xf>
    <xf numFmtId="178" fontId="10" fillId="9" borderId="35" xfId="12" applyNumberFormat="1" applyFont="1" applyFill="1" applyBorder="1" applyAlignment="1" applyProtection="1">
      <alignment vertical="center"/>
      <protection locked="0"/>
    </xf>
    <xf numFmtId="0" fontId="10" fillId="4" borderId="19" xfId="12" applyNumberFormat="1" applyFont="1" applyFill="1" applyBorder="1" applyAlignment="1" applyProtection="1">
      <protection hidden="1"/>
    </xf>
    <xf numFmtId="0" fontId="11" fillId="4" borderId="3" xfId="12" applyFont="1" applyFill="1" applyBorder="1" applyAlignment="1" applyProtection="1">
      <alignment horizontal="center" vertical="center"/>
      <protection hidden="1"/>
    </xf>
    <xf numFmtId="186" fontId="11" fillId="5" borderId="15" xfId="12" quotePrefix="1" applyNumberFormat="1" applyFont="1" applyFill="1" applyBorder="1" applyAlignment="1" applyProtection="1">
      <alignment horizontal="center" vertical="center"/>
      <protection hidden="1"/>
    </xf>
    <xf numFmtId="0" fontId="11" fillId="14" borderId="0" xfId="4" applyFont="1" applyFill="1" applyAlignment="1" applyProtection="1">
      <alignment horizontal="center" vertical="top" wrapText="1"/>
      <protection hidden="1"/>
    </xf>
    <xf numFmtId="0" fontId="10" fillId="9" borderId="25" xfId="12" applyFont="1" applyFill="1" applyBorder="1" applyProtection="1">
      <protection hidden="1"/>
    </xf>
    <xf numFmtId="0" fontId="10" fillId="9" borderId="17" xfId="12" applyFont="1" applyFill="1" applyBorder="1" applyProtection="1">
      <protection hidden="1"/>
    </xf>
    <xf numFmtId="0" fontId="11" fillId="9" borderId="11" xfId="12" applyFont="1" applyFill="1" applyBorder="1" applyAlignment="1" applyProtection="1">
      <alignment horizontal="center"/>
      <protection hidden="1"/>
    </xf>
    <xf numFmtId="0" fontId="11" fillId="9" borderId="11" xfId="12" applyFont="1" applyFill="1" applyBorder="1" applyAlignment="1" applyProtection="1">
      <alignment horizontal="left" vertical="center" indent="2"/>
      <protection hidden="1"/>
    </xf>
    <xf numFmtId="0" fontId="11" fillId="9" borderId="17" xfId="12" applyFont="1" applyFill="1" applyBorder="1" applyAlignment="1" applyProtection="1">
      <alignment horizontal="left" vertical="center" indent="2"/>
      <protection hidden="1"/>
    </xf>
    <xf numFmtId="0" fontId="11" fillId="9" borderId="11" xfId="12" applyFont="1" applyFill="1" applyBorder="1" applyAlignment="1" applyProtection="1">
      <alignment horizontal="left" vertical="center" indent="1"/>
      <protection hidden="1"/>
    </xf>
    <xf numFmtId="0" fontId="10" fillId="2" borderId="163" xfId="0" applyNumberFormat="1" applyFont="1" applyFill="1" applyBorder="1" applyAlignment="1" applyProtection="1">
      <protection hidden="1"/>
    </xf>
    <xf numFmtId="2" fontId="10" fillId="2" borderId="34" xfId="0" applyNumberFormat="1" applyFont="1" applyFill="1" applyBorder="1" applyAlignment="1" applyProtection="1">
      <alignment horizontal="center" vertical="center"/>
      <protection hidden="1"/>
    </xf>
    <xf numFmtId="185" fontId="10" fillId="2" borderId="12" xfId="0" applyNumberFormat="1" applyFont="1" applyFill="1" applyBorder="1" applyAlignment="1" applyProtection="1">
      <alignment vertical="center"/>
      <protection hidden="1"/>
    </xf>
    <xf numFmtId="0" fontId="10" fillId="9" borderId="0" xfId="0" applyNumberFormat="1" applyFont="1" applyFill="1" applyBorder="1" applyProtection="1">
      <protection hidden="1"/>
    </xf>
    <xf numFmtId="175" fontId="11" fillId="5" borderId="162" xfId="0" applyNumberFormat="1" applyFont="1" applyFill="1" applyBorder="1" applyAlignment="1" applyProtection="1">
      <alignment vertical="center"/>
      <protection hidden="1"/>
    </xf>
    <xf numFmtId="0" fontId="10" fillId="9" borderId="133" xfId="0" applyNumberFormat="1" applyFont="1" applyFill="1" applyBorder="1" applyProtection="1">
      <protection hidden="1"/>
    </xf>
    <xf numFmtId="0" fontId="18" fillId="5" borderId="86" xfId="0" applyNumberFormat="1" applyFont="1" applyFill="1" applyBorder="1" applyAlignment="1" applyProtection="1">
      <protection hidden="1"/>
    </xf>
    <xf numFmtId="0" fontId="11" fillId="0" borderId="0" xfId="0" applyFont="1" applyFill="1" applyBorder="1" applyProtection="1">
      <protection hidden="1"/>
    </xf>
    <xf numFmtId="172" fontId="10" fillId="0" borderId="0" xfId="0" applyNumberFormat="1" applyFont="1" applyFill="1" applyBorder="1" applyProtection="1">
      <protection hidden="1"/>
    </xf>
    <xf numFmtId="0" fontId="10" fillId="0" borderId="0" xfId="0" applyFont="1" applyFill="1" applyBorder="1" applyProtection="1">
      <protection hidden="1"/>
    </xf>
    <xf numFmtId="166" fontId="10" fillId="0" borderId="0" xfId="0" applyNumberFormat="1" applyFont="1" applyFill="1" applyBorder="1" applyProtection="1">
      <protection hidden="1"/>
    </xf>
    <xf numFmtId="173" fontId="10" fillId="0" borderId="0" xfId="0" applyNumberFormat="1" applyFont="1" applyFill="1" applyBorder="1" applyProtection="1">
      <protection hidden="1"/>
    </xf>
    <xf numFmtId="0" fontId="11" fillId="5" borderId="77" xfId="0" applyFont="1" applyFill="1" applyBorder="1" applyAlignment="1" applyProtection="1">
      <alignment horizontal="center" vertical="center"/>
      <protection hidden="1"/>
    </xf>
    <xf numFmtId="0" fontId="3" fillId="9" borderId="9" xfId="73" applyFill="1" applyBorder="1" applyAlignment="1" applyProtection="1">
      <alignment horizontal="center" vertical="center"/>
      <protection hidden="1"/>
    </xf>
    <xf numFmtId="0" fontId="31" fillId="9" borderId="114" xfId="73" quotePrefix="1" applyFont="1" applyFill="1" applyBorder="1" applyAlignment="1" applyProtection="1">
      <alignment horizontal="center" vertical="center"/>
      <protection hidden="1"/>
    </xf>
    <xf numFmtId="0" fontId="31" fillId="9" borderId="133" xfId="73" quotePrefix="1" applyFont="1" applyFill="1" applyBorder="1" applyAlignment="1" applyProtection="1">
      <alignment horizontal="center" vertical="center"/>
      <protection hidden="1"/>
    </xf>
    <xf numFmtId="0" fontId="31" fillId="9" borderId="5" xfId="73" quotePrefix="1" applyFont="1" applyFill="1" applyBorder="1" applyAlignment="1" applyProtection="1">
      <alignment horizontal="center" vertical="center"/>
      <protection hidden="1"/>
    </xf>
    <xf numFmtId="0" fontId="31" fillId="9" borderId="113" xfId="73" quotePrefix="1" applyFont="1" applyFill="1" applyBorder="1" applyAlignment="1" applyProtection="1">
      <alignment horizontal="center" vertical="center"/>
      <protection hidden="1"/>
    </xf>
    <xf numFmtId="0" fontId="31" fillId="9" borderId="106" xfId="73" quotePrefix="1" applyFont="1" applyFill="1" applyBorder="1" applyAlignment="1" applyProtection="1">
      <alignment horizontal="center" vertical="center"/>
      <protection hidden="1"/>
    </xf>
    <xf numFmtId="0" fontId="31" fillId="9" borderId="20" xfId="73" applyFont="1" applyFill="1" applyBorder="1" applyAlignment="1" applyProtection="1">
      <alignment horizontal="left" vertical="center" indent="1"/>
      <protection hidden="1"/>
    </xf>
    <xf numFmtId="0" fontId="31" fillId="9" borderId="69" xfId="73" quotePrefix="1" applyFont="1" applyFill="1" applyBorder="1" applyAlignment="1" applyProtection="1">
      <alignment horizontal="center" vertical="center"/>
      <protection hidden="1"/>
    </xf>
    <xf numFmtId="0" fontId="31" fillId="9" borderId="75" xfId="73" quotePrefix="1" applyFont="1" applyFill="1" applyBorder="1" applyAlignment="1" applyProtection="1">
      <alignment horizontal="center" vertical="center"/>
      <protection hidden="1"/>
    </xf>
    <xf numFmtId="0" fontId="31" fillId="9" borderId="66" xfId="73" quotePrefix="1" applyFont="1" applyFill="1" applyBorder="1" applyAlignment="1" applyProtection="1">
      <alignment horizontal="center" vertical="center"/>
      <protection hidden="1"/>
    </xf>
    <xf numFmtId="0" fontId="31" fillId="9" borderId="70" xfId="73" quotePrefix="1" applyFont="1" applyFill="1" applyBorder="1" applyAlignment="1" applyProtection="1">
      <alignment horizontal="center" vertical="center"/>
      <protection hidden="1"/>
    </xf>
    <xf numFmtId="0" fontId="31" fillId="9" borderId="67" xfId="73" quotePrefix="1" applyFont="1" applyFill="1" applyBorder="1" applyAlignment="1" applyProtection="1">
      <alignment horizontal="center" vertical="center"/>
      <protection hidden="1"/>
    </xf>
    <xf numFmtId="180" fontId="31" fillId="9" borderId="164" xfId="73" applyNumberFormat="1" applyFont="1" applyFill="1" applyBorder="1" applyAlignment="1" applyProtection="1">
      <alignment vertical="center"/>
      <protection hidden="1"/>
    </xf>
    <xf numFmtId="175" fontId="11" fillId="5" borderId="153" xfId="0" applyNumberFormat="1" applyFont="1" applyFill="1" applyBorder="1" applyAlignment="1" applyProtection="1">
      <alignment vertical="center"/>
      <protection hidden="1"/>
    </xf>
    <xf numFmtId="0" fontId="11" fillId="4" borderId="17" xfId="0" applyFont="1" applyFill="1" applyBorder="1" applyAlignment="1" applyProtection="1">
      <alignment horizontal="left" vertical="center" indent="1"/>
      <protection hidden="1"/>
    </xf>
    <xf numFmtId="0" fontId="10" fillId="4" borderId="11" xfId="0" applyFont="1" applyFill="1" applyBorder="1" applyAlignment="1" applyProtection="1">
      <alignment horizontal="left" vertical="center" indent="2"/>
      <protection hidden="1"/>
    </xf>
    <xf numFmtId="179" fontId="11" fillId="9" borderId="10" xfId="0" applyNumberFormat="1" applyFont="1" applyFill="1" applyBorder="1" applyAlignment="1" applyProtection="1">
      <alignment vertical="center"/>
      <protection hidden="1"/>
    </xf>
    <xf numFmtId="179" fontId="11" fillId="9" borderId="101" xfId="0" applyNumberFormat="1" applyFont="1" applyFill="1" applyBorder="1" applyAlignment="1" applyProtection="1">
      <alignment vertical="center"/>
      <protection hidden="1"/>
    </xf>
    <xf numFmtId="179" fontId="11" fillId="4" borderId="16" xfId="0" applyNumberFormat="1" applyFont="1" applyFill="1" applyBorder="1" applyAlignment="1" applyProtection="1">
      <alignment vertical="center"/>
      <protection hidden="1"/>
    </xf>
    <xf numFmtId="179" fontId="11" fillId="4" borderId="13" xfId="0" applyNumberFormat="1" applyFont="1" applyFill="1" applyBorder="1" applyAlignment="1" applyProtection="1">
      <alignment vertical="center"/>
      <protection hidden="1"/>
    </xf>
    <xf numFmtId="179" fontId="11" fillId="4" borderId="12" xfId="0" applyNumberFormat="1" applyFont="1" applyFill="1" applyBorder="1" applyAlignment="1" applyProtection="1">
      <alignment vertical="center"/>
      <protection hidden="1"/>
    </xf>
    <xf numFmtId="172" fontId="11" fillId="0" borderId="57" xfId="4" applyNumberFormat="1" applyFont="1" applyFill="1" applyBorder="1" applyAlignment="1" applyProtection="1">
      <alignment horizontal="left" vertical="center" indent="1"/>
      <protection hidden="1"/>
    </xf>
    <xf numFmtId="0" fontId="29" fillId="0" borderId="5" xfId="0" applyFont="1" applyFill="1" applyBorder="1" applyAlignment="1" applyProtection="1">
      <alignment horizontal="left" vertical="center" indent="1"/>
      <protection hidden="1"/>
    </xf>
    <xf numFmtId="0" fontId="11" fillId="9" borderId="53" xfId="0" applyFont="1" applyFill="1" applyBorder="1" applyAlignment="1" applyProtection="1">
      <alignment horizontal="center" vertical="top" wrapText="1"/>
      <protection hidden="1"/>
    </xf>
    <xf numFmtId="0" fontId="11" fillId="9" borderId="52" xfId="0" applyFont="1" applyFill="1" applyBorder="1" applyAlignment="1" applyProtection="1">
      <alignment horizontal="left" vertical="top" indent="1"/>
      <protection hidden="1"/>
    </xf>
    <xf numFmtId="179" fontId="11" fillId="9" borderId="24" xfId="0" applyNumberFormat="1" applyFont="1" applyFill="1" applyBorder="1" applyAlignment="1" applyProtection="1">
      <alignment vertical="center"/>
      <protection hidden="1"/>
    </xf>
    <xf numFmtId="179" fontId="11" fillId="9" borderId="49" xfId="0" applyNumberFormat="1" applyFont="1" applyFill="1" applyBorder="1" applyAlignment="1" applyProtection="1">
      <alignment vertical="center"/>
      <protection hidden="1"/>
    </xf>
    <xf numFmtId="0" fontId="29" fillId="0" borderId="18" xfId="0" applyFont="1" applyFill="1" applyBorder="1" applyAlignment="1" applyProtection="1">
      <alignment horizontal="left" vertical="center" indent="1"/>
      <protection hidden="1"/>
    </xf>
    <xf numFmtId="0" fontId="29" fillId="0" borderId="54" xfId="0" applyFont="1" applyFill="1" applyBorder="1" applyAlignment="1" applyProtection="1">
      <alignment horizontal="left" vertical="center" wrapText="1" indent="1"/>
      <protection hidden="1"/>
    </xf>
    <xf numFmtId="0" fontId="28" fillId="0" borderId="47" xfId="0" applyFont="1" applyFill="1" applyBorder="1" applyAlignment="1" applyProtection="1">
      <alignment horizontal="center" vertical="center"/>
      <protection hidden="1"/>
    </xf>
    <xf numFmtId="0" fontId="29" fillId="0" borderId="95" xfId="0" applyFont="1" applyFill="1" applyBorder="1" applyAlignment="1" applyProtection="1">
      <alignment horizontal="left" vertical="center" indent="1"/>
      <protection hidden="1"/>
    </xf>
    <xf numFmtId="0" fontId="27" fillId="9" borderId="45" xfId="0" applyFont="1" applyFill="1" applyBorder="1" applyAlignment="1" applyProtection="1">
      <alignment horizontal="left" vertical="center" indent="1"/>
      <protection hidden="1"/>
    </xf>
    <xf numFmtId="0" fontId="29" fillId="9" borderId="54" xfId="0" applyFont="1" applyFill="1" applyBorder="1" applyAlignment="1" applyProtection="1">
      <alignment horizontal="left" vertical="center" indent="1"/>
      <protection hidden="1"/>
    </xf>
    <xf numFmtId="0" fontId="29" fillId="9" borderId="72" xfId="0" applyFont="1" applyFill="1" applyBorder="1" applyAlignment="1" applyProtection="1">
      <alignment horizontal="center" vertical="center"/>
      <protection hidden="1"/>
    </xf>
    <xf numFmtId="0" fontId="10" fillId="9" borderId="0" xfId="0" quotePrefix="1" applyFont="1" applyFill="1" applyBorder="1" applyAlignment="1" applyProtection="1">
      <protection hidden="1"/>
    </xf>
    <xf numFmtId="0" fontId="11" fillId="4" borderId="53" xfId="0" applyFont="1" applyFill="1" applyBorder="1" applyAlignment="1" applyProtection="1">
      <alignment horizontal="left" vertical="center" indent="1"/>
      <protection hidden="1"/>
    </xf>
    <xf numFmtId="0" fontId="10" fillId="2" borderId="70" xfId="0" applyFont="1" applyFill="1" applyBorder="1" applyAlignment="1" applyProtection="1">
      <alignment horizontal="center" vertical="center" wrapText="1"/>
      <protection hidden="1"/>
    </xf>
    <xf numFmtId="0" fontId="10" fillId="2" borderId="49" xfId="0" applyFont="1" applyFill="1" applyBorder="1" applyAlignment="1" applyProtection="1">
      <alignment horizontal="center" vertical="center" wrapText="1"/>
      <protection hidden="1"/>
    </xf>
    <xf numFmtId="0" fontId="10" fillId="4" borderId="37" xfId="0" applyFont="1" applyFill="1" applyBorder="1" applyAlignment="1" applyProtection="1">
      <alignment horizontal="center" vertical="center"/>
      <protection hidden="1"/>
    </xf>
    <xf numFmtId="0" fontId="10" fillId="4" borderId="42" xfId="0" applyFont="1" applyFill="1" applyBorder="1" applyAlignment="1" applyProtection="1">
      <alignment horizontal="center" vertical="center"/>
      <protection hidden="1"/>
    </xf>
    <xf numFmtId="0" fontId="10" fillId="4" borderId="77" xfId="0" applyFont="1" applyFill="1" applyBorder="1" applyAlignment="1" applyProtection="1">
      <alignment horizontal="center" vertical="center"/>
      <protection hidden="1"/>
    </xf>
    <xf numFmtId="0" fontId="11" fillId="9" borderId="20" xfId="0" applyFont="1" applyFill="1" applyBorder="1" applyAlignment="1" applyProtection="1">
      <alignment horizontal="left" vertical="center" indent="1"/>
      <protection hidden="1"/>
    </xf>
    <xf numFmtId="179" fontId="10" fillId="9" borderId="40" xfId="0" applyNumberFormat="1" applyFont="1" applyFill="1" applyBorder="1" applyAlignment="1" applyProtection="1">
      <alignment vertical="center"/>
      <protection hidden="1"/>
    </xf>
    <xf numFmtId="185" fontId="10" fillId="9" borderId="21" xfId="0" applyNumberFormat="1" applyFont="1" applyFill="1" applyBorder="1" applyAlignment="1" applyProtection="1">
      <alignment vertical="center"/>
      <protection hidden="1"/>
    </xf>
    <xf numFmtId="179" fontId="10" fillId="9" borderId="109" xfId="0" applyNumberFormat="1" applyFont="1" applyFill="1" applyBorder="1" applyAlignment="1" applyProtection="1">
      <alignment vertical="center"/>
      <protection hidden="1"/>
    </xf>
    <xf numFmtId="0" fontId="11" fillId="9" borderId="0" xfId="0" applyFont="1" applyFill="1" applyAlignment="1" applyProtection="1">
      <alignment vertical="top"/>
      <protection hidden="1"/>
    </xf>
    <xf numFmtId="0" fontId="10" fillId="9" borderId="49" xfId="0" applyFont="1" applyFill="1" applyBorder="1" applyAlignment="1" applyProtection="1">
      <alignment horizontal="center" vertical="center" wrapText="1"/>
      <protection hidden="1"/>
    </xf>
    <xf numFmtId="182" fontId="10" fillId="9" borderId="49" xfId="0" applyNumberFormat="1" applyFont="1" applyFill="1" applyBorder="1" applyAlignment="1" applyProtection="1">
      <alignment horizontal="center" vertical="center" wrapText="1"/>
      <protection hidden="1"/>
    </xf>
    <xf numFmtId="0" fontId="10" fillId="9" borderId="113" xfId="4" applyFont="1" applyFill="1" applyBorder="1" applyProtection="1">
      <protection hidden="1"/>
    </xf>
    <xf numFmtId="0" fontId="10" fillId="5" borderId="58" xfId="4" applyNumberFormat="1" applyFont="1" applyFill="1" applyBorder="1" applyProtection="1">
      <protection hidden="1"/>
    </xf>
    <xf numFmtId="0" fontId="10" fillId="5" borderId="59" xfId="4" applyNumberFormat="1" applyFont="1" applyFill="1" applyBorder="1" applyProtection="1">
      <protection hidden="1"/>
    </xf>
    <xf numFmtId="0" fontId="10" fillId="5" borderId="114" xfId="4" applyFont="1" applyFill="1" applyBorder="1" applyProtection="1">
      <protection hidden="1"/>
    </xf>
    <xf numFmtId="0" fontId="10" fillId="7" borderId="133" xfId="4" applyFont="1" applyFill="1" applyBorder="1" applyProtection="1">
      <protection hidden="1"/>
    </xf>
    <xf numFmtId="0" fontId="10" fillId="7" borderId="114" xfId="4" applyFont="1" applyFill="1" applyBorder="1" applyProtection="1">
      <protection hidden="1"/>
    </xf>
    <xf numFmtId="0" fontId="10" fillId="7" borderId="113" xfId="4" applyFont="1" applyFill="1" applyBorder="1" applyProtection="1">
      <protection hidden="1"/>
    </xf>
    <xf numFmtId="0" fontId="10" fillId="12" borderId="114" xfId="4" applyFont="1" applyFill="1" applyBorder="1" applyProtection="1">
      <protection hidden="1"/>
    </xf>
    <xf numFmtId="0" fontId="10" fillId="12" borderId="113" xfId="4" applyFont="1" applyFill="1" applyBorder="1" applyProtection="1">
      <protection hidden="1"/>
    </xf>
    <xf numFmtId="0" fontId="9" fillId="5" borderId="133" xfId="4" applyNumberFormat="1" applyFont="1" applyFill="1" applyBorder="1" applyAlignment="1" applyProtection="1">
      <alignment horizontal="right" vertical="center" indent="1"/>
      <protection hidden="1"/>
    </xf>
    <xf numFmtId="0" fontId="10" fillId="5" borderId="113" xfId="7" applyNumberFormat="1" applyFont="1" applyFill="1" applyBorder="1" applyAlignment="1" applyProtection="1">
      <alignment vertical="center"/>
      <protection hidden="1"/>
    </xf>
    <xf numFmtId="0" fontId="10" fillId="5" borderId="114" xfId="7" applyNumberFormat="1" applyFont="1" applyFill="1" applyBorder="1" applyAlignment="1" applyProtection="1">
      <alignment vertical="center"/>
      <protection hidden="1"/>
    </xf>
    <xf numFmtId="0" fontId="10" fillId="5" borderId="113" xfId="4" applyNumberFormat="1" applyFont="1" applyFill="1" applyBorder="1" applyProtection="1">
      <protection hidden="1"/>
    </xf>
    <xf numFmtId="0" fontId="10" fillId="5" borderId="114" xfId="4" applyNumberFormat="1" applyFont="1" applyFill="1" applyBorder="1" applyProtection="1">
      <protection hidden="1"/>
    </xf>
    <xf numFmtId="0" fontId="10" fillId="5" borderId="26" xfId="4" applyNumberFormat="1" applyFont="1" applyFill="1" applyBorder="1" applyProtection="1">
      <protection hidden="1"/>
    </xf>
    <xf numFmtId="179" fontId="11" fillId="12" borderId="168" xfId="4" applyNumberFormat="1" applyFont="1" applyFill="1" applyBorder="1" applyAlignment="1" applyProtection="1">
      <alignment vertical="center"/>
      <protection hidden="1"/>
    </xf>
    <xf numFmtId="176" fontId="10" fillId="12" borderId="165" xfId="4" applyNumberFormat="1" applyFont="1" applyFill="1" applyBorder="1" applyAlignment="1" applyProtection="1">
      <alignment vertical="center"/>
      <protection hidden="1"/>
    </xf>
    <xf numFmtId="179" fontId="19" fillId="9" borderId="29" xfId="4" applyNumberFormat="1" applyFont="1" applyFill="1" applyBorder="1" applyAlignment="1" applyProtection="1">
      <alignment vertical="center"/>
      <protection hidden="1"/>
    </xf>
    <xf numFmtId="179" fontId="19" fillId="9" borderId="30" xfId="4" applyNumberFormat="1" applyFont="1" applyFill="1" applyBorder="1" applyAlignment="1" applyProtection="1">
      <alignment vertical="center"/>
      <protection hidden="1"/>
    </xf>
    <xf numFmtId="0" fontId="10" fillId="7" borderId="22" xfId="4" applyFont="1" applyFill="1" applyBorder="1" applyProtection="1">
      <protection hidden="1"/>
    </xf>
    <xf numFmtId="0" fontId="10" fillId="7" borderId="20" xfId="4" applyFont="1" applyFill="1" applyBorder="1" applyProtection="1">
      <protection hidden="1"/>
    </xf>
    <xf numFmtId="0" fontId="10" fillId="7" borderId="35" xfId="4" applyFont="1" applyFill="1" applyBorder="1" applyProtection="1">
      <protection hidden="1"/>
    </xf>
    <xf numFmtId="0" fontId="10" fillId="7" borderId="58" xfId="4" applyFont="1" applyFill="1" applyBorder="1" applyProtection="1">
      <protection hidden="1"/>
    </xf>
    <xf numFmtId="0" fontId="10" fillId="7" borderId="28" xfId="4" applyFont="1" applyFill="1" applyBorder="1" applyProtection="1">
      <protection hidden="1"/>
    </xf>
    <xf numFmtId="0" fontId="10" fillId="12" borderId="133" xfId="4" applyFont="1" applyFill="1" applyBorder="1" applyProtection="1">
      <protection hidden="1"/>
    </xf>
    <xf numFmtId="0" fontId="10" fillId="12" borderId="35" xfId="4" applyFont="1" applyFill="1" applyBorder="1" applyProtection="1">
      <protection hidden="1"/>
    </xf>
    <xf numFmtId="0" fontId="10" fillId="12" borderId="27" xfId="4" applyFont="1" applyFill="1" applyBorder="1" applyProtection="1">
      <protection hidden="1"/>
    </xf>
    <xf numFmtId="0" fontId="10" fillId="12" borderId="28" xfId="4" applyFont="1" applyFill="1" applyBorder="1" applyProtection="1">
      <protection hidden="1"/>
    </xf>
    <xf numFmtId="0" fontId="10" fillId="12" borderId="58" xfId="4" applyFont="1" applyFill="1" applyBorder="1" applyProtection="1">
      <protection hidden="1"/>
    </xf>
    <xf numFmtId="179" fontId="11" fillId="5" borderId="60" xfId="4" applyNumberFormat="1" applyFont="1" applyFill="1" applyBorder="1" applyAlignment="1" applyProtection="1">
      <alignment vertical="center"/>
      <protection hidden="1"/>
    </xf>
    <xf numFmtId="170" fontId="10" fillId="14" borderId="0" xfId="0" applyNumberFormat="1" applyFont="1" applyFill="1" applyBorder="1" applyAlignment="1" applyProtection="1">
      <protection hidden="1"/>
    </xf>
    <xf numFmtId="0" fontId="10" fillId="7" borderId="0" xfId="4" applyNumberFormat="1" applyFont="1" applyFill="1" applyBorder="1" applyAlignment="1" applyProtection="1">
      <protection hidden="1"/>
    </xf>
    <xf numFmtId="0" fontId="10" fillId="7" borderId="81" xfId="4" applyNumberFormat="1" applyFont="1" applyFill="1" applyBorder="1" applyAlignment="1" applyProtection="1">
      <protection hidden="1"/>
    </xf>
    <xf numFmtId="0" fontId="10" fillId="12" borderId="0" xfId="4" applyNumberFormat="1" applyFont="1" applyFill="1" applyBorder="1" applyAlignment="1" applyProtection="1">
      <protection hidden="1"/>
    </xf>
    <xf numFmtId="0" fontId="10" fillId="5" borderId="58" xfId="4" applyFont="1" applyFill="1" applyBorder="1" applyProtection="1">
      <protection hidden="1"/>
    </xf>
    <xf numFmtId="0" fontId="10" fillId="5" borderId="84" xfId="4" applyNumberFormat="1" applyFont="1" applyFill="1" applyBorder="1" applyAlignment="1" applyProtection="1">
      <protection hidden="1"/>
    </xf>
    <xf numFmtId="0" fontId="10" fillId="5" borderId="84" xfId="0" applyNumberFormat="1" applyFont="1" applyFill="1" applyBorder="1" applyAlignment="1" applyProtection="1">
      <protection hidden="1"/>
    </xf>
    <xf numFmtId="0" fontId="10" fillId="5" borderId="85" xfId="4" applyNumberFormat="1" applyFont="1" applyFill="1" applyBorder="1" applyAlignment="1" applyProtection="1">
      <protection hidden="1"/>
    </xf>
    <xf numFmtId="0" fontId="10" fillId="6" borderId="97" xfId="0" applyNumberFormat="1" applyFont="1" applyFill="1" applyBorder="1" applyAlignment="1" applyProtection="1">
      <protection hidden="1"/>
    </xf>
    <xf numFmtId="0" fontId="10" fillId="6" borderId="84" xfId="0" applyNumberFormat="1" applyFont="1" applyFill="1" applyBorder="1" applyAlignment="1" applyProtection="1">
      <protection hidden="1"/>
    </xf>
    <xf numFmtId="0" fontId="10" fillId="6" borderId="84" xfId="0" applyNumberFormat="1" applyFont="1" applyFill="1" applyBorder="1" applyAlignment="1" applyProtection="1">
      <alignment wrapText="1"/>
      <protection hidden="1"/>
    </xf>
    <xf numFmtId="0" fontId="10" fillId="6" borderId="85" xfId="0" applyNumberFormat="1" applyFont="1" applyFill="1" applyBorder="1" applyAlignment="1" applyProtection="1">
      <protection hidden="1"/>
    </xf>
    <xf numFmtId="0" fontId="10" fillId="11" borderId="84" xfId="0" applyNumberFormat="1" applyFont="1" applyFill="1" applyBorder="1" applyAlignment="1" applyProtection="1">
      <protection hidden="1"/>
    </xf>
    <xf numFmtId="0" fontId="10" fillId="5" borderId="0" xfId="4" applyNumberFormat="1" applyFont="1" applyFill="1" applyBorder="1" applyAlignment="1" applyProtection="1">
      <protection hidden="1"/>
    </xf>
    <xf numFmtId="0" fontId="10" fillId="5" borderId="81" xfId="4" applyNumberFormat="1" applyFont="1" applyFill="1" applyBorder="1" applyAlignment="1" applyProtection="1">
      <protection hidden="1"/>
    </xf>
    <xf numFmtId="0" fontId="10" fillId="6" borderId="83" xfId="0" applyNumberFormat="1" applyFont="1" applyFill="1" applyBorder="1" applyAlignment="1" applyProtection="1">
      <protection hidden="1"/>
    </xf>
    <xf numFmtId="0" fontId="10" fillId="6" borderId="0" xfId="0" applyNumberFormat="1" applyFont="1" applyFill="1" applyBorder="1" applyAlignment="1" applyProtection="1">
      <protection hidden="1"/>
    </xf>
    <xf numFmtId="0" fontId="10" fillId="6" borderId="0" xfId="0" applyNumberFormat="1" applyFont="1" applyFill="1" applyBorder="1" applyAlignment="1" applyProtection="1">
      <alignment wrapText="1"/>
      <protection hidden="1"/>
    </xf>
    <xf numFmtId="0" fontId="10" fillId="6" borderId="81" xfId="0" applyNumberFormat="1" applyFont="1" applyFill="1" applyBorder="1" applyAlignment="1" applyProtection="1">
      <protection hidden="1"/>
    </xf>
    <xf numFmtId="0" fontId="10" fillId="11" borderId="0" xfId="0" applyNumberFormat="1" applyFont="1" applyFill="1" applyBorder="1" applyAlignment="1" applyProtection="1">
      <protection hidden="1"/>
    </xf>
    <xf numFmtId="0" fontId="10" fillId="13" borderId="81" xfId="4" applyNumberFormat="1" applyFont="1" applyFill="1" applyBorder="1" applyAlignment="1" applyProtection="1">
      <protection hidden="1"/>
    </xf>
    <xf numFmtId="0" fontId="10" fillId="9" borderId="0" xfId="4" applyNumberFormat="1" applyFont="1" applyFill="1" applyBorder="1" applyAlignment="1" applyProtection="1">
      <protection hidden="1"/>
    </xf>
    <xf numFmtId="0" fontId="10" fillId="6" borderId="81" xfId="0" applyNumberFormat="1" applyFont="1" applyFill="1" applyBorder="1" applyAlignment="1" applyProtection="1">
      <alignment wrapText="1"/>
      <protection hidden="1"/>
    </xf>
    <xf numFmtId="0" fontId="10" fillId="11" borderId="0" xfId="0" applyNumberFormat="1" applyFont="1" applyFill="1" applyBorder="1" applyAlignment="1" applyProtection="1">
      <alignment wrapText="1"/>
      <protection hidden="1"/>
    </xf>
    <xf numFmtId="0" fontId="20" fillId="6" borderId="83" xfId="0" applyNumberFormat="1" applyFont="1" applyFill="1" applyBorder="1" applyAlignment="1" applyProtection="1">
      <protection hidden="1"/>
    </xf>
    <xf numFmtId="0" fontId="20" fillId="6" borderId="81" xfId="0" applyNumberFormat="1" applyFont="1" applyFill="1" applyBorder="1" applyAlignment="1" applyProtection="1">
      <protection hidden="1"/>
    </xf>
    <xf numFmtId="0" fontId="20" fillId="11" borderId="0" xfId="0" applyNumberFormat="1" applyFont="1" applyFill="1" applyBorder="1" applyAlignment="1" applyProtection="1">
      <protection hidden="1"/>
    </xf>
    <xf numFmtId="0" fontId="20" fillId="6" borderId="0" xfId="0" applyNumberFormat="1" applyFont="1" applyFill="1" applyBorder="1" applyAlignment="1" applyProtection="1">
      <protection hidden="1"/>
    </xf>
    <xf numFmtId="0" fontId="11" fillId="6" borderId="0" xfId="0" applyNumberFormat="1" applyFont="1" applyFill="1" applyBorder="1" applyAlignment="1" applyProtection="1">
      <protection hidden="1"/>
    </xf>
    <xf numFmtId="0" fontId="11" fillId="11" borderId="0" xfId="0" applyNumberFormat="1" applyFont="1" applyFill="1" applyBorder="1" applyAlignment="1" applyProtection="1">
      <protection hidden="1"/>
    </xf>
    <xf numFmtId="0" fontId="10" fillId="11" borderId="134" xfId="0" applyNumberFormat="1" applyFont="1" applyFill="1" applyBorder="1" applyAlignment="1" applyProtection="1">
      <protection hidden="1"/>
    </xf>
    <xf numFmtId="0" fontId="10" fillId="11" borderId="85" xfId="0" applyNumberFormat="1" applyFont="1" applyFill="1" applyBorder="1" applyAlignment="1" applyProtection="1">
      <protection hidden="1"/>
    </xf>
    <xf numFmtId="0" fontId="10" fillId="47" borderId="0" xfId="0" applyNumberFormat="1" applyFont="1" applyFill="1" applyBorder="1" applyAlignment="1" applyProtection="1">
      <protection hidden="1"/>
    </xf>
    <xf numFmtId="0" fontId="10" fillId="48" borderId="134" xfId="0" applyNumberFormat="1" applyFont="1" applyFill="1" applyBorder="1" applyAlignment="1" applyProtection="1">
      <protection hidden="1"/>
    </xf>
    <xf numFmtId="0" fontId="10" fillId="48" borderId="84" xfId="0" applyNumberFormat="1" applyFont="1" applyFill="1" applyBorder="1" applyAlignment="1" applyProtection="1">
      <protection hidden="1"/>
    </xf>
    <xf numFmtId="0" fontId="10" fillId="48" borderId="85" xfId="0" applyNumberFormat="1" applyFont="1" applyFill="1" applyBorder="1" applyAlignment="1" applyProtection="1">
      <protection hidden="1"/>
    </xf>
    <xf numFmtId="0" fontId="10" fillId="49" borderId="133" xfId="4" applyFont="1" applyFill="1" applyBorder="1" applyAlignment="1" applyProtection="1">
      <alignment vertical="top"/>
      <protection hidden="1"/>
    </xf>
    <xf numFmtId="0" fontId="10" fillId="49" borderId="0" xfId="4" applyFont="1" applyFill="1" applyBorder="1" applyAlignment="1" applyProtection="1">
      <alignment vertical="top"/>
      <protection hidden="1"/>
    </xf>
    <xf numFmtId="0" fontId="10" fillId="49" borderId="106" xfId="4" applyFont="1" applyFill="1" applyBorder="1" applyAlignment="1" applyProtection="1">
      <alignment vertical="top"/>
      <protection hidden="1"/>
    </xf>
    <xf numFmtId="0" fontId="20" fillId="48" borderId="0" xfId="0" applyNumberFormat="1" applyFont="1" applyFill="1" applyBorder="1" applyAlignment="1" applyProtection="1">
      <protection hidden="1"/>
    </xf>
    <xf numFmtId="0" fontId="11" fillId="48" borderId="0" xfId="0" applyNumberFormat="1" applyFont="1" applyFill="1" applyBorder="1" applyAlignment="1" applyProtection="1">
      <protection hidden="1"/>
    </xf>
    <xf numFmtId="0" fontId="10" fillId="48" borderId="0" xfId="0" applyNumberFormat="1" applyFont="1" applyFill="1" applyBorder="1" applyAlignment="1" applyProtection="1">
      <protection hidden="1"/>
    </xf>
    <xf numFmtId="0" fontId="10" fillId="49" borderId="0" xfId="4" applyFont="1" applyFill="1" applyBorder="1" applyProtection="1">
      <protection hidden="1"/>
    </xf>
    <xf numFmtId="0" fontId="11" fillId="49" borderId="9" xfId="0" applyFont="1" applyFill="1" applyBorder="1" applyAlignment="1" applyProtection="1">
      <alignment horizontal="center" vertical="center" wrapText="1"/>
      <protection hidden="1"/>
    </xf>
    <xf numFmtId="0" fontId="11" fillId="49" borderId="0" xfId="0" applyFont="1" applyFill="1" applyBorder="1" applyAlignment="1" applyProtection="1">
      <alignment horizontal="center" vertical="center" wrapText="1"/>
      <protection hidden="1"/>
    </xf>
    <xf numFmtId="0" fontId="23" fillId="49" borderId="5" xfId="0" applyFont="1" applyFill="1" applyBorder="1" applyAlignment="1" applyProtection="1">
      <alignment horizontal="center" vertical="top" wrapText="1"/>
      <protection hidden="1"/>
    </xf>
    <xf numFmtId="186" fontId="11" fillId="49" borderId="33" xfId="0" quotePrefix="1" applyNumberFormat="1" applyFont="1" applyFill="1" applyBorder="1" applyAlignment="1" applyProtection="1">
      <alignment horizontal="center" vertical="center" wrapText="1"/>
      <protection hidden="1"/>
    </xf>
    <xf numFmtId="186" fontId="11" fillId="49" borderId="12" xfId="0" quotePrefix="1" applyNumberFormat="1" applyFont="1" applyFill="1" applyBorder="1" applyAlignment="1" applyProtection="1">
      <alignment horizontal="center" vertical="center" wrapText="1"/>
      <protection hidden="1"/>
    </xf>
    <xf numFmtId="186" fontId="11" fillId="49" borderId="61" xfId="0" quotePrefix="1" applyNumberFormat="1" applyFont="1" applyFill="1" applyBorder="1" applyAlignment="1" applyProtection="1">
      <alignment horizontal="center" vertical="center" wrapText="1"/>
      <protection hidden="1"/>
    </xf>
    <xf numFmtId="186" fontId="11" fillId="49" borderId="15" xfId="0" quotePrefix="1" applyNumberFormat="1" applyFont="1" applyFill="1" applyBorder="1" applyAlignment="1" applyProtection="1">
      <alignment horizontal="center" vertical="center" wrapText="1"/>
      <protection hidden="1"/>
    </xf>
    <xf numFmtId="0" fontId="10" fillId="49" borderId="21" xfId="4" applyFont="1" applyFill="1" applyBorder="1" applyProtection="1">
      <protection hidden="1"/>
    </xf>
    <xf numFmtId="0" fontId="10" fillId="49" borderId="24" xfId="4" applyFont="1" applyFill="1" applyBorder="1" applyProtection="1">
      <protection hidden="1"/>
    </xf>
    <xf numFmtId="0" fontId="10" fillId="49" borderId="114" xfId="4" applyFont="1" applyFill="1" applyBorder="1" applyProtection="1">
      <protection hidden="1"/>
    </xf>
    <xf numFmtId="0" fontId="10" fillId="49" borderId="113" xfId="4" applyFont="1" applyFill="1" applyBorder="1" applyProtection="1">
      <protection hidden="1"/>
    </xf>
    <xf numFmtId="0" fontId="14" fillId="48" borderId="25" xfId="0" applyFont="1" applyFill="1" applyBorder="1" applyAlignment="1" applyProtection="1">
      <alignment vertical="center"/>
      <protection hidden="1"/>
    </xf>
    <xf numFmtId="0" fontId="14" fillId="48" borderId="11" xfId="0" applyFont="1" applyFill="1" applyBorder="1" applyAlignment="1" applyProtection="1">
      <protection hidden="1"/>
    </xf>
    <xf numFmtId="0" fontId="10" fillId="49" borderId="11" xfId="4" applyFont="1" applyFill="1" applyBorder="1" applyProtection="1">
      <protection hidden="1"/>
    </xf>
    <xf numFmtId="0" fontId="10" fillId="49" borderId="17" xfId="4" applyFont="1" applyFill="1" applyBorder="1" applyProtection="1">
      <protection hidden="1"/>
    </xf>
    <xf numFmtId="0" fontId="11" fillId="48" borderId="11" xfId="0" applyFont="1" applyFill="1" applyBorder="1" applyAlignment="1" applyProtection="1">
      <alignment horizontal="center" vertical="center"/>
      <protection hidden="1"/>
    </xf>
    <xf numFmtId="0" fontId="10" fillId="49" borderId="56" xfId="4" applyFont="1" applyFill="1" applyBorder="1" applyProtection="1">
      <protection hidden="1"/>
    </xf>
    <xf numFmtId="0" fontId="10" fillId="49" borderId="40" xfId="4" applyFont="1" applyFill="1" applyBorder="1" applyAlignment="1" applyProtection="1">
      <protection hidden="1"/>
    </xf>
    <xf numFmtId="0" fontId="10" fillId="49" borderId="106" xfId="4" applyFont="1" applyFill="1" applyBorder="1" applyAlignment="1" applyProtection="1">
      <protection hidden="1"/>
    </xf>
    <xf numFmtId="0" fontId="11" fillId="49" borderId="25" xfId="4" applyFont="1" applyFill="1" applyBorder="1" applyAlignment="1" applyProtection="1">
      <alignment horizontal="left" vertical="center" indent="1"/>
      <protection hidden="1"/>
    </xf>
    <xf numFmtId="0" fontId="10" fillId="49" borderId="11" xfId="4" applyFont="1" applyFill="1" applyBorder="1" applyAlignment="1" applyProtection="1">
      <alignment horizontal="left" vertical="center" indent="2"/>
      <protection hidden="1"/>
    </xf>
    <xf numFmtId="0" fontId="11" fillId="49" borderId="11" xfId="4" applyFont="1" applyFill="1" applyBorder="1" applyAlignment="1" applyProtection="1">
      <alignment horizontal="left" vertical="center" indent="1"/>
      <protection hidden="1"/>
    </xf>
    <xf numFmtId="0" fontId="10" fillId="49" borderId="17" xfId="4" applyFont="1" applyFill="1" applyBorder="1" applyAlignment="1" applyProtection="1">
      <alignment horizontal="left" vertical="center" indent="2"/>
      <protection hidden="1"/>
    </xf>
    <xf numFmtId="0" fontId="10" fillId="49" borderId="56" xfId="4" applyFont="1" applyFill="1" applyBorder="1" applyAlignment="1" applyProtection="1">
      <protection hidden="1"/>
    </xf>
    <xf numFmtId="0" fontId="10" fillId="49" borderId="0" xfId="4" applyNumberFormat="1" applyFont="1" applyFill="1" applyBorder="1" applyAlignment="1" applyProtection="1">
      <protection hidden="1"/>
    </xf>
    <xf numFmtId="0" fontId="11" fillId="14" borderId="0" xfId="4" applyFont="1" applyFill="1" applyAlignment="1" applyProtection="1">
      <alignment vertical="top" wrapText="1"/>
      <protection hidden="1"/>
    </xf>
    <xf numFmtId="179" fontId="10" fillId="49" borderId="38" xfId="4" applyNumberFormat="1" applyFont="1" applyFill="1" applyBorder="1" applyAlignment="1" applyProtection="1">
      <alignment vertical="center"/>
      <protection hidden="1"/>
    </xf>
    <xf numFmtId="179" fontId="10" fillId="49" borderId="30" xfId="4" applyNumberFormat="1" applyFont="1" applyFill="1" applyBorder="1" applyAlignment="1" applyProtection="1">
      <alignment vertical="center"/>
      <protection hidden="1"/>
    </xf>
    <xf numFmtId="179" fontId="11" fillId="49" borderId="30" xfId="4" applyNumberFormat="1" applyFont="1" applyFill="1" applyBorder="1" applyAlignment="1" applyProtection="1">
      <alignment vertical="center"/>
      <protection hidden="1"/>
    </xf>
    <xf numFmtId="176" fontId="10" fillId="49" borderId="30" xfId="4" applyNumberFormat="1" applyFont="1" applyFill="1" applyBorder="1" applyAlignment="1" applyProtection="1">
      <alignment vertical="center"/>
      <protection hidden="1"/>
    </xf>
    <xf numFmtId="176" fontId="10" fillId="49" borderId="32" xfId="4" applyNumberFormat="1" applyFont="1" applyFill="1" applyBorder="1" applyAlignment="1" applyProtection="1">
      <alignment vertical="center"/>
      <protection hidden="1"/>
    </xf>
    <xf numFmtId="0" fontId="10" fillId="49" borderId="40" xfId="4" applyFont="1" applyFill="1" applyBorder="1" applyProtection="1">
      <protection hidden="1"/>
    </xf>
    <xf numFmtId="176" fontId="10" fillId="49" borderId="165" xfId="4" applyNumberFormat="1" applyFont="1" applyFill="1" applyBorder="1" applyAlignment="1" applyProtection="1">
      <alignment vertical="center"/>
      <protection hidden="1"/>
    </xf>
    <xf numFmtId="0" fontId="10" fillId="49" borderId="106" xfId="4" applyFont="1" applyFill="1" applyBorder="1" applyProtection="1">
      <protection hidden="1"/>
    </xf>
    <xf numFmtId="179" fontId="10" fillId="49" borderId="32" xfId="4" applyNumberFormat="1" applyFont="1" applyFill="1" applyBorder="1" applyAlignment="1" applyProtection="1">
      <alignment vertical="center"/>
      <protection hidden="1"/>
    </xf>
    <xf numFmtId="179" fontId="10" fillId="49" borderId="60" xfId="4" applyNumberFormat="1" applyFont="1" applyFill="1" applyBorder="1" applyAlignment="1" applyProtection="1">
      <alignment vertical="center"/>
      <protection hidden="1"/>
    </xf>
    <xf numFmtId="179" fontId="10" fillId="49" borderId="48" xfId="4" applyNumberFormat="1" applyFont="1" applyFill="1" applyBorder="1" applyAlignment="1" applyProtection="1">
      <alignment vertical="center"/>
      <protection hidden="1"/>
    </xf>
    <xf numFmtId="179" fontId="11" fillId="49" borderId="48" xfId="4" applyNumberFormat="1" applyFont="1" applyFill="1" applyBorder="1" applyAlignment="1" applyProtection="1">
      <alignment vertical="center"/>
      <protection hidden="1"/>
    </xf>
    <xf numFmtId="179" fontId="10" fillId="49" borderId="49" xfId="4" applyNumberFormat="1" applyFont="1" applyFill="1" applyBorder="1" applyAlignment="1" applyProtection="1">
      <alignment vertical="center"/>
      <protection hidden="1"/>
    </xf>
    <xf numFmtId="176" fontId="10" fillId="49" borderId="76" xfId="4" applyNumberFormat="1" applyFont="1" applyFill="1" applyBorder="1" applyAlignment="1" applyProtection="1">
      <alignment vertical="center"/>
      <protection hidden="1"/>
    </xf>
    <xf numFmtId="176" fontId="10" fillId="49" borderId="48" xfId="4" applyNumberFormat="1" applyFont="1" applyFill="1" applyBorder="1" applyAlignment="1" applyProtection="1">
      <alignment vertical="center"/>
      <protection hidden="1"/>
    </xf>
    <xf numFmtId="176" fontId="10" fillId="49" borderId="49" xfId="4" applyNumberFormat="1" applyFont="1" applyFill="1" applyBorder="1" applyAlignment="1" applyProtection="1">
      <alignment vertical="center"/>
      <protection hidden="1"/>
    </xf>
    <xf numFmtId="0" fontId="20" fillId="48" borderId="133" xfId="0" applyNumberFormat="1" applyFont="1" applyFill="1" applyBorder="1" applyAlignment="1" applyProtection="1">
      <protection hidden="1"/>
    </xf>
    <xf numFmtId="0" fontId="10" fillId="49" borderId="106" xfId="4" applyNumberFormat="1" applyFont="1" applyFill="1" applyBorder="1" applyAlignment="1" applyProtection="1">
      <protection hidden="1"/>
    </xf>
    <xf numFmtId="0" fontId="14" fillId="48" borderId="133" xfId="0" applyFont="1" applyFill="1" applyBorder="1" applyAlignment="1" applyProtection="1">
      <alignment vertical="center"/>
      <protection hidden="1"/>
    </xf>
    <xf numFmtId="0" fontId="14" fillId="48" borderId="133" xfId="0" applyFont="1" applyFill="1" applyBorder="1" applyAlignment="1" applyProtection="1">
      <protection hidden="1"/>
    </xf>
    <xf numFmtId="172" fontId="23" fillId="48" borderId="134" xfId="0" applyNumberFormat="1" applyFont="1" applyFill="1" applyBorder="1" applyAlignment="1" applyProtection="1">
      <alignment horizontal="center" vertical="top" wrapText="1"/>
      <protection hidden="1"/>
    </xf>
    <xf numFmtId="0" fontId="24" fillId="49" borderId="133" xfId="0" applyFont="1" applyFill="1" applyBorder="1" applyAlignment="1" applyProtection="1">
      <alignment horizontal="center" vertical="top" wrapText="1"/>
      <protection hidden="1"/>
    </xf>
    <xf numFmtId="0" fontId="10" fillId="49" borderId="133" xfId="4" applyFont="1" applyFill="1" applyBorder="1" applyProtection="1">
      <protection hidden="1"/>
    </xf>
    <xf numFmtId="0" fontId="11" fillId="49" borderId="114" xfId="0" applyFont="1" applyFill="1" applyBorder="1" applyAlignment="1" applyProtection="1">
      <alignment horizontal="center" vertical="center" wrapText="1"/>
      <protection hidden="1"/>
    </xf>
    <xf numFmtId="0" fontId="11" fillId="49" borderId="113" xfId="0" applyFont="1" applyFill="1" applyBorder="1" applyAlignment="1" applyProtection="1">
      <alignment horizontal="center" vertical="center" wrapText="1"/>
      <protection hidden="1"/>
    </xf>
    <xf numFmtId="0" fontId="23" fillId="49" borderId="114" xfId="0" applyFont="1" applyFill="1" applyBorder="1" applyAlignment="1" applyProtection="1">
      <alignment horizontal="center" vertical="top" wrapText="1"/>
      <protection hidden="1"/>
    </xf>
    <xf numFmtId="0" fontId="23" fillId="49" borderId="133" xfId="0" applyFont="1" applyFill="1" applyBorder="1" applyAlignment="1" applyProtection="1">
      <alignment horizontal="center" vertical="top" wrapText="1"/>
      <protection hidden="1"/>
    </xf>
    <xf numFmtId="0" fontId="23" fillId="49" borderId="113" xfId="0" applyFont="1" applyFill="1" applyBorder="1" applyAlignment="1" applyProtection="1">
      <alignment horizontal="center" vertical="top" wrapText="1"/>
      <protection hidden="1"/>
    </xf>
    <xf numFmtId="0" fontId="10" fillId="49" borderId="133" xfId="12" applyFont="1" applyFill="1" applyBorder="1" applyProtection="1">
      <protection hidden="1"/>
    </xf>
    <xf numFmtId="0" fontId="10" fillId="49" borderId="106" xfId="12" applyFont="1" applyFill="1" applyBorder="1" applyProtection="1">
      <protection hidden="1"/>
    </xf>
    <xf numFmtId="0" fontId="10" fillId="49" borderId="0" xfId="12" applyFont="1" applyFill="1" applyBorder="1" applyProtection="1">
      <protection hidden="1"/>
    </xf>
    <xf numFmtId="0" fontId="10" fillId="49" borderId="59" xfId="4" applyFont="1" applyFill="1" applyBorder="1" applyProtection="1">
      <protection hidden="1"/>
    </xf>
    <xf numFmtId="0" fontId="10" fillId="49" borderId="58" xfId="4" applyFont="1" applyFill="1" applyBorder="1" applyProtection="1">
      <protection hidden="1"/>
    </xf>
    <xf numFmtId="0" fontId="10" fillId="49" borderId="41" xfId="4" applyFont="1" applyFill="1" applyBorder="1" applyProtection="1">
      <protection hidden="1"/>
    </xf>
    <xf numFmtId="0" fontId="62" fillId="5" borderId="11" xfId="4" applyFont="1" applyFill="1" applyBorder="1" applyAlignment="1" applyProtection="1">
      <alignment horizontal="left" vertical="center" indent="4"/>
      <protection hidden="1"/>
    </xf>
    <xf numFmtId="0" fontId="10" fillId="2" borderId="25" xfId="0" applyFont="1" applyFill="1" applyBorder="1" applyAlignment="1" applyProtection="1">
      <alignment horizontal="center" vertical="center"/>
      <protection hidden="1"/>
    </xf>
    <xf numFmtId="179" fontId="10" fillId="2" borderId="85" xfId="0" applyNumberFormat="1" applyFont="1" applyFill="1" applyBorder="1" applyAlignment="1" applyProtection="1">
      <alignment vertical="center"/>
      <protection hidden="1"/>
    </xf>
    <xf numFmtId="185" fontId="10" fillId="2" borderId="166" xfId="0" applyNumberFormat="1" applyFont="1" applyFill="1" applyBorder="1" applyAlignment="1" applyProtection="1">
      <alignment vertical="center"/>
      <protection hidden="1"/>
    </xf>
    <xf numFmtId="0" fontId="11" fillId="2" borderId="0" xfId="0" applyFont="1" applyFill="1" applyBorder="1" applyAlignment="1" applyProtection="1">
      <alignment horizontal="center" vertical="top" wrapText="1"/>
      <protection hidden="1"/>
    </xf>
    <xf numFmtId="179" fontId="10" fillId="4" borderId="18" xfId="12" applyNumberFormat="1" applyFont="1" applyFill="1" applyBorder="1" applyAlignment="1" applyProtection="1">
      <alignment vertical="center"/>
      <protection hidden="1"/>
    </xf>
    <xf numFmtId="179" fontId="10" fillId="4" borderId="19" xfId="12" applyNumberFormat="1" applyFont="1" applyFill="1" applyBorder="1" applyAlignment="1" applyProtection="1">
      <alignment vertical="center"/>
      <protection hidden="1"/>
    </xf>
    <xf numFmtId="179" fontId="10" fillId="4" borderId="47" xfId="12" applyNumberFormat="1" applyFont="1" applyFill="1" applyBorder="1" applyAlignment="1" applyProtection="1">
      <alignment vertical="center"/>
      <protection hidden="1"/>
    </xf>
    <xf numFmtId="179" fontId="10" fillId="4" borderId="72" xfId="12" applyNumberFormat="1" applyFont="1" applyFill="1" applyBorder="1" applyAlignment="1" applyProtection="1">
      <alignment vertical="center"/>
      <protection hidden="1"/>
    </xf>
    <xf numFmtId="0" fontId="11" fillId="4" borderId="56" xfId="12" applyFont="1" applyFill="1" applyBorder="1" applyAlignment="1" applyProtection="1">
      <protection hidden="1"/>
    </xf>
    <xf numFmtId="186" fontId="11" fillId="3" borderId="56" xfId="12" quotePrefix="1" applyNumberFormat="1" applyFont="1" applyFill="1" applyBorder="1" applyAlignment="1" applyProtection="1">
      <alignment horizontal="center" vertical="center"/>
      <protection hidden="1"/>
    </xf>
    <xf numFmtId="0" fontId="11" fillId="4" borderId="61" xfId="0" applyFont="1" applyFill="1" applyBorder="1" applyAlignment="1" applyProtection="1">
      <alignment horizontal="left" vertical="center" indent="1"/>
      <protection hidden="1"/>
    </xf>
    <xf numFmtId="0" fontId="10" fillId="4" borderId="61" xfId="12" applyFont="1" applyFill="1" applyBorder="1" applyAlignment="1" applyProtection="1">
      <protection hidden="1"/>
    </xf>
    <xf numFmtId="0" fontId="10" fillId="10" borderId="61" xfId="12" applyFont="1" applyFill="1" applyBorder="1" applyProtection="1">
      <protection hidden="1"/>
    </xf>
    <xf numFmtId="0" fontId="10" fillId="4" borderId="61" xfId="12" applyFont="1" applyFill="1" applyBorder="1" applyProtection="1">
      <protection hidden="1"/>
    </xf>
    <xf numFmtId="0" fontId="10" fillId="9" borderId="164" xfId="12" applyFont="1" applyFill="1" applyBorder="1" applyProtection="1">
      <protection hidden="1"/>
    </xf>
    <xf numFmtId="0" fontId="11" fillId="5" borderId="84" xfId="12" applyNumberFormat="1" applyFont="1" applyFill="1" applyBorder="1" applyAlignment="1" applyProtection="1">
      <protection hidden="1"/>
    </xf>
    <xf numFmtId="0" fontId="10" fillId="4" borderId="84" xfId="12" applyFont="1" applyFill="1" applyBorder="1" applyAlignment="1" applyProtection="1">
      <alignment vertical="center"/>
      <protection hidden="1"/>
    </xf>
    <xf numFmtId="0" fontId="10" fillId="4" borderId="84" xfId="12" applyNumberFormat="1" applyFont="1" applyFill="1" applyBorder="1" applyAlignment="1" applyProtection="1">
      <protection hidden="1"/>
    </xf>
    <xf numFmtId="0" fontId="11" fillId="4" borderId="84" xfId="12" applyFont="1" applyFill="1" applyBorder="1" applyAlignment="1" applyProtection="1">
      <alignment horizontal="center"/>
      <protection hidden="1"/>
    </xf>
    <xf numFmtId="0" fontId="11" fillId="4" borderId="85" xfId="12" applyFont="1" applyFill="1" applyBorder="1" applyAlignment="1" applyProtection="1">
      <alignment vertical="center"/>
      <protection hidden="1"/>
    </xf>
    <xf numFmtId="0" fontId="11" fillId="4" borderId="167" xfId="12" applyFont="1" applyFill="1" applyBorder="1" applyAlignment="1" applyProtection="1">
      <alignment horizontal="center" vertical="top"/>
      <protection hidden="1"/>
    </xf>
    <xf numFmtId="0" fontId="11" fillId="4" borderId="166" xfId="12" applyFont="1" applyFill="1" applyBorder="1" applyAlignment="1" applyProtection="1">
      <alignment horizontal="center" vertical="top"/>
      <protection hidden="1"/>
    </xf>
    <xf numFmtId="0" fontId="11" fillId="4" borderId="164" xfId="12" applyFont="1" applyFill="1" applyBorder="1" applyAlignment="1" applyProtection="1">
      <alignment horizontal="center" vertical="top"/>
      <protection hidden="1"/>
    </xf>
    <xf numFmtId="0" fontId="11" fillId="4" borderId="169" xfId="12" applyFont="1" applyFill="1" applyBorder="1" applyAlignment="1" applyProtection="1">
      <alignment horizontal="center" vertical="top" wrapText="1"/>
      <protection hidden="1"/>
    </xf>
    <xf numFmtId="178" fontId="10" fillId="9" borderId="170" xfId="12" applyNumberFormat="1" applyFont="1" applyFill="1" applyBorder="1" applyAlignment="1" applyProtection="1">
      <alignment vertical="center"/>
      <protection locked="0"/>
    </xf>
    <xf numFmtId="179" fontId="11" fillId="10" borderId="171" xfId="12" applyNumberFormat="1" applyFont="1" applyFill="1" applyBorder="1" applyAlignment="1" applyProtection="1">
      <alignment vertical="center"/>
      <protection hidden="1"/>
    </xf>
    <xf numFmtId="178" fontId="10" fillId="14" borderId="168" xfId="12" applyNumberFormat="1" applyFont="1" applyFill="1" applyBorder="1" applyAlignment="1" applyProtection="1">
      <alignment vertical="center"/>
      <protection hidden="1"/>
    </xf>
    <xf numFmtId="178" fontId="10" fillId="14" borderId="165" xfId="12" applyNumberFormat="1" applyFont="1" applyFill="1" applyBorder="1" applyAlignment="1" applyProtection="1">
      <alignment vertical="center"/>
      <protection hidden="1"/>
    </xf>
    <xf numFmtId="178" fontId="10" fillId="14" borderId="170" xfId="12" applyNumberFormat="1" applyFont="1" applyFill="1" applyBorder="1" applyAlignment="1" applyProtection="1">
      <alignment horizontal="right" vertical="center"/>
      <protection hidden="1"/>
    </xf>
    <xf numFmtId="179" fontId="11" fillId="4" borderId="171" xfId="12" applyNumberFormat="1" applyFont="1" applyFill="1" applyBorder="1" applyAlignment="1" applyProtection="1">
      <alignment vertical="center"/>
      <protection hidden="1"/>
    </xf>
    <xf numFmtId="178" fontId="10" fillId="9" borderId="167" xfId="12" applyNumberFormat="1" applyFont="1" applyFill="1" applyBorder="1" applyAlignment="1" applyProtection="1">
      <alignment vertical="center"/>
      <protection locked="0"/>
    </xf>
    <xf numFmtId="178" fontId="10" fillId="9" borderId="85" xfId="12" applyNumberFormat="1" applyFont="1" applyFill="1" applyBorder="1" applyAlignment="1" applyProtection="1">
      <alignment vertical="center"/>
      <protection locked="0"/>
    </xf>
    <xf numFmtId="178" fontId="10" fillId="9" borderId="166" xfId="12" applyNumberFormat="1" applyFont="1" applyFill="1" applyBorder="1" applyAlignment="1" applyProtection="1">
      <alignment vertical="center"/>
      <protection locked="0"/>
    </xf>
    <xf numFmtId="178" fontId="10" fillId="14" borderId="164" xfId="12" applyNumberFormat="1" applyFont="1" applyFill="1" applyBorder="1" applyAlignment="1" applyProtection="1">
      <alignment vertical="center"/>
      <protection hidden="1"/>
    </xf>
    <xf numFmtId="178" fontId="10" fillId="14" borderId="84" xfId="12" applyNumberFormat="1" applyFont="1" applyFill="1" applyBorder="1" applyAlignment="1" applyProtection="1">
      <alignment vertical="center"/>
      <protection hidden="1"/>
    </xf>
    <xf numFmtId="178" fontId="10" fillId="14" borderId="85" xfId="12" applyNumberFormat="1" applyFont="1" applyFill="1" applyBorder="1" applyAlignment="1" applyProtection="1">
      <alignment horizontal="right" vertical="center"/>
      <protection hidden="1"/>
    </xf>
    <xf numFmtId="178" fontId="10" fillId="9" borderId="170" xfId="12" applyNumberFormat="1" applyFont="1" applyFill="1" applyBorder="1" applyAlignment="1" applyProtection="1">
      <alignment horizontal="right" vertical="center"/>
      <protection locked="0"/>
    </xf>
    <xf numFmtId="178" fontId="10" fillId="9" borderId="85" xfId="12" applyNumberFormat="1" applyFont="1" applyFill="1" applyBorder="1" applyAlignment="1" applyProtection="1">
      <alignment horizontal="right" vertical="center"/>
      <protection locked="0"/>
    </xf>
    <xf numFmtId="0" fontId="10" fillId="9" borderId="58" xfId="12" applyFont="1" applyFill="1" applyBorder="1" applyProtection="1">
      <protection hidden="1"/>
    </xf>
    <xf numFmtId="0" fontId="11" fillId="9" borderId="58" xfId="12" applyFont="1" applyFill="1" applyBorder="1" applyAlignment="1" applyProtection="1">
      <alignment vertical="top" wrapText="1"/>
      <protection hidden="1"/>
    </xf>
    <xf numFmtId="0" fontId="10" fillId="9" borderId="58" xfId="12" applyNumberFormat="1" applyFont="1" applyFill="1" applyBorder="1" applyAlignment="1" applyProtection="1">
      <protection hidden="1"/>
    </xf>
    <xf numFmtId="0" fontId="11" fillId="9" borderId="41" xfId="12" applyFont="1" applyFill="1" applyBorder="1" applyAlignment="1" applyProtection="1">
      <alignment vertical="top" wrapText="1"/>
      <protection hidden="1"/>
    </xf>
    <xf numFmtId="0" fontId="11" fillId="9" borderId="162" xfId="12" applyFont="1" applyFill="1" applyBorder="1" applyAlignment="1" applyProtection="1">
      <alignment horizontal="left" vertical="center" indent="1"/>
      <protection hidden="1"/>
    </xf>
    <xf numFmtId="0" fontId="11" fillId="9" borderId="37" xfId="12" applyFont="1" applyFill="1" applyBorder="1" applyAlignment="1" applyProtection="1">
      <alignment horizontal="left" vertical="center" indent="2"/>
      <protection hidden="1"/>
    </xf>
    <xf numFmtId="2" fontId="10" fillId="2" borderId="171" xfId="0" applyNumberFormat="1" applyFont="1" applyFill="1" applyBorder="1" applyAlignment="1" applyProtection="1">
      <alignment horizontal="center" vertical="center"/>
      <protection hidden="1"/>
    </xf>
    <xf numFmtId="179" fontId="10" fillId="2" borderId="84" xfId="0" applyNumberFormat="1" applyFont="1" applyFill="1" applyBorder="1" applyAlignment="1" applyProtection="1">
      <alignment vertical="center"/>
      <protection hidden="1"/>
    </xf>
    <xf numFmtId="179" fontId="10" fillId="2" borderId="38" xfId="0" applyNumberFormat="1" applyFont="1" applyFill="1" applyBorder="1" applyAlignment="1" applyProtection="1">
      <alignment vertical="center"/>
      <protection hidden="1"/>
    </xf>
    <xf numFmtId="179" fontId="10" fillId="2" borderId="61" xfId="0" applyNumberFormat="1" applyFont="1" applyFill="1" applyBorder="1" applyAlignment="1" applyProtection="1">
      <alignment vertical="center"/>
      <protection hidden="1"/>
    </xf>
    <xf numFmtId="0" fontId="10" fillId="2" borderId="166" xfId="0" applyNumberFormat="1" applyFont="1" applyFill="1" applyBorder="1" applyAlignment="1" applyProtection="1">
      <protection hidden="1"/>
    </xf>
    <xf numFmtId="0" fontId="10" fillId="2" borderId="114" xfId="0" applyNumberFormat="1" applyFont="1" applyFill="1" applyBorder="1" applyAlignment="1" applyProtection="1">
      <protection hidden="1"/>
    </xf>
    <xf numFmtId="185" fontId="10" fillId="2" borderId="166" xfId="0" quotePrefix="1" applyNumberFormat="1" applyFont="1" applyFill="1" applyBorder="1" applyAlignment="1" applyProtection="1">
      <alignment vertical="center"/>
      <protection hidden="1"/>
    </xf>
    <xf numFmtId="179" fontId="10" fillId="2" borderId="58" xfId="0" applyNumberFormat="1" applyFont="1" applyFill="1" applyBorder="1" applyAlignment="1" applyProtection="1">
      <alignment vertical="center"/>
      <protection hidden="1"/>
    </xf>
    <xf numFmtId="185" fontId="10" fillId="2" borderId="27" xfId="0" quotePrefix="1" applyNumberFormat="1" applyFont="1" applyFill="1" applyBorder="1" applyAlignment="1" applyProtection="1">
      <alignment vertical="center"/>
      <protection hidden="1"/>
    </xf>
    <xf numFmtId="2" fontId="10" fillId="2" borderId="36" xfId="0" applyNumberFormat="1" applyFont="1" applyFill="1" applyBorder="1" applyAlignment="1" applyProtection="1">
      <alignment horizontal="center" vertical="center"/>
      <protection hidden="1"/>
    </xf>
    <xf numFmtId="0" fontId="11" fillId="2" borderId="71" xfId="0" applyFont="1" applyFill="1" applyBorder="1" applyAlignment="1" applyProtection="1">
      <alignment horizontal="center" vertical="top" wrapText="1"/>
      <protection hidden="1"/>
    </xf>
    <xf numFmtId="0" fontId="10" fillId="9" borderId="71" xfId="9" applyFont="1" applyFill="1" applyBorder="1" applyProtection="1">
      <protection hidden="1"/>
    </xf>
    <xf numFmtId="179" fontId="10" fillId="2" borderId="74" xfId="0" applyNumberFormat="1" applyFont="1" applyFill="1" applyBorder="1" applyAlignment="1" applyProtection="1">
      <alignment vertical="center"/>
      <protection hidden="1"/>
    </xf>
    <xf numFmtId="185" fontId="10" fillId="2" borderId="69" xfId="0" quotePrefix="1" applyNumberFormat="1" applyFont="1" applyFill="1" applyBorder="1" applyAlignment="1" applyProtection="1">
      <alignment vertical="center"/>
      <protection hidden="1"/>
    </xf>
    <xf numFmtId="0" fontId="11" fillId="2" borderId="56" xfId="0" applyFont="1" applyFill="1" applyBorder="1" applyAlignment="1" applyProtection="1">
      <alignment horizontal="center" vertical="top" wrapText="1"/>
      <protection hidden="1"/>
    </xf>
    <xf numFmtId="0" fontId="10" fillId="9" borderId="56" xfId="9" applyFont="1" applyFill="1" applyBorder="1" applyProtection="1">
      <protection hidden="1"/>
    </xf>
    <xf numFmtId="0" fontId="10" fillId="2" borderId="17" xfId="0" applyFont="1" applyFill="1" applyBorder="1" applyAlignment="1" applyProtection="1">
      <alignment horizontal="center" vertical="center"/>
      <protection hidden="1"/>
    </xf>
    <xf numFmtId="0" fontId="10" fillId="2" borderId="56" xfId="0" applyFont="1" applyFill="1" applyBorder="1" applyAlignment="1" applyProtection="1">
      <alignment horizontal="center" vertical="center"/>
      <protection hidden="1"/>
    </xf>
    <xf numFmtId="0" fontId="10" fillId="9" borderId="29" xfId="0" applyFont="1" applyFill="1" applyBorder="1" applyAlignment="1" applyProtection="1">
      <alignment horizontal="center" vertical="center"/>
      <protection hidden="1"/>
    </xf>
    <xf numFmtId="0" fontId="10" fillId="9" borderId="32" xfId="0" applyFont="1" applyFill="1" applyBorder="1" applyAlignment="1" applyProtection="1">
      <alignment horizontal="center" vertical="center"/>
      <protection hidden="1"/>
    </xf>
    <xf numFmtId="0" fontId="10" fillId="9" borderId="167" xfId="0" applyFont="1" applyFill="1" applyBorder="1" applyAlignment="1" applyProtection="1">
      <alignment horizontal="center" vertical="center"/>
      <protection hidden="1"/>
    </xf>
    <xf numFmtId="0" fontId="10" fillId="9" borderId="169" xfId="0" applyFont="1" applyFill="1" applyBorder="1" applyAlignment="1" applyProtection="1">
      <alignment horizontal="center" vertical="center"/>
      <protection hidden="1"/>
    </xf>
    <xf numFmtId="0" fontId="10" fillId="2" borderId="26" xfId="0" applyFont="1" applyFill="1" applyBorder="1" applyAlignment="1" applyProtection="1">
      <alignment horizontal="center" vertical="center"/>
      <protection hidden="1"/>
    </xf>
    <xf numFmtId="0" fontId="10" fillId="2" borderId="36" xfId="0" applyFont="1" applyFill="1" applyBorder="1" applyAlignment="1" applyProtection="1">
      <alignment horizontal="center" vertical="center"/>
      <protection hidden="1"/>
    </xf>
    <xf numFmtId="0" fontId="10" fillId="2" borderId="61" xfId="0" applyNumberFormat="1" applyFont="1" applyFill="1" applyBorder="1" applyAlignment="1" applyProtection="1">
      <protection hidden="1"/>
    </xf>
    <xf numFmtId="0" fontId="10" fillId="9" borderId="26" xfId="0" applyFont="1" applyFill="1" applyBorder="1" applyAlignment="1" applyProtection="1">
      <alignment horizontal="center" vertical="center"/>
      <protection hidden="1"/>
    </xf>
    <xf numFmtId="0" fontId="10" fillId="9" borderId="28" xfId="0" applyFont="1" applyFill="1" applyBorder="1" applyAlignment="1" applyProtection="1">
      <alignment horizontal="center" vertical="center"/>
      <protection hidden="1"/>
    </xf>
    <xf numFmtId="0" fontId="11" fillId="9" borderId="9" xfId="0" applyFont="1" applyFill="1" applyBorder="1" applyAlignment="1" applyProtection="1">
      <alignment horizontal="left" vertical="center" indent="1"/>
      <protection hidden="1"/>
    </xf>
    <xf numFmtId="0" fontId="10" fillId="9" borderId="114" xfId="0" applyFont="1" applyFill="1" applyBorder="1" applyProtection="1">
      <protection hidden="1"/>
    </xf>
    <xf numFmtId="0" fontId="10" fillId="9" borderId="10" xfId="0" applyFont="1" applyFill="1" applyBorder="1" applyProtection="1">
      <protection hidden="1"/>
    </xf>
    <xf numFmtId="169" fontId="11" fillId="3" borderId="12" xfId="0" applyNumberFormat="1" applyFont="1" applyFill="1" applyBorder="1" applyAlignment="1" applyProtection="1">
      <alignment horizontal="center" vertical="center"/>
      <protection hidden="1"/>
    </xf>
    <xf numFmtId="0" fontId="11" fillId="2" borderId="16" xfId="0" applyFont="1" applyFill="1" applyBorder="1" applyAlignment="1" applyProtection="1">
      <alignment horizontal="center" vertical="center" wrapText="1"/>
      <protection hidden="1"/>
    </xf>
    <xf numFmtId="169" fontId="11" fillId="9" borderId="106" xfId="0" applyNumberFormat="1" applyFont="1" applyFill="1" applyBorder="1" applyAlignment="1" applyProtection="1">
      <alignment horizontal="center" vertical="center"/>
      <protection hidden="1"/>
    </xf>
    <xf numFmtId="0" fontId="10" fillId="9" borderId="64" xfId="0" applyFont="1" applyFill="1" applyBorder="1" applyProtection="1">
      <protection hidden="1"/>
    </xf>
    <xf numFmtId="0" fontId="10" fillId="9" borderId="24" xfId="0" applyFont="1" applyFill="1" applyBorder="1" applyAlignment="1" applyProtection="1">
      <alignment horizontal="center" vertical="center"/>
      <protection hidden="1"/>
    </xf>
    <xf numFmtId="182" fontId="10" fillId="9" borderId="24" xfId="0" applyNumberFormat="1" applyFont="1" applyFill="1" applyBorder="1" applyAlignment="1" applyProtection="1">
      <alignment horizontal="center" vertical="center"/>
      <protection hidden="1"/>
    </xf>
    <xf numFmtId="178" fontId="10" fillId="9" borderId="77" xfId="0" applyNumberFormat="1" applyFont="1" applyFill="1" applyBorder="1" applyAlignment="1" applyProtection="1">
      <alignment vertical="center"/>
      <protection locked="0"/>
    </xf>
    <xf numFmtId="0" fontId="31" fillId="9" borderId="60" xfId="73" applyFont="1" applyFill="1" applyBorder="1" applyAlignment="1" applyProtection="1">
      <alignment horizontal="left" vertical="center" indent="2"/>
      <protection hidden="1"/>
    </xf>
    <xf numFmtId="180" fontId="3" fillId="0" borderId="48" xfId="73" applyNumberFormat="1" applyFill="1" applyBorder="1" applyAlignment="1" applyProtection="1">
      <alignment vertical="center"/>
      <protection locked="0"/>
    </xf>
    <xf numFmtId="180" fontId="31" fillId="9" borderId="52" xfId="73" applyNumberFormat="1" applyFont="1" applyFill="1" applyBorder="1" applyAlignment="1" applyProtection="1">
      <alignment vertical="center"/>
      <protection hidden="1"/>
    </xf>
    <xf numFmtId="180" fontId="3" fillId="0" borderId="53" xfId="73" applyNumberFormat="1" applyFill="1" applyBorder="1" applyAlignment="1" applyProtection="1">
      <alignment vertical="center"/>
      <protection locked="0"/>
    </xf>
    <xf numFmtId="180" fontId="31" fillId="9" borderId="49" xfId="73" applyNumberFormat="1" applyFont="1" applyFill="1" applyBorder="1" applyAlignment="1" applyProtection="1">
      <alignment vertical="center"/>
      <protection hidden="1"/>
    </xf>
    <xf numFmtId="180" fontId="31" fillId="9" borderId="109" xfId="73" applyNumberFormat="1" applyFont="1" applyFill="1" applyBorder="1" applyAlignment="1" applyProtection="1">
      <alignment vertical="center"/>
      <protection hidden="1"/>
    </xf>
    <xf numFmtId="180" fontId="31" fillId="9" borderId="48" xfId="73" applyNumberFormat="1" applyFont="1" applyFill="1" applyBorder="1" applyAlignment="1" applyProtection="1">
      <alignment vertical="center"/>
      <protection hidden="1"/>
    </xf>
    <xf numFmtId="180" fontId="31" fillId="9" borderId="48" xfId="73" applyNumberFormat="1" applyFont="1" applyFill="1" applyBorder="1" applyAlignment="1" applyProtection="1">
      <alignment vertical="center"/>
      <protection locked="0"/>
    </xf>
    <xf numFmtId="180" fontId="31" fillId="9" borderId="53" xfId="73" applyNumberFormat="1" applyFont="1" applyFill="1" applyBorder="1" applyAlignment="1" applyProtection="1">
      <alignment vertical="center"/>
      <protection locked="0"/>
    </xf>
    <xf numFmtId="0" fontId="1" fillId="9" borderId="0" xfId="73" applyFont="1" applyFill="1" applyBorder="1" applyProtection="1">
      <protection hidden="1"/>
    </xf>
    <xf numFmtId="0" fontId="11" fillId="2" borderId="5" xfId="0" applyFont="1" applyFill="1" applyBorder="1" applyAlignment="1" applyProtection="1">
      <alignment horizontal="center" vertical="top" wrapText="1"/>
      <protection hidden="1"/>
    </xf>
    <xf numFmtId="0" fontId="10" fillId="4" borderId="84" xfId="0" applyFont="1" applyFill="1" applyBorder="1" applyAlignment="1" applyProtection="1">
      <alignment vertical="center"/>
      <protection hidden="1"/>
    </xf>
    <xf numFmtId="0" fontId="11" fillId="2" borderId="106" xfId="0" applyFont="1" applyFill="1" applyBorder="1" applyAlignment="1" applyProtection="1">
      <alignment horizontal="center" vertical="top" wrapText="1"/>
      <protection hidden="1"/>
    </xf>
    <xf numFmtId="178" fontId="10" fillId="9" borderId="170" xfId="0" applyNumberFormat="1" applyFont="1" applyFill="1" applyBorder="1" applyAlignment="1" applyProtection="1">
      <alignment vertical="center"/>
      <protection locked="0"/>
    </xf>
    <xf numFmtId="179" fontId="11" fillId="10" borderId="170" xfId="0" applyNumberFormat="1" applyFont="1" applyFill="1" applyBorder="1" applyAlignment="1" applyProtection="1">
      <alignment vertical="center"/>
      <protection hidden="1"/>
    </xf>
    <xf numFmtId="0" fontId="10" fillId="10" borderId="165" xfId="0" applyFont="1" applyFill="1" applyBorder="1" applyAlignment="1" applyProtection="1">
      <protection hidden="1"/>
    </xf>
    <xf numFmtId="0" fontId="11" fillId="2" borderId="10" xfId="0" applyFont="1" applyFill="1" applyBorder="1" applyAlignment="1" applyProtection="1">
      <alignment horizontal="center" vertical="top" wrapText="1"/>
      <protection hidden="1"/>
    </xf>
    <xf numFmtId="179" fontId="11" fillId="10" borderId="171" xfId="0" applyNumberFormat="1" applyFont="1" applyFill="1" applyBorder="1" applyAlignment="1" applyProtection="1">
      <alignment vertical="center"/>
      <protection hidden="1"/>
    </xf>
    <xf numFmtId="0" fontId="10" fillId="10" borderId="171" xfId="0" applyFont="1" applyFill="1" applyBorder="1" applyAlignment="1" applyProtection="1">
      <protection hidden="1"/>
    </xf>
    <xf numFmtId="179" fontId="11" fillId="10" borderId="32" xfId="0" applyNumberFormat="1" applyFont="1" applyFill="1" applyBorder="1" applyAlignment="1" applyProtection="1">
      <alignment vertical="center"/>
      <protection hidden="1"/>
    </xf>
    <xf numFmtId="179" fontId="11" fillId="9" borderId="38" xfId="0" applyNumberFormat="1" applyFont="1" applyFill="1" applyBorder="1" applyAlignment="1" applyProtection="1">
      <alignment vertical="center"/>
      <protection hidden="1"/>
    </xf>
    <xf numFmtId="179" fontId="11" fillId="10" borderId="60" xfId="0" applyNumberFormat="1" applyFont="1" applyFill="1" applyBorder="1" applyAlignment="1" applyProtection="1">
      <alignment vertical="center"/>
      <protection hidden="1"/>
    </xf>
    <xf numFmtId="179" fontId="11" fillId="10" borderId="167" xfId="0" applyNumberFormat="1" applyFont="1" applyFill="1" applyBorder="1" applyAlignment="1" applyProtection="1">
      <alignment vertical="center"/>
      <protection hidden="1"/>
    </xf>
    <xf numFmtId="179" fontId="11" fillId="10" borderId="85" xfId="0" applyNumberFormat="1" applyFont="1" applyFill="1" applyBorder="1" applyAlignment="1" applyProtection="1">
      <alignment vertical="center"/>
      <protection hidden="1"/>
    </xf>
    <xf numFmtId="179" fontId="11" fillId="10" borderId="169" xfId="0" applyNumberFormat="1" applyFont="1" applyFill="1" applyBorder="1" applyAlignment="1" applyProtection="1">
      <alignment vertical="center"/>
      <protection hidden="1"/>
    </xf>
    <xf numFmtId="179" fontId="11" fillId="10" borderId="172" xfId="0" applyNumberFormat="1" applyFont="1" applyFill="1" applyBorder="1" applyAlignment="1" applyProtection="1">
      <alignment vertical="center"/>
      <protection hidden="1"/>
    </xf>
    <xf numFmtId="191" fontId="11" fillId="10" borderId="162" xfId="0" applyNumberFormat="1" applyFont="1" applyFill="1" applyBorder="1" applyAlignment="1" applyProtection="1">
      <alignment vertical="center"/>
      <protection hidden="1"/>
    </xf>
    <xf numFmtId="0" fontId="10" fillId="10" borderId="35" xfId="0" applyFont="1" applyFill="1" applyBorder="1" applyAlignment="1" applyProtection="1">
      <protection hidden="1"/>
    </xf>
    <xf numFmtId="0" fontId="10" fillId="10" borderId="36" xfId="0" applyFont="1" applyFill="1" applyBorder="1" applyAlignment="1" applyProtection="1">
      <protection hidden="1"/>
    </xf>
    <xf numFmtId="0" fontId="11" fillId="4" borderId="162" xfId="0" applyFont="1" applyFill="1" applyBorder="1" applyAlignment="1" applyProtection="1">
      <alignment horizontal="left" vertical="center" indent="1"/>
      <protection hidden="1"/>
    </xf>
    <xf numFmtId="0" fontId="10" fillId="10" borderId="171" xfId="0" applyFont="1" applyFill="1" applyBorder="1" applyProtection="1">
      <protection hidden="1"/>
    </xf>
    <xf numFmtId="0" fontId="10" fillId="10" borderId="162" xfId="0" applyFont="1" applyFill="1" applyBorder="1" applyProtection="1">
      <protection hidden="1"/>
    </xf>
    <xf numFmtId="0" fontId="11" fillId="4" borderId="37" xfId="0" applyFont="1" applyFill="1" applyBorder="1" applyAlignment="1" applyProtection="1">
      <alignment horizontal="left" vertical="center" indent="2"/>
      <protection hidden="1"/>
    </xf>
    <xf numFmtId="179" fontId="11" fillId="10" borderId="47" xfId="0" applyNumberFormat="1" applyFont="1" applyFill="1" applyBorder="1" applyAlignment="1" applyProtection="1">
      <alignment vertical="center"/>
      <protection hidden="1"/>
    </xf>
    <xf numFmtId="179" fontId="11" fillId="10" borderId="70" xfId="0" applyNumberFormat="1" applyFont="1" applyFill="1" applyBorder="1" applyAlignment="1" applyProtection="1">
      <alignment vertical="center"/>
      <protection hidden="1"/>
    </xf>
    <xf numFmtId="179" fontId="11" fillId="10" borderId="18" xfId="0" applyNumberFormat="1" applyFont="1" applyFill="1" applyBorder="1" applyAlignment="1" applyProtection="1">
      <alignment vertical="center"/>
      <protection hidden="1"/>
    </xf>
    <xf numFmtId="179" fontId="11" fillId="10" borderId="19" xfId="0" applyNumberFormat="1" applyFont="1" applyFill="1" applyBorder="1" applyAlignment="1" applyProtection="1">
      <alignment vertical="center"/>
      <protection hidden="1"/>
    </xf>
    <xf numFmtId="179" fontId="10" fillId="4" borderId="54" xfId="12" applyNumberFormat="1" applyFont="1" applyFill="1" applyBorder="1" applyAlignment="1" applyProtection="1">
      <alignment vertical="center"/>
      <protection hidden="1"/>
    </xf>
    <xf numFmtId="0" fontId="11" fillId="4" borderId="173" xfId="0" applyFont="1" applyFill="1" applyBorder="1" applyAlignment="1" applyProtection="1">
      <alignment horizontal="center" vertical="center"/>
      <protection hidden="1"/>
    </xf>
    <xf numFmtId="0" fontId="11" fillId="4" borderId="174" xfId="0" applyFont="1" applyFill="1" applyBorder="1" applyAlignment="1" applyProtection="1">
      <alignment horizontal="center" vertical="center"/>
      <protection hidden="1"/>
    </xf>
    <xf numFmtId="179" fontId="11" fillId="4" borderId="47" xfId="12" applyNumberFormat="1" applyFont="1" applyFill="1" applyBorder="1" applyAlignment="1" applyProtection="1">
      <alignment vertical="center"/>
      <protection hidden="1"/>
    </xf>
    <xf numFmtId="179" fontId="11" fillId="4" borderId="70" xfId="12" applyNumberFormat="1" applyFont="1" applyFill="1" applyBorder="1" applyAlignment="1" applyProtection="1">
      <alignment vertical="center"/>
      <protection hidden="1"/>
    </xf>
    <xf numFmtId="179" fontId="11" fillId="4" borderId="32" xfId="12" applyNumberFormat="1" applyFont="1" applyFill="1" applyBorder="1" applyAlignment="1" applyProtection="1">
      <alignment vertical="center"/>
      <protection hidden="1"/>
    </xf>
    <xf numFmtId="179" fontId="11" fillId="4" borderId="49" xfId="12" applyNumberFormat="1" applyFont="1" applyFill="1" applyBorder="1" applyAlignment="1" applyProtection="1">
      <alignment vertical="center"/>
      <protection hidden="1"/>
    </xf>
    <xf numFmtId="172" fontId="11" fillId="5" borderId="0" xfId="0" applyNumberFormat="1" applyFont="1" applyFill="1" applyBorder="1" applyAlignment="1" applyProtection="1">
      <alignment horizontal="center" vertical="center"/>
      <protection hidden="1"/>
    </xf>
    <xf numFmtId="172" fontId="11" fillId="5" borderId="10" xfId="0" applyNumberFormat="1" applyFont="1" applyFill="1" applyBorder="1" applyAlignment="1" applyProtection="1">
      <alignment horizontal="center" vertical="center"/>
      <protection hidden="1"/>
    </xf>
    <xf numFmtId="0" fontId="21" fillId="5" borderId="25" xfId="0" applyFont="1" applyFill="1" applyBorder="1" applyAlignment="1" applyProtection="1">
      <alignment horizontal="center" vertical="center"/>
      <protection hidden="1"/>
    </xf>
    <xf numFmtId="190" fontId="10" fillId="9" borderId="51" xfId="0" applyNumberFormat="1" applyFont="1" applyFill="1" applyBorder="1" applyAlignment="1" applyProtection="1">
      <alignment vertical="center"/>
      <protection locked="0"/>
    </xf>
    <xf numFmtId="0" fontId="10" fillId="9" borderId="133" xfId="12" applyFont="1" applyFill="1" applyBorder="1" applyAlignment="1" applyProtection="1">
      <protection hidden="1"/>
    </xf>
    <xf numFmtId="0" fontId="11" fillId="5" borderId="42" xfId="0" applyFont="1" applyFill="1" applyBorder="1" applyAlignment="1" applyProtection="1">
      <alignment horizontal="center" vertical="center"/>
      <protection hidden="1"/>
    </xf>
    <xf numFmtId="0" fontId="11" fillId="5" borderId="77" xfId="0" applyFont="1" applyFill="1" applyBorder="1" applyAlignment="1" applyProtection="1">
      <alignment horizontal="left" vertical="center" indent="1"/>
      <protection hidden="1"/>
    </xf>
    <xf numFmtId="0" fontId="10" fillId="9" borderId="0" xfId="0" applyFont="1" applyFill="1" applyAlignment="1" applyProtection="1">
      <alignment vertical="top"/>
      <protection hidden="1"/>
    </xf>
    <xf numFmtId="0" fontId="10" fillId="9" borderId="0" xfId="0" applyNumberFormat="1" applyFont="1" applyFill="1" applyAlignment="1" applyProtection="1">
      <protection hidden="1"/>
    </xf>
    <xf numFmtId="0" fontId="10" fillId="9" borderId="164" xfId="0" applyFont="1" applyFill="1" applyBorder="1" applyProtection="1">
      <protection hidden="1"/>
    </xf>
    <xf numFmtId="172" fontId="10" fillId="5" borderId="84" xfId="0" applyNumberFormat="1" applyFont="1" applyFill="1" applyBorder="1" applyProtection="1">
      <protection hidden="1"/>
    </xf>
    <xf numFmtId="0" fontId="10" fillId="5" borderId="84" xfId="0" applyFont="1" applyFill="1" applyBorder="1" applyProtection="1">
      <protection hidden="1"/>
    </xf>
    <xf numFmtId="0" fontId="10" fillId="9" borderId="85" xfId="0" applyFont="1" applyFill="1" applyBorder="1" applyAlignment="1" applyProtection="1">
      <protection hidden="1"/>
    </xf>
    <xf numFmtId="0" fontId="10" fillId="9" borderId="106" xfId="0" applyFont="1" applyFill="1" applyBorder="1" applyAlignment="1" applyProtection="1">
      <protection hidden="1"/>
    </xf>
    <xf numFmtId="172" fontId="11" fillId="5" borderId="173" xfId="0" applyNumberFormat="1" applyFont="1" applyFill="1" applyBorder="1" applyAlignment="1" applyProtection="1">
      <alignment horizontal="center" vertical="top" wrapText="1"/>
      <protection hidden="1"/>
    </xf>
    <xf numFmtId="172" fontId="11" fillId="5" borderId="174" xfId="0" applyNumberFormat="1" applyFont="1" applyFill="1" applyBorder="1" applyAlignment="1" applyProtection="1">
      <alignment horizontal="center" vertical="top" wrapText="1"/>
      <protection hidden="1"/>
    </xf>
    <xf numFmtId="0" fontId="11" fillId="5" borderId="173" xfId="0" applyFont="1" applyFill="1" applyBorder="1" applyAlignment="1" applyProtection="1">
      <alignment horizontal="center" vertical="center"/>
      <protection hidden="1"/>
    </xf>
    <xf numFmtId="0" fontId="11" fillId="5" borderId="174" xfId="0" applyFont="1" applyFill="1" applyBorder="1" applyAlignment="1" applyProtection="1">
      <alignment horizontal="center" vertical="center" wrapText="1"/>
      <protection hidden="1"/>
    </xf>
    <xf numFmtId="172" fontId="10" fillId="5" borderId="174" xfId="0" quotePrefix="1" applyNumberFormat="1" applyFont="1" applyFill="1" applyBorder="1" applyAlignment="1" applyProtection="1">
      <alignment horizontal="center" vertical="center"/>
      <protection hidden="1"/>
    </xf>
    <xf numFmtId="0" fontId="11" fillId="5" borderId="171" xfId="0" applyFont="1" applyFill="1" applyBorder="1" applyAlignment="1" applyProtection="1">
      <alignment horizontal="center" vertical="center"/>
      <protection hidden="1"/>
    </xf>
    <xf numFmtId="176" fontId="19" fillId="5" borderId="169" xfId="0" applyNumberFormat="1" applyFont="1" applyFill="1" applyBorder="1" applyAlignment="1" applyProtection="1">
      <alignment vertical="center"/>
      <protection hidden="1"/>
    </xf>
    <xf numFmtId="175" fontId="19" fillId="5" borderId="167" xfId="0" applyNumberFormat="1" applyFont="1" applyFill="1" applyBorder="1" applyAlignment="1" applyProtection="1">
      <alignment vertical="center"/>
      <protection hidden="1"/>
    </xf>
    <xf numFmtId="0" fontId="9" fillId="5" borderId="174" xfId="0" applyNumberFormat="1" applyFont="1" applyFill="1" applyBorder="1" applyAlignment="1" applyProtection="1">
      <protection hidden="1"/>
    </xf>
    <xf numFmtId="0" fontId="9" fillId="5" borderId="174" xfId="0" applyNumberFormat="1" applyFont="1" applyFill="1" applyBorder="1" applyAlignment="1" applyProtection="1">
      <alignment vertical="center"/>
      <protection hidden="1"/>
    </xf>
    <xf numFmtId="0" fontId="11" fillId="9" borderId="166" xfId="0" applyFont="1" applyFill="1" applyBorder="1" applyAlignment="1" applyProtection="1">
      <alignment horizontal="center" vertical="top" wrapText="1"/>
      <protection hidden="1"/>
    </xf>
    <xf numFmtId="172" fontId="11" fillId="5" borderId="167" xfId="0" applyNumberFormat="1" applyFont="1" applyFill="1" applyBorder="1" applyAlignment="1" applyProtection="1">
      <alignment horizontal="center" vertical="top" wrapText="1"/>
      <protection hidden="1"/>
    </xf>
    <xf numFmtId="172" fontId="11" fillId="5" borderId="173" xfId="0" applyNumberFormat="1" applyFont="1" applyFill="1" applyBorder="1" applyAlignment="1" applyProtection="1">
      <alignment horizontal="center" vertical="center"/>
      <protection hidden="1"/>
    </xf>
    <xf numFmtId="175" fontId="11" fillId="5" borderId="173" xfId="0" applyNumberFormat="1" applyFont="1" applyFill="1" applyBorder="1" applyAlignment="1" applyProtection="1">
      <alignment vertical="center"/>
      <protection hidden="1"/>
    </xf>
    <xf numFmtId="0" fontId="10" fillId="9" borderId="106" xfId="0" applyNumberFormat="1" applyFont="1" applyFill="1" applyBorder="1" applyAlignment="1" applyProtection="1">
      <protection hidden="1"/>
    </xf>
    <xf numFmtId="0" fontId="11" fillId="5" borderId="174" xfId="0" applyFont="1" applyFill="1" applyBorder="1" applyAlignment="1" applyProtection="1">
      <alignment horizontal="center" vertical="center"/>
      <protection hidden="1"/>
    </xf>
    <xf numFmtId="172" fontId="11" fillId="5" borderId="174" xfId="0" applyNumberFormat="1" applyFont="1" applyFill="1" applyBorder="1" applyAlignment="1" applyProtection="1">
      <alignment horizontal="center" vertical="center"/>
      <protection hidden="1"/>
    </xf>
    <xf numFmtId="186" fontId="11" fillId="5" borderId="174" xfId="0" quotePrefix="1" applyNumberFormat="1" applyFont="1" applyFill="1" applyBorder="1" applyAlignment="1" applyProtection="1">
      <alignment horizontal="center" vertical="center"/>
      <protection hidden="1"/>
    </xf>
    <xf numFmtId="175" fontId="11" fillId="5" borderId="170" xfId="0" applyNumberFormat="1" applyFont="1" applyFill="1" applyBorder="1" applyAlignment="1" applyProtection="1">
      <alignment vertical="center"/>
      <protection hidden="1"/>
    </xf>
    <xf numFmtId="175" fontId="11" fillId="5" borderId="168" xfId="0" applyNumberFormat="1" applyFont="1" applyFill="1" applyBorder="1" applyAlignment="1" applyProtection="1">
      <alignment vertical="center"/>
      <protection hidden="1"/>
    </xf>
    <xf numFmtId="172" fontId="11" fillId="5" borderId="171" xfId="0" applyNumberFormat="1" applyFont="1" applyFill="1" applyBorder="1" applyAlignment="1" applyProtection="1">
      <alignment horizontal="center" vertical="center"/>
      <protection hidden="1"/>
    </xf>
    <xf numFmtId="0" fontId="10" fillId="5" borderId="168" xfId="0" applyFont="1" applyFill="1" applyBorder="1" applyAlignment="1" applyProtection="1">
      <alignment vertical="center"/>
      <protection hidden="1"/>
    </xf>
    <xf numFmtId="0" fontId="10" fillId="5" borderId="171" xfId="0" applyFont="1" applyFill="1" applyBorder="1" applyAlignment="1" applyProtection="1">
      <alignment vertical="center"/>
      <protection hidden="1"/>
    </xf>
    <xf numFmtId="0" fontId="11" fillId="5" borderId="167" xfId="0" applyFont="1" applyFill="1" applyBorder="1" applyAlignment="1" applyProtection="1">
      <alignment horizontal="center" vertical="center"/>
      <protection hidden="1"/>
    </xf>
    <xf numFmtId="175" fontId="11" fillId="0" borderId="10" xfId="14" applyNumberFormat="1" applyFont="1" applyBorder="1" applyAlignment="1" applyProtection="1">
      <protection hidden="1"/>
    </xf>
    <xf numFmtId="172" fontId="11" fillId="5" borderId="104" xfId="0" applyNumberFormat="1" applyFont="1" applyFill="1" applyBorder="1" applyAlignment="1" applyProtection="1">
      <protection hidden="1"/>
    </xf>
    <xf numFmtId="0" fontId="10" fillId="5" borderId="104" xfId="0" applyFont="1" applyFill="1" applyBorder="1" applyAlignment="1" applyProtection="1">
      <alignment vertical="center"/>
      <protection hidden="1"/>
    </xf>
    <xf numFmtId="0" fontId="10" fillId="5" borderId="104" xfId="0" applyNumberFormat="1" applyFont="1" applyFill="1" applyBorder="1" applyAlignment="1" applyProtection="1">
      <protection hidden="1"/>
    </xf>
    <xf numFmtId="0" fontId="20" fillId="5" borderId="104" xfId="0" applyNumberFormat="1" applyFont="1" applyFill="1" applyBorder="1" applyAlignment="1" applyProtection="1">
      <protection hidden="1"/>
    </xf>
    <xf numFmtId="0" fontId="20" fillId="5" borderId="104" xfId="0" applyFont="1" applyFill="1" applyBorder="1" applyAlignment="1" applyProtection="1">
      <protection hidden="1"/>
    </xf>
    <xf numFmtId="0" fontId="10" fillId="9" borderId="98" xfId="0" applyFont="1" applyFill="1" applyBorder="1" applyAlignment="1" applyProtection="1">
      <protection hidden="1"/>
    </xf>
    <xf numFmtId="0" fontId="11" fillId="0" borderId="106" xfId="14" applyFont="1" applyBorder="1" applyAlignment="1" applyProtection="1">
      <alignment horizontal="center" vertical="top" wrapText="1"/>
      <protection hidden="1"/>
    </xf>
    <xf numFmtId="172" fontId="10" fillId="9" borderId="0" xfId="0" applyNumberFormat="1" applyFont="1" applyFill="1" applyBorder="1" applyProtection="1">
      <protection hidden="1"/>
    </xf>
    <xf numFmtId="172" fontId="10" fillId="14" borderId="0" xfId="0" applyNumberFormat="1" applyFont="1" applyFill="1" applyBorder="1" applyProtection="1">
      <protection hidden="1"/>
    </xf>
    <xf numFmtId="0" fontId="11" fillId="0" borderId="5" xfId="14" applyFont="1" applyBorder="1" applyAlignment="1" applyProtection="1">
      <alignment horizontal="center" vertical="top" wrapText="1"/>
      <protection hidden="1"/>
    </xf>
    <xf numFmtId="0" fontId="11" fillId="0" borderId="166" xfId="14" applyNumberFormat="1" applyFont="1" applyBorder="1" applyAlignment="1" applyProtection="1">
      <alignment horizontal="center" vertical="top"/>
      <protection hidden="1"/>
    </xf>
    <xf numFmtId="0" fontId="10" fillId="0" borderId="173" xfId="14" applyNumberFormat="1" applyFont="1" applyBorder="1" applyAlignment="1" applyProtection="1">
      <protection hidden="1"/>
    </xf>
    <xf numFmtId="0" fontId="11" fillId="0" borderId="173" xfId="14" applyFont="1" applyBorder="1" applyAlignment="1" applyProtection="1">
      <alignment horizontal="center" vertical="top"/>
      <protection hidden="1"/>
    </xf>
    <xf numFmtId="0" fontId="11" fillId="0" borderId="173" xfId="14" applyFont="1" applyBorder="1" applyAlignment="1" applyProtection="1">
      <alignment horizontal="center" vertical="top" wrapText="1"/>
      <protection hidden="1"/>
    </xf>
    <xf numFmtId="0" fontId="11" fillId="0" borderId="169" xfId="14" applyFont="1" applyBorder="1" applyAlignment="1" applyProtection="1">
      <alignment horizontal="center" vertical="top" wrapText="1"/>
      <protection hidden="1"/>
    </xf>
    <xf numFmtId="0" fontId="11" fillId="0" borderId="173" xfId="14" applyFont="1" applyBorder="1" applyAlignment="1" applyProtection="1">
      <alignment horizontal="center" vertical="center"/>
      <protection hidden="1"/>
    </xf>
    <xf numFmtId="0" fontId="11" fillId="0" borderId="106" xfId="14" applyFont="1" applyBorder="1" applyAlignment="1" applyProtection="1">
      <alignment horizontal="center" vertical="center"/>
      <protection hidden="1"/>
    </xf>
    <xf numFmtId="186" fontId="11" fillId="0" borderId="27" xfId="14" applyNumberFormat="1" applyFont="1" applyBorder="1" applyAlignment="1" applyProtection="1">
      <alignment horizontal="center" vertical="center"/>
      <protection hidden="1"/>
    </xf>
    <xf numFmtId="186" fontId="11" fillId="0" borderId="28" xfId="14" applyNumberFormat="1" applyFont="1" applyFill="1" applyBorder="1" applyAlignment="1" applyProtection="1">
      <alignment horizontal="center" vertical="center"/>
      <protection hidden="1"/>
    </xf>
    <xf numFmtId="174" fontId="10" fillId="0" borderId="166" xfId="14" applyNumberFormat="1" applyFont="1" applyBorder="1" applyProtection="1">
      <protection hidden="1"/>
    </xf>
    <xf numFmtId="174" fontId="10" fillId="0" borderId="173" xfId="14" applyNumberFormat="1" applyFont="1" applyBorder="1" applyProtection="1">
      <protection hidden="1"/>
    </xf>
    <xf numFmtId="0" fontId="10" fillId="9" borderId="86" xfId="0" applyNumberFormat="1" applyFont="1" applyFill="1" applyBorder="1" applyProtection="1">
      <protection hidden="1"/>
    </xf>
    <xf numFmtId="0" fontId="10" fillId="9" borderId="87" xfId="0" applyFont="1" applyFill="1" applyBorder="1" applyAlignment="1" applyProtection="1">
      <protection hidden="1"/>
    </xf>
    <xf numFmtId="0" fontId="10" fillId="4" borderId="61" xfId="0" applyFont="1" applyFill="1" applyBorder="1" applyAlignment="1" applyProtection="1">
      <protection hidden="1"/>
    </xf>
    <xf numFmtId="0" fontId="10" fillId="10" borderId="61" xfId="0" applyFont="1" applyFill="1" applyBorder="1" applyProtection="1">
      <protection hidden="1"/>
    </xf>
    <xf numFmtId="0" fontId="10" fillId="4" borderId="61" xfId="0" applyFont="1" applyFill="1" applyBorder="1" applyProtection="1">
      <protection hidden="1"/>
    </xf>
    <xf numFmtId="0" fontId="26" fillId="5" borderId="104" xfId="12" applyFont="1" applyFill="1" applyBorder="1" applyAlignment="1" applyProtection="1">
      <alignment vertical="center"/>
      <protection hidden="1"/>
    </xf>
    <xf numFmtId="0" fontId="10" fillId="5" borderId="104" xfId="12" applyFont="1" applyFill="1" applyBorder="1" applyAlignment="1" applyProtection="1">
      <protection hidden="1"/>
    </xf>
    <xf numFmtId="0" fontId="10" fillId="5" borderId="98" xfId="12" applyFont="1" applyFill="1" applyBorder="1" applyAlignment="1" applyProtection="1">
      <protection hidden="1"/>
    </xf>
    <xf numFmtId="0" fontId="10" fillId="9" borderId="134" xfId="12" applyFont="1" applyFill="1" applyBorder="1" applyAlignment="1" applyProtection="1">
      <alignment vertical="center"/>
      <protection hidden="1"/>
    </xf>
    <xf numFmtId="0" fontId="11" fillId="5" borderId="104" xfId="12" applyFont="1" applyFill="1" applyBorder="1" applyAlignment="1" applyProtection="1">
      <alignment horizontal="center" vertical="center" wrapText="1"/>
      <protection hidden="1"/>
    </xf>
    <xf numFmtId="172" fontId="11" fillId="5" borderId="174" xfId="12" applyNumberFormat="1" applyFont="1" applyFill="1" applyBorder="1" applyAlignment="1" applyProtection="1">
      <alignment horizontal="center" vertical="center"/>
      <protection hidden="1"/>
    </xf>
    <xf numFmtId="178" fontId="10" fillId="9" borderId="171" xfId="12" applyNumberFormat="1" applyFont="1" applyFill="1" applyBorder="1" applyAlignment="1" applyProtection="1">
      <alignment vertical="center"/>
      <protection locked="0"/>
    </xf>
    <xf numFmtId="178" fontId="9" fillId="9" borderId="171" xfId="12" applyNumberFormat="1" applyFont="1" applyFill="1" applyBorder="1" applyAlignment="1" applyProtection="1">
      <alignment vertical="center"/>
      <protection locked="0"/>
    </xf>
    <xf numFmtId="189" fontId="11" fillId="9" borderId="162" xfId="5" applyNumberFormat="1" applyFont="1" applyFill="1" applyBorder="1" applyAlignment="1" applyProtection="1">
      <alignment horizontal="left" vertical="center" wrapText="1" indent="1"/>
      <protection locked="0"/>
    </xf>
    <xf numFmtId="0" fontId="4" fillId="0" borderId="0" xfId="14" applyProtection="1">
      <protection hidden="1"/>
    </xf>
    <xf numFmtId="0" fontId="10" fillId="0" borderId="0" xfId="12" applyFont="1" applyBorder="1" applyAlignment="1" applyProtection="1"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0" fontId="0" fillId="0" borderId="0" xfId="0" applyFont="1" applyFill="1" applyBorder="1" applyAlignment="1" applyProtection="1">
      <protection hidden="1"/>
    </xf>
    <xf numFmtId="0" fontId="10" fillId="0" borderId="0" xfId="8" quotePrefix="1" applyNumberFormat="1" applyFont="1" applyFill="1" applyBorder="1" applyAlignment="1" applyProtection="1">
      <protection hidden="1"/>
    </xf>
    <xf numFmtId="175" fontId="10" fillId="0" borderId="98" xfId="11" applyNumberFormat="1" applyFont="1" applyFill="1" applyBorder="1" applyAlignment="1" applyProtection="1">
      <protection hidden="1"/>
    </xf>
    <xf numFmtId="175" fontId="10" fillId="0" borderId="89" xfId="11" applyNumberFormat="1" applyFont="1" applyFill="1" applyBorder="1" applyAlignment="1" applyProtection="1">
      <protection hidden="1"/>
    </xf>
    <xf numFmtId="175" fontId="10" fillId="0" borderId="6" xfId="12" applyNumberFormat="1" applyFont="1" applyBorder="1" applyAlignment="1" applyProtection="1">
      <protection hidden="1"/>
    </xf>
    <xf numFmtId="175" fontId="10" fillId="0" borderId="5" xfId="12" applyNumberFormat="1" applyFont="1" applyBorder="1" applyAlignment="1" applyProtection="1">
      <protection hidden="1"/>
    </xf>
    <xf numFmtId="0" fontId="10" fillId="0" borderId="0" xfId="11" applyNumberFormat="1" applyFont="1" applyFill="1" applyBorder="1" applyAlignment="1" applyProtection="1">
      <protection hidden="1"/>
    </xf>
    <xf numFmtId="175" fontId="33" fillId="0" borderId="5" xfId="14" applyNumberFormat="1" applyFont="1" applyBorder="1" applyAlignment="1" applyProtection="1">
      <protection hidden="1"/>
    </xf>
    <xf numFmtId="187" fontId="10" fillId="0" borderId="5" xfId="12" applyNumberFormat="1" applyFont="1" applyFill="1" applyBorder="1" applyAlignment="1" applyProtection="1">
      <protection hidden="1"/>
    </xf>
    <xf numFmtId="187" fontId="10" fillId="0" borderId="115" xfId="12" applyNumberFormat="1" applyFont="1" applyFill="1" applyBorder="1" applyAlignment="1" applyProtection="1">
      <protection hidden="1"/>
    </xf>
    <xf numFmtId="187" fontId="10" fillId="0" borderId="6" xfId="12" applyNumberFormat="1" applyFont="1" applyFill="1" applyBorder="1" applyAlignment="1" applyProtection="1">
      <protection hidden="1"/>
    </xf>
    <xf numFmtId="187" fontId="10" fillId="0" borderId="7" xfId="12" applyNumberFormat="1" applyFont="1" applyFill="1" applyBorder="1" applyAlignment="1" applyProtection="1">
      <protection hidden="1"/>
    </xf>
    <xf numFmtId="175" fontId="33" fillId="0" borderId="0" xfId="14" applyNumberFormat="1" applyFont="1" applyAlignment="1" applyProtection="1">
      <protection hidden="1"/>
    </xf>
    <xf numFmtId="0" fontId="0" fillId="0" borderId="5" xfId="0" applyBorder="1" applyAlignment="1" applyProtection="1">
      <alignment horizontal="left" indent="1"/>
      <protection hidden="1"/>
    </xf>
    <xf numFmtId="0" fontId="31" fillId="0" borderId="14" xfId="0" applyFont="1" applyBorder="1" applyAlignment="1" applyProtection="1">
      <alignment horizontal="left" vertical="center" indent="1"/>
      <protection hidden="1"/>
    </xf>
    <xf numFmtId="0" fontId="13" fillId="0" borderId="30" xfId="14" applyFont="1" applyBorder="1" applyAlignment="1" applyProtection="1">
      <alignment horizontal="center" vertical="center"/>
      <protection hidden="1"/>
    </xf>
    <xf numFmtId="0" fontId="10" fillId="9" borderId="59" xfId="0" applyNumberFormat="1" applyFont="1" applyFill="1" applyBorder="1" applyProtection="1">
      <protection hidden="1"/>
    </xf>
    <xf numFmtId="0" fontId="11" fillId="9" borderId="20" xfId="0" applyFont="1" applyFill="1" applyBorder="1" applyAlignment="1" applyProtection="1">
      <alignment horizontal="center" vertical="center"/>
      <protection hidden="1"/>
    </xf>
    <xf numFmtId="0" fontId="11" fillId="9" borderId="56" xfId="0" applyFont="1" applyFill="1" applyBorder="1" applyAlignment="1" applyProtection="1">
      <alignment horizontal="center" vertical="center"/>
      <protection hidden="1"/>
    </xf>
    <xf numFmtId="0" fontId="11" fillId="9" borderId="24" xfId="0" applyFont="1" applyFill="1" applyBorder="1" applyAlignment="1" applyProtection="1">
      <alignment horizontal="center" vertical="center" wrapText="1"/>
      <protection hidden="1"/>
    </xf>
    <xf numFmtId="0" fontId="11" fillId="9" borderId="15" xfId="0" applyFont="1" applyFill="1" applyBorder="1" applyAlignment="1" applyProtection="1">
      <alignment horizontal="center" vertical="center" wrapText="1"/>
      <protection hidden="1"/>
    </xf>
    <xf numFmtId="0" fontId="11" fillId="14" borderId="0" xfId="4" applyFont="1" applyFill="1" applyAlignment="1" applyProtection="1">
      <alignment horizontal="center" vertical="center" wrapText="1"/>
      <protection hidden="1"/>
    </xf>
    <xf numFmtId="0" fontId="11" fillId="14" borderId="0" xfId="4" applyFont="1" applyFill="1" applyAlignment="1" applyProtection="1">
      <alignment horizontal="center" vertical="top" wrapText="1"/>
      <protection hidden="1"/>
    </xf>
    <xf numFmtId="172" fontId="11" fillId="0" borderId="45" xfId="4" applyNumberFormat="1" applyFont="1" applyFill="1" applyBorder="1" applyAlignment="1" applyProtection="1">
      <alignment horizontal="left" vertical="center" indent="1"/>
      <protection hidden="1"/>
    </xf>
    <xf numFmtId="172" fontId="11" fillId="0" borderId="71" xfId="4" applyNumberFormat="1" applyFont="1" applyFill="1" applyBorder="1" applyAlignment="1" applyProtection="1">
      <alignment horizontal="left" vertical="center" indent="1"/>
      <protection hidden="1"/>
    </xf>
    <xf numFmtId="172" fontId="11" fillId="0" borderId="72" xfId="4" applyNumberFormat="1" applyFont="1" applyFill="1" applyBorder="1" applyAlignment="1" applyProtection="1">
      <alignment horizontal="left" vertical="center" indent="1"/>
      <protection hidden="1"/>
    </xf>
    <xf numFmtId="172" fontId="22" fillId="6" borderId="89" xfId="0" applyNumberFormat="1" applyFont="1" applyFill="1" applyBorder="1" applyAlignment="1" applyProtection="1">
      <alignment horizontal="center" vertical="top" wrapText="1"/>
      <protection hidden="1"/>
    </xf>
    <xf numFmtId="172" fontId="22" fillId="6" borderId="5" xfId="0" applyNumberFormat="1" applyFont="1" applyFill="1" applyBorder="1" applyAlignment="1" applyProtection="1">
      <alignment horizontal="center" vertical="top" wrapText="1"/>
      <protection hidden="1"/>
    </xf>
    <xf numFmtId="172" fontId="22" fillId="6" borderId="95" xfId="0" applyNumberFormat="1" applyFont="1" applyFill="1" applyBorder="1" applyAlignment="1" applyProtection="1">
      <alignment horizontal="center" vertical="top" wrapText="1"/>
      <protection hidden="1"/>
    </xf>
    <xf numFmtId="172" fontId="22" fillId="6" borderId="6" xfId="0" applyNumberFormat="1" applyFont="1" applyFill="1" applyBorder="1" applyAlignment="1" applyProtection="1">
      <alignment horizontal="center" vertical="top" wrapText="1"/>
      <protection hidden="1"/>
    </xf>
    <xf numFmtId="172" fontId="22" fillId="6" borderId="20" xfId="0" applyNumberFormat="1" applyFont="1" applyFill="1" applyBorder="1" applyAlignment="1" applyProtection="1">
      <alignment horizontal="center" vertical="center"/>
      <protection hidden="1"/>
    </xf>
    <xf numFmtId="172" fontId="22" fillId="6" borderId="56" xfId="0" applyNumberFormat="1" applyFont="1" applyFill="1" applyBorder="1" applyAlignment="1" applyProtection="1">
      <alignment horizontal="center" vertical="center"/>
      <protection hidden="1"/>
    </xf>
    <xf numFmtId="0" fontId="11" fillId="5" borderId="25" xfId="4" applyFont="1" applyFill="1" applyBorder="1" applyAlignment="1" applyProtection="1">
      <alignment horizontal="center" vertical="top" wrapText="1"/>
      <protection hidden="1"/>
    </xf>
    <xf numFmtId="0" fontId="11" fillId="5" borderId="11" xfId="4" applyFont="1" applyFill="1" applyBorder="1" applyAlignment="1" applyProtection="1">
      <alignment horizontal="center" vertical="top" wrapText="1"/>
      <protection hidden="1"/>
    </xf>
    <xf numFmtId="0" fontId="11" fillId="5" borderId="45" xfId="0" applyFont="1" applyFill="1" applyBorder="1" applyAlignment="1" applyProtection="1">
      <alignment horizontal="center" vertical="center"/>
      <protection hidden="1"/>
    </xf>
    <xf numFmtId="0" fontId="11" fillId="5" borderId="71" xfId="0" applyFont="1" applyFill="1" applyBorder="1" applyAlignment="1" applyProtection="1">
      <alignment horizontal="center" vertical="center"/>
      <protection hidden="1"/>
    </xf>
    <xf numFmtId="0" fontId="11" fillId="5" borderId="72" xfId="0" applyFont="1" applyFill="1" applyBorder="1" applyAlignment="1" applyProtection="1">
      <alignment horizontal="center" vertical="center"/>
      <protection hidden="1"/>
    </xf>
    <xf numFmtId="0" fontId="11" fillId="5" borderId="45" xfId="4" applyFont="1" applyFill="1" applyBorder="1" applyAlignment="1" applyProtection="1">
      <alignment horizontal="center" vertical="center" wrapText="1"/>
      <protection hidden="1"/>
    </xf>
    <xf numFmtId="0" fontId="11" fillId="5" borderId="71" xfId="4" applyFont="1" applyFill="1" applyBorder="1" applyAlignment="1" applyProtection="1">
      <alignment horizontal="center" vertical="center"/>
      <protection hidden="1"/>
    </xf>
    <xf numFmtId="0" fontId="11" fillId="5" borderId="72" xfId="4" applyFont="1" applyFill="1" applyBorder="1" applyAlignment="1" applyProtection="1">
      <alignment horizontal="center" vertical="center"/>
      <protection hidden="1"/>
    </xf>
    <xf numFmtId="0" fontId="11" fillId="5" borderId="5" xfId="4" applyFont="1" applyFill="1" applyBorder="1" applyAlignment="1" applyProtection="1">
      <alignment horizontal="center" vertical="top" wrapText="1"/>
      <protection hidden="1"/>
    </xf>
    <xf numFmtId="0" fontId="11" fillId="5" borderId="89" xfId="4" applyFont="1" applyFill="1" applyBorder="1" applyAlignment="1" applyProtection="1">
      <alignment horizontal="center" vertical="top" wrapText="1"/>
      <protection hidden="1"/>
    </xf>
    <xf numFmtId="0" fontId="11" fillId="5" borderId="35" xfId="0" applyFont="1" applyFill="1" applyBorder="1" applyAlignment="1" applyProtection="1">
      <alignment horizontal="center" vertical="center" wrapText="1"/>
      <protection hidden="1"/>
    </xf>
    <xf numFmtId="0" fontId="11" fillId="5" borderId="58" xfId="0" applyFont="1" applyFill="1" applyBorder="1" applyAlignment="1" applyProtection="1">
      <alignment horizontal="center" vertical="center" wrapText="1"/>
      <protection hidden="1"/>
    </xf>
    <xf numFmtId="0" fontId="11" fillId="5" borderId="36" xfId="0" applyFont="1" applyFill="1" applyBorder="1" applyAlignment="1" applyProtection="1">
      <alignment horizontal="center" vertical="center" wrapText="1"/>
      <protection hidden="1"/>
    </xf>
    <xf numFmtId="172" fontId="11" fillId="5" borderId="5" xfId="0" applyNumberFormat="1" applyFont="1" applyFill="1" applyBorder="1" applyAlignment="1" applyProtection="1">
      <alignment horizontal="center" vertical="top" wrapText="1"/>
      <protection hidden="1"/>
    </xf>
    <xf numFmtId="172" fontId="23" fillId="11" borderId="20" xfId="0" applyNumberFormat="1" applyFont="1" applyFill="1" applyBorder="1" applyAlignment="1" applyProtection="1">
      <alignment horizontal="center" vertical="center"/>
      <protection hidden="1"/>
    </xf>
    <xf numFmtId="172" fontId="23" fillId="11" borderId="56" xfId="0" applyNumberFormat="1" applyFont="1" applyFill="1" applyBorder="1" applyAlignment="1" applyProtection="1">
      <alignment horizontal="center" vertical="center"/>
      <protection hidden="1"/>
    </xf>
    <xf numFmtId="172" fontId="23" fillId="11" borderId="89" xfId="0" applyNumberFormat="1" applyFont="1" applyFill="1" applyBorder="1" applyAlignment="1" applyProtection="1">
      <alignment horizontal="center" vertical="top" wrapText="1"/>
      <protection hidden="1"/>
    </xf>
    <xf numFmtId="172" fontId="23" fillId="11" borderId="5" xfId="0" applyNumberFormat="1" applyFont="1" applyFill="1" applyBorder="1" applyAlignment="1" applyProtection="1">
      <alignment horizontal="center" vertical="top" wrapText="1"/>
      <protection hidden="1"/>
    </xf>
    <xf numFmtId="172" fontId="23" fillId="11" borderId="95" xfId="0" applyNumberFormat="1" applyFont="1" applyFill="1" applyBorder="1" applyAlignment="1" applyProtection="1">
      <alignment horizontal="center" vertical="top" wrapText="1"/>
      <protection hidden="1"/>
    </xf>
    <xf numFmtId="172" fontId="23" fillId="11" borderId="6" xfId="0" applyNumberFormat="1" applyFont="1" applyFill="1" applyBorder="1" applyAlignment="1" applyProtection="1">
      <alignment horizontal="center" vertical="top" wrapText="1"/>
      <protection hidden="1"/>
    </xf>
    <xf numFmtId="172" fontId="23" fillId="11" borderId="24" xfId="0" applyNumberFormat="1" applyFont="1" applyFill="1" applyBorder="1" applyAlignment="1" applyProtection="1">
      <alignment horizontal="center" vertical="top" wrapText="1"/>
      <protection hidden="1"/>
    </xf>
    <xf numFmtId="172" fontId="23" fillId="11" borderId="7" xfId="0" applyNumberFormat="1" applyFont="1" applyFill="1" applyBorder="1" applyAlignment="1" applyProtection="1">
      <alignment horizontal="center" vertical="top" wrapText="1"/>
      <protection hidden="1"/>
    </xf>
    <xf numFmtId="172" fontId="23" fillId="11" borderId="96" xfId="0" applyNumberFormat="1" applyFont="1" applyFill="1" applyBorder="1" applyAlignment="1" applyProtection="1">
      <alignment horizontal="center" vertical="top" wrapText="1"/>
      <protection hidden="1"/>
    </xf>
    <xf numFmtId="172" fontId="23" fillId="11" borderId="73" xfId="0" applyNumberFormat="1" applyFont="1" applyFill="1" applyBorder="1" applyAlignment="1" applyProtection="1">
      <alignment horizontal="center" vertical="center"/>
      <protection hidden="1"/>
    </xf>
    <xf numFmtId="172" fontId="23" fillId="11" borderId="74" xfId="0" applyNumberFormat="1" applyFont="1" applyFill="1" applyBorder="1" applyAlignment="1" applyProtection="1">
      <alignment horizontal="center" vertical="center"/>
      <protection hidden="1"/>
    </xf>
    <xf numFmtId="172" fontId="23" fillId="11" borderId="68" xfId="0" applyNumberFormat="1" applyFont="1" applyFill="1" applyBorder="1" applyAlignment="1" applyProtection="1">
      <alignment horizontal="center" vertical="center"/>
      <protection hidden="1"/>
    </xf>
    <xf numFmtId="172" fontId="23" fillId="48" borderId="20" xfId="0" applyNumberFormat="1" applyFont="1" applyFill="1" applyBorder="1" applyAlignment="1" applyProtection="1">
      <alignment horizontal="center" vertical="center"/>
      <protection hidden="1"/>
    </xf>
    <xf numFmtId="172" fontId="23" fillId="48" borderId="56" xfId="0" applyNumberFormat="1" applyFont="1" applyFill="1" applyBorder="1" applyAlignment="1" applyProtection="1">
      <alignment horizontal="center" vertical="center"/>
      <protection hidden="1"/>
    </xf>
    <xf numFmtId="172" fontId="23" fillId="48" borderId="24" xfId="0" applyNumberFormat="1" applyFont="1" applyFill="1" applyBorder="1" applyAlignment="1" applyProtection="1">
      <alignment horizontal="center" vertical="top" wrapText="1"/>
      <protection hidden="1"/>
    </xf>
    <xf numFmtId="172" fontId="23" fillId="48" borderId="113" xfId="0" applyNumberFormat="1" applyFont="1" applyFill="1" applyBorder="1" applyAlignment="1" applyProtection="1">
      <alignment horizontal="center" vertical="top" wrapText="1"/>
      <protection hidden="1"/>
    </xf>
    <xf numFmtId="172" fontId="23" fillId="48" borderId="73" xfId="0" applyNumberFormat="1" applyFont="1" applyFill="1" applyBorder="1" applyAlignment="1" applyProtection="1">
      <alignment horizontal="center" vertical="center"/>
      <protection hidden="1"/>
    </xf>
    <xf numFmtId="172" fontId="23" fillId="48" borderId="74" xfId="0" applyNumberFormat="1" applyFont="1" applyFill="1" applyBorder="1" applyAlignment="1" applyProtection="1">
      <alignment horizontal="center" vertical="center"/>
      <protection hidden="1"/>
    </xf>
    <xf numFmtId="172" fontId="23" fillId="48" borderId="68" xfId="0" applyNumberFormat="1" applyFont="1" applyFill="1" applyBorder="1" applyAlignment="1" applyProtection="1">
      <alignment horizontal="center" vertical="center"/>
      <protection hidden="1"/>
    </xf>
    <xf numFmtId="172" fontId="23" fillId="48" borderId="167" xfId="0" applyNumberFormat="1" applyFont="1" applyFill="1" applyBorder="1" applyAlignment="1" applyProtection="1">
      <alignment horizontal="center" vertical="top" wrapText="1"/>
      <protection hidden="1"/>
    </xf>
    <xf numFmtId="172" fontId="23" fillId="48" borderId="5" xfId="0" applyNumberFormat="1" applyFont="1" applyFill="1" applyBorder="1" applyAlignment="1" applyProtection="1">
      <alignment horizontal="center" vertical="top" wrapText="1"/>
      <protection hidden="1"/>
    </xf>
    <xf numFmtId="172" fontId="23" fillId="48" borderId="166" xfId="0" applyNumberFormat="1" applyFont="1" applyFill="1" applyBorder="1" applyAlignment="1" applyProtection="1">
      <alignment horizontal="center" vertical="top" wrapText="1"/>
      <protection hidden="1"/>
    </xf>
    <xf numFmtId="172" fontId="23" fillId="48" borderId="114" xfId="0" applyNumberFormat="1" applyFont="1" applyFill="1" applyBorder="1" applyAlignment="1" applyProtection="1">
      <alignment horizontal="center" vertical="top" wrapText="1"/>
      <protection hidden="1"/>
    </xf>
    <xf numFmtId="172" fontId="23" fillId="48" borderId="169" xfId="0" applyNumberFormat="1" applyFont="1" applyFill="1" applyBorder="1" applyAlignment="1" applyProtection="1">
      <alignment horizontal="center" vertical="top" wrapText="1"/>
      <protection hidden="1"/>
    </xf>
    <xf numFmtId="0" fontId="11" fillId="5" borderId="45" xfId="4" applyFont="1" applyFill="1" applyBorder="1" applyAlignment="1" applyProtection="1">
      <alignment horizontal="center" vertical="center"/>
      <protection hidden="1"/>
    </xf>
    <xf numFmtId="0" fontId="11" fillId="5" borderId="20" xfId="4" applyFont="1" applyFill="1" applyBorder="1" applyAlignment="1" applyProtection="1">
      <alignment horizontal="center" vertical="center" wrapText="1"/>
      <protection hidden="1"/>
    </xf>
    <xf numFmtId="0" fontId="11" fillId="5" borderId="56" xfId="4" applyFont="1" applyFill="1" applyBorder="1" applyAlignment="1" applyProtection="1">
      <alignment horizontal="center" vertical="center" wrapText="1"/>
      <protection hidden="1"/>
    </xf>
    <xf numFmtId="0" fontId="11" fillId="5" borderId="22" xfId="4" applyFont="1" applyFill="1" applyBorder="1" applyAlignment="1" applyProtection="1">
      <alignment horizontal="center" vertical="center" wrapText="1"/>
      <protection hidden="1"/>
    </xf>
    <xf numFmtId="0" fontId="11" fillId="5" borderId="9" xfId="4" applyFont="1" applyFill="1" applyBorder="1" applyAlignment="1" applyProtection="1">
      <alignment horizontal="center" vertical="center" wrapText="1"/>
      <protection hidden="1"/>
    </xf>
    <xf numFmtId="0" fontId="11" fillId="5" borderId="0" xfId="4" applyFont="1" applyFill="1" applyBorder="1" applyAlignment="1" applyProtection="1">
      <alignment horizontal="center" vertical="center" wrapText="1"/>
      <protection hidden="1"/>
    </xf>
    <xf numFmtId="0" fontId="11" fillId="5" borderId="10" xfId="4" applyFont="1" applyFill="1" applyBorder="1" applyAlignment="1" applyProtection="1">
      <alignment horizontal="center" vertical="center" wrapText="1"/>
      <protection hidden="1"/>
    </xf>
    <xf numFmtId="172" fontId="22" fillId="6" borderId="24" xfId="0" applyNumberFormat="1" applyFont="1" applyFill="1" applyBorder="1" applyAlignment="1" applyProtection="1">
      <alignment horizontal="center" vertical="top" wrapText="1"/>
      <protection hidden="1"/>
    </xf>
    <xf numFmtId="172" fontId="22" fillId="6" borderId="7" xfId="0" applyNumberFormat="1" applyFont="1" applyFill="1" applyBorder="1" applyAlignment="1" applyProtection="1">
      <alignment horizontal="center" vertical="top" wrapText="1"/>
      <protection hidden="1"/>
    </xf>
    <xf numFmtId="172" fontId="22" fillId="6" borderId="73" xfId="0" applyNumberFormat="1" applyFont="1" applyFill="1" applyBorder="1" applyAlignment="1" applyProtection="1">
      <alignment horizontal="center" vertical="center"/>
      <protection hidden="1"/>
    </xf>
    <xf numFmtId="172" fontId="22" fillId="6" borderId="74" xfId="0" applyNumberFormat="1" applyFont="1" applyFill="1" applyBorder="1" applyAlignment="1" applyProtection="1">
      <alignment horizontal="center" vertical="center"/>
      <protection hidden="1"/>
    </xf>
    <xf numFmtId="172" fontId="22" fillId="6" borderId="68" xfId="0" applyNumberFormat="1" applyFont="1" applyFill="1" applyBorder="1" applyAlignment="1" applyProtection="1">
      <alignment horizontal="center" vertical="center"/>
      <protection hidden="1"/>
    </xf>
    <xf numFmtId="172" fontId="22" fillId="6" borderId="38" xfId="0" applyNumberFormat="1" applyFont="1" applyFill="1" applyBorder="1" applyAlignment="1" applyProtection="1">
      <alignment horizontal="center" vertical="center"/>
      <protection hidden="1"/>
    </xf>
    <xf numFmtId="172" fontId="22" fillId="6" borderId="88" xfId="0" applyNumberFormat="1" applyFont="1" applyFill="1" applyBorder="1" applyAlignment="1" applyProtection="1">
      <alignment horizontal="center" vertical="center"/>
      <protection hidden="1"/>
    </xf>
    <xf numFmtId="172" fontId="22" fillId="6" borderId="90" xfId="0" applyNumberFormat="1" applyFont="1" applyFill="1" applyBorder="1" applyAlignment="1" applyProtection="1">
      <alignment horizontal="center" vertical="center"/>
      <protection hidden="1"/>
    </xf>
    <xf numFmtId="172" fontId="22" fillId="6" borderId="96" xfId="0" applyNumberFormat="1" applyFont="1" applyFill="1" applyBorder="1" applyAlignment="1" applyProtection="1">
      <alignment horizontal="center" vertical="top" wrapText="1"/>
      <protection hidden="1"/>
    </xf>
    <xf numFmtId="0" fontId="21" fillId="5" borderId="25" xfId="0" applyFont="1" applyFill="1" applyBorder="1" applyAlignment="1" applyProtection="1">
      <alignment horizontal="center" vertical="center"/>
      <protection hidden="1"/>
    </xf>
    <xf numFmtId="0" fontId="21" fillId="5" borderId="11" xfId="0" applyFont="1" applyFill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172" fontId="11" fillId="5" borderId="74" xfId="0" applyNumberFormat="1" applyFont="1" applyFill="1" applyBorder="1" applyAlignment="1" applyProtection="1">
      <alignment horizontal="center" vertical="center"/>
      <protection hidden="1"/>
    </xf>
    <xf numFmtId="172" fontId="11" fillId="5" borderId="25" xfId="0" applyNumberFormat="1" applyFont="1" applyFill="1" applyBorder="1" applyAlignment="1" applyProtection="1">
      <alignment horizontal="center" vertical="top" wrapText="1"/>
      <protection hidden="1"/>
    </xf>
    <xf numFmtId="172" fontId="11" fillId="5" borderId="11" xfId="0" applyNumberFormat="1" applyFont="1" applyFill="1" applyBorder="1" applyAlignment="1" applyProtection="1">
      <alignment horizontal="center" vertical="top" wrapText="1"/>
      <protection hidden="1"/>
    </xf>
    <xf numFmtId="172" fontId="11" fillId="5" borderId="73" xfId="0" applyNumberFormat="1" applyFont="1" applyFill="1" applyBorder="1" applyAlignment="1" applyProtection="1">
      <alignment horizontal="center" vertical="center"/>
      <protection hidden="1"/>
    </xf>
    <xf numFmtId="172" fontId="11" fillId="5" borderId="68" xfId="0" applyNumberFormat="1" applyFont="1" applyFill="1" applyBorder="1" applyAlignment="1" applyProtection="1">
      <alignment horizontal="center" vertical="center"/>
      <protection hidden="1"/>
    </xf>
    <xf numFmtId="0" fontId="10" fillId="0" borderId="68" xfId="0" applyFont="1" applyBorder="1" applyAlignment="1" applyProtection="1">
      <alignment horizontal="center" vertical="center"/>
      <protection hidden="1"/>
    </xf>
    <xf numFmtId="172" fontId="11" fillId="5" borderId="73" xfId="0" applyNumberFormat="1" applyFont="1" applyFill="1" applyBorder="1" applyAlignment="1" applyProtection="1">
      <alignment horizontal="center" vertical="top" wrapText="1"/>
      <protection hidden="1"/>
    </xf>
    <xf numFmtId="0" fontId="10" fillId="5" borderId="68" xfId="0" applyFont="1" applyFill="1" applyBorder="1" applyAlignment="1" applyProtection="1">
      <alignment horizontal="center" vertical="top" wrapText="1"/>
      <protection hidden="1"/>
    </xf>
    <xf numFmtId="172" fontId="11" fillId="5" borderId="74" xfId="0" applyNumberFormat="1" applyFont="1" applyFill="1" applyBorder="1" applyAlignment="1" applyProtection="1">
      <alignment horizontal="center" vertical="top" wrapText="1"/>
      <protection hidden="1"/>
    </xf>
    <xf numFmtId="0" fontId="11" fillId="0" borderId="45" xfId="0" applyNumberFormat="1" applyFont="1" applyFill="1" applyBorder="1" applyAlignment="1" applyProtection="1">
      <alignment horizontal="left" vertical="center" indent="1"/>
      <protection hidden="1"/>
    </xf>
    <xf numFmtId="0" fontId="11" fillId="0" borderId="71" xfId="0" applyNumberFormat="1" applyFont="1" applyFill="1" applyBorder="1" applyAlignment="1" applyProtection="1">
      <alignment horizontal="left" vertical="center" indent="1"/>
      <protection hidden="1"/>
    </xf>
    <xf numFmtId="0" fontId="11" fillId="0" borderId="72" xfId="0" applyNumberFormat="1" applyFont="1" applyFill="1" applyBorder="1" applyAlignment="1" applyProtection="1">
      <alignment horizontal="left" vertical="center" indent="1"/>
      <protection hidden="1"/>
    </xf>
    <xf numFmtId="0" fontId="11" fillId="2" borderId="95" xfId="0" applyFont="1" applyFill="1" applyBorder="1" applyAlignment="1" applyProtection="1">
      <alignment horizontal="center" vertical="top" wrapText="1"/>
      <protection hidden="1"/>
    </xf>
    <xf numFmtId="0" fontId="11" fillId="2" borderId="12" xfId="0" applyFont="1" applyFill="1" applyBorder="1" applyAlignment="1" applyProtection="1">
      <alignment horizontal="center" vertical="top" wrapText="1"/>
      <protection hidden="1"/>
    </xf>
    <xf numFmtId="0" fontId="11" fillId="2" borderId="25" xfId="0" applyFont="1" applyFill="1" applyBorder="1" applyAlignment="1" applyProtection="1">
      <alignment horizontal="center" vertical="top" wrapText="1"/>
      <protection hidden="1"/>
    </xf>
    <xf numFmtId="0" fontId="11" fillId="2" borderId="11" xfId="0" applyFont="1" applyFill="1" applyBorder="1" applyAlignment="1" applyProtection="1">
      <alignment horizontal="center" vertical="top" wrapText="1"/>
      <protection hidden="1"/>
    </xf>
    <xf numFmtId="0" fontId="11" fillId="2" borderId="56" xfId="0" applyFont="1" applyFill="1" applyBorder="1" applyAlignment="1" applyProtection="1">
      <alignment horizontal="center" vertical="center" wrapText="1"/>
      <protection hidden="1"/>
    </xf>
    <xf numFmtId="0" fontId="11" fillId="2" borderId="22" xfId="0" applyFont="1" applyFill="1" applyBorder="1" applyAlignment="1" applyProtection="1">
      <alignment horizontal="center" vertical="center" wrapText="1"/>
      <protection hidden="1"/>
    </xf>
    <xf numFmtId="0" fontId="10" fillId="4" borderId="11" xfId="0" applyFont="1" applyFill="1" applyBorder="1" applyAlignment="1" applyProtection="1">
      <alignment horizontal="center" vertical="top" wrapText="1"/>
      <protection hidden="1"/>
    </xf>
    <xf numFmtId="0" fontId="11" fillId="2" borderId="106" xfId="0" applyFont="1" applyFill="1" applyBorder="1" applyAlignment="1" applyProtection="1">
      <alignment horizontal="center" vertical="top" wrapText="1"/>
      <protection hidden="1"/>
    </xf>
    <xf numFmtId="0" fontId="11" fillId="4" borderId="113" xfId="0" applyFont="1" applyFill="1" applyBorder="1" applyAlignment="1" applyProtection="1">
      <alignment horizontal="center" vertical="top" wrapText="1"/>
      <protection hidden="1"/>
    </xf>
    <xf numFmtId="0" fontId="11" fillId="0" borderId="45" xfId="0" applyFont="1" applyFill="1" applyBorder="1" applyAlignment="1" applyProtection="1">
      <alignment horizontal="left" vertical="center" indent="1"/>
      <protection hidden="1"/>
    </xf>
    <xf numFmtId="0" fontId="11" fillId="0" borderId="71" xfId="0" applyFont="1" applyFill="1" applyBorder="1" applyAlignment="1" applyProtection="1">
      <alignment horizontal="left" vertical="center" indent="1"/>
      <protection hidden="1"/>
    </xf>
    <xf numFmtId="0" fontId="11" fillId="0" borderId="72" xfId="0" applyFont="1" applyFill="1" applyBorder="1" applyAlignment="1" applyProtection="1">
      <alignment horizontal="left" vertical="center" indent="1"/>
      <protection hidden="1"/>
    </xf>
    <xf numFmtId="0" fontId="11" fillId="4" borderId="38" xfId="0" applyFont="1" applyFill="1" applyBorder="1" applyAlignment="1" applyProtection="1">
      <alignment horizontal="center" vertical="center" wrapText="1"/>
      <protection hidden="1"/>
    </xf>
    <xf numFmtId="0" fontId="11" fillId="4" borderId="88" xfId="0" applyFont="1" applyFill="1" applyBorder="1" applyAlignment="1" applyProtection="1">
      <alignment horizontal="center" vertical="center" wrapText="1"/>
      <protection hidden="1"/>
    </xf>
    <xf numFmtId="0" fontId="11" fillId="4" borderId="101" xfId="0" applyFont="1" applyFill="1" applyBorder="1" applyAlignment="1" applyProtection="1">
      <alignment horizontal="center" vertical="center" wrapText="1"/>
      <protection hidden="1"/>
    </xf>
    <xf numFmtId="0" fontId="11" fillId="10" borderId="73" xfId="0" applyFont="1" applyFill="1" applyBorder="1" applyAlignment="1" applyProtection="1">
      <alignment horizontal="center" vertical="center"/>
      <protection hidden="1"/>
    </xf>
    <xf numFmtId="0" fontId="11" fillId="10" borderId="74" xfId="0" applyFont="1" applyFill="1" applyBorder="1" applyAlignment="1" applyProtection="1">
      <alignment horizontal="center" vertical="center"/>
      <protection hidden="1"/>
    </xf>
    <xf numFmtId="0" fontId="11" fillId="10" borderId="68" xfId="0" applyFont="1" applyFill="1" applyBorder="1" applyAlignment="1" applyProtection="1">
      <alignment horizontal="center" vertical="center"/>
      <protection hidden="1"/>
    </xf>
    <xf numFmtId="0" fontId="11" fillId="2" borderId="61" xfId="0" applyFont="1" applyFill="1" applyBorder="1" applyAlignment="1" applyProtection="1">
      <alignment horizontal="left" vertical="top" wrapText="1"/>
      <protection hidden="1"/>
    </xf>
    <xf numFmtId="0" fontId="11" fillId="4" borderId="73" xfId="0" applyFont="1" applyFill="1" applyBorder="1" applyAlignment="1" applyProtection="1">
      <alignment horizontal="center" vertical="center"/>
      <protection hidden="1"/>
    </xf>
    <xf numFmtId="0" fontId="11" fillId="4" borderId="74" xfId="0" applyFont="1" applyFill="1" applyBorder="1" applyAlignment="1" applyProtection="1">
      <alignment horizontal="center" vertical="center"/>
      <protection hidden="1"/>
    </xf>
    <xf numFmtId="0" fontId="11" fillId="4" borderId="68" xfId="0" applyFont="1" applyFill="1" applyBorder="1" applyAlignment="1" applyProtection="1">
      <alignment horizontal="center" vertical="center"/>
      <protection hidden="1"/>
    </xf>
    <xf numFmtId="0" fontId="11" fillId="4" borderId="91" xfId="0" applyFont="1" applyFill="1" applyBorder="1" applyAlignment="1" applyProtection="1">
      <alignment horizontal="center" vertical="top" wrapText="1"/>
      <protection hidden="1"/>
    </xf>
    <xf numFmtId="0" fontId="11" fillId="4" borderId="11" xfId="0" applyFont="1" applyFill="1" applyBorder="1" applyAlignment="1" applyProtection="1">
      <alignment horizontal="center" vertical="top" wrapText="1"/>
      <protection hidden="1"/>
    </xf>
    <xf numFmtId="0" fontId="11" fillId="2" borderId="38" xfId="0" applyFont="1" applyFill="1" applyBorder="1" applyAlignment="1" applyProtection="1">
      <alignment horizontal="center" vertical="center"/>
      <protection hidden="1"/>
    </xf>
    <xf numFmtId="0" fontId="11" fillId="2" borderId="165" xfId="0" applyFont="1" applyFill="1" applyBorder="1" applyAlignment="1" applyProtection="1">
      <alignment horizontal="center" vertical="center"/>
      <protection hidden="1"/>
    </xf>
    <xf numFmtId="0" fontId="11" fillId="2" borderId="171" xfId="0" applyFont="1" applyFill="1" applyBorder="1" applyAlignment="1" applyProtection="1">
      <alignment horizontal="center" vertical="center"/>
      <protection hidden="1"/>
    </xf>
    <xf numFmtId="0" fontId="11" fillId="4" borderId="88" xfId="0" applyFont="1" applyFill="1" applyBorder="1" applyAlignment="1" applyProtection="1">
      <alignment horizontal="center" vertical="center"/>
      <protection hidden="1"/>
    </xf>
    <xf numFmtId="0" fontId="11" fillId="4" borderId="34" xfId="0" applyFont="1" applyFill="1" applyBorder="1" applyAlignment="1" applyProtection="1">
      <alignment horizontal="center" vertical="center"/>
      <protection hidden="1"/>
    </xf>
    <xf numFmtId="0" fontId="11" fillId="4" borderId="75" xfId="0" applyFont="1" applyFill="1" applyBorder="1" applyAlignment="1" applyProtection="1">
      <alignment horizontal="center" vertical="center"/>
      <protection hidden="1"/>
    </xf>
    <xf numFmtId="0" fontId="11" fillId="4" borderId="74" xfId="0" applyFont="1" applyFill="1" applyBorder="1" applyAlignment="1" applyProtection="1">
      <alignment horizontal="center" vertical="center" wrapText="1"/>
      <protection hidden="1"/>
    </xf>
    <xf numFmtId="0" fontId="11" fillId="4" borderId="68" xfId="0" applyFont="1" applyFill="1" applyBorder="1" applyAlignment="1" applyProtection="1">
      <alignment horizontal="center" vertical="center" wrapText="1"/>
      <protection hidden="1"/>
    </xf>
    <xf numFmtId="0" fontId="11" fillId="4" borderId="25" xfId="0" applyFont="1" applyFill="1" applyBorder="1" applyAlignment="1" applyProtection="1">
      <alignment horizontal="center" vertical="center" wrapText="1"/>
      <protection hidden="1"/>
    </xf>
    <xf numFmtId="0" fontId="11" fillId="4" borderId="11" xfId="0" applyFont="1" applyFill="1" applyBorder="1" applyAlignment="1" applyProtection="1">
      <alignment horizontal="center" vertical="center" wrapText="1"/>
      <protection hidden="1"/>
    </xf>
    <xf numFmtId="0" fontId="11" fillId="9" borderId="21" xfId="0" applyFont="1" applyFill="1" applyBorder="1" applyAlignment="1" applyProtection="1">
      <alignment horizontal="center" vertical="top" wrapText="1"/>
      <protection hidden="1"/>
    </xf>
    <xf numFmtId="0" fontId="11" fillId="9" borderId="27" xfId="0" applyFont="1" applyFill="1" applyBorder="1" applyAlignment="1" applyProtection="1">
      <alignment horizontal="center" vertical="top" wrapText="1"/>
      <protection hidden="1"/>
    </xf>
    <xf numFmtId="0" fontId="11" fillId="0" borderId="45" xfId="12" applyFont="1" applyFill="1" applyBorder="1" applyAlignment="1" applyProtection="1">
      <alignment horizontal="left" vertical="center" indent="1"/>
      <protection hidden="1"/>
    </xf>
    <xf numFmtId="0" fontId="11" fillId="0" borderId="71" xfId="12" applyFont="1" applyFill="1" applyBorder="1" applyAlignment="1" applyProtection="1">
      <alignment horizontal="left" vertical="center" indent="1"/>
      <protection hidden="1"/>
    </xf>
    <xf numFmtId="0" fontId="11" fillId="0" borderId="72" xfId="12" applyFont="1" applyFill="1" applyBorder="1" applyAlignment="1" applyProtection="1">
      <alignment horizontal="left" vertical="center" indent="1"/>
      <protection hidden="1"/>
    </xf>
    <xf numFmtId="0" fontId="11" fillId="4" borderId="73" xfId="12" applyFont="1" applyFill="1" applyBorder="1" applyAlignment="1" applyProtection="1">
      <alignment horizontal="center" vertical="center"/>
      <protection hidden="1"/>
    </xf>
    <xf numFmtId="0" fontId="11" fillId="4" borderId="74" xfId="12" applyFont="1" applyFill="1" applyBorder="1" applyAlignment="1" applyProtection="1">
      <alignment horizontal="center" vertical="center"/>
      <protection hidden="1"/>
    </xf>
    <xf numFmtId="0" fontId="11" fillId="4" borderId="68" xfId="12" applyFont="1" applyFill="1" applyBorder="1" applyAlignment="1" applyProtection="1">
      <alignment horizontal="center" vertical="center"/>
      <protection hidden="1"/>
    </xf>
    <xf numFmtId="0" fontId="11" fillId="10" borderId="73" xfId="12" applyFont="1" applyFill="1" applyBorder="1" applyAlignment="1" applyProtection="1">
      <alignment horizontal="center" vertical="center"/>
      <protection hidden="1"/>
    </xf>
    <xf numFmtId="0" fontId="11" fillId="10" borderId="74" xfId="12" applyFont="1" applyFill="1" applyBorder="1" applyAlignment="1" applyProtection="1">
      <alignment horizontal="center" vertical="center"/>
      <protection hidden="1"/>
    </xf>
    <xf numFmtId="0" fontId="11" fillId="10" borderId="68" xfId="12" applyFont="1" applyFill="1" applyBorder="1" applyAlignment="1" applyProtection="1">
      <alignment horizontal="center" vertical="center"/>
      <protection hidden="1"/>
    </xf>
    <xf numFmtId="0" fontId="11" fillId="2" borderId="25" xfId="0" applyFont="1" applyFill="1" applyBorder="1" applyAlignment="1" applyProtection="1">
      <alignment horizontal="center" vertical="center" wrapText="1"/>
      <protection hidden="1"/>
    </xf>
    <xf numFmtId="0" fontId="11" fillId="2" borderId="17" xfId="0" applyFont="1" applyFill="1" applyBorder="1" applyAlignment="1" applyProtection="1">
      <alignment horizontal="center" vertical="center" wrapText="1"/>
      <protection hidden="1"/>
    </xf>
    <xf numFmtId="0" fontId="11" fillId="4" borderId="11" xfId="12" applyFont="1" applyFill="1" applyBorder="1" applyAlignment="1" applyProtection="1">
      <alignment horizontal="center" vertical="top" wrapText="1"/>
      <protection hidden="1"/>
    </xf>
    <xf numFmtId="0" fontId="10" fillId="4" borderId="11" xfId="12" applyFont="1" applyFill="1" applyBorder="1" applyAlignment="1" applyProtection="1">
      <alignment horizontal="center" vertical="top"/>
      <protection hidden="1"/>
    </xf>
    <xf numFmtId="0" fontId="11" fillId="2" borderId="114" xfId="12" applyFont="1" applyFill="1" applyBorder="1" applyAlignment="1" applyProtection="1">
      <alignment horizontal="center" vertical="top" wrapText="1"/>
      <protection hidden="1"/>
    </xf>
    <xf numFmtId="0" fontId="11" fillId="4" borderId="169" xfId="12" applyFont="1" applyFill="1" applyBorder="1" applyAlignment="1" applyProtection="1">
      <alignment horizontal="center" vertical="top" wrapText="1"/>
      <protection hidden="1"/>
    </xf>
    <xf numFmtId="0" fontId="11" fillId="4" borderId="113" xfId="12" applyFont="1" applyFill="1" applyBorder="1" applyAlignment="1" applyProtection="1">
      <alignment horizontal="center" vertical="top" wrapText="1"/>
      <protection hidden="1"/>
    </xf>
    <xf numFmtId="0" fontId="11" fillId="4" borderId="38" xfId="12" applyFont="1" applyFill="1" applyBorder="1" applyAlignment="1" applyProtection="1">
      <alignment horizontal="center" vertical="center" wrapText="1"/>
      <protection hidden="1"/>
    </xf>
    <xf numFmtId="0" fontId="11" fillId="4" borderId="165" xfId="12" applyFont="1" applyFill="1" applyBorder="1" applyAlignment="1" applyProtection="1">
      <alignment horizontal="center" vertical="center" wrapText="1"/>
      <protection hidden="1"/>
    </xf>
    <xf numFmtId="0" fontId="11" fillId="4" borderId="171" xfId="12" applyFont="1" applyFill="1" applyBorder="1" applyAlignment="1" applyProtection="1">
      <alignment horizontal="center" vertical="center" wrapText="1"/>
      <protection hidden="1"/>
    </xf>
    <xf numFmtId="0" fontId="11" fillId="4" borderId="20" xfId="12" applyFont="1" applyFill="1" applyBorder="1" applyAlignment="1" applyProtection="1">
      <alignment horizontal="center"/>
      <protection hidden="1"/>
    </xf>
    <xf numFmtId="0" fontId="11" fillId="4" borderId="22" xfId="12" applyFont="1" applyFill="1" applyBorder="1" applyAlignment="1" applyProtection="1">
      <alignment horizontal="center"/>
      <protection hidden="1"/>
    </xf>
    <xf numFmtId="0" fontId="11" fillId="2" borderId="74" xfId="0" applyFont="1" applyFill="1" applyBorder="1" applyAlignment="1" applyProtection="1">
      <alignment horizontal="center" vertical="center"/>
      <protection hidden="1"/>
    </xf>
    <xf numFmtId="0" fontId="11" fillId="2" borderId="68" xfId="0" applyFont="1" applyFill="1" applyBorder="1" applyAlignment="1" applyProtection="1">
      <alignment horizontal="center" vertical="center"/>
      <protection hidden="1"/>
    </xf>
    <xf numFmtId="0" fontId="11" fillId="4" borderId="45" xfId="12" applyFont="1" applyFill="1" applyBorder="1" applyAlignment="1" applyProtection="1">
      <alignment horizontal="center" vertical="center"/>
      <protection hidden="1"/>
    </xf>
    <xf numFmtId="0" fontId="11" fillId="4" borderId="72" xfId="12" applyFont="1" applyFill="1" applyBorder="1" applyAlignment="1" applyProtection="1">
      <alignment horizontal="center" vertical="center"/>
      <protection hidden="1"/>
    </xf>
    <xf numFmtId="0" fontId="11" fillId="3" borderId="45" xfId="9" applyFont="1" applyFill="1" applyBorder="1" applyAlignment="1" applyProtection="1">
      <alignment horizontal="center" vertical="center"/>
      <protection hidden="1"/>
    </xf>
    <xf numFmtId="0" fontId="11" fillId="3" borderId="71" xfId="9" applyFont="1" applyFill="1" applyBorder="1" applyAlignment="1" applyProtection="1">
      <alignment horizontal="center" vertical="center"/>
      <protection hidden="1"/>
    </xf>
    <xf numFmtId="0" fontId="11" fillId="3" borderId="72" xfId="9" applyFont="1" applyFill="1" applyBorder="1" applyAlignment="1" applyProtection="1">
      <alignment horizontal="center" vertical="center"/>
      <protection hidden="1"/>
    </xf>
    <xf numFmtId="0" fontId="11" fillId="3" borderId="11" xfId="9" applyFont="1" applyFill="1" applyBorder="1" applyAlignment="1" applyProtection="1">
      <alignment horizontal="center" vertical="top" wrapText="1"/>
      <protection hidden="1"/>
    </xf>
    <xf numFmtId="0" fontId="11" fillId="2" borderId="20" xfId="0" applyFont="1" applyFill="1" applyBorder="1" applyAlignment="1" applyProtection="1">
      <alignment horizontal="center" vertical="center"/>
      <protection hidden="1"/>
    </xf>
    <xf numFmtId="0" fontId="11" fillId="2" borderId="56" xfId="0" applyFont="1" applyFill="1" applyBorder="1" applyAlignment="1" applyProtection="1">
      <alignment horizontal="center" vertical="center"/>
      <protection hidden="1"/>
    </xf>
    <xf numFmtId="0" fontId="11" fillId="2" borderId="22" xfId="0" applyFont="1" applyFill="1" applyBorder="1" applyAlignment="1" applyProtection="1">
      <alignment horizontal="center" vertical="center"/>
      <protection hidden="1"/>
    </xf>
    <xf numFmtId="0" fontId="11" fillId="2" borderId="162" xfId="0" applyFont="1" applyFill="1" applyBorder="1" applyAlignment="1" applyProtection="1">
      <alignment horizontal="center" vertical="top" wrapText="1"/>
      <protection hidden="1"/>
    </xf>
    <xf numFmtId="0" fontId="11" fillId="2" borderId="84" xfId="0" applyFont="1" applyFill="1" applyBorder="1" applyAlignment="1" applyProtection="1">
      <alignment horizontal="center" vertical="center" wrapText="1"/>
      <protection hidden="1"/>
    </xf>
    <xf numFmtId="0" fontId="11" fillId="2" borderId="62" xfId="0" applyFont="1" applyFill="1" applyBorder="1" applyAlignment="1" applyProtection="1">
      <alignment horizontal="center" vertical="center" wrapText="1"/>
      <protection hidden="1"/>
    </xf>
    <xf numFmtId="0" fontId="11" fillId="2" borderId="44" xfId="0" applyFont="1" applyFill="1" applyBorder="1" applyAlignment="1" applyProtection="1">
      <alignment horizontal="center" vertical="center" wrapText="1"/>
      <protection hidden="1"/>
    </xf>
    <xf numFmtId="0" fontId="11" fillId="2" borderId="107" xfId="0" applyFont="1" applyFill="1" applyBorder="1" applyAlignment="1" applyProtection="1">
      <alignment horizontal="center" vertical="center" wrapText="1"/>
      <protection hidden="1"/>
    </xf>
    <xf numFmtId="0" fontId="11" fillId="3" borderId="25" xfId="9" applyFont="1" applyFill="1" applyBorder="1" applyAlignment="1" applyProtection="1">
      <alignment horizontal="center" vertical="top" wrapText="1"/>
      <protection hidden="1"/>
    </xf>
    <xf numFmtId="0" fontId="11" fillId="2" borderId="163" xfId="0" applyFont="1" applyFill="1" applyBorder="1" applyAlignment="1" applyProtection="1">
      <alignment horizontal="center" vertical="top" wrapText="1"/>
      <protection hidden="1"/>
    </xf>
    <xf numFmtId="0" fontId="11" fillId="2" borderId="9" xfId="0" applyFont="1" applyFill="1" applyBorder="1" applyAlignment="1" applyProtection="1">
      <alignment horizontal="center" vertical="top" wrapText="1"/>
      <protection hidden="1"/>
    </xf>
    <xf numFmtId="0" fontId="11" fillId="2" borderId="104" xfId="0" applyFont="1" applyFill="1" applyBorder="1" applyAlignment="1" applyProtection="1">
      <alignment horizontal="center" vertical="center" wrapText="1"/>
      <protection hidden="1"/>
    </xf>
    <xf numFmtId="0" fontId="11" fillId="3" borderId="58" xfId="9" applyFont="1" applyFill="1" applyBorder="1" applyAlignment="1" applyProtection="1">
      <alignment horizontal="center" vertical="center"/>
      <protection hidden="1"/>
    </xf>
    <xf numFmtId="0" fontId="11" fillId="3" borderId="36" xfId="9" applyFont="1" applyFill="1" applyBorder="1" applyAlignment="1" applyProtection="1">
      <alignment horizontal="center" vertical="center"/>
      <protection hidden="1"/>
    </xf>
    <xf numFmtId="0" fontId="11" fillId="3" borderId="75" xfId="9" applyFont="1" applyFill="1" applyBorder="1" applyAlignment="1" applyProtection="1">
      <alignment horizontal="center" vertical="center"/>
      <protection hidden="1"/>
    </xf>
    <xf numFmtId="0" fontId="11" fillId="3" borderId="74" xfId="9" applyFont="1" applyFill="1" applyBorder="1" applyAlignment="1" applyProtection="1">
      <alignment horizontal="center" vertical="center"/>
      <protection hidden="1"/>
    </xf>
    <xf numFmtId="0" fontId="11" fillId="3" borderId="68" xfId="9" applyFont="1" applyFill="1" applyBorder="1" applyAlignment="1" applyProtection="1">
      <alignment horizontal="center" vertical="center"/>
      <protection hidden="1"/>
    </xf>
    <xf numFmtId="0" fontId="11" fillId="3" borderId="22" xfId="9" applyFont="1" applyFill="1" applyBorder="1" applyAlignment="1" applyProtection="1">
      <alignment horizontal="center" vertical="top" wrapText="1"/>
      <protection hidden="1"/>
    </xf>
    <xf numFmtId="0" fontId="11" fillId="3" borderId="10" xfId="9" applyFont="1" applyFill="1" applyBorder="1" applyAlignment="1" applyProtection="1">
      <alignment horizontal="center" vertical="top" wrapText="1"/>
      <protection hidden="1"/>
    </xf>
    <xf numFmtId="0" fontId="11" fillId="0" borderId="45" xfId="0" quotePrefix="1" applyFont="1" applyFill="1" applyBorder="1" applyAlignment="1" applyProtection="1">
      <alignment horizontal="left" vertical="center" indent="1"/>
      <protection hidden="1"/>
    </xf>
    <xf numFmtId="0" fontId="11" fillId="0" borderId="71" xfId="0" quotePrefix="1" applyFont="1" applyFill="1" applyBorder="1" applyAlignment="1" applyProtection="1">
      <alignment horizontal="left" vertical="center" indent="1"/>
      <protection hidden="1"/>
    </xf>
    <xf numFmtId="0" fontId="11" fillId="0" borderId="72" xfId="0" quotePrefix="1" applyFont="1" applyFill="1" applyBorder="1" applyAlignment="1" applyProtection="1">
      <alignment horizontal="left" vertical="center" indent="1"/>
      <protection hidden="1"/>
    </xf>
    <xf numFmtId="0" fontId="11" fillId="2" borderId="45" xfId="0" applyFont="1" applyFill="1" applyBorder="1" applyAlignment="1" applyProtection="1">
      <alignment horizontal="center" vertical="center"/>
      <protection hidden="1"/>
    </xf>
    <xf numFmtId="0" fontId="11" fillId="2" borderId="71" xfId="0" applyFont="1" applyFill="1" applyBorder="1" applyAlignment="1" applyProtection="1">
      <alignment horizontal="center" vertical="center"/>
      <protection hidden="1"/>
    </xf>
    <xf numFmtId="0" fontId="11" fillId="2" borderId="72" xfId="0" applyFont="1" applyFill="1" applyBorder="1" applyAlignment="1" applyProtection="1">
      <alignment horizontal="center" vertical="center"/>
      <protection hidden="1"/>
    </xf>
    <xf numFmtId="0" fontId="11" fillId="3" borderId="45" xfId="0" applyFont="1" applyFill="1" applyBorder="1" applyAlignment="1" applyProtection="1">
      <alignment horizontal="center" vertical="center"/>
      <protection hidden="1"/>
    </xf>
    <xf numFmtId="0" fontId="11" fillId="3" borderId="71" xfId="0" applyFont="1" applyFill="1" applyBorder="1" applyAlignment="1" applyProtection="1">
      <alignment horizontal="center" vertical="center"/>
      <protection hidden="1"/>
    </xf>
    <xf numFmtId="0" fontId="11" fillId="3" borderId="72" xfId="0" applyFont="1" applyFill="1" applyBorder="1" applyAlignment="1" applyProtection="1">
      <alignment horizontal="center" vertical="center"/>
      <protection hidden="1"/>
    </xf>
    <xf numFmtId="0" fontId="11" fillId="2" borderId="35" xfId="0" applyFont="1" applyFill="1" applyBorder="1" applyAlignment="1" applyProtection="1">
      <alignment horizontal="center" vertical="center"/>
      <protection hidden="1"/>
    </xf>
    <xf numFmtId="0" fontId="11" fillId="2" borderId="58" xfId="0" applyFont="1" applyFill="1" applyBorder="1" applyAlignment="1" applyProtection="1">
      <alignment horizontal="center" vertical="center"/>
      <protection hidden="1"/>
    </xf>
    <xf numFmtId="0" fontId="11" fillId="2" borderId="36" xfId="0" applyFont="1" applyFill="1" applyBorder="1" applyAlignment="1" applyProtection="1">
      <alignment horizontal="center" vertical="center"/>
      <protection hidden="1"/>
    </xf>
    <xf numFmtId="0" fontId="11" fillId="2" borderId="23" xfId="0" applyFont="1" applyFill="1" applyBorder="1" applyAlignment="1" applyProtection="1">
      <alignment horizontal="center" vertical="center"/>
      <protection hidden="1"/>
    </xf>
    <xf numFmtId="0" fontId="11" fillId="2" borderId="14" xfId="0" applyFont="1" applyFill="1" applyBorder="1" applyAlignment="1" applyProtection="1">
      <alignment horizontal="center" vertical="center"/>
      <protection hidden="1"/>
    </xf>
    <xf numFmtId="0" fontId="11" fillId="2" borderId="24" xfId="0" applyFont="1" applyFill="1" applyBorder="1" applyAlignment="1" applyProtection="1">
      <alignment horizontal="center" vertical="center"/>
      <protection hidden="1"/>
    </xf>
    <xf numFmtId="0" fontId="11" fillId="2" borderId="15" xfId="0" applyFont="1" applyFill="1" applyBorder="1" applyAlignment="1" applyProtection="1">
      <alignment horizontal="center" vertical="center"/>
      <protection hidden="1"/>
    </xf>
    <xf numFmtId="0" fontId="11" fillId="2" borderId="69" xfId="0" applyFont="1" applyFill="1" applyBorder="1" applyAlignment="1" applyProtection="1">
      <alignment horizontal="center" vertical="top" wrapText="1"/>
      <protection hidden="1"/>
    </xf>
    <xf numFmtId="0" fontId="11" fillId="2" borderId="48" xfId="0" applyFont="1" applyFill="1" applyBorder="1" applyAlignment="1" applyProtection="1">
      <alignment horizontal="center" vertical="top" wrapText="1"/>
      <protection hidden="1"/>
    </xf>
    <xf numFmtId="0" fontId="11" fillId="9" borderId="24" xfId="0" applyFont="1" applyFill="1" applyBorder="1" applyAlignment="1" applyProtection="1">
      <alignment horizontal="center" vertical="top" wrapText="1"/>
      <protection hidden="1"/>
    </xf>
    <xf numFmtId="0" fontId="11" fillId="9" borderId="113" xfId="0" applyFont="1" applyFill="1" applyBorder="1" applyAlignment="1" applyProtection="1">
      <alignment horizontal="center" vertical="top" wrapText="1"/>
      <protection hidden="1"/>
    </xf>
    <xf numFmtId="0" fontId="11" fillId="5" borderId="5" xfId="0" applyFont="1" applyFill="1" applyBorder="1" applyAlignment="1" applyProtection="1">
      <alignment horizontal="left" vertical="center" wrapText="1" indent="1"/>
      <protection hidden="1"/>
    </xf>
    <xf numFmtId="0" fontId="11" fillId="9" borderId="6" xfId="0" applyFont="1" applyFill="1" applyBorder="1" applyAlignment="1" applyProtection="1">
      <alignment horizontal="center" vertical="top" wrapText="1"/>
      <protection hidden="1"/>
    </xf>
    <xf numFmtId="172" fontId="11" fillId="5" borderId="165" xfId="0" applyNumberFormat="1" applyFont="1" applyFill="1" applyBorder="1" applyAlignment="1" applyProtection="1">
      <alignment horizontal="center" vertical="center"/>
      <protection hidden="1"/>
    </xf>
    <xf numFmtId="172" fontId="11" fillId="5" borderId="88" xfId="0" applyNumberFormat="1" applyFont="1" applyFill="1" applyBorder="1" applyAlignment="1" applyProtection="1">
      <alignment horizontal="center" vertical="center"/>
      <protection hidden="1"/>
    </xf>
    <xf numFmtId="172" fontId="11" fillId="5" borderId="101" xfId="0" applyNumberFormat="1" applyFont="1" applyFill="1" applyBorder="1" applyAlignment="1" applyProtection="1">
      <alignment horizontal="center" vertical="center"/>
      <protection hidden="1"/>
    </xf>
    <xf numFmtId="172" fontId="11" fillId="5" borderId="162" xfId="0" applyNumberFormat="1" applyFont="1" applyFill="1" applyBorder="1" applyAlignment="1" applyProtection="1">
      <alignment horizontal="center" vertical="center" wrapText="1"/>
      <protection hidden="1"/>
    </xf>
    <xf numFmtId="172" fontId="11" fillId="5" borderId="11" xfId="0" applyNumberFormat="1" applyFont="1" applyFill="1" applyBorder="1" applyAlignment="1" applyProtection="1">
      <alignment horizontal="center" vertical="center" wrapText="1"/>
      <protection hidden="1"/>
    </xf>
    <xf numFmtId="172" fontId="11" fillId="5" borderId="71" xfId="0" applyNumberFormat="1" applyFont="1" applyFill="1" applyBorder="1" applyAlignment="1" applyProtection="1">
      <alignment horizontal="center" vertical="center"/>
      <protection hidden="1"/>
    </xf>
    <xf numFmtId="172" fontId="11" fillId="5" borderId="72" xfId="0" applyNumberFormat="1" applyFont="1" applyFill="1" applyBorder="1" applyAlignment="1" applyProtection="1">
      <alignment horizontal="center" vertical="center"/>
      <protection hidden="1"/>
    </xf>
    <xf numFmtId="172" fontId="11" fillId="5" borderId="0" xfId="0" applyNumberFormat="1" applyFont="1" applyFill="1" applyBorder="1" applyAlignment="1" applyProtection="1">
      <alignment horizontal="center" vertical="center"/>
      <protection hidden="1"/>
    </xf>
    <xf numFmtId="172" fontId="11" fillId="5" borderId="10" xfId="0" applyNumberFormat="1" applyFont="1" applyFill="1" applyBorder="1" applyAlignment="1" applyProtection="1">
      <alignment horizontal="center" vertical="center"/>
      <protection hidden="1"/>
    </xf>
    <xf numFmtId="172" fontId="11" fillId="5" borderId="0" xfId="0" applyNumberFormat="1" applyFont="1" applyFill="1" applyBorder="1" applyAlignment="1" applyProtection="1">
      <alignment horizontal="center" vertical="top" wrapText="1"/>
      <protection hidden="1"/>
    </xf>
    <xf numFmtId="0" fontId="31" fillId="9" borderId="74" xfId="73" applyFont="1" applyFill="1" applyBorder="1" applyAlignment="1" applyProtection="1">
      <alignment horizontal="center" vertical="center"/>
      <protection hidden="1"/>
    </xf>
    <xf numFmtId="0" fontId="31" fillId="9" borderId="68" xfId="73" applyFont="1" applyFill="1" applyBorder="1" applyAlignment="1" applyProtection="1">
      <alignment horizontal="center" vertical="center"/>
      <protection hidden="1"/>
    </xf>
    <xf numFmtId="0" fontId="31" fillId="0" borderId="45" xfId="73" applyFont="1" applyFill="1" applyBorder="1" applyAlignment="1" applyProtection="1">
      <alignment horizontal="left" vertical="center" indent="1"/>
      <protection hidden="1"/>
    </xf>
    <xf numFmtId="0" fontId="31" fillId="0" borderId="71" xfId="73" applyFont="1" applyFill="1" applyBorder="1" applyAlignment="1" applyProtection="1">
      <alignment horizontal="left" vertical="center" indent="1"/>
      <protection hidden="1"/>
    </xf>
    <xf numFmtId="0" fontId="31" fillId="0" borderId="72" xfId="73" applyFont="1" applyFill="1" applyBorder="1" applyAlignment="1" applyProtection="1">
      <alignment horizontal="left" vertical="center" indent="1"/>
      <protection hidden="1"/>
    </xf>
    <xf numFmtId="0" fontId="31" fillId="9" borderId="75" xfId="73" applyFont="1" applyFill="1" applyBorder="1" applyAlignment="1" applyProtection="1">
      <alignment horizontal="center" vertical="center"/>
      <protection hidden="1"/>
    </xf>
    <xf numFmtId="0" fontId="31" fillId="9" borderId="73" xfId="73" applyFont="1" applyFill="1" applyBorder="1" applyAlignment="1" applyProtection="1">
      <alignment horizontal="center" vertical="center"/>
      <protection hidden="1"/>
    </xf>
    <xf numFmtId="0" fontId="11" fillId="0" borderId="59" xfId="0" applyFont="1" applyFill="1" applyBorder="1" applyAlignment="1" applyProtection="1">
      <alignment horizontal="center" vertical="top"/>
      <protection hidden="1"/>
    </xf>
    <xf numFmtId="0" fontId="11" fillId="0" borderId="58" xfId="0" applyFont="1" applyFill="1" applyBorder="1" applyAlignment="1" applyProtection="1">
      <alignment horizontal="center" vertical="top"/>
      <protection hidden="1"/>
    </xf>
    <xf numFmtId="0" fontId="11" fillId="0" borderId="59" xfId="0" applyFont="1" applyFill="1" applyBorder="1" applyAlignment="1" applyProtection="1">
      <alignment horizontal="center" vertical="top" wrapText="1"/>
      <protection hidden="1"/>
    </xf>
    <xf numFmtId="0" fontId="11" fillId="0" borderId="41" xfId="0" applyFont="1" applyFill="1" applyBorder="1" applyAlignment="1" applyProtection="1">
      <alignment horizontal="center" vertical="top" wrapText="1"/>
      <protection hidden="1"/>
    </xf>
    <xf numFmtId="0" fontId="11" fillId="0" borderId="11" xfId="0" applyFont="1" applyFill="1" applyBorder="1" applyAlignment="1" applyProtection="1">
      <alignment horizontal="center" vertical="top" wrapText="1"/>
      <protection hidden="1"/>
    </xf>
    <xf numFmtId="0" fontId="11" fillId="0" borderId="59" xfId="8" applyNumberFormat="1" applyFont="1" applyBorder="1" applyAlignment="1" applyProtection="1">
      <alignment horizontal="center" vertical="top" wrapText="1"/>
      <protection hidden="1"/>
    </xf>
    <xf numFmtId="0" fontId="11" fillId="0" borderId="41" xfId="8" applyNumberFormat="1" applyFont="1" applyBorder="1" applyAlignment="1" applyProtection="1">
      <alignment horizontal="center" vertical="top" wrapText="1"/>
      <protection hidden="1"/>
    </xf>
    <xf numFmtId="0" fontId="11" fillId="0" borderId="74" xfId="0" applyFont="1" applyBorder="1" applyAlignment="1" applyProtection="1">
      <alignment horizontal="center" vertical="center"/>
      <protection hidden="1"/>
    </xf>
    <xf numFmtId="0" fontId="11" fillId="0" borderId="68" xfId="0" applyFont="1" applyBorder="1" applyAlignment="1" applyProtection="1">
      <alignment horizontal="center" vertical="center"/>
      <protection hidden="1"/>
    </xf>
    <xf numFmtId="0" fontId="11" fillId="0" borderId="58" xfId="0" applyFont="1" applyFill="1" applyBorder="1" applyAlignment="1" applyProtection="1">
      <alignment horizontal="center" vertical="top" wrapText="1"/>
      <protection hidden="1"/>
    </xf>
    <xf numFmtId="0" fontId="11" fillId="0" borderId="41" xfId="0" applyFont="1" applyFill="1" applyBorder="1" applyAlignment="1" applyProtection="1">
      <alignment horizontal="center" vertical="top"/>
      <protection hidden="1"/>
    </xf>
    <xf numFmtId="0" fontId="11" fillId="0" borderId="28" xfId="0" applyFont="1" applyFill="1" applyBorder="1" applyAlignment="1" applyProtection="1">
      <alignment horizontal="center" vertical="top" wrapText="1"/>
      <protection hidden="1"/>
    </xf>
    <xf numFmtId="0" fontId="11" fillId="0" borderId="36" xfId="0" applyFont="1" applyFill="1" applyBorder="1" applyAlignment="1" applyProtection="1">
      <alignment horizontal="center" vertical="top"/>
      <protection hidden="1"/>
    </xf>
    <xf numFmtId="0" fontId="11" fillId="0" borderId="35" xfId="0" applyFont="1" applyFill="1" applyBorder="1" applyAlignment="1" applyProtection="1">
      <alignment horizontal="center" vertical="top" wrapText="1"/>
      <protection hidden="1"/>
    </xf>
    <xf numFmtId="0" fontId="13" fillId="0" borderId="20" xfId="14" applyFont="1" applyBorder="1" applyAlignment="1" applyProtection="1">
      <alignment horizontal="center" vertical="center"/>
      <protection hidden="1"/>
    </xf>
    <xf numFmtId="0" fontId="13" fillId="0" borderId="40" xfId="14" applyFont="1" applyBorder="1" applyAlignment="1" applyProtection="1">
      <alignment horizontal="center" vertical="center"/>
      <protection hidden="1"/>
    </xf>
    <xf numFmtId="0" fontId="11" fillId="0" borderId="106" xfId="14" applyFont="1" applyBorder="1" applyAlignment="1" applyProtection="1">
      <alignment horizontal="center" vertical="top" wrapText="1"/>
      <protection hidden="1"/>
    </xf>
    <xf numFmtId="0" fontId="11" fillId="0" borderId="35" xfId="14" applyFont="1" applyBorder="1" applyAlignment="1" applyProtection="1">
      <alignment horizontal="center" vertical="center" wrapText="1"/>
      <protection hidden="1"/>
    </xf>
    <xf numFmtId="0" fontId="11" fillId="0" borderId="58" xfId="14" applyFont="1" applyBorder="1" applyAlignment="1" applyProtection="1">
      <alignment horizontal="center" vertical="center" wrapText="1"/>
      <protection hidden="1"/>
    </xf>
    <xf numFmtId="0" fontId="11" fillId="0" borderId="36" xfId="14" applyFont="1" applyBorder="1" applyAlignment="1" applyProtection="1">
      <alignment horizontal="center" vertical="center" wrapText="1"/>
      <protection hidden="1"/>
    </xf>
    <xf numFmtId="0" fontId="11" fillId="0" borderId="35" xfId="14" applyNumberFormat="1" applyFont="1" applyFill="1" applyBorder="1" applyAlignment="1" applyProtection="1">
      <alignment horizontal="center" vertical="center" wrapText="1"/>
      <protection hidden="1"/>
    </xf>
    <xf numFmtId="0" fontId="11" fillId="0" borderId="58" xfId="14" applyNumberFormat="1" applyFont="1" applyFill="1" applyBorder="1" applyAlignment="1" applyProtection="1">
      <alignment horizontal="center" vertical="center" wrapText="1"/>
      <protection hidden="1"/>
    </xf>
    <xf numFmtId="0" fontId="11" fillId="0" borderId="36" xfId="14" applyNumberFormat="1" applyFont="1" applyFill="1" applyBorder="1" applyAlignment="1" applyProtection="1">
      <alignment horizontal="center" vertical="center" wrapText="1"/>
      <protection hidden="1"/>
    </xf>
    <xf numFmtId="0" fontId="11" fillId="0" borderId="35" xfId="14" applyFont="1" applyBorder="1" applyAlignment="1" applyProtection="1">
      <alignment horizontal="center" vertical="center"/>
      <protection hidden="1"/>
    </xf>
    <xf numFmtId="0" fontId="11" fillId="0" borderId="58" xfId="14" applyFont="1" applyBorder="1" applyAlignment="1" applyProtection="1">
      <alignment horizontal="center" vertical="center"/>
      <protection hidden="1"/>
    </xf>
    <xf numFmtId="0" fontId="11" fillId="0" borderId="36" xfId="14" applyFont="1" applyBorder="1" applyAlignment="1" applyProtection="1">
      <alignment horizontal="center" vertical="center"/>
      <protection hidden="1"/>
    </xf>
    <xf numFmtId="0" fontId="11" fillId="0" borderId="73" xfId="14" applyFont="1" applyBorder="1" applyAlignment="1" applyProtection="1">
      <alignment horizontal="center" vertical="center"/>
      <protection hidden="1"/>
    </xf>
    <xf numFmtId="0" fontId="11" fillId="0" borderId="74" xfId="14" applyFont="1" applyBorder="1" applyAlignment="1" applyProtection="1">
      <alignment horizontal="center" vertical="center"/>
      <protection hidden="1"/>
    </xf>
    <xf numFmtId="0" fontId="11" fillId="0" borderId="68" xfId="14" applyFont="1" applyBorder="1" applyAlignment="1" applyProtection="1">
      <alignment horizontal="center" vertical="center"/>
      <protection hidden="1"/>
    </xf>
    <xf numFmtId="0" fontId="11" fillId="0" borderId="168" xfId="14" applyFont="1" applyBorder="1" applyAlignment="1" applyProtection="1">
      <alignment horizontal="center" vertical="top" wrapText="1"/>
      <protection hidden="1"/>
    </xf>
    <xf numFmtId="0" fontId="11" fillId="0" borderId="170" xfId="14" applyFont="1" applyBorder="1" applyAlignment="1" applyProtection="1">
      <alignment horizontal="center" vertical="top" wrapText="1"/>
      <protection hidden="1"/>
    </xf>
    <xf numFmtId="0" fontId="11" fillId="0" borderId="168" xfId="14" applyFont="1" applyBorder="1" applyAlignment="1" applyProtection="1">
      <alignment horizontal="center" vertical="top"/>
      <protection hidden="1"/>
    </xf>
    <xf numFmtId="0" fontId="11" fillId="0" borderId="165" xfId="14" applyFont="1" applyBorder="1" applyAlignment="1" applyProtection="1">
      <alignment horizontal="center" vertical="top"/>
      <protection hidden="1"/>
    </xf>
    <xf numFmtId="0" fontId="11" fillId="0" borderId="171" xfId="14" applyFont="1" applyBorder="1" applyAlignment="1" applyProtection="1">
      <alignment horizontal="center" vertical="top"/>
      <protection hidden="1"/>
    </xf>
    <xf numFmtId="0" fontId="13" fillId="0" borderId="74" xfId="14" applyNumberFormat="1" applyFont="1" applyFill="1" applyBorder="1" applyAlignment="1" applyProtection="1">
      <alignment horizontal="center" vertical="center" wrapText="1"/>
      <protection hidden="1"/>
    </xf>
    <xf numFmtId="0" fontId="13" fillId="0" borderId="68" xfId="14" applyNumberFormat="1" applyFont="1" applyFill="1" applyBorder="1" applyAlignment="1" applyProtection="1">
      <alignment horizontal="center" vertical="center" wrapText="1"/>
      <protection hidden="1"/>
    </xf>
    <xf numFmtId="172" fontId="13" fillId="0" borderId="75" xfId="14" applyNumberFormat="1" applyFont="1" applyFill="1" applyBorder="1" applyAlignment="1" applyProtection="1">
      <alignment horizontal="center" vertical="center"/>
      <protection hidden="1"/>
    </xf>
    <xf numFmtId="172" fontId="13" fillId="0" borderId="74" xfId="14" applyNumberFormat="1" applyFont="1" applyFill="1" applyBorder="1" applyAlignment="1" applyProtection="1">
      <alignment horizontal="center" vertical="center"/>
      <protection hidden="1"/>
    </xf>
    <xf numFmtId="172" fontId="13" fillId="0" borderId="68" xfId="14" applyNumberFormat="1" applyFont="1" applyFill="1" applyBorder="1" applyAlignment="1" applyProtection="1">
      <alignment horizontal="center" vertical="center"/>
      <protection hidden="1"/>
    </xf>
    <xf numFmtId="0" fontId="11" fillId="0" borderId="35" xfId="14" applyNumberFormat="1" applyFont="1" applyFill="1" applyBorder="1" applyAlignment="1" applyProtection="1">
      <alignment horizontal="center" vertical="center"/>
      <protection hidden="1"/>
    </xf>
    <xf numFmtId="0" fontId="11" fillId="0" borderId="58" xfId="14" applyNumberFormat="1" applyFont="1" applyFill="1" applyBorder="1" applyAlignment="1" applyProtection="1">
      <alignment horizontal="center" vertical="center"/>
      <protection hidden="1"/>
    </xf>
    <xf numFmtId="0" fontId="11" fillId="0" borderId="41" xfId="14" applyNumberFormat="1" applyFont="1" applyFill="1" applyBorder="1" applyAlignment="1" applyProtection="1">
      <alignment horizontal="center" vertical="center"/>
      <protection hidden="1"/>
    </xf>
    <xf numFmtId="0" fontId="11" fillId="0" borderId="7" xfId="14" applyNumberFormat="1" applyFont="1" applyFill="1" applyBorder="1" applyAlignment="1" applyProtection="1">
      <alignment horizontal="center" vertical="top" wrapText="1"/>
      <protection hidden="1"/>
    </xf>
  </cellXfs>
  <cellStyles count="157">
    <cellStyle name="20% - Accent1 2" xfId="15"/>
    <cellStyle name="20% - Accent2 2" xfId="16"/>
    <cellStyle name="20% - Accent3 2" xfId="17"/>
    <cellStyle name="20% - Accent4 2" xfId="18"/>
    <cellStyle name="20% - Accent5 2" xfId="19"/>
    <cellStyle name="20% - Accent6 2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lumn Header" xfId="42"/>
    <cellStyle name="Comma 2" xfId="1"/>
    <cellStyle name="Comma 2 2" xfId="2"/>
    <cellStyle name="Comma 3" xfId="3"/>
    <cellStyle name="Comma 3 2" xfId="43"/>
    <cellStyle name="Comma 3 3" xfId="13"/>
    <cellStyle name="Comma 4" xfId="44"/>
    <cellStyle name="Comma 4 2" xfId="45"/>
    <cellStyle name="Comma 5" xfId="46"/>
    <cellStyle name="Comma 5 2" xfId="47"/>
    <cellStyle name="Comma 6" xfId="48"/>
    <cellStyle name="Comma 7" xfId="49"/>
    <cellStyle name="Comma 7 2" xfId="50"/>
    <cellStyle name="Comma 8" xfId="51"/>
    <cellStyle name="Currency 2" xfId="52"/>
    <cellStyle name="Data (0 dp)" xfId="53"/>
    <cellStyle name="Data (1 dp)" xfId="54"/>
    <cellStyle name="Data (2 dp)" xfId="55"/>
    <cellStyle name="Data General" xfId="56"/>
    <cellStyle name="Explanatory Text 2" xfId="57"/>
    <cellStyle name="Footnote" xfId="58"/>
    <cellStyle name="Good 2" xfId="59"/>
    <cellStyle name="Heading 1 2" xfId="60"/>
    <cellStyle name="Heading 2 2" xfId="61"/>
    <cellStyle name="Heading 3 2" xfId="62"/>
    <cellStyle name="Heading 4 2" xfId="63"/>
    <cellStyle name="Hyperlink 2" xfId="64"/>
    <cellStyle name="Hyperlink 2 2" xfId="65"/>
    <cellStyle name="Hyperlink 3" xfId="66"/>
    <cellStyle name="Hyperlink 4" xfId="67"/>
    <cellStyle name="Hyperlink 5" xfId="68"/>
    <cellStyle name="Input 2" xfId="69"/>
    <cellStyle name="Linked Cell 2" xfId="70"/>
    <cellStyle name="Neutral 2" xfId="71"/>
    <cellStyle name="Normal" xfId="0" builtinId="0"/>
    <cellStyle name="Normal 10" xfId="72"/>
    <cellStyle name="Normal 11" xfId="73"/>
    <cellStyle name="Normal 12" xfId="74"/>
    <cellStyle name="Normal 13" xfId="75"/>
    <cellStyle name="Normal 14" xfId="76"/>
    <cellStyle name="Normal 15" xfId="77"/>
    <cellStyle name="Normal 15 2" xfId="78"/>
    <cellStyle name="Normal 16" xfId="79"/>
    <cellStyle name="Normal 16 2" xfId="80"/>
    <cellStyle name="Normal 2" xfId="4"/>
    <cellStyle name="Normal 2 2" xfId="5"/>
    <cellStyle name="Normal 2 3" xfId="12"/>
    <cellStyle name="Normal 2 4" xfId="81"/>
    <cellStyle name="Normal 2 5" xfId="82"/>
    <cellStyle name="Normal 2_GFU and SSI Teaching Grants for 2012-13, Additional Science inc STEM" xfId="83"/>
    <cellStyle name="Normal 2_RUK by FSG, 08-09 to 10-11" xfId="11"/>
    <cellStyle name="Normal 3" xfId="6"/>
    <cellStyle name="Normal 3 2" xfId="84"/>
    <cellStyle name="Normal 3 3" xfId="85"/>
    <cellStyle name="Normal 3 4" xfId="86"/>
    <cellStyle name="Normal 3_GFU and SSI Teaching Grants for 2012-13, Additional Science inc STEM" xfId="87"/>
    <cellStyle name="Normal 4" xfId="14"/>
    <cellStyle name="Normal 4 2" xfId="88"/>
    <cellStyle name="Normal 4 2 2" xfId="89"/>
    <cellStyle name="Normal 4 2 2 2" xfId="90"/>
    <cellStyle name="Normal 4 3" xfId="91"/>
    <cellStyle name="Normal 4_GFU and SSI Teaching Grants for 2012-13, Additional Science inc STEM" xfId="92"/>
    <cellStyle name="Normal 5" xfId="93"/>
    <cellStyle name="Normal 5 2" xfId="94"/>
    <cellStyle name="Normal 5 3" xfId="95"/>
    <cellStyle name="Normal 5 3 2" xfId="96"/>
    <cellStyle name="Normal 5 3_GFU and SSI Teaching Grants for 2012-13, Additional Science inc STEM" xfId="97"/>
    <cellStyle name="Normal 5_GFU and SSI Teaching Grants for 2012-13, Additional Science inc STEM" xfId="98"/>
    <cellStyle name="Normal 6" xfId="99"/>
    <cellStyle name="Normal 6 2" xfId="100"/>
    <cellStyle name="Normal 6 2 2" xfId="101"/>
    <cellStyle name="Normal 6 3" xfId="102"/>
    <cellStyle name="Normal 7" xfId="103"/>
    <cellStyle name="Normal 7 2" xfId="104"/>
    <cellStyle name="Normal 8" xfId="105"/>
    <cellStyle name="Normal 8 2" xfId="106"/>
    <cellStyle name="Normal 8_GFU and SSI Teaching Grants for 2012-13, Additional Science inc STEM" xfId="107"/>
    <cellStyle name="Normal 9" xfId="108"/>
    <cellStyle name="Normal 9 2" xfId="109"/>
    <cellStyle name="Normal Bold Text" xfId="110"/>
    <cellStyle name="Normal Italic Text" xfId="111"/>
    <cellStyle name="Normal Text" xfId="112"/>
    <cellStyle name="Normal_ABDN" xfId="7"/>
    <cellStyle name="Normal_GFU and SSI Teaching Grants for 2012-13, Additional Science inc STEM" xfId="8"/>
    <cellStyle name="Normal_Linked Table3 2004-05" xfId="9"/>
    <cellStyle name="Normal_Table1 ABER first cut" xfId="10"/>
    <cellStyle name="Note 2" xfId="113"/>
    <cellStyle name="Output 2" xfId="114"/>
    <cellStyle name="Percent (0 dp)" xfId="115"/>
    <cellStyle name="Percent (1 dp)" xfId="116"/>
    <cellStyle name="Percent (2 dp)" xfId="117"/>
    <cellStyle name="Percent 2" xfId="118"/>
    <cellStyle name="Percent 2 2" xfId="119"/>
    <cellStyle name="Percent 2 3" xfId="120"/>
    <cellStyle name="Percent 3" xfId="121"/>
    <cellStyle name="Percent 3 2" xfId="122"/>
    <cellStyle name="Percent 4" xfId="123"/>
    <cellStyle name="Percent 4 2" xfId="124"/>
    <cellStyle name="Percent 5" xfId="125"/>
    <cellStyle name="Percent 6" xfId="126"/>
    <cellStyle name="Row Header" xfId="127"/>
    <cellStyle name="Side Col Head" xfId="128"/>
    <cellStyle name="Source Note" xfId="129"/>
    <cellStyle name="Table Title" xfId="130"/>
    <cellStyle name="Top Level Col Head" xfId="131"/>
    <cellStyle name="Top Level Row Head" xfId="132"/>
    <cellStyle name="Total 2" xfId="133"/>
    <cellStyle name="Total Column Header" xfId="134"/>
    <cellStyle name="Total Data (0 dp)" xfId="135"/>
    <cellStyle name="Total Data (1 dp)" xfId="136"/>
    <cellStyle name="Total Data (2 dp)" xfId="137"/>
    <cellStyle name="Total Data General" xfId="138"/>
    <cellStyle name="Total Percent (0 dp)" xfId="139"/>
    <cellStyle name="Total Percent (1 dp)" xfId="140"/>
    <cellStyle name="Total Percent (2 dp)" xfId="141"/>
    <cellStyle name="Total Row Header" xfId="142"/>
    <cellStyle name="Total Side Col Head" xfId="143"/>
    <cellStyle name="Warning Text 2" xfId="144"/>
    <cellStyle name="Wrap Column Header" xfId="145"/>
    <cellStyle name="Wrap Normal Bold Text" xfId="146"/>
    <cellStyle name="Wrap Normal Italic Text" xfId="147"/>
    <cellStyle name="Wrap Normal Text" xfId="148"/>
    <cellStyle name="Wrap Row Header" xfId="149"/>
    <cellStyle name="Wrap Side Col Head" xfId="150"/>
    <cellStyle name="Wrap Table Title" xfId="151"/>
    <cellStyle name="Wrap Top Level Col Head" xfId="152"/>
    <cellStyle name="Wrap Top Level Row Head" xfId="153"/>
    <cellStyle name="Wrap Total Column Header" xfId="154"/>
    <cellStyle name="Wrap Total Row Header" xfId="155"/>
    <cellStyle name="Wrap Total Side Col Head" xfId="156"/>
  </cellStyles>
  <dxfs count="125">
    <dxf>
      <font>
        <color rgb="FFFF0000"/>
      </font>
    </dxf>
    <dxf>
      <fill>
        <patternFill patternType="none">
          <bgColor indexed="65"/>
        </patternFill>
      </fill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ont>
        <color rgb="FFFF0000"/>
      </font>
    </dxf>
    <dxf>
      <fill>
        <patternFill patternType="none">
          <bgColor auto="1"/>
        </patternFill>
      </fill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 patternType="none">
          <bgColor indexed="65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 patternType="none">
          <bgColor indexed="65"/>
        </patternFill>
      </fill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ont>
        <b/>
        <i val="0"/>
        <color rgb="FFFF0000"/>
      </font>
    </dxf>
    <dxf>
      <fill>
        <patternFill>
          <bgColor rgb="FFFFFFFF"/>
        </patternFill>
      </fill>
    </dxf>
    <dxf>
      <fill>
        <patternFill patternType="none">
          <bgColor auto="1"/>
        </patternFill>
      </fill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10"/>
      </font>
      <fill>
        <patternFill>
          <bgColor indexed="9"/>
        </patternFill>
      </fill>
      <border>
        <left/>
        <right/>
        <top/>
        <bottom/>
      </border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C0DA"/>
      <color rgb="FFCCFFFF"/>
      <color rgb="FF000080"/>
      <color rgb="FFD9D9D9"/>
      <color rgb="FFCCECFF"/>
      <color rgb="FF66FFFF"/>
      <color rgb="FF66CCFF"/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27"/>
  <sheetViews>
    <sheetView tabSelected="1" zoomScale="80" zoomScaleNormal="80" workbookViewId="0"/>
  </sheetViews>
  <sheetFormatPr defaultColWidth="9.140625" defaultRowHeight="15"/>
  <cols>
    <col min="1" max="1" width="3.7109375" style="631" customWidth="1"/>
    <col min="2" max="2" width="11.140625" style="631" customWidth="1"/>
    <col min="3" max="3" width="157.28515625" style="631" customWidth="1"/>
    <col min="4" max="4" width="14.28515625" style="631" customWidth="1"/>
    <col min="5" max="5" width="5.7109375" style="631" customWidth="1"/>
    <col min="6" max="16384" width="9.140625" style="631"/>
  </cols>
  <sheetData>
    <row r="1" spans="1:5" ht="30" customHeight="1">
      <c r="A1" s="435"/>
      <c r="B1" s="436" t="s">
        <v>530</v>
      </c>
      <c r="C1" s="437"/>
      <c r="D1" s="437"/>
      <c r="E1" s="438"/>
    </row>
    <row r="2" spans="1:5" ht="24.95" customHeight="1">
      <c r="A2" s="2077"/>
      <c r="B2" s="413" t="s">
        <v>447</v>
      </c>
      <c r="C2" s="224"/>
      <c r="D2" s="224"/>
      <c r="E2" s="934"/>
    </row>
    <row r="3" spans="1:5" ht="15" customHeight="1" thickBot="1">
      <c r="A3" s="2077"/>
      <c r="B3" s="224"/>
      <c r="C3" s="224"/>
      <c r="D3" s="224"/>
      <c r="E3" s="934"/>
    </row>
    <row r="4" spans="1:5" ht="30" customHeight="1" thickBot="1">
      <c r="A4" s="439"/>
      <c r="B4" s="366" t="s">
        <v>0</v>
      </c>
      <c r="C4" s="2106" t="str">
        <f>VLOOKUP('Background Data'!$C$2,Inst_Tables,2,FALSE)</f>
        <v>Glasgow, University of</v>
      </c>
      <c r="D4" s="434"/>
      <c r="E4" s="440"/>
    </row>
    <row r="5" spans="1:5" ht="24.95" customHeight="1">
      <c r="A5" s="439"/>
      <c r="B5" s="413" t="s">
        <v>203</v>
      </c>
      <c r="C5" s="224"/>
      <c r="D5" s="224"/>
      <c r="E5" s="363"/>
    </row>
    <row r="6" spans="1:5" ht="9.9499999999999993" customHeight="1" thickBot="1">
      <c r="A6" s="439"/>
      <c r="B6" s="224"/>
      <c r="C6" s="224"/>
      <c r="D6" s="224"/>
      <c r="E6" s="363"/>
    </row>
    <row r="7" spans="1:5" ht="30" customHeight="1">
      <c r="A7" s="439"/>
      <c r="B7" s="2486" t="s">
        <v>204</v>
      </c>
      <c r="C7" s="2487"/>
      <c r="D7" s="2488" t="s">
        <v>205</v>
      </c>
      <c r="E7" s="363"/>
    </row>
    <row r="8" spans="1:5" ht="39.950000000000003" customHeight="1" thickBot="1">
      <c r="A8" s="439"/>
      <c r="B8" s="2108" t="s">
        <v>323</v>
      </c>
      <c r="C8" s="2109" t="s">
        <v>112</v>
      </c>
      <c r="D8" s="2489"/>
      <c r="E8" s="363"/>
    </row>
    <row r="9" spans="1:5" ht="30" customHeight="1">
      <c r="A9" s="439"/>
      <c r="B9" s="2107">
        <v>1</v>
      </c>
      <c r="C9" s="1030" t="s">
        <v>291</v>
      </c>
      <c r="D9" s="446" t="s">
        <v>206</v>
      </c>
      <c r="E9" s="441"/>
    </row>
    <row r="10" spans="1:5" ht="30" customHeight="1">
      <c r="A10" s="439"/>
      <c r="B10" s="655" t="s">
        <v>129</v>
      </c>
      <c r="C10" s="443" t="s">
        <v>283</v>
      </c>
      <c r="D10" s="442" t="str">
        <f>IF(E10&gt;0,"YES","")</f>
        <v>YES</v>
      </c>
      <c r="E10" s="445">
        <f>VLOOKUP('Background Data'!$C$2,Inst_Tables,3,FALSE)</f>
        <v>1</v>
      </c>
    </row>
    <row r="11" spans="1:5" ht="30" customHeight="1">
      <c r="A11" s="439"/>
      <c r="B11" s="655" t="s">
        <v>130</v>
      </c>
      <c r="C11" s="443" t="s">
        <v>284</v>
      </c>
      <c r="D11" s="442" t="str">
        <f t="shared" ref="D11:D21" si="0">IF(E11&gt;0,"YES","")</f>
        <v/>
      </c>
      <c r="E11" s="445">
        <f>VLOOKUP('Background Data'!$C$2,Inst_Tables,4,FALSE)</f>
        <v>0</v>
      </c>
    </row>
    <row r="12" spans="1:5" ht="30" customHeight="1">
      <c r="A12" s="439"/>
      <c r="B12" s="655" t="s">
        <v>131</v>
      </c>
      <c r="C12" s="443" t="s">
        <v>285</v>
      </c>
      <c r="D12" s="442" t="str">
        <f t="shared" si="0"/>
        <v>YES</v>
      </c>
      <c r="E12" s="445">
        <f>VLOOKUP('Background Data'!$C$2,Inst_Tables,5,FALSE)</f>
        <v>1</v>
      </c>
    </row>
    <row r="13" spans="1:5" ht="30" customHeight="1">
      <c r="A13" s="933"/>
      <c r="B13" s="655" t="s">
        <v>180</v>
      </c>
      <c r="C13" s="943" t="s">
        <v>481</v>
      </c>
      <c r="D13" s="944" t="str">
        <f t="shared" si="0"/>
        <v>YES</v>
      </c>
      <c r="E13" s="945">
        <f>VLOOKUP('Background Data'!$C$2,Inst_Tables,6,FALSE)</f>
        <v>1</v>
      </c>
    </row>
    <row r="14" spans="1:5" ht="30" customHeight="1">
      <c r="A14" s="933"/>
      <c r="B14" s="655" t="s">
        <v>279</v>
      </c>
      <c r="C14" s="943" t="s">
        <v>448</v>
      </c>
      <c r="D14" s="944" t="str">
        <f>IF(E14&gt;0,"YES","")</f>
        <v>YES</v>
      </c>
      <c r="E14" s="945">
        <f>VLOOKUP('Background Data'!$C$2,Inst_Tables,7,FALSE)</f>
        <v>1</v>
      </c>
    </row>
    <row r="15" spans="1:5" ht="30" customHeight="1">
      <c r="A15" s="933"/>
      <c r="B15" s="655" t="s">
        <v>280</v>
      </c>
      <c r="C15" s="943" t="s">
        <v>408</v>
      </c>
      <c r="D15" s="944" t="str">
        <f t="shared" ref="D15" si="1">IF(E15&gt;0,"YES","")</f>
        <v>YES</v>
      </c>
      <c r="E15" s="945">
        <f>VLOOKUP('Background Data'!$C$2,Inst_Tables,8,FALSE)</f>
        <v>1</v>
      </c>
    </row>
    <row r="16" spans="1:5" ht="30" customHeight="1">
      <c r="A16" s="933"/>
      <c r="B16" s="655">
        <v>3</v>
      </c>
      <c r="C16" s="943" t="s">
        <v>286</v>
      </c>
      <c r="D16" s="944" t="str">
        <f t="shared" si="0"/>
        <v>YES</v>
      </c>
      <c r="E16" s="945">
        <f>VLOOKUP('Background Data'!$C$2,Inst_Tables,9,FALSE)</f>
        <v>4</v>
      </c>
    </row>
    <row r="17" spans="1:7" ht="30" customHeight="1">
      <c r="A17" s="439"/>
      <c r="B17" s="655" t="s">
        <v>171</v>
      </c>
      <c r="C17" s="443" t="s">
        <v>449</v>
      </c>
      <c r="D17" s="442" t="str">
        <f t="shared" si="0"/>
        <v/>
      </c>
      <c r="E17" s="445">
        <f>VLOOKUP('Background Data'!$C$2,Inst_Tables,10,FALSE)</f>
        <v>0</v>
      </c>
    </row>
    <row r="18" spans="1:7" ht="30" customHeight="1">
      <c r="A18" s="439"/>
      <c r="B18" s="655" t="s">
        <v>172</v>
      </c>
      <c r="C18" s="443" t="s">
        <v>450</v>
      </c>
      <c r="D18" s="442" t="str">
        <f t="shared" si="0"/>
        <v>YES</v>
      </c>
      <c r="E18" s="445">
        <f>VLOOKUP('Background Data'!$C$2,Inst_Tables,11,FALSE)</f>
        <v>1</v>
      </c>
    </row>
    <row r="19" spans="1:7" ht="30" customHeight="1">
      <c r="A19" s="2077"/>
      <c r="B19" s="655" t="s">
        <v>154</v>
      </c>
      <c r="C19" s="943" t="s">
        <v>380</v>
      </c>
      <c r="D19" s="442" t="str">
        <f t="shared" si="0"/>
        <v>YES</v>
      </c>
      <c r="E19" s="445">
        <f>VLOOKUP('Background Data'!$C$2,Inst_Tables,12,FALSE)</f>
        <v>1</v>
      </c>
    </row>
    <row r="20" spans="1:7" ht="30" customHeight="1">
      <c r="A20" s="439"/>
      <c r="B20" s="935" t="s">
        <v>155</v>
      </c>
      <c r="C20" s="936" t="s">
        <v>287</v>
      </c>
      <c r="D20" s="932" t="s">
        <v>275</v>
      </c>
      <c r="E20" s="445"/>
    </row>
    <row r="21" spans="1:7" ht="30" customHeight="1">
      <c r="A21" s="439"/>
      <c r="B21" s="656" t="s">
        <v>156</v>
      </c>
      <c r="C21" s="443" t="s">
        <v>357</v>
      </c>
      <c r="D21" s="931" t="str">
        <f t="shared" si="0"/>
        <v>YES</v>
      </c>
      <c r="E21" s="445">
        <f>VLOOKUP('Background Data'!$C$2,Inst_Tables,13,FALSE)</f>
        <v>1</v>
      </c>
      <c r="G21" s="630"/>
    </row>
    <row r="22" spans="1:7" ht="30" customHeight="1">
      <c r="A22" s="439"/>
      <c r="B22" s="656" t="s">
        <v>373</v>
      </c>
      <c r="C22" s="444" t="s">
        <v>288</v>
      </c>
      <c r="D22" s="1032" t="str">
        <f t="shared" ref="D22" si="2">IF(E22&gt;0,"YES","")</f>
        <v/>
      </c>
      <c r="E22" s="445">
        <f>VLOOKUP('Background Data'!$C$2,Inst_Tables,14,FALSE)</f>
        <v>0</v>
      </c>
    </row>
    <row r="23" spans="1:7" ht="30" customHeight="1" thickBot="1">
      <c r="A23" s="1033"/>
      <c r="B23" s="654">
        <v>6</v>
      </c>
      <c r="C23" s="2115" t="s">
        <v>289</v>
      </c>
      <c r="D23" s="1034" t="s">
        <v>206</v>
      </c>
      <c r="E23" s="441"/>
    </row>
    <row r="24" spans="1:7" ht="30" customHeight="1" thickBot="1">
      <c r="A24" s="439"/>
      <c r="B24" s="2116"/>
      <c r="C24" s="2117" t="s">
        <v>457</v>
      </c>
      <c r="D24" s="2118" t="s">
        <v>207</v>
      </c>
      <c r="E24" s="363"/>
    </row>
    <row r="25" spans="1:7" ht="45" customHeight="1" thickBot="1">
      <c r="A25" s="1029"/>
      <c r="B25" s="2112"/>
      <c r="C25" s="2113" t="s">
        <v>451</v>
      </c>
      <c r="D25" s="2114" t="s">
        <v>206</v>
      </c>
      <c r="E25" s="1031"/>
    </row>
    <row r="26" spans="1:7" ht="30" customHeight="1">
      <c r="A26" s="933"/>
      <c r="B26" s="353" t="s">
        <v>267</v>
      </c>
      <c r="C26" s="224"/>
      <c r="D26" s="224"/>
      <c r="E26" s="934"/>
    </row>
    <row r="27" spans="1:7">
      <c r="A27" s="350"/>
      <c r="B27" s="347"/>
      <c r="C27" s="347"/>
      <c r="D27" s="347"/>
      <c r="E27" s="349"/>
    </row>
  </sheetData>
  <sheetProtection password="E23E" sheet="1" objects="1" scenarios="1"/>
  <mergeCells count="2">
    <mergeCell ref="B7:C7"/>
    <mergeCell ref="D7:D8"/>
  </mergeCells>
  <conditionalFormatting sqref="B10:D19 B21:D22">
    <cfRule type="expression" dxfId="124" priority="1">
      <formula>$E10&gt;0</formula>
    </cfRule>
  </conditionalFormatting>
  <pageMargins left="0.19685039370078741" right="0.19685039370078741" top="0.19685039370078741" bottom="0.39370078740157483" header="0" footer="0"/>
  <pageSetup paperSize="9" scale="6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pageSetUpPr fitToPage="1"/>
  </sheetPr>
  <dimension ref="A1:AF72"/>
  <sheetViews>
    <sheetView zoomScale="80" zoomScaleNormal="80" workbookViewId="0"/>
  </sheetViews>
  <sheetFormatPr defaultColWidth="9.7109375" defaultRowHeight="15"/>
  <cols>
    <col min="1" max="1" width="2.7109375" style="635" customWidth="1"/>
    <col min="2" max="2" width="56.7109375" style="635" customWidth="1"/>
    <col min="3" max="15" width="12.7109375" style="635" customWidth="1"/>
    <col min="16" max="17" width="4.7109375" style="635" customWidth="1"/>
    <col min="18" max="18" width="35.7109375" style="635" customWidth="1"/>
    <col min="19" max="20" width="12.7109375" style="635" customWidth="1"/>
    <col min="21" max="21" width="35.7109375" style="635" customWidth="1"/>
    <col min="22" max="22" width="5.7109375" style="635" customWidth="1"/>
    <col min="23" max="23" width="35.7109375" style="635" customWidth="1"/>
    <col min="24" max="25" width="12.7109375" style="635" customWidth="1"/>
    <col min="26" max="26" width="35.7109375" style="635" customWidth="1"/>
    <col min="27" max="27" width="5.7109375" style="635" customWidth="1"/>
    <col min="28" max="28" width="35.7109375" style="635" customWidth="1"/>
    <col min="29" max="30" width="12.7109375" style="635" customWidth="1"/>
    <col min="31" max="31" width="35.7109375" style="635" customWidth="1"/>
    <col min="32" max="32" width="5.7109375" style="635" customWidth="1"/>
    <col min="33" max="238" width="9.7109375" style="635" customWidth="1"/>
    <col min="239" max="16384" width="9.7109375" style="635"/>
  </cols>
  <sheetData>
    <row r="1" spans="1:32" ht="39.950000000000003" customHeight="1">
      <c r="A1" s="405" t="s">
        <v>372</v>
      </c>
      <c r="B1" s="241" t="str">
        <f>IF(F4=0,"Your Institution Does Not Complete This Table","")</f>
        <v/>
      </c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</row>
    <row r="2" spans="1:32" s="636" customFormat="1" ht="30" customHeight="1">
      <c r="A2" s="1381"/>
      <c r="B2" s="575" t="s">
        <v>303</v>
      </c>
      <c r="C2" s="1382"/>
      <c r="D2" s="1382"/>
      <c r="E2" s="1382"/>
      <c r="F2" s="1383"/>
      <c r="G2" s="1383"/>
      <c r="H2" s="1383"/>
      <c r="I2" s="1382"/>
      <c r="J2" s="1382"/>
      <c r="K2" s="1382"/>
      <c r="L2" s="1382"/>
      <c r="M2" s="1382"/>
      <c r="N2" s="1437"/>
      <c r="O2" s="1437"/>
      <c r="P2" s="1384"/>
      <c r="Q2" s="265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</row>
    <row r="3" spans="1:32" ht="15" customHeight="1" thickBot="1">
      <c r="A3" s="1385"/>
      <c r="B3" s="406"/>
      <c r="C3" s="267"/>
      <c r="D3" s="267"/>
      <c r="E3" s="267"/>
      <c r="F3" s="1380"/>
      <c r="G3" s="1380"/>
      <c r="H3" s="1380"/>
      <c r="I3" s="267"/>
      <c r="J3" s="267"/>
      <c r="K3" s="267"/>
      <c r="L3" s="267"/>
      <c r="M3" s="267"/>
      <c r="N3" s="268"/>
      <c r="O3" s="268"/>
      <c r="P3" s="1386"/>
      <c r="Q3" s="268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</row>
    <row r="4" spans="1:32" ht="35.1" customHeight="1" thickBot="1">
      <c r="A4" s="1385"/>
      <c r="B4" s="397" t="s">
        <v>0</v>
      </c>
      <c r="C4" s="2579" t="str">
        <f>VLOOKUP('Background Data'!$C$2,Inst_Tables,2,FALSE)</f>
        <v>Glasgow, University of</v>
      </c>
      <c r="D4" s="2580"/>
      <c r="E4" s="2581"/>
      <c r="F4" s="56">
        <f>VLOOKUP('Background Data'!$C$2,Inst_Tables,9,FALSE)</f>
        <v>4</v>
      </c>
      <c r="G4" s="7"/>
      <c r="H4" s="7"/>
      <c r="I4" s="1305"/>
      <c r="J4" s="56"/>
      <c r="K4" s="56"/>
      <c r="L4" s="56"/>
      <c r="M4" s="267"/>
      <c r="N4" s="270"/>
      <c r="O4" s="270"/>
      <c r="P4" s="1439"/>
      <c r="Q4" s="270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</row>
    <row r="5" spans="1:32" ht="30" customHeight="1">
      <c r="A5" s="1385"/>
      <c r="B5" s="407" t="s">
        <v>286</v>
      </c>
      <c r="C5" s="272"/>
      <c r="D5" s="272"/>
      <c r="E5" s="272"/>
      <c r="F5" s="668"/>
      <c r="G5" s="668"/>
      <c r="H5" s="668"/>
      <c r="I5" s="272"/>
      <c r="J5" s="272"/>
      <c r="K5" s="272"/>
      <c r="L5" s="272"/>
      <c r="M5" s="272"/>
      <c r="N5" s="271"/>
      <c r="O5" s="271"/>
      <c r="P5" s="1281"/>
      <c r="Q5" s="271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</row>
    <row r="6" spans="1:32" ht="30" customHeight="1">
      <c r="A6" s="1385"/>
      <c r="B6" s="11" t="s">
        <v>501</v>
      </c>
      <c r="C6" s="668"/>
      <c r="D6" s="668"/>
      <c r="E6" s="668"/>
      <c r="F6" s="668"/>
      <c r="G6" s="272"/>
      <c r="H6" s="272"/>
      <c r="I6" s="272"/>
      <c r="J6" s="272"/>
      <c r="K6" s="272"/>
      <c r="L6" s="272"/>
      <c r="M6" s="272"/>
      <c r="N6" s="271"/>
      <c r="O6" s="271"/>
      <c r="P6" s="1281"/>
      <c r="Q6" s="271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/>
    </row>
    <row r="7" spans="1:32" ht="15" customHeight="1">
      <c r="A7" s="1385"/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1"/>
      <c r="O7" s="271"/>
      <c r="P7" s="1281"/>
      <c r="Q7" s="271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</row>
    <row r="8" spans="1:32" ht="24.95" customHeight="1">
      <c r="A8" s="1385"/>
      <c r="B8" s="390" t="s">
        <v>369</v>
      </c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1"/>
      <c r="O8" s="271"/>
      <c r="P8" s="1281"/>
      <c r="Q8" s="271"/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</row>
    <row r="9" spans="1:32" ht="9.9499999999999993" customHeight="1" thickBot="1">
      <c r="A9" s="1385"/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1"/>
      <c r="O9" s="271"/>
      <c r="P9" s="1281"/>
      <c r="Q9" s="271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</row>
    <row r="10" spans="1:32" ht="30" customHeight="1">
      <c r="A10" s="1385"/>
      <c r="B10" s="1399"/>
      <c r="C10" s="2649" t="s">
        <v>5</v>
      </c>
      <c r="D10" s="2650"/>
      <c r="E10" s="2651"/>
      <c r="F10" s="2652" t="s">
        <v>367</v>
      </c>
      <c r="G10" s="272"/>
      <c r="H10" s="272"/>
      <c r="I10" s="272"/>
      <c r="J10" s="272"/>
      <c r="K10" s="272"/>
      <c r="L10" s="272"/>
      <c r="M10" s="272"/>
      <c r="N10" s="271"/>
      <c r="O10" s="271"/>
      <c r="P10" s="1281"/>
      <c r="Q10" s="271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</row>
    <row r="11" spans="1:32" ht="30" customHeight="1">
      <c r="A11" s="1385"/>
      <c r="B11" s="1400"/>
      <c r="C11" s="1395" t="s">
        <v>330</v>
      </c>
      <c r="D11" s="1397" t="s">
        <v>72</v>
      </c>
      <c r="E11" s="1406" t="s">
        <v>2</v>
      </c>
      <c r="F11" s="2653"/>
      <c r="G11" s="272"/>
      <c r="H11" s="272"/>
      <c r="I11" s="272"/>
      <c r="J11" s="272"/>
      <c r="K11" s="272"/>
      <c r="L11" s="272"/>
      <c r="M11" s="272"/>
      <c r="N11" s="271"/>
      <c r="O11" s="271"/>
      <c r="P11" s="1281"/>
      <c r="Q11" s="271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</row>
    <row r="12" spans="1:32" ht="24.95" customHeight="1">
      <c r="A12" s="1385"/>
      <c r="B12" s="1400"/>
      <c r="C12" s="1390" t="s">
        <v>17</v>
      </c>
      <c r="D12" s="1390" t="s">
        <v>17</v>
      </c>
      <c r="E12" s="1407" t="s">
        <v>17</v>
      </c>
      <c r="F12" s="277" t="s">
        <v>17</v>
      </c>
      <c r="G12" s="272"/>
      <c r="H12" s="272"/>
      <c r="I12" s="272"/>
      <c r="J12" s="272"/>
      <c r="K12" s="272"/>
      <c r="L12" s="272"/>
      <c r="M12" s="272"/>
      <c r="N12" s="271"/>
      <c r="O12" s="271"/>
      <c r="P12" s="1281"/>
      <c r="Q12" s="271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</row>
    <row r="13" spans="1:32" ht="24.95" customHeight="1">
      <c r="A13" s="1385"/>
      <c r="B13" s="299" t="s">
        <v>145</v>
      </c>
      <c r="C13" s="1388" t="s">
        <v>30</v>
      </c>
      <c r="D13" s="1388" t="s">
        <v>30</v>
      </c>
      <c r="E13" s="1407" t="s">
        <v>55</v>
      </c>
      <c r="F13" s="297" t="s">
        <v>30</v>
      </c>
      <c r="G13" s="272"/>
      <c r="H13" s="272"/>
      <c r="I13" s="272"/>
      <c r="J13" s="272"/>
      <c r="K13" s="272"/>
      <c r="L13" s="272"/>
      <c r="M13" s="272"/>
      <c r="N13" s="271"/>
      <c r="O13" s="271"/>
      <c r="P13" s="1281"/>
      <c r="Q13" s="271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</row>
    <row r="14" spans="1:32" ht="24.95" customHeight="1">
      <c r="A14" s="1385"/>
      <c r="B14" s="1392"/>
      <c r="C14" s="1393">
        <v>1</v>
      </c>
      <c r="D14" s="1393">
        <v>2</v>
      </c>
      <c r="E14" s="1394">
        <v>3</v>
      </c>
      <c r="F14" s="1396">
        <v>4</v>
      </c>
      <c r="G14" s="272"/>
      <c r="H14" s="272"/>
      <c r="I14" s="272"/>
      <c r="J14" s="272"/>
      <c r="K14" s="272"/>
      <c r="L14" s="272"/>
      <c r="M14" s="272"/>
      <c r="N14" s="271"/>
      <c r="O14" s="271"/>
      <c r="P14" s="1281"/>
      <c r="Q14" s="271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</row>
    <row r="15" spans="1:32" ht="30" customHeight="1">
      <c r="A15" s="1385"/>
      <c r="B15" s="1401" t="s">
        <v>366</v>
      </c>
      <c r="C15" s="1391"/>
      <c r="D15" s="1398"/>
      <c r="E15" s="1408"/>
      <c r="F15" s="1389"/>
      <c r="G15" s="272"/>
      <c r="H15" s="272"/>
      <c r="I15" s="272"/>
      <c r="J15" s="272"/>
      <c r="K15" s="272"/>
      <c r="L15" s="272"/>
      <c r="M15" s="272"/>
      <c r="N15" s="271"/>
      <c r="O15" s="271"/>
      <c r="P15" s="1281"/>
      <c r="Q15" s="271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</row>
    <row r="16" spans="1:32" ht="24.95" customHeight="1">
      <c r="A16" s="1385"/>
      <c r="B16" s="1402" t="s">
        <v>362</v>
      </c>
      <c r="C16" s="1391"/>
      <c r="D16" s="1398"/>
      <c r="E16" s="1408"/>
      <c r="F16" s="1389"/>
      <c r="G16" s="272"/>
      <c r="H16" s="272"/>
      <c r="I16" s="272"/>
      <c r="J16" s="272"/>
      <c r="K16" s="272"/>
      <c r="L16" s="272"/>
      <c r="M16" s="272"/>
      <c r="N16" s="271"/>
      <c r="O16" s="271"/>
      <c r="P16" s="1281"/>
      <c r="Q16" s="271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</row>
    <row r="17" spans="1:32" ht="24.95" customHeight="1">
      <c r="A17" s="1385"/>
      <c r="B17" s="1405" t="s">
        <v>363</v>
      </c>
      <c r="C17" s="1391"/>
      <c r="D17" s="1470">
        <v>19</v>
      </c>
      <c r="E17" s="1408"/>
      <c r="F17" s="1389"/>
      <c r="G17" s="272"/>
      <c r="H17" s="272"/>
      <c r="I17" s="272"/>
      <c r="J17" s="272"/>
      <c r="K17" s="272"/>
      <c r="L17" s="272"/>
      <c r="M17" s="272"/>
      <c r="N17" s="271"/>
      <c r="O17" s="271"/>
      <c r="P17" s="1281"/>
      <c r="Q17" s="271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</row>
    <row r="18" spans="1:32" ht="24.95" customHeight="1">
      <c r="A18" s="1385"/>
      <c r="B18" s="1405" t="s">
        <v>364</v>
      </c>
      <c r="C18" s="1391"/>
      <c r="D18" s="1470">
        <v>43</v>
      </c>
      <c r="E18" s="1408"/>
      <c r="F18" s="1389"/>
      <c r="G18" s="272"/>
      <c r="H18" s="272"/>
      <c r="I18" s="272"/>
      <c r="J18" s="272"/>
      <c r="K18" s="272"/>
      <c r="L18" s="272"/>
      <c r="M18" s="272"/>
      <c r="N18" s="271"/>
      <c r="O18" s="271"/>
      <c r="P18" s="1281"/>
      <c r="Q18" s="271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</row>
    <row r="19" spans="1:32" ht="24.95" customHeight="1">
      <c r="A19" s="1385"/>
      <c r="B19" s="1405" t="s">
        <v>72</v>
      </c>
      <c r="C19" s="1391"/>
      <c r="D19" s="1471">
        <v>112</v>
      </c>
      <c r="E19" s="1408"/>
      <c r="F19" s="1389"/>
      <c r="G19" s="272"/>
      <c r="H19" s="272"/>
      <c r="I19" s="272"/>
      <c r="J19" s="272"/>
      <c r="K19" s="272"/>
      <c r="L19" s="272"/>
      <c r="M19" s="272"/>
      <c r="N19" s="271"/>
      <c r="O19" s="271"/>
      <c r="P19" s="1281"/>
      <c r="Q19" s="271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</row>
    <row r="20" spans="1:32" ht="30" customHeight="1">
      <c r="A20" s="1385"/>
      <c r="B20" s="1422" t="s">
        <v>2</v>
      </c>
      <c r="C20" s="1472"/>
      <c r="D20" s="294">
        <f>SUM(D17:D19)</f>
        <v>174</v>
      </c>
      <c r="E20" s="295">
        <f>SUM(C20:D20)</f>
        <v>174</v>
      </c>
      <c r="F20" s="1474">
        <v>24</v>
      </c>
      <c r="G20" s="272"/>
      <c r="H20" s="272"/>
      <c r="I20" s="272"/>
      <c r="J20" s="272"/>
      <c r="K20" s="272"/>
      <c r="L20" s="272"/>
      <c r="M20" s="272"/>
      <c r="N20" s="271"/>
      <c r="O20" s="271"/>
      <c r="P20" s="1281"/>
      <c r="Q20" s="271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</row>
    <row r="21" spans="1:32" ht="30" customHeight="1">
      <c r="A21" s="1385"/>
      <c r="B21" s="1402" t="s">
        <v>365</v>
      </c>
      <c r="C21" s="1473"/>
      <c r="D21" s="1473">
        <v>9</v>
      </c>
      <c r="E21" s="1418">
        <f>SUM(C21:D21)</f>
        <v>9</v>
      </c>
      <c r="F21" s="1475">
        <v>1</v>
      </c>
      <c r="G21" s="272"/>
      <c r="H21" s="272"/>
      <c r="I21" s="272"/>
      <c r="J21" s="272"/>
      <c r="K21" s="272"/>
      <c r="L21" s="272"/>
      <c r="M21" s="272"/>
      <c r="N21" s="271"/>
      <c r="O21" s="271"/>
      <c r="P21" s="1281"/>
      <c r="Q21" s="271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</row>
    <row r="22" spans="1:32" ht="30" customHeight="1" thickBot="1">
      <c r="A22" s="1385"/>
      <c r="B22" s="1419" t="s">
        <v>368</v>
      </c>
      <c r="C22" s="1420">
        <f>SUM(C20:C21)</f>
        <v>0</v>
      </c>
      <c r="D22" s="1420">
        <f t="shared" ref="D22:F22" si="0">SUM(D20:D21)</f>
        <v>183</v>
      </c>
      <c r="E22" s="1421">
        <f>SUM(E20:E21)</f>
        <v>183</v>
      </c>
      <c r="F22" s="1303">
        <f t="shared" si="0"/>
        <v>25</v>
      </c>
      <c r="G22" s="272"/>
      <c r="H22" s="272"/>
      <c r="I22" s="272"/>
      <c r="J22" s="272"/>
      <c r="K22" s="272"/>
      <c r="L22" s="272"/>
      <c r="M22" s="272"/>
      <c r="N22" s="271"/>
      <c r="O22" s="271"/>
      <c r="P22" s="1281"/>
      <c r="Q22" s="271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</row>
    <row r="23" spans="1:32" ht="30" customHeight="1" thickBot="1">
      <c r="A23" s="1385"/>
      <c r="B23" s="1411" t="s">
        <v>176</v>
      </c>
      <c r="C23" s="1476"/>
      <c r="D23" s="1476">
        <v>58</v>
      </c>
      <c r="E23" s="1412">
        <f>SUM(C23:D23)</f>
        <v>58</v>
      </c>
      <c r="F23" s="1477">
        <v>1</v>
      </c>
      <c r="G23" s="272"/>
      <c r="H23" s="272"/>
      <c r="I23" s="272"/>
      <c r="J23" s="272"/>
      <c r="K23" s="272"/>
      <c r="L23" s="272"/>
      <c r="M23" s="272"/>
      <c r="N23" s="271"/>
      <c r="O23" s="271"/>
      <c r="P23" s="1281"/>
      <c r="Q23" s="271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</row>
    <row r="24" spans="1:32" ht="30" customHeight="1">
      <c r="A24" s="1385"/>
      <c r="B24" s="1401" t="s">
        <v>144</v>
      </c>
      <c r="C24" s="1391"/>
      <c r="D24" s="1398"/>
      <c r="E24" s="1408"/>
      <c r="F24" s="1389"/>
      <c r="G24" s="272"/>
      <c r="H24" s="272"/>
      <c r="I24" s="272"/>
      <c r="J24" s="272"/>
      <c r="K24" s="272"/>
      <c r="L24" s="272"/>
      <c r="M24" s="272"/>
      <c r="N24" s="271"/>
      <c r="O24" s="271"/>
      <c r="P24" s="1281"/>
      <c r="Q24" s="271"/>
      <c r="R24" s="269"/>
      <c r="S24" s="269"/>
      <c r="T24" s="269"/>
      <c r="U24" s="269"/>
      <c r="V24" s="269"/>
      <c r="W24" s="269"/>
      <c r="X24" s="269"/>
      <c r="Y24" s="269"/>
      <c r="Z24" s="269"/>
      <c r="AA24" s="269"/>
      <c r="AB24" s="269"/>
      <c r="AC24" s="269"/>
      <c r="AD24" s="269"/>
      <c r="AE24" s="269"/>
      <c r="AF24" s="269"/>
    </row>
    <row r="25" spans="1:32" ht="24.95" customHeight="1">
      <c r="A25" s="1385"/>
      <c r="B25" s="1403" t="s">
        <v>149</v>
      </c>
      <c r="C25" s="1391"/>
      <c r="D25" s="1470"/>
      <c r="E25" s="295">
        <f>D25</f>
        <v>0</v>
      </c>
      <c r="F25" s="1478">
        <v>15</v>
      </c>
      <c r="G25" s="272"/>
      <c r="H25" s="272"/>
      <c r="I25" s="272"/>
      <c r="J25" s="272"/>
      <c r="K25" s="272"/>
      <c r="L25" s="272"/>
      <c r="M25" s="272"/>
      <c r="N25" s="271"/>
      <c r="O25" s="271"/>
      <c r="P25" s="1281"/>
      <c r="Q25" s="271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</row>
    <row r="26" spans="1:32" ht="24.95" customHeight="1">
      <c r="A26" s="1385"/>
      <c r="B26" s="1403" t="s">
        <v>150</v>
      </c>
      <c r="C26" s="1391"/>
      <c r="D26" s="1470"/>
      <c r="E26" s="295">
        <f t="shared" ref="E26:E27" si="1">D26</f>
        <v>0</v>
      </c>
      <c r="F26" s="1478"/>
      <c r="G26" s="272"/>
      <c r="H26" s="272"/>
      <c r="I26" s="272"/>
      <c r="J26" s="272"/>
      <c r="K26" s="272"/>
      <c r="L26" s="272"/>
      <c r="M26" s="272"/>
      <c r="N26" s="271"/>
      <c r="O26" s="271"/>
      <c r="P26" s="1281"/>
      <c r="Q26" s="271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</row>
    <row r="27" spans="1:32" ht="24.95" customHeight="1">
      <c r="A27" s="1385"/>
      <c r="B27" s="1403" t="s">
        <v>72</v>
      </c>
      <c r="C27" s="1391"/>
      <c r="D27" s="1470">
        <v>41</v>
      </c>
      <c r="E27" s="295">
        <f t="shared" si="1"/>
        <v>41</v>
      </c>
      <c r="F27" s="1478">
        <v>6</v>
      </c>
      <c r="G27" s="272"/>
      <c r="H27" s="272"/>
      <c r="I27" s="272"/>
      <c r="J27" s="272"/>
      <c r="K27" s="272"/>
      <c r="L27" s="272"/>
      <c r="M27" s="272"/>
      <c r="N27" s="271"/>
      <c r="O27" s="271"/>
      <c r="P27" s="1281"/>
      <c r="Q27" s="271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  <c r="AF27" s="269"/>
    </row>
    <row r="28" spans="1:32" ht="30" customHeight="1" thickBot="1">
      <c r="A28" s="1385"/>
      <c r="B28" s="1404" t="s">
        <v>158</v>
      </c>
      <c r="C28" s="1391"/>
      <c r="D28" s="1410">
        <f>SUM(D25:D27)</f>
        <v>41</v>
      </c>
      <c r="E28" s="1410">
        <f>SUM(E25:E27)</f>
        <v>41</v>
      </c>
      <c r="F28" s="1417">
        <f>SUM(F25:F27)</f>
        <v>21</v>
      </c>
      <c r="G28" s="272"/>
      <c r="H28" s="272"/>
      <c r="I28" s="272"/>
      <c r="J28" s="272"/>
      <c r="K28" s="272"/>
      <c r="L28" s="272"/>
      <c r="M28" s="272"/>
      <c r="N28" s="271"/>
      <c r="O28" s="271"/>
      <c r="P28" s="1281"/>
      <c r="Q28" s="271"/>
      <c r="R28" s="269"/>
      <c r="S28" s="269"/>
      <c r="T28" s="269"/>
      <c r="U28" s="269"/>
      <c r="V28" s="269"/>
      <c r="W28" s="269"/>
      <c r="X28" s="269"/>
      <c r="Y28" s="269"/>
      <c r="Z28" s="269"/>
      <c r="AA28" s="269"/>
      <c r="AB28" s="269"/>
      <c r="AC28" s="269"/>
      <c r="AD28" s="269"/>
      <c r="AE28" s="269"/>
      <c r="AF28" s="269"/>
    </row>
    <row r="29" spans="1:32" ht="30" customHeight="1" thickBot="1">
      <c r="A29" s="1385"/>
      <c r="B29" s="1413" t="s">
        <v>2</v>
      </c>
      <c r="C29" s="1414">
        <f>SUM(C22,C23)</f>
        <v>0</v>
      </c>
      <c r="D29" s="1414">
        <f>SUM(D22,D23,D28)</f>
        <v>282</v>
      </c>
      <c r="E29" s="1415">
        <f>SUM(E22,E23,E28)</f>
        <v>282</v>
      </c>
      <c r="F29" s="1416">
        <f>SUM(F22,F23,F28)</f>
        <v>47</v>
      </c>
      <c r="G29" s="272"/>
      <c r="H29" s="272"/>
      <c r="I29" s="272"/>
      <c r="J29" s="272"/>
      <c r="K29" s="272"/>
      <c r="L29" s="272"/>
      <c r="M29" s="272"/>
      <c r="N29" s="271"/>
      <c r="O29" s="271"/>
      <c r="P29" s="1281"/>
      <c r="Q29" s="271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  <c r="AF29" s="269"/>
    </row>
    <row r="30" spans="1:32" ht="15" customHeight="1">
      <c r="A30" s="1385"/>
      <c r="B30" s="272"/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1"/>
      <c r="O30" s="271"/>
      <c r="P30" s="1281"/>
      <c r="Q30" s="271"/>
      <c r="R30" s="269"/>
      <c r="S30" s="269"/>
      <c r="T30" s="269"/>
      <c r="U30" s="269"/>
      <c r="V30" s="269"/>
      <c r="W30" s="269"/>
      <c r="X30" s="269"/>
      <c r="Y30" s="269"/>
      <c r="Z30" s="269"/>
      <c r="AA30" s="269"/>
      <c r="AB30" s="269"/>
      <c r="AC30" s="269"/>
      <c r="AD30" s="269"/>
      <c r="AE30" s="269"/>
      <c r="AF30" s="269"/>
    </row>
    <row r="31" spans="1:32" ht="15" customHeight="1">
      <c r="A31" s="1385"/>
      <c r="B31" s="272"/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1"/>
      <c r="O31" s="271"/>
      <c r="P31" s="1281"/>
      <c r="Q31" s="271"/>
      <c r="R31" s="269"/>
      <c r="S31" s="269"/>
      <c r="T31" s="269"/>
      <c r="U31" s="269"/>
      <c r="V31" s="269"/>
      <c r="W31" s="269"/>
      <c r="X31" s="269"/>
      <c r="Y31" s="269"/>
      <c r="Z31" s="269"/>
      <c r="AA31" s="269"/>
      <c r="AB31" s="269"/>
      <c r="AC31" s="269"/>
      <c r="AD31" s="269"/>
      <c r="AE31" s="269"/>
      <c r="AF31" s="269"/>
    </row>
    <row r="32" spans="1:32" ht="20.100000000000001" customHeight="1">
      <c r="A32" s="1385"/>
      <c r="B32" s="390" t="s">
        <v>370</v>
      </c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1"/>
      <c r="O32" s="271"/>
      <c r="P32" s="1281"/>
      <c r="Q32" s="271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</row>
    <row r="33" spans="1:32" ht="9.9499999999999993" customHeight="1" thickBot="1">
      <c r="A33" s="1385"/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1"/>
      <c r="O33" s="1438"/>
      <c r="P33" s="1281"/>
      <c r="Q33" s="271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269"/>
    </row>
    <row r="34" spans="1:32" ht="35.1" customHeight="1" thickBot="1">
      <c r="A34" s="1385"/>
      <c r="B34" s="2631" t="s">
        <v>28</v>
      </c>
      <c r="C34" s="2632"/>
      <c r="D34" s="2632"/>
      <c r="E34" s="2632"/>
      <c r="F34" s="2632"/>
      <c r="G34" s="2632"/>
      <c r="H34" s="2632"/>
      <c r="I34" s="2632"/>
      <c r="J34" s="2632"/>
      <c r="K34" s="2632"/>
      <c r="L34" s="2632"/>
      <c r="M34" s="2632"/>
      <c r="N34" s="2632"/>
      <c r="O34" s="2633"/>
      <c r="P34" s="1281"/>
      <c r="Q34" s="271"/>
      <c r="R34" s="273"/>
      <c r="S34" s="273"/>
      <c r="T34" s="273"/>
      <c r="U34" s="273"/>
      <c r="V34" s="269"/>
      <c r="W34" s="274"/>
      <c r="X34" s="274"/>
      <c r="Y34" s="274"/>
      <c r="Z34" s="274"/>
      <c r="AA34" s="269"/>
      <c r="AB34" s="274"/>
      <c r="AC34" s="274"/>
      <c r="AD34" s="274"/>
      <c r="AE34" s="274"/>
      <c r="AF34" s="269"/>
    </row>
    <row r="35" spans="1:32" ht="39.950000000000003" customHeight="1" thickBot="1">
      <c r="A35" s="1385"/>
      <c r="B35" s="307"/>
      <c r="C35" s="2631" t="s">
        <v>146</v>
      </c>
      <c r="D35" s="2632"/>
      <c r="E35" s="2632"/>
      <c r="F35" s="2632"/>
      <c r="G35" s="2632"/>
      <c r="H35" s="2632"/>
      <c r="I35" s="2632"/>
      <c r="J35" s="2632"/>
      <c r="K35" s="2632"/>
      <c r="L35" s="2632"/>
      <c r="M35" s="2632"/>
      <c r="N35" s="2633"/>
      <c r="O35" s="2634" t="s">
        <v>135</v>
      </c>
      <c r="P35" s="1281"/>
      <c r="Q35" s="271"/>
      <c r="R35" s="275"/>
      <c r="S35" s="275"/>
      <c r="T35" s="275"/>
      <c r="U35" s="275"/>
      <c r="V35" s="269"/>
      <c r="W35" s="276"/>
      <c r="X35" s="276"/>
      <c r="Y35" s="276"/>
      <c r="Z35" s="276"/>
      <c r="AA35" s="269"/>
      <c r="AB35" s="276"/>
      <c r="AC35" s="276"/>
      <c r="AD35" s="276"/>
      <c r="AE35" s="276"/>
      <c r="AF35" s="269"/>
    </row>
    <row r="36" spans="1:32" ht="39.950000000000003" customHeight="1" thickBot="1">
      <c r="A36" s="1385"/>
      <c r="B36" s="307"/>
      <c r="C36" s="2631" t="s">
        <v>4</v>
      </c>
      <c r="D36" s="2632"/>
      <c r="E36" s="2632"/>
      <c r="F36" s="2632"/>
      <c r="G36" s="2632"/>
      <c r="H36" s="2632"/>
      <c r="I36" s="2633"/>
      <c r="J36" s="2631" t="s">
        <v>29</v>
      </c>
      <c r="K36" s="2632"/>
      <c r="L36" s="2632"/>
      <c r="M36" s="2633"/>
      <c r="N36" s="313" t="s">
        <v>2</v>
      </c>
      <c r="O36" s="2634"/>
      <c r="P36" s="1281"/>
      <c r="Q36" s="271"/>
      <c r="R36" s="1320"/>
      <c r="S36" s="1320"/>
      <c r="T36" s="1320"/>
      <c r="U36" s="1320"/>
      <c r="V36" s="269"/>
      <c r="W36" s="1320"/>
      <c r="X36" s="1320"/>
      <c r="Y36" s="1320"/>
      <c r="Z36" s="1320"/>
      <c r="AA36" s="269"/>
      <c r="AB36" s="1320"/>
      <c r="AC36" s="1320"/>
      <c r="AD36" s="1320"/>
      <c r="AE36" s="1320"/>
      <c r="AF36" s="269"/>
    </row>
    <row r="37" spans="1:32" ht="39.950000000000003" customHeight="1" thickBot="1">
      <c r="A37" s="1385"/>
      <c r="B37" s="300" t="s">
        <v>145</v>
      </c>
      <c r="C37" s="1434" t="s">
        <v>330</v>
      </c>
      <c r="D37" s="2647" t="s">
        <v>72</v>
      </c>
      <c r="E37" s="2647"/>
      <c r="F37" s="2647"/>
      <c r="G37" s="2647"/>
      <c r="H37" s="2648"/>
      <c r="I37" s="1435" t="s">
        <v>2</v>
      </c>
      <c r="J37" s="1427"/>
      <c r="K37" s="1427"/>
      <c r="L37" s="1427"/>
      <c r="M37" s="1428"/>
      <c r="N37" s="313"/>
      <c r="O37" s="926"/>
      <c r="P37" s="1281"/>
      <c r="Q37" s="271"/>
      <c r="R37" s="1654" t="s">
        <v>396</v>
      </c>
      <c r="S37" s="1320"/>
      <c r="T37" s="1320"/>
      <c r="U37" s="1320"/>
      <c r="V37" s="269"/>
      <c r="W37" s="1320"/>
      <c r="X37" s="1320"/>
      <c r="Y37" s="1320"/>
      <c r="Z37" s="1320"/>
      <c r="AA37" s="269"/>
      <c r="AB37" s="1320"/>
      <c r="AC37" s="1320"/>
      <c r="AD37" s="1320"/>
      <c r="AE37" s="1320"/>
      <c r="AF37" s="269"/>
    </row>
    <row r="38" spans="1:32" ht="39.950000000000003" customHeight="1">
      <c r="A38" s="1385"/>
      <c r="B38" s="300"/>
      <c r="C38" s="1431" t="s">
        <v>24</v>
      </c>
      <c r="D38" s="1280" t="s">
        <v>24</v>
      </c>
      <c r="E38" s="1423" t="s">
        <v>13</v>
      </c>
      <c r="F38" s="1423" t="s">
        <v>14</v>
      </c>
      <c r="G38" s="1423" t="s">
        <v>15</v>
      </c>
      <c r="H38" s="1424" t="s">
        <v>151</v>
      </c>
      <c r="I38" s="1429"/>
      <c r="J38" s="1280" t="s">
        <v>14</v>
      </c>
      <c r="K38" s="1423" t="s">
        <v>15</v>
      </c>
      <c r="L38" s="1423" t="s">
        <v>16</v>
      </c>
      <c r="M38" s="1424" t="s">
        <v>151</v>
      </c>
      <c r="N38" s="277"/>
      <c r="O38" s="1337"/>
      <c r="P38" s="1281"/>
      <c r="Q38" s="271"/>
      <c r="R38" s="2635" t="s">
        <v>4</v>
      </c>
      <c r="S38" s="2636"/>
      <c r="T38" s="2636"/>
      <c r="U38" s="2637"/>
      <c r="V38" s="269"/>
      <c r="W38" s="2635" t="s">
        <v>29</v>
      </c>
      <c r="X38" s="2636"/>
      <c r="Y38" s="2636"/>
      <c r="Z38" s="2637"/>
      <c r="AA38" s="269"/>
      <c r="AB38" s="2635" t="s">
        <v>330</v>
      </c>
      <c r="AC38" s="2636"/>
      <c r="AD38" s="2636"/>
      <c r="AE38" s="2637"/>
      <c r="AF38" s="269"/>
    </row>
    <row r="39" spans="1:32" ht="30" customHeight="1">
      <c r="A39" s="1385"/>
      <c r="B39" s="309"/>
      <c r="C39" s="300" t="s">
        <v>17</v>
      </c>
      <c r="D39" s="1284" t="s">
        <v>17</v>
      </c>
      <c r="E39" s="1390" t="s">
        <v>17</v>
      </c>
      <c r="F39" s="1390" t="s">
        <v>17</v>
      </c>
      <c r="G39" s="1390" t="s">
        <v>17</v>
      </c>
      <c r="H39" s="1407" t="s">
        <v>17</v>
      </c>
      <c r="I39" s="1429"/>
      <c r="J39" s="1284" t="s">
        <v>17</v>
      </c>
      <c r="K39" s="1390" t="s">
        <v>17</v>
      </c>
      <c r="L39" s="1390" t="s">
        <v>17</v>
      </c>
      <c r="M39" s="1407" t="s">
        <v>17</v>
      </c>
      <c r="N39" s="277" t="s">
        <v>17</v>
      </c>
      <c r="O39" s="277" t="s">
        <v>17</v>
      </c>
      <c r="P39" s="1281"/>
      <c r="Q39" s="271"/>
      <c r="R39" s="2638" t="s">
        <v>476</v>
      </c>
      <c r="S39" s="2639" t="s">
        <v>166</v>
      </c>
      <c r="T39" s="2640"/>
      <c r="U39" s="2641"/>
      <c r="V39" s="269"/>
      <c r="W39" s="2638" t="s">
        <v>476</v>
      </c>
      <c r="X39" s="2646" t="s">
        <v>166</v>
      </c>
      <c r="Y39" s="2640"/>
      <c r="Z39" s="2641"/>
      <c r="AA39" s="269"/>
      <c r="AB39" s="2638" t="s">
        <v>476</v>
      </c>
      <c r="AC39" s="2639" t="s">
        <v>166</v>
      </c>
      <c r="AD39" s="2639"/>
      <c r="AE39" s="2642"/>
      <c r="AF39" s="269"/>
    </row>
    <row r="40" spans="1:32" ht="39.950000000000003" customHeight="1">
      <c r="A40" s="1385"/>
      <c r="B40" s="309"/>
      <c r="C40" s="1283" t="s">
        <v>30</v>
      </c>
      <c r="D40" s="1285" t="s">
        <v>30</v>
      </c>
      <c r="E40" s="1388" t="s">
        <v>30</v>
      </c>
      <c r="F40" s="1388" t="s">
        <v>30</v>
      </c>
      <c r="G40" s="1388" t="s">
        <v>30</v>
      </c>
      <c r="H40" s="1407" t="s">
        <v>55</v>
      </c>
      <c r="I40" s="1407" t="s">
        <v>55</v>
      </c>
      <c r="J40" s="1285" t="s">
        <v>30</v>
      </c>
      <c r="K40" s="1388" t="s">
        <v>30</v>
      </c>
      <c r="L40" s="1388" t="s">
        <v>30</v>
      </c>
      <c r="M40" s="1407" t="s">
        <v>55</v>
      </c>
      <c r="N40" s="277" t="s">
        <v>55</v>
      </c>
      <c r="O40" s="297" t="s">
        <v>30</v>
      </c>
      <c r="P40" s="1281"/>
      <c r="Q40" s="271"/>
      <c r="R40" s="2573"/>
      <c r="S40" s="1449" t="s">
        <v>59</v>
      </c>
      <c r="T40" s="2570" t="s">
        <v>167</v>
      </c>
      <c r="U40" s="1315" t="s">
        <v>68</v>
      </c>
      <c r="V40" s="269"/>
      <c r="W40" s="2573"/>
      <c r="X40" s="1312" t="s">
        <v>59</v>
      </c>
      <c r="Y40" s="2570" t="s">
        <v>167</v>
      </c>
      <c r="Z40" s="1315" t="s">
        <v>68</v>
      </c>
      <c r="AA40" s="269"/>
      <c r="AB40" s="2573"/>
      <c r="AC40" s="1449" t="s">
        <v>59</v>
      </c>
      <c r="AD40" s="2570" t="s">
        <v>167</v>
      </c>
      <c r="AE40" s="1315" t="s">
        <v>68</v>
      </c>
      <c r="AF40" s="269"/>
    </row>
    <row r="41" spans="1:32" ht="30" customHeight="1" thickBot="1">
      <c r="A41" s="1385"/>
      <c r="B41" s="314"/>
      <c r="C41" s="529">
        <v>1</v>
      </c>
      <c r="D41" s="528">
        <v>2</v>
      </c>
      <c r="E41" s="525">
        <v>3</v>
      </c>
      <c r="F41" s="527">
        <v>4</v>
      </c>
      <c r="G41" s="527">
        <v>5</v>
      </c>
      <c r="H41" s="531">
        <v>6</v>
      </c>
      <c r="I41" s="531">
        <v>7</v>
      </c>
      <c r="J41" s="528">
        <v>8</v>
      </c>
      <c r="K41" s="525">
        <v>9</v>
      </c>
      <c r="L41" s="527">
        <v>10</v>
      </c>
      <c r="M41" s="530">
        <v>11</v>
      </c>
      <c r="N41" s="525">
        <v>12</v>
      </c>
      <c r="O41" s="529">
        <v>13</v>
      </c>
      <c r="P41" s="1281"/>
      <c r="Q41" s="271"/>
      <c r="R41" s="1730"/>
      <c r="S41" s="1313"/>
      <c r="T41" s="2571"/>
      <c r="U41" s="1316"/>
      <c r="V41" s="269"/>
      <c r="W41" s="1730"/>
      <c r="X41" s="1313"/>
      <c r="Y41" s="2571"/>
      <c r="Z41" s="1316"/>
      <c r="AA41" s="269"/>
      <c r="AB41" s="1730"/>
      <c r="AC41" s="1313"/>
      <c r="AD41" s="2571"/>
      <c r="AE41" s="1316"/>
      <c r="AF41" s="269"/>
    </row>
    <row r="42" spans="1:32" ht="35.1" customHeight="1" thickBot="1">
      <c r="A42" s="1385"/>
      <c r="B42" s="308" t="s">
        <v>177</v>
      </c>
      <c r="C42" s="1429"/>
      <c r="D42" s="279"/>
      <c r="E42" s="278"/>
      <c r="F42" s="1425"/>
      <c r="G42" s="1425"/>
      <c r="H42" s="1337"/>
      <c r="I42" s="1429"/>
      <c r="J42" s="279"/>
      <c r="K42" s="278"/>
      <c r="L42" s="1426"/>
      <c r="M42" s="1337"/>
      <c r="N42" s="1337"/>
      <c r="O42" s="292"/>
      <c r="P42" s="1281"/>
      <c r="Q42" s="271"/>
      <c r="R42" s="2321"/>
      <c r="S42" s="2321"/>
      <c r="T42" s="2321"/>
      <c r="U42" s="2322"/>
      <c r="V42" s="269"/>
      <c r="W42" s="2325"/>
      <c r="X42" s="2325"/>
      <c r="Y42" s="2325"/>
      <c r="Z42" s="2326"/>
      <c r="AA42" s="269"/>
      <c r="AB42" s="2325"/>
      <c r="AC42" s="2325"/>
      <c r="AD42" s="2325"/>
      <c r="AE42" s="2326"/>
      <c r="AF42" s="269"/>
    </row>
    <row r="43" spans="1:32" ht="30" customHeight="1">
      <c r="A43" s="1385"/>
      <c r="B43" s="310" t="s">
        <v>143</v>
      </c>
      <c r="C43" s="1454"/>
      <c r="D43" s="1479">
        <v>193</v>
      </c>
      <c r="E43" s="1458">
        <v>166</v>
      </c>
      <c r="F43" s="1480"/>
      <c r="G43" s="1480"/>
      <c r="H43" s="1301">
        <f>SUM(D43:G43)</f>
        <v>359</v>
      </c>
      <c r="I43" s="1301">
        <f>SUM(C43,H43)</f>
        <v>359</v>
      </c>
      <c r="J43" s="1479">
        <v>187</v>
      </c>
      <c r="K43" s="1458">
        <v>162</v>
      </c>
      <c r="L43" s="1467">
        <v>182</v>
      </c>
      <c r="M43" s="1301">
        <f>SUM(J43:L43)</f>
        <v>531</v>
      </c>
      <c r="N43" s="1301">
        <f>SUM(H43,M43)</f>
        <v>890</v>
      </c>
      <c r="O43" s="1481">
        <v>58</v>
      </c>
      <c r="P43" s="1281"/>
      <c r="Q43" s="271"/>
      <c r="R43" s="1731" t="str">
        <f>IF(AND(H43&gt;0,D22=0),"No intake",IF(AND(D22&gt;0,H43=0),"No enrolments",IF(AND(D22&gt;=H43,H43&gt;0),"Intake inconsistent with enrolments","OK")))</f>
        <v>OK</v>
      </c>
      <c r="S43" s="2323">
        <f>'T1 Main Table'!$M$37</f>
        <v>359</v>
      </c>
      <c r="T43" s="2324">
        <f>H43-S43</f>
        <v>0</v>
      </c>
      <c r="U43" s="1725" t="str">
        <f>IF(ABS(T43)&gt;0.1,"Does not equal figure in Table 1","OK")</f>
        <v>OK</v>
      </c>
      <c r="V43" s="269"/>
      <c r="W43" s="1731" t="str">
        <f>IF(AND(M43&gt;0,F22=0),"No intake",IF(AND(J22&gt;0,F43=0),"No enrolments",IF(AND(F22&gt;=M43,M43&gt;0),"Intake inconsistent with enrolments","OK")))</f>
        <v>OK</v>
      </c>
      <c r="X43" s="2323">
        <f>'T1 Main Table'!$M$35</f>
        <v>531</v>
      </c>
      <c r="Y43" s="2324">
        <f>M43-X43</f>
        <v>0</v>
      </c>
      <c r="Z43" s="1725" t="str">
        <f>IF(ABS(Y43)&gt;0.1,"Does not equal figure in Table 1","OK")</f>
        <v>OK</v>
      </c>
      <c r="AA43" s="269"/>
      <c r="AB43" s="1731" t="str">
        <f>IF(AND(C43&gt;0,C22=0),Intake_missing,IF(AND(C22&gt;0,C43=0),Only_intake_recorded,IF(AND(C22&lt;&gt;C43,C43&gt;0),Intake_inconsistent,"OK")))</f>
        <v>OK</v>
      </c>
      <c r="AC43" s="2323">
        <f>'T1 Main Table'!$M$38</f>
        <v>0</v>
      </c>
      <c r="AD43" s="2324">
        <f>C43-AC43</f>
        <v>0</v>
      </c>
      <c r="AE43" s="1725" t="str">
        <f>IF(ABS(AD43)&gt;0.1,"Does not equal figure in Table 1","OK")</f>
        <v>OK</v>
      </c>
      <c r="AF43" s="269"/>
    </row>
    <row r="44" spans="1:32" ht="30" customHeight="1" thickBot="1">
      <c r="A44" s="1385"/>
      <c r="B44" s="310" t="s">
        <v>176</v>
      </c>
      <c r="C44" s="1454"/>
      <c r="D44" s="1479">
        <v>63</v>
      </c>
      <c r="E44" s="1458">
        <v>55</v>
      </c>
      <c r="F44" s="1480"/>
      <c r="G44" s="1480"/>
      <c r="H44" s="1301">
        <f>SUM(D44:G44)</f>
        <v>118</v>
      </c>
      <c r="I44" s="1301">
        <f>SUM(C44,H44)</f>
        <v>118</v>
      </c>
      <c r="J44" s="1479">
        <v>56</v>
      </c>
      <c r="K44" s="1458">
        <v>64</v>
      </c>
      <c r="L44" s="1467">
        <v>53</v>
      </c>
      <c r="M44" s="1301">
        <f>SUM(J44:L44)</f>
        <v>173</v>
      </c>
      <c r="N44" s="1301">
        <f>SUM(H44,M44)</f>
        <v>291</v>
      </c>
      <c r="O44" s="1481">
        <v>22</v>
      </c>
      <c r="P44" s="1281"/>
      <c r="Q44" s="271"/>
      <c r="R44" s="1733" t="str">
        <f>IF(AND(H44&gt;0,D23=0),"No intake",IF(AND(D23&gt;0,H44=0),"No enrolments",IF(AND(D23&gt;=H44,H44&gt;0),"Intake inconsistent with enrolments","OK")))</f>
        <v>OK</v>
      </c>
      <c r="S44" s="1450">
        <f>'T1 Main Table'!$Q$37</f>
        <v>118</v>
      </c>
      <c r="T44" s="1451">
        <f>H44-S44</f>
        <v>0</v>
      </c>
      <c r="U44" s="26" t="str">
        <f>IF(ABS(T44)&gt;0.1,"Does not equal figure in Table 1","OK")</f>
        <v>OK</v>
      </c>
      <c r="V44" s="269"/>
      <c r="W44" s="1733" t="str">
        <f>IF(AND(M44&gt;0,F23=0),"No intake",IF(AND(J23&gt;0,F44=0),"No enrolments",IF(AND(F23&gt;=M44,M44&gt;0),"Intake inconsistent with enrolments","OK")))</f>
        <v>OK</v>
      </c>
      <c r="X44" s="1450">
        <f>'T1 Main Table'!$Q$35</f>
        <v>173</v>
      </c>
      <c r="Y44" s="1451">
        <f>M44-X44</f>
        <v>0</v>
      </c>
      <c r="Z44" s="26" t="str">
        <f>IF(ABS(Y44)&gt;0.1,"Does not equal figure in Table 1","OK")</f>
        <v>OK</v>
      </c>
      <c r="AA44" s="269"/>
      <c r="AB44" s="1733" t="str">
        <f>IF(AND(C44&gt;0,C23=0),Intake_missing,IF(AND(C23&gt;0,C44=0),Only_intake_recorded,IF(AND(C23&lt;&gt;C44,C44&gt;0),Intake_inconsistent,"OK")))</f>
        <v>OK</v>
      </c>
      <c r="AC44" s="1450">
        <f>'T1 Main Table'!$Q$38</f>
        <v>0</v>
      </c>
      <c r="AD44" s="1451">
        <f>C44-AC44</f>
        <v>0</v>
      </c>
      <c r="AE44" s="26" t="str">
        <f>IF(ABS(AD44)&gt;0.1,"Does not equal figure in Table 1","OK")</f>
        <v>OK</v>
      </c>
      <c r="AF44" s="269"/>
    </row>
    <row r="45" spans="1:32" ht="30" customHeight="1" thickBot="1">
      <c r="A45" s="1385"/>
      <c r="B45" s="311" t="s">
        <v>178</v>
      </c>
      <c r="C45" s="670">
        <f t="shared" ref="C45" si="2">SUM(C43:C44)</f>
        <v>0</v>
      </c>
      <c r="D45" s="669">
        <f t="shared" ref="D45:G45" si="3">SUM(D43:D44)</f>
        <v>256</v>
      </c>
      <c r="E45" s="1282">
        <f t="shared" si="3"/>
        <v>221</v>
      </c>
      <c r="F45" s="1282">
        <f t="shared" si="3"/>
        <v>0</v>
      </c>
      <c r="G45" s="1282">
        <f t="shared" si="3"/>
        <v>0</v>
      </c>
      <c r="H45" s="1287">
        <f t="shared" ref="H45:O45" si="4">SUM(H43:H44)</f>
        <v>477</v>
      </c>
      <c r="I45" s="1287">
        <f>SUM(I43:I44)</f>
        <v>477</v>
      </c>
      <c r="J45" s="669">
        <f t="shared" si="4"/>
        <v>243</v>
      </c>
      <c r="K45" s="1282">
        <f t="shared" si="4"/>
        <v>226</v>
      </c>
      <c r="L45" s="1282">
        <f t="shared" si="4"/>
        <v>235</v>
      </c>
      <c r="M45" s="1287">
        <f t="shared" si="4"/>
        <v>704</v>
      </c>
      <c r="N45" s="1279">
        <f t="shared" si="4"/>
        <v>1181</v>
      </c>
      <c r="O45" s="1279">
        <f t="shared" si="4"/>
        <v>80</v>
      </c>
      <c r="P45" s="1281"/>
      <c r="Q45" s="271"/>
      <c r="R45" s="284"/>
      <c r="S45" s="276"/>
      <c r="T45" s="283"/>
      <c r="U45" s="276"/>
      <c r="V45" s="269"/>
      <c r="W45" s="2328"/>
      <c r="X45" s="276"/>
      <c r="Y45" s="283"/>
      <c r="Z45" s="276"/>
      <c r="AA45" s="269"/>
      <c r="AB45" s="1452"/>
      <c r="AC45" s="1452"/>
      <c r="AD45" s="1453"/>
      <c r="AE45" s="1452"/>
      <c r="AF45" s="269"/>
    </row>
    <row r="46" spans="1:32" ht="35.1" customHeight="1" thickBot="1">
      <c r="A46" s="1385"/>
      <c r="B46" s="1293" t="s">
        <v>144</v>
      </c>
      <c r="C46" s="1297"/>
      <c r="D46" s="1296"/>
      <c r="E46" s="1294"/>
      <c r="F46" s="1294"/>
      <c r="G46" s="1294"/>
      <c r="H46" s="1295"/>
      <c r="I46" s="1430"/>
      <c r="J46" s="1296"/>
      <c r="K46" s="1294"/>
      <c r="L46" s="1298"/>
      <c r="M46" s="1295"/>
      <c r="N46" s="1299"/>
      <c r="O46" s="1300"/>
      <c r="P46" s="1281"/>
      <c r="Q46" s="271"/>
      <c r="R46" s="284"/>
      <c r="S46" s="276"/>
      <c r="T46" s="283"/>
      <c r="U46" s="276"/>
      <c r="V46" s="269"/>
      <c r="W46" s="1311"/>
      <c r="X46" s="276"/>
      <c r="Y46" s="283"/>
      <c r="Z46" s="276"/>
      <c r="AA46" s="269"/>
      <c r="AB46" s="276"/>
      <c r="AC46" s="276"/>
      <c r="AD46" s="283"/>
      <c r="AE46" s="276"/>
      <c r="AF46" s="269"/>
    </row>
    <row r="47" spans="1:32" ht="30" customHeight="1">
      <c r="A47" s="1385"/>
      <c r="B47" s="310" t="s">
        <v>149</v>
      </c>
      <c r="C47" s="1432"/>
      <c r="D47" s="1480"/>
      <c r="E47" s="1467"/>
      <c r="F47" s="1480"/>
      <c r="G47" s="1480"/>
      <c r="H47" s="1301">
        <f>SUM(D47:G47)</f>
        <v>0</v>
      </c>
      <c r="I47" s="1301">
        <f>H47</f>
        <v>0</v>
      </c>
      <c r="J47" s="1480">
        <v>15</v>
      </c>
      <c r="K47" s="1467">
        <v>17</v>
      </c>
      <c r="L47" s="1467">
        <v>13</v>
      </c>
      <c r="M47" s="1301">
        <f t="shared" ref="M47:M49" si="5">SUM(J47:L47)</f>
        <v>45</v>
      </c>
      <c r="N47" s="1301">
        <f>SUM(H47,M47)</f>
        <v>45</v>
      </c>
      <c r="O47" s="1481"/>
      <c r="P47" s="1281"/>
      <c r="Q47" s="271"/>
      <c r="R47" s="1731" t="str">
        <f t="shared" ref="R47:R49" si="6">IF(AND(H47&gt;0,D26=0),"No intake",IF(AND(D26&gt;0,H47=0),"No enrolments",IF(AND(D26&gt;=H47,H47&gt;0),"Intake inconsistent with enrolments","OK")))</f>
        <v>OK</v>
      </c>
      <c r="S47" s="276"/>
      <c r="T47" s="283"/>
      <c r="U47" s="276"/>
      <c r="V47" s="269"/>
      <c r="W47" s="329" t="str">
        <f t="shared" ref="W47:W49" si="7">IF(AND(M47&gt;0,F26=0),"No intake",IF(AND(J26&gt;0,F47=0),"No enrolments",IF(AND(F26&gt;=M47,M47&gt;0),"Intake inconsistent with enrolments","OK")))</f>
        <v>No intake</v>
      </c>
      <c r="X47" s="2013"/>
      <c r="Y47" s="283"/>
      <c r="Z47" s="276"/>
      <c r="AA47" s="269"/>
      <c r="AB47" s="276"/>
      <c r="AC47" s="276"/>
      <c r="AD47" s="283"/>
      <c r="AE47" s="276"/>
      <c r="AF47" s="269"/>
    </row>
    <row r="48" spans="1:32" ht="30" customHeight="1">
      <c r="A48" s="1385"/>
      <c r="B48" s="310" t="s">
        <v>150</v>
      </c>
      <c r="C48" s="1432"/>
      <c r="D48" s="1480"/>
      <c r="E48" s="1467"/>
      <c r="F48" s="1480"/>
      <c r="G48" s="1480"/>
      <c r="H48" s="1301">
        <f>SUM(D48:G48)</f>
        <v>0</v>
      </c>
      <c r="I48" s="1301">
        <f>H48</f>
        <v>0</v>
      </c>
      <c r="J48" s="1480"/>
      <c r="K48" s="1467"/>
      <c r="L48" s="1467"/>
      <c r="M48" s="1301">
        <f t="shared" si="5"/>
        <v>0</v>
      </c>
      <c r="N48" s="1301">
        <f>SUM(H48,M48)</f>
        <v>0</v>
      </c>
      <c r="O48" s="1481"/>
      <c r="P48" s="1281"/>
      <c r="Q48" s="271"/>
      <c r="R48" s="1732" t="str">
        <f t="shared" si="6"/>
        <v>No enrolments</v>
      </c>
      <c r="S48" s="276"/>
      <c r="T48" s="283"/>
      <c r="U48" s="276"/>
      <c r="V48" s="269"/>
      <c r="W48" s="20" t="str">
        <f t="shared" si="7"/>
        <v>OK</v>
      </c>
      <c r="X48" s="2013"/>
      <c r="Y48" s="283"/>
      <c r="Z48" s="276"/>
      <c r="AA48" s="269"/>
      <c r="AB48" s="276"/>
      <c r="AC48" s="276"/>
      <c r="AD48" s="283"/>
      <c r="AE48" s="276"/>
      <c r="AF48" s="269"/>
    </row>
    <row r="49" spans="1:32" ht="30" customHeight="1" thickBot="1">
      <c r="A49" s="1385"/>
      <c r="B49" s="310" t="s">
        <v>72</v>
      </c>
      <c r="C49" s="1432"/>
      <c r="D49" s="1480">
        <v>41</v>
      </c>
      <c r="E49" s="1467">
        <v>30</v>
      </c>
      <c r="F49" s="1480"/>
      <c r="G49" s="1480"/>
      <c r="H49" s="1301">
        <f>SUM(D49:G49)</f>
        <v>71</v>
      </c>
      <c r="I49" s="1301">
        <f>H49</f>
        <v>71</v>
      </c>
      <c r="J49" s="1480">
        <v>31</v>
      </c>
      <c r="K49" s="1467">
        <v>27</v>
      </c>
      <c r="L49" s="1467">
        <v>25</v>
      </c>
      <c r="M49" s="1301">
        <f t="shared" si="5"/>
        <v>83</v>
      </c>
      <c r="N49" s="1301">
        <f>SUM(H49,M49)</f>
        <v>154</v>
      </c>
      <c r="O49" s="1481"/>
      <c r="P49" s="1281"/>
      <c r="Q49" s="271"/>
      <c r="R49" s="1733" t="str">
        <f t="shared" si="6"/>
        <v>OK</v>
      </c>
      <c r="S49" s="276"/>
      <c r="T49" s="283"/>
      <c r="U49" s="276"/>
      <c r="V49" s="269"/>
      <c r="W49" s="1310" t="str">
        <f t="shared" si="7"/>
        <v>OK</v>
      </c>
      <c r="X49" s="2013"/>
      <c r="Y49" s="283"/>
      <c r="Z49" s="276"/>
      <c r="AA49" s="269"/>
      <c r="AB49" s="276"/>
      <c r="AC49" s="276"/>
      <c r="AD49" s="283"/>
      <c r="AE49" s="276"/>
      <c r="AF49" s="269"/>
    </row>
    <row r="50" spans="1:32" ht="30" customHeight="1" thickBot="1">
      <c r="A50" s="1385"/>
      <c r="B50" s="1302" t="s">
        <v>158</v>
      </c>
      <c r="C50" s="1433"/>
      <c r="D50" s="1286">
        <f t="shared" ref="D50:O50" si="8">SUM(D47:D49)</f>
        <v>41</v>
      </c>
      <c r="E50" s="325">
        <f t="shared" si="8"/>
        <v>30</v>
      </c>
      <c r="F50" s="325">
        <f t="shared" si="8"/>
        <v>0</v>
      </c>
      <c r="G50" s="325">
        <f t="shared" si="8"/>
        <v>0</v>
      </c>
      <c r="H50" s="326">
        <f t="shared" si="8"/>
        <v>71</v>
      </c>
      <c r="I50" s="326">
        <f t="shared" si="8"/>
        <v>71</v>
      </c>
      <c r="J50" s="1286">
        <f t="shared" si="8"/>
        <v>46</v>
      </c>
      <c r="K50" s="325">
        <f t="shared" si="8"/>
        <v>44</v>
      </c>
      <c r="L50" s="325">
        <f t="shared" si="8"/>
        <v>38</v>
      </c>
      <c r="M50" s="326">
        <f t="shared" si="8"/>
        <v>128</v>
      </c>
      <c r="N50" s="1303">
        <f t="shared" si="8"/>
        <v>199</v>
      </c>
      <c r="O50" s="1303">
        <f t="shared" si="8"/>
        <v>0</v>
      </c>
      <c r="P50" s="1281"/>
      <c r="Q50" s="271"/>
      <c r="R50" s="275"/>
      <c r="S50" s="275"/>
      <c r="T50" s="281"/>
      <c r="U50" s="275"/>
      <c r="V50" s="269"/>
      <c r="W50" s="269"/>
      <c r="X50" s="269"/>
      <c r="Y50" s="269"/>
      <c r="Z50" s="269"/>
      <c r="AA50" s="269"/>
      <c r="AB50" s="274"/>
      <c r="AC50" s="274"/>
      <c r="AD50" s="274"/>
      <c r="AE50" s="274"/>
      <c r="AF50" s="269"/>
    </row>
    <row r="51" spans="1:32" ht="35.1" customHeight="1" thickBot="1">
      <c r="A51" s="1385"/>
      <c r="B51" s="312" t="s">
        <v>2</v>
      </c>
      <c r="C51" s="1291">
        <f>C45</f>
        <v>0</v>
      </c>
      <c r="D51" s="1290">
        <f t="shared" ref="D51:O51" si="9">SUM(D45,D50)</f>
        <v>297</v>
      </c>
      <c r="E51" s="1288">
        <f t="shared" si="9"/>
        <v>251</v>
      </c>
      <c r="F51" s="1288">
        <f t="shared" si="9"/>
        <v>0</v>
      </c>
      <c r="G51" s="1288">
        <f t="shared" si="9"/>
        <v>0</v>
      </c>
      <c r="H51" s="1289">
        <f t="shared" si="9"/>
        <v>548</v>
      </c>
      <c r="I51" s="1289">
        <f t="shared" si="9"/>
        <v>548</v>
      </c>
      <c r="J51" s="1290">
        <f t="shared" si="9"/>
        <v>289</v>
      </c>
      <c r="K51" s="1288">
        <f t="shared" si="9"/>
        <v>270</v>
      </c>
      <c r="L51" s="1288">
        <f t="shared" si="9"/>
        <v>273</v>
      </c>
      <c r="M51" s="1289">
        <f t="shared" si="9"/>
        <v>832</v>
      </c>
      <c r="N51" s="1292">
        <f t="shared" si="9"/>
        <v>1380</v>
      </c>
      <c r="O51" s="1292">
        <f t="shared" si="9"/>
        <v>80</v>
      </c>
      <c r="P51" s="1281"/>
      <c r="Q51" s="271"/>
      <c r="R51" s="275"/>
      <c r="S51" s="275"/>
      <c r="T51" s="281"/>
      <c r="U51" s="275"/>
      <c r="V51" s="269"/>
      <c r="W51" s="269"/>
      <c r="X51" s="269"/>
      <c r="Y51" s="269"/>
      <c r="Z51" s="269"/>
      <c r="AA51" s="269"/>
      <c r="AB51" s="274"/>
      <c r="AC51" s="274"/>
      <c r="AD51" s="274"/>
      <c r="AE51" s="274"/>
      <c r="AF51" s="269"/>
    </row>
    <row r="52" spans="1:32" s="637" customFormat="1" ht="30" customHeight="1">
      <c r="A52" s="1440"/>
      <c r="B52" s="287" t="s">
        <v>152</v>
      </c>
      <c r="C52" s="287"/>
      <c r="D52" s="287"/>
      <c r="E52" s="287"/>
      <c r="F52" s="287"/>
      <c r="G52" s="287"/>
      <c r="H52" s="287"/>
      <c r="I52" s="287"/>
      <c r="J52" s="287"/>
      <c r="K52" s="287"/>
      <c r="L52" s="287"/>
      <c r="M52" s="287"/>
      <c r="N52" s="288"/>
      <c r="O52" s="1436"/>
      <c r="P52" s="1441"/>
      <c r="Q52" s="288"/>
      <c r="R52" s="289"/>
      <c r="S52" s="289"/>
      <c r="T52" s="289"/>
      <c r="U52" s="289"/>
      <c r="V52" s="289"/>
      <c r="W52" s="289"/>
      <c r="X52" s="289"/>
      <c r="Y52" s="289"/>
      <c r="Z52" s="289"/>
      <c r="AA52" s="289"/>
      <c r="AB52" s="289"/>
      <c r="AC52" s="289"/>
      <c r="AD52" s="289"/>
      <c r="AE52" s="289"/>
      <c r="AF52" s="289"/>
    </row>
    <row r="53" spans="1:32" ht="15" customHeight="1">
      <c r="A53" s="1385"/>
      <c r="B53" s="273"/>
      <c r="C53" s="273"/>
      <c r="D53" s="273"/>
      <c r="E53" s="273"/>
      <c r="F53" s="273"/>
      <c r="G53" s="273"/>
      <c r="H53" s="273"/>
      <c r="I53" s="273"/>
      <c r="J53" s="273"/>
      <c r="K53" s="273"/>
      <c r="L53" s="273"/>
      <c r="M53" s="273"/>
      <c r="N53" s="271"/>
      <c r="O53" s="271"/>
      <c r="P53" s="1281"/>
      <c r="Q53" s="271"/>
      <c r="R53" s="276"/>
      <c r="S53" s="276"/>
      <c r="T53" s="283"/>
      <c r="U53" s="276"/>
      <c r="V53" s="269"/>
      <c r="W53" s="269"/>
      <c r="X53" s="269"/>
      <c r="Y53" s="269"/>
      <c r="Z53" s="269"/>
      <c r="AA53" s="269"/>
      <c r="AB53" s="269"/>
      <c r="AC53" s="269"/>
      <c r="AD53" s="269"/>
      <c r="AE53" s="269"/>
      <c r="AF53" s="269"/>
    </row>
    <row r="54" spans="1:32" ht="15" customHeight="1">
      <c r="A54" s="1385"/>
      <c r="B54" s="273"/>
      <c r="C54" s="273"/>
      <c r="D54" s="273"/>
      <c r="E54" s="273"/>
      <c r="F54" s="273"/>
      <c r="G54" s="273"/>
      <c r="H54" s="273"/>
      <c r="I54" s="273"/>
      <c r="J54" s="273"/>
      <c r="K54" s="273"/>
      <c r="L54" s="273"/>
      <c r="M54" s="273"/>
      <c r="N54" s="271"/>
      <c r="O54" s="271"/>
      <c r="P54" s="1281"/>
      <c r="Q54" s="271"/>
      <c r="R54" s="276"/>
      <c r="S54" s="276"/>
      <c r="T54" s="283"/>
      <c r="U54" s="276"/>
      <c r="V54" s="269"/>
      <c r="W54" s="269"/>
      <c r="X54" s="269"/>
      <c r="Y54" s="269"/>
      <c r="Z54" s="269"/>
      <c r="AA54" s="269"/>
      <c r="AB54" s="269"/>
      <c r="AC54" s="269"/>
      <c r="AD54" s="269"/>
      <c r="AE54" s="269"/>
      <c r="AF54" s="269"/>
    </row>
    <row r="55" spans="1:32" ht="20.100000000000001" customHeight="1">
      <c r="A55" s="1385"/>
      <c r="B55" s="390" t="s">
        <v>371</v>
      </c>
      <c r="C55" s="272"/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1"/>
      <c r="O55" s="271"/>
      <c r="P55" s="1281"/>
      <c r="Q55" s="271"/>
      <c r="R55" s="269"/>
      <c r="S55" s="269"/>
      <c r="T55" s="269"/>
      <c r="U55" s="269"/>
      <c r="V55" s="269"/>
      <c r="W55" s="269"/>
      <c r="X55" s="269"/>
      <c r="Y55" s="269"/>
      <c r="Z55" s="269"/>
      <c r="AA55" s="269"/>
      <c r="AB55" s="269"/>
      <c r="AC55" s="269"/>
      <c r="AD55" s="269"/>
      <c r="AE55" s="269"/>
      <c r="AF55" s="269"/>
    </row>
    <row r="56" spans="1:32" ht="9.9499999999999993" customHeight="1" thickBot="1">
      <c r="A56" s="1385"/>
      <c r="B56" s="273"/>
      <c r="C56" s="273"/>
      <c r="D56" s="273"/>
      <c r="E56" s="273"/>
      <c r="F56" s="273"/>
      <c r="G56" s="273"/>
      <c r="H56" s="273"/>
      <c r="I56" s="273"/>
      <c r="J56" s="273"/>
      <c r="K56" s="273"/>
      <c r="L56" s="273"/>
      <c r="M56" s="273"/>
      <c r="N56" s="271"/>
      <c r="O56" s="271"/>
      <c r="P56" s="1281"/>
      <c r="Q56" s="271"/>
      <c r="R56" s="276"/>
      <c r="S56" s="276"/>
      <c r="T56" s="283"/>
      <c r="U56" s="276"/>
      <c r="V56" s="269"/>
      <c r="W56" s="269"/>
      <c r="X56" s="269"/>
      <c r="Y56" s="269"/>
      <c r="Z56" s="269"/>
      <c r="AA56" s="269"/>
      <c r="AB56" s="269"/>
      <c r="AC56" s="269"/>
      <c r="AD56" s="269"/>
      <c r="AE56" s="269"/>
      <c r="AF56" s="269"/>
    </row>
    <row r="57" spans="1:32" ht="35.1" customHeight="1" thickBot="1">
      <c r="A57" s="1385"/>
      <c r="B57" s="2631" t="s">
        <v>137</v>
      </c>
      <c r="C57" s="2632"/>
      <c r="D57" s="2632"/>
      <c r="E57" s="2632"/>
      <c r="F57" s="2632"/>
      <c r="G57" s="2632"/>
      <c r="H57" s="2632"/>
      <c r="I57" s="2632"/>
      <c r="J57" s="2632"/>
      <c r="K57" s="2632"/>
      <c r="L57" s="2633"/>
      <c r="M57" s="1304"/>
      <c r="N57" s="271"/>
      <c r="O57" s="271"/>
      <c r="P57" s="1281"/>
      <c r="Q57" s="271"/>
      <c r="R57" s="276"/>
      <c r="S57" s="276"/>
      <c r="T57" s="283"/>
      <c r="U57" s="276"/>
      <c r="V57" s="269"/>
      <c r="W57" s="269"/>
      <c r="X57" s="269"/>
      <c r="Y57" s="269"/>
      <c r="Z57" s="269"/>
      <c r="AA57" s="269"/>
      <c r="AB57" s="269"/>
      <c r="AC57" s="269"/>
      <c r="AD57" s="269"/>
      <c r="AE57" s="269"/>
      <c r="AF57" s="269"/>
    </row>
    <row r="58" spans="1:32" ht="39.950000000000003" customHeight="1" thickBot="1">
      <c r="A58" s="1385"/>
      <c r="B58" s="315"/>
      <c r="C58" s="2631" t="s">
        <v>146</v>
      </c>
      <c r="D58" s="2632"/>
      <c r="E58" s="2632"/>
      <c r="F58" s="2632"/>
      <c r="G58" s="2632"/>
      <c r="H58" s="2632"/>
      <c r="I58" s="2632"/>
      <c r="J58" s="2632"/>
      <c r="K58" s="2632"/>
      <c r="L58" s="2643" t="s">
        <v>135</v>
      </c>
      <c r="M58" s="1304"/>
      <c r="N58" s="271"/>
      <c r="O58" s="271"/>
      <c r="P58" s="1281"/>
      <c r="Q58" s="271"/>
      <c r="R58" s="276"/>
      <c r="S58" s="276"/>
      <c r="T58" s="283"/>
      <c r="U58" s="276"/>
      <c r="V58" s="269"/>
      <c r="W58" s="269"/>
      <c r="X58" s="269"/>
      <c r="Y58" s="269"/>
      <c r="Z58" s="269"/>
      <c r="AA58" s="274"/>
      <c r="AB58" s="274"/>
      <c r="AC58" s="274"/>
      <c r="AD58" s="274"/>
      <c r="AE58" s="274"/>
      <c r="AF58" s="274"/>
    </row>
    <row r="59" spans="1:32" ht="39.950000000000003" customHeight="1" thickBot="1">
      <c r="A59" s="1385"/>
      <c r="B59" s="315"/>
      <c r="C59" s="2631" t="s">
        <v>4</v>
      </c>
      <c r="D59" s="2633"/>
      <c r="E59" s="2631" t="s">
        <v>29</v>
      </c>
      <c r="F59" s="2632"/>
      <c r="G59" s="2632"/>
      <c r="H59" s="2632"/>
      <c r="I59" s="2632"/>
      <c r="J59" s="2633"/>
      <c r="K59" s="313" t="s">
        <v>2</v>
      </c>
      <c r="L59" s="2634"/>
      <c r="M59" s="1305"/>
      <c r="N59" s="271"/>
      <c r="O59" s="271"/>
      <c r="P59" s="1281"/>
      <c r="Q59" s="271"/>
      <c r="R59" s="331"/>
      <c r="S59" s="331"/>
      <c r="T59" s="331"/>
      <c r="U59" s="331"/>
      <c r="V59" s="332"/>
      <c r="W59" s="331"/>
      <c r="X59" s="331"/>
      <c r="Y59" s="331"/>
      <c r="Z59" s="331"/>
      <c r="AA59" s="274"/>
      <c r="AB59" s="276"/>
      <c r="AC59" s="276"/>
      <c r="AD59" s="276"/>
      <c r="AE59" s="276"/>
      <c r="AF59" s="274"/>
    </row>
    <row r="60" spans="1:32" ht="54.95" customHeight="1">
      <c r="A60" s="1385"/>
      <c r="B60" s="318" t="s">
        <v>145</v>
      </c>
      <c r="C60" s="1338" t="s">
        <v>102</v>
      </c>
      <c r="D60" s="1337" t="s">
        <v>243</v>
      </c>
      <c r="E60" s="298" t="s">
        <v>102</v>
      </c>
      <c r="F60" s="304" t="s">
        <v>13</v>
      </c>
      <c r="G60" s="1423" t="s">
        <v>14</v>
      </c>
      <c r="H60" s="1423" t="s">
        <v>15</v>
      </c>
      <c r="I60" s="1423" t="s">
        <v>16</v>
      </c>
      <c r="J60" s="1424" t="s">
        <v>151</v>
      </c>
      <c r="K60" s="277"/>
      <c r="L60" s="926"/>
      <c r="M60" s="1305"/>
      <c r="N60" s="271"/>
      <c r="O60" s="271"/>
      <c r="P60" s="1281"/>
      <c r="Q60" s="271"/>
      <c r="R60" s="2635" t="s">
        <v>4</v>
      </c>
      <c r="S60" s="2636"/>
      <c r="T60" s="2636"/>
      <c r="U60" s="2637"/>
      <c r="V60" s="269"/>
      <c r="W60" s="2635" t="s">
        <v>29</v>
      </c>
      <c r="X60" s="2636"/>
      <c r="Y60" s="2636"/>
      <c r="Z60" s="2637"/>
      <c r="AA60" s="274"/>
      <c r="AB60" s="276"/>
      <c r="AC60" s="276"/>
      <c r="AD60" s="276"/>
      <c r="AE60" s="276"/>
      <c r="AF60" s="274"/>
    </row>
    <row r="61" spans="1:32" ht="30" customHeight="1">
      <c r="A61" s="1385"/>
      <c r="B61" s="291"/>
      <c r="C61" s="300" t="s">
        <v>17</v>
      </c>
      <c r="D61" s="277" t="s">
        <v>17</v>
      </c>
      <c r="E61" s="305" t="s">
        <v>17</v>
      </c>
      <c r="F61" s="299" t="s">
        <v>17</v>
      </c>
      <c r="G61" s="1390" t="s">
        <v>17</v>
      </c>
      <c r="H61" s="1390" t="s">
        <v>17</v>
      </c>
      <c r="I61" s="1390" t="s">
        <v>17</v>
      </c>
      <c r="J61" s="1407" t="s">
        <v>17</v>
      </c>
      <c r="K61" s="277" t="s">
        <v>17</v>
      </c>
      <c r="L61" s="277" t="s">
        <v>17</v>
      </c>
      <c r="M61" s="1305"/>
      <c r="N61" s="271"/>
      <c r="O61" s="271"/>
      <c r="P61" s="1281"/>
      <c r="Q61" s="271"/>
      <c r="R61" s="2638" t="s">
        <v>476</v>
      </c>
      <c r="S61" s="2639" t="s">
        <v>166</v>
      </c>
      <c r="T61" s="2639"/>
      <c r="U61" s="2642"/>
      <c r="V61" s="269"/>
      <c r="W61" s="2644" t="s">
        <v>476</v>
      </c>
      <c r="X61" s="2639" t="s">
        <v>166</v>
      </c>
      <c r="Y61" s="2639"/>
      <c r="Z61" s="2642"/>
      <c r="AA61" s="274"/>
      <c r="AB61" s="276"/>
      <c r="AC61" s="276"/>
      <c r="AD61" s="276"/>
      <c r="AE61" s="276"/>
      <c r="AF61" s="274"/>
    </row>
    <row r="62" spans="1:32" ht="39.950000000000003" customHeight="1">
      <c r="A62" s="1385"/>
      <c r="B62" s="291"/>
      <c r="C62" s="1283" t="s">
        <v>30</v>
      </c>
      <c r="D62" s="297" t="s">
        <v>30</v>
      </c>
      <c r="E62" s="1321" t="s">
        <v>30</v>
      </c>
      <c r="F62" s="1322" t="s">
        <v>30</v>
      </c>
      <c r="G62" s="1388" t="s">
        <v>30</v>
      </c>
      <c r="H62" s="1388" t="s">
        <v>30</v>
      </c>
      <c r="I62" s="1388" t="s">
        <v>30</v>
      </c>
      <c r="J62" s="1407" t="s">
        <v>55</v>
      </c>
      <c r="K62" s="277" t="s">
        <v>55</v>
      </c>
      <c r="L62" s="297" t="s">
        <v>30</v>
      </c>
      <c r="M62" s="1305"/>
      <c r="N62" s="271"/>
      <c r="O62" s="271"/>
      <c r="P62" s="1281"/>
      <c r="Q62" s="271"/>
      <c r="R62" s="2573"/>
      <c r="S62" s="1449" t="s">
        <v>59</v>
      </c>
      <c r="T62" s="2570" t="s">
        <v>167</v>
      </c>
      <c r="U62" s="1315" t="s">
        <v>68</v>
      </c>
      <c r="V62" s="269"/>
      <c r="W62" s="2645"/>
      <c r="X62" s="1449" t="s">
        <v>59</v>
      </c>
      <c r="Y62" s="2570" t="s">
        <v>167</v>
      </c>
      <c r="Z62" s="1315" t="s">
        <v>68</v>
      </c>
      <c r="AA62" s="274"/>
      <c r="AB62" s="276"/>
      <c r="AC62" s="276"/>
      <c r="AD62" s="276"/>
      <c r="AE62" s="276"/>
      <c r="AF62" s="274"/>
    </row>
    <row r="63" spans="1:32" ht="30" customHeight="1" thickBot="1">
      <c r="A63" s="1385"/>
      <c r="B63" s="296"/>
      <c r="C63" s="529">
        <v>1</v>
      </c>
      <c r="D63" s="531">
        <v>2</v>
      </c>
      <c r="E63" s="525">
        <v>3</v>
      </c>
      <c r="F63" s="526">
        <v>4</v>
      </c>
      <c r="G63" s="525">
        <v>5</v>
      </c>
      <c r="H63" s="527">
        <v>6</v>
      </c>
      <c r="I63" s="528">
        <v>7</v>
      </c>
      <c r="J63" s="530">
        <v>8</v>
      </c>
      <c r="K63" s="529">
        <v>9</v>
      </c>
      <c r="L63" s="531">
        <v>10</v>
      </c>
      <c r="M63" s="1305"/>
      <c r="N63" s="271"/>
      <c r="O63" s="271"/>
      <c r="P63" s="1281"/>
      <c r="Q63" s="271"/>
      <c r="R63" s="1730"/>
      <c r="S63" s="1313"/>
      <c r="T63" s="2571"/>
      <c r="U63" s="1316"/>
      <c r="V63" s="269"/>
      <c r="W63" s="1309"/>
      <c r="X63" s="1313"/>
      <c r="Y63" s="2571"/>
      <c r="Z63" s="1316"/>
      <c r="AA63" s="274"/>
      <c r="AB63" s="276"/>
      <c r="AC63" s="276"/>
      <c r="AD63" s="276"/>
      <c r="AE63" s="273"/>
      <c r="AF63" s="274"/>
    </row>
    <row r="64" spans="1:32" ht="35.1" customHeight="1" thickBot="1">
      <c r="A64" s="1385"/>
      <c r="B64" s="293" t="s">
        <v>177</v>
      </c>
      <c r="C64" s="302"/>
      <c r="D64" s="292"/>
      <c r="E64" s="306"/>
      <c r="F64" s="301"/>
      <c r="G64" s="1426"/>
      <c r="H64" s="1426"/>
      <c r="I64" s="1426"/>
      <c r="J64" s="1337"/>
      <c r="K64" s="1339"/>
      <c r="L64" s="297"/>
      <c r="M64" s="1305"/>
      <c r="N64" s="271"/>
      <c r="O64" s="271"/>
      <c r="P64" s="1281"/>
      <c r="Q64" s="271"/>
      <c r="R64" s="2325"/>
      <c r="S64" s="2325"/>
      <c r="T64" s="2325"/>
      <c r="U64" s="2326"/>
      <c r="V64" s="269"/>
      <c r="W64" s="2321"/>
      <c r="X64" s="2321"/>
      <c r="Y64" s="2321"/>
      <c r="Z64" s="2322"/>
      <c r="AA64" s="274"/>
      <c r="AB64" s="276"/>
      <c r="AC64" s="276"/>
      <c r="AD64" s="276"/>
      <c r="AE64" s="273"/>
      <c r="AF64" s="274"/>
    </row>
    <row r="65" spans="1:32" ht="30" customHeight="1">
      <c r="A65" s="1385"/>
      <c r="B65" s="280" t="s">
        <v>143</v>
      </c>
      <c r="C65" s="1454">
        <v>54</v>
      </c>
      <c r="D65" s="1455">
        <v>61</v>
      </c>
      <c r="E65" s="1456"/>
      <c r="F65" s="1457">
        <v>46</v>
      </c>
      <c r="G65" s="1458">
        <v>53</v>
      </c>
      <c r="H65" s="1458">
        <v>51</v>
      </c>
      <c r="I65" s="1458">
        <v>50</v>
      </c>
      <c r="J65" s="1409">
        <f>SUM(F65:I65)</f>
        <v>200</v>
      </c>
      <c r="K65" s="320">
        <f>SUM(D65,J65)</f>
        <v>261</v>
      </c>
      <c r="L65" s="1455">
        <v>2</v>
      </c>
      <c r="M65" s="1305"/>
      <c r="N65" s="271"/>
      <c r="O65" s="271"/>
      <c r="P65" s="1281"/>
      <c r="Q65" s="271"/>
      <c r="R65" s="1731" t="str">
        <f>IF(AND(D65&gt;0,C65=0),"No intake",IF(AND(C65&gt;0,D65=0),"No enrolments",IF(AND(C65&gt;D65,D65&gt;0),"Intake inconsistent with enrolments","OK")))</f>
        <v>OK</v>
      </c>
      <c r="S65" s="2323">
        <f>'T1 Main Table'!$M$39</f>
        <v>61</v>
      </c>
      <c r="T65" s="2324">
        <f>D65-S65</f>
        <v>0</v>
      </c>
      <c r="U65" s="1725" t="str">
        <f>IF(ABS(T65)&gt;0.1,"Does not equal figure in Table 1","OK")</f>
        <v>OK</v>
      </c>
      <c r="V65" s="269"/>
      <c r="W65" s="1731" t="str">
        <f>IF(AND(J65&gt;0,E65=0),"No intake",IF(AND(E65&gt;0,J65=0),"No enrolments",IF(AND(E65&gt;=J65,J65&gt;0),"Intake inconsistent with enrolments","OK")))</f>
        <v>No intake</v>
      </c>
      <c r="X65" s="2318">
        <f>'T1 Main Table'!$M$36</f>
        <v>200</v>
      </c>
      <c r="Y65" s="2319">
        <f>J65-X65</f>
        <v>0</v>
      </c>
      <c r="Z65" s="2320" t="str">
        <f>IF(ABS(Y65)&gt;0.1,"Does not equal figure in Table 1","OK")</f>
        <v>OK</v>
      </c>
      <c r="AA65" s="274"/>
      <c r="AB65" s="276"/>
      <c r="AC65" s="276"/>
      <c r="AD65" s="283"/>
      <c r="AE65" s="276"/>
      <c r="AF65" s="274"/>
    </row>
    <row r="66" spans="1:32" ht="30" customHeight="1" thickBot="1">
      <c r="A66" s="1385"/>
      <c r="B66" s="280" t="s">
        <v>176</v>
      </c>
      <c r="C66" s="1459">
        <v>13</v>
      </c>
      <c r="D66" s="1460">
        <v>14</v>
      </c>
      <c r="E66" s="1461"/>
      <c r="F66" s="1462">
        <v>13</v>
      </c>
      <c r="G66" s="1463">
        <v>15</v>
      </c>
      <c r="H66" s="1463">
        <v>12</v>
      </c>
      <c r="I66" s="1463">
        <v>13</v>
      </c>
      <c r="J66" s="319">
        <f t="shared" ref="J66:J68" si="10">SUM(F66:I66)</f>
        <v>53</v>
      </c>
      <c r="K66" s="321">
        <f>SUM(D66,J66)</f>
        <v>67</v>
      </c>
      <c r="L66" s="1468">
        <v>2</v>
      </c>
      <c r="M66" s="1305"/>
      <c r="N66" s="271"/>
      <c r="O66" s="271"/>
      <c r="P66" s="1281"/>
      <c r="Q66" s="271"/>
      <c r="R66" s="1733" t="str">
        <f>IF(AND(D66&gt;0,C66=0),"No intake",IF(AND(C66&gt;0,D66=0),"No enrolments",IF(AND(C66&gt;D66,D66&gt;0),"Intake inconsistent with enrolments","OK")))</f>
        <v>OK</v>
      </c>
      <c r="S66" s="2312">
        <f>'T1 Main Table'!$Q$39</f>
        <v>14</v>
      </c>
      <c r="T66" s="2317">
        <f>D66-S66</f>
        <v>0</v>
      </c>
      <c r="U66" s="1318" t="str">
        <f>IF(ABS(T66)&gt;0.1,"Does not equal figure in Table 1","OK")</f>
        <v>OK</v>
      </c>
      <c r="V66" s="269"/>
      <c r="W66" s="1732" t="str">
        <f>IF(AND(J66&gt;0,E66=0),"No intake",IF(AND(E66&gt;0,J66=0),"No enrolments",IF(AND(E66&gt;=J66,J66&gt;0),"Intake inconsistent with enrolments","OK")))</f>
        <v>No intake</v>
      </c>
      <c r="X66" s="1314">
        <f>'T1 Main Table'!$Q$36</f>
        <v>53</v>
      </c>
      <c r="Y66" s="1319">
        <f>J66-X66</f>
        <v>0</v>
      </c>
      <c r="Z66" s="1317" t="str">
        <f>IF(ABS(Y66)&gt;0.1,"Does not equal figure in Table 1","OK")</f>
        <v>OK</v>
      </c>
      <c r="AA66" s="274"/>
      <c r="AB66" s="276"/>
      <c r="AC66" s="276"/>
      <c r="AD66" s="283"/>
      <c r="AE66" s="276"/>
      <c r="AF66" s="274"/>
    </row>
    <row r="67" spans="1:32" ht="30" customHeight="1" thickBot="1">
      <c r="A67" s="1385"/>
      <c r="B67" s="316" t="s">
        <v>178</v>
      </c>
      <c r="C67" s="670">
        <f>SUM(C65:C66)</f>
        <v>67</v>
      </c>
      <c r="D67" s="671">
        <f t="shared" ref="D67" si="11">SUM(D65:D66)</f>
        <v>75</v>
      </c>
      <c r="E67" s="1442">
        <f>SUM(E65:E66)</f>
        <v>0</v>
      </c>
      <c r="F67" s="303">
        <f>SUM(F65:F66)</f>
        <v>59</v>
      </c>
      <c r="G67" s="294">
        <f t="shared" ref="G67:I67" si="12">SUM(G65:G66)</f>
        <v>68</v>
      </c>
      <c r="H67" s="294">
        <f t="shared" si="12"/>
        <v>63</v>
      </c>
      <c r="I67" s="294">
        <f t="shared" si="12"/>
        <v>63</v>
      </c>
      <c r="J67" s="295">
        <f>SUM(J65:J66)</f>
        <v>253</v>
      </c>
      <c r="K67" s="1443">
        <f>SUM(K65:K66)</f>
        <v>328</v>
      </c>
      <c r="L67" s="1279">
        <f>SUM(L65:L66)</f>
        <v>4</v>
      </c>
      <c r="M67" s="1305"/>
      <c r="N67" s="271"/>
      <c r="O67" s="271"/>
      <c r="P67" s="1281"/>
      <c r="Q67" s="271"/>
      <c r="R67" s="1311"/>
      <c r="S67" s="1452"/>
      <c r="T67" s="1453"/>
      <c r="U67" s="1452"/>
      <c r="V67" s="269"/>
      <c r="W67" s="1732"/>
      <c r="X67" s="2012"/>
      <c r="Y67" s="1453"/>
      <c r="Z67" s="1452"/>
      <c r="AA67" s="274"/>
      <c r="AB67" s="276"/>
      <c r="AC67" s="276"/>
      <c r="AD67" s="283"/>
      <c r="AE67" s="276"/>
      <c r="AF67" s="274"/>
    </row>
    <row r="68" spans="1:32" ht="35.1" customHeight="1" thickBot="1">
      <c r="A68" s="1385"/>
      <c r="B68" s="317" t="s">
        <v>144</v>
      </c>
      <c r="C68" s="1464">
        <v>9</v>
      </c>
      <c r="D68" s="1455">
        <v>10</v>
      </c>
      <c r="E68" s="1465">
        <v>4</v>
      </c>
      <c r="F68" s="1466">
        <v>9</v>
      </c>
      <c r="G68" s="1467">
        <v>16</v>
      </c>
      <c r="H68" s="1467">
        <v>14</v>
      </c>
      <c r="I68" s="1467">
        <v>6</v>
      </c>
      <c r="J68" s="1301">
        <f t="shared" si="10"/>
        <v>45</v>
      </c>
      <c r="K68" s="321">
        <f>SUM(D68,J68)</f>
        <v>55</v>
      </c>
      <c r="L68" s="1469"/>
      <c r="M68" s="1305"/>
      <c r="N68" s="271"/>
      <c r="O68" s="271"/>
      <c r="P68" s="1281"/>
      <c r="Q68" s="271"/>
      <c r="R68" s="2327" t="str">
        <f>IF(AND(D68&gt;0,C68=0),"No intake",IF(AND(C68&gt;0,D68=0),"No enrolments",IF(AND(C68&gt;D68,D68&gt;0),"Intake inconsistent with enrolments","OK")))</f>
        <v>OK</v>
      </c>
      <c r="S68" s="276"/>
      <c r="T68" s="283"/>
      <c r="U68" s="276"/>
      <c r="V68" s="269"/>
      <c r="W68" s="1733" t="str">
        <f>IF(AND(J68&gt;0,E68=0),"No intake",IF(AND(E68&gt;0,J68=0),"No enrolments",IF(AND(E68&gt;=J68,J68&gt;0),"Intake inconsistent with enrolments","OK")))</f>
        <v>OK</v>
      </c>
      <c r="X68" s="2013"/>
      <c r="Y68" s="283"/>
      <c r="Z68" s="276"/>
      <c r="AA68" s="274"/>
      <c r="AB68" s="276"/>
      <c r="AC68" s="276"/>
      <c r="AD68" s="283"/>
      <c r="AE68" s="276"/>
      <c r="AF68" s="274"/>
    </row>
    <row r="69" spans="1:32" ht="35.1" customHeight="1" thickBot="1">
      <c r="A69" s="1385"/>
      <c r="B69" s="282" t="s">
        <v>2</v>
      </c>
      <c r="C69" s="322">
        <f t="shared" ref="C69" si="13">SUM(C67:C68)</f>
        <v>76</v>
      </c>
      <c r="D69" s="327">
        <f t="shared" ref="D69:L69" si="14">SUM(D67:D68)</f>
        <v>85</v>
      </c>
      <c r="E69" s="323">
        <f t="shared" si="14"/>
        <v>4</v>
      </c>
      <c r="F69" s="324">
        <f t="shared" si="14"/>
        <v>68</v>
      </c>
      <c r="G69" s="325">
        <f t="shared" si="14"/>
        <v>84</v>
      </c>
      <c r="H69" s="325">
        <f t="shared" si="14"/>
        <v>77</v>
      </c>
      <c r="I69" s="325">
        <f t="shared" si="14"/>
        <v>69</v>
      </c>
      <c r="J69" s="326">
        <f t="shared" si="14"/>
        <v>298</v>
      </c>
      <c r="K69" s="322">
        <f t="shared" si="14"/>
        <v>383</v>
      </c>
      <c r="L69" s="328">
        <f t="shared" si="14"/>
        <v>4</v>
      </c>
      <c r="M69" s="1305"/>
      <c r="N69" s="271"/>
      <c r="O69" s="271"/>
      <c r="P69" s="1281"/>
      <c r="Q69" s="271"/>
      <c r="R69" s="284"/>
      <c r="S69" s="284"/>
      <c r="T69" s="285"/>
      <c r="U69" s="286"/>
      <c r="V69" s="269"/>
      <c r="W69" s="269"/>
      <c r="X69" s="269"/>
      <c r="Y69" s="269"/>
      <c r="Z69" s="269"/>
      <c r="AA69" s="274"/>
      <c r="AB69" s="274"/>
      <c r="AC69" s="274"/>
      <c r="AD69" s="274"/>
      <c r="AE69" s="274"/>
      <c r="AF69" s="274"/>
    </row>
    <row r="70" spans="1:32" s="637" customFormat="1" ht="30" customHeight="1">
      <c r="A70" s="1440"/>
      <c r="B70" s="287" t="s">
        <v>152</v>
      </c>
      <c r="C70" s="287"/>
      <c r="D70" s="287"/>
      <c r="E70" s="287"/>
      <c r="F70" s="287"/>
      <c r="G70" s="287"/>
      <c r="H70" s="287"/>
      <c r="I70" s="287"/>
      <c r="J70" s="287"/>
      <c r="K70" s="287"/>
      <c r="L70" s="287"/>
      <c r="M70" s="287"/>
      <c r="N70" s="288"/>
      <c r="O70" s="288"/>
      <c r="P70" s="1441"/>
      <c r="Q70" s="288"/>
      <c r="R70" s="289"/>
      <c r="S70" s="289"/>
      <c r="T70" s="289"/>
      <c r="U70" s="289"/>
      <c r="V70" s="289"/>
      <c r="W70" s="289"/>
      <c r="X70" s="289"/>
      <c r="Y70" s="289"/>
      <c r="Z70" s="289"/>
      <c r="AA70" s="289"/>
      <c r="AB70" s="289"/>
      <c r="AC70" s="289"/>
      <c r="AD70" s="289"/>
      <c r="AE70" s="289"/>
      <c r="AF70" s="289"/>
    </row>
    <row r="71" spans="1:32" s="637" customFormat="1" ht="15" customHeight="1">
      <c r="A71" s="1444"/>
      <c r="B71" s="1445"/>
      <c r="C71" s="1446"/>
      <c r="D71" s="1446"/>
      <c r="E71" s="1446"/>
      <c r="F71" s="1446"/>
      <c r="G71" s="1446"/>
      <c r="H71" s="1446"/>
      <c r="I71" s="1446"/>
      <c r="J71" s="1446"/>
      <c r="K71" s="1446"/>
      <c r="L71" s="1446"/>
      <c r="M71" s="1446"/>
      <c r="N71" s="1447"/>
      <c r="O71" s="1447"/>
      <c r="P71" s="1448"/>
      <c r="Q71" s="288"/>
      <c r="R71" s="289"/>
      <c r="S71" s="289"/>
      <c r="T71" s="290"/>
      <c r="U71" s="290"/>
      <c r="V71" s="289"/>
      <c r="W71" s="289"/>
      <c r="X71" s="289"/>
      <c r="Y71" s="289"/>
      <c r="Z71" s="289"/>
      <c r="AA71" s="289"/>
      <c r="AB71" s="289"/>
      <c r="AC71" s="289"/>
      <c r="AD71" s="289"/>
      <c r="AE71" s="289"/>
      <c r="AF71" s="289"/>
    </row>
    <row r="72" spans="1:32" ht="12.75" customHeight="1">
      <c r="A72" s="405"/>
      <c r="B72" s="405"/>
      <c r="C72" s="1387"/>
      <c r="D72" s="1387"/>
      <c r="E72" s="1387"/>
      <c r="F72" s="1387"/>
      <c r="G72" s="1387"/>
      <c r="H72" s="1387"/>
      <c r="I72" s="1387"/>
      <c r="J72" s="1387"/>
      <c r="K72" s="1387"/>
      <c r="L72" s="1387"/>
      <c r="M72" s="1387"/>
      <c r="N72" s="1387"/>
      <c r="O72" s="1387"/>
      <c r="P72" s="1387"/>
      <c r="Q72" s="1387"/>
      <c r="R72" s="1387"/>
      <c r="S72" s="1387"/>
      <c r="T72" s="405"/>
      <c r="U72" s="405"/>
      <c r="V72" s="405"/>
      <c r="W72" s="405"/>
      <c r="X72" s="405"/>
      <c r="Y72" s="405"/>
      <c r="Z72" s="405"/>
      <c r="AA72" s="405"/>
      <c r="AB72" s="405"/>
      <c r="AC72" s="405"/>
      <c r="AD72" s="405"/>
      <c r="AE72" s="405"/>
      <c r="AF72" s="405"/>
    </row>
  </sheetData>
  <sheetProtection password="E23E" sheet="1" objects="1" scenarios="1"/>
  <mergeCells count="34">
    <mergeCell ref="C4:E4"/>
    <mergeCell ref="AB38:AE38"/>
    <mergeCell ref="AB39:AB40"/>
    <mergeCell ref="AC39:AE39"/>
    <mergeCell ref="AD40:AD41"/>
    <mergeCell ref="W39:W40"/>
    <mergeCell ref="X39:Z39"/>
    <mergeCell ref="Y40:Y41"/>
    <mergeCell ref="R38:U38"/>
    <mergeCell ref="W38:Z38"/>
    <mergeCell ref="D37:H37"/>
    <mergeCell ref="C10:E10"/>
    <mergeCell ref="F10:F11"/>
    <mergeCell ref="C36:I36"/>
    <mergeCell ref="B34:O34"/>
    <mergeCell ref="C35:N35"/>
    <mergeCell ref="X61:Z61"/>
    <mergeCell ref="T62:T63"/>
    <mergeCell ref="Y62:Y63"/>
    <mergeCell ref="E59:J59"/>
    <mergeCell ref="R60:U60"/>
    <mergeCell ref="L58:L59"/>
    <mergeCell ref="R61:R62"/>
    <mergeCell ref="S61:U61"/>
    <mergeCell ref="W61:W62"/>
    <mergeCell ref="J36:M36"/>
    <mergeCell ref="O35:O36"/>
    <mergeCell ref="W60:Z60"/>
    <mergeCell ref="R39:R40"/>
    <mergeCell ref="S39:U39"/>
    <mergeCell ref="T40:T41"/>
    <mergeCell ref="B57:L57"/>
    <mergeCell ref="C58:K58"/>
    <mergeCell ref="C59:D59"/>
  </mergeCells>
  <conditionalFormatting sqref="B2">
    <cfRule type="expression" dxfId="63" priority="19" stopIfTrue="1">
      <formula>#REF!=0</formula>
    </cfRule>
  </conditionalFormatting>
  <conditionalFormatting sqref="A1:P1">
    <cfRule type="expression" dxfId="62" priority="29" stopIfTrue="1">
      <formula>$F$4=0</formula>
    </cfRule>
  </conditionalFormatting>
  <conditionalFormatting sqref="I45">
    <cfRule type="expression" dxfId="61" priority="17" stopIfTrue="1">
      <formula>$F$4=0</formula>
    </cfRule>
  </conditionalFormatting>
  <conditionalFormatting sqref="C65:I66 C68:I68 L65:L66 L68">
    <cfRule type="expression" dxfId="60" priority="12">
      <formula>OR($F$4=2,$F$4=4)</formula>
    </cfRule>
  </conditionalFormatting>
  <conditionalFormatting sqref="E65:I66 E68:I68 L65:L66 L68">
    <cfRule type="expression" dxfId="59" priority="11" stopIfTrue="1">
      <formula>$F$4=1</formula>
    </cfRule>
  </conditionalFormatting>
  <conditionalFormatting sqref="D17">
    <cfRule type="expression" dxfId="58" priority="9">
      <formula>OR($F$4=1,$F$4=4)</formula>
    </cfRule>
  </conditionalFormatting>
  <conditionalFormatting sqref="D18:D19 D25:D27 D21 D23">
    <cfRule type="expression" dxfId="57" priority="8">
      <formula>$F$4&gt;0</formula>
    </cfRule>
  </conditionalFormatting>
  <conditionalFormatting sqref="F20:F21 F25:F27 F23">
    <cfRule type="expression" dxfId="56" priority="7">
      <formula>AND($F$4&gt;0,$F$4&lt;5)</formula>
    </cfRule>
  </conditionalFormatting>
  <conditionalFormatting sqref="C20:C21 C23">
    <cfRule type="expression" dxfId="55" priority="6">
      <formula>$F$4=5</formula>
    </cfRule>
  </conditionalFormatting>
  <conditionalFormatting sqref="C43:C44">
    <cfRule type="expression" dxfId="54" priority="5">
      <formula>$F$4=5</formula>
    </cfRule>
  </conditionalFormatting>
  <conditionalFormatting sqref="D43:E44 D47:E49">
    <cfRule type="expression" dxfId="53" priority="4">
      <formula>$F$4&gt;0</formula>
    </cfRule>
  </conditionalFormatting>
  <conditionalFormatting sqref="F43:G44 F47:G49">
    <cfRule type="expression" dxfId="52" priority="3">
      <formula>$F$4=5</formula>
    </cfRule>
  </conditionalFormatting>
  <conditionalFormatting sqref="J43:L44 J47:L49 O43:O44 O47:O49">
    <cfRule type="expression" dxfId="51" priority="2">
      <formula>AND($F$4&gt;0,$F$4&lt;5)</formula>
    </cfRule>
  </conditionalFormatting>
  <conditionalFormatting sqref="R43:R44 R47:R49 U43:U44 W43:W44 W47:W49 Z43:Z44 AB43:AB44 AE43:AE44 R65:R66 R68 U65:U66 W65:W66 W68 Z65:Z66">
    <cfRule type="expression" dxfId="50" priority="1">
      <formula>R43&lt;&gt;"OK"</formula>
    </cfRule>
  </conditionalFormatting>
  <dataValidations count="2">
    <dataValidation type="decimal" operator="greaterThanOrEqual" allowBlank="1" showErrorMessage="1" errorTitle="Number less than 0" error="You are trying to enter a number which is less than 0, please re-enter a valid number." sqref="C47:G49 C65:I66 O43:O44 O47:O49 L68 L65:L66 C68:I68 C43:G44 J47:L49 J43:L44">
      <formula1>0</formula1>
    </dataValidation>
    <dataValidation type="custom" allowBlank="1" showErrorMessage="1" errorTitle="Number less than 0" error="You are trying to enter a number which is less than 0, please re-enter a valid number." sqref="C67:L67 C69:K69 C45:H46 M45:M46 I45:L45 J46:K46 C56:M56 N45:O45 N51:O51 C50:M51 C53:M54">
      <formula1>C45&gt;=0</formula1>
    </dataValidation>
  </dataValidations>
  <printOptions gridLines="1" gridLinesSet="0"/>
  <pageMargins left="0.19685039370078741" right="0.19685039370078741" top="0.19685039370078741" bottom="0.39370078740157483" header="0" footer="0"/>
  <pageSetup paperSize="8" scale="41" orientation="landscape" r:id="rId1"/>
  <headerFooter alignWithMargins="0"/>
  <rowBreaks count="2" manualBreakCount="2">
    <brk id="30" max="13" man="1"/>
    <brk id="53" max="1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C49"/>
  <sheetViews>
    <sheetView zoomScale="80" zoomScaleNormal="80" workbookViewId="0"/>
  </sheetViews>
  <sheetFormatPr defaultColWidth="9.140625" defaultRowHeight="15"/>
  <cols>
    <col min="1" max="1" width="2.7109375" style="631" customWidth="1"/>
    <col min="2" max="2" width="28.7109375" style="631" customWidth="1"/>
    <col min="3" max="17" width="13.7109375" style="631" customWidth="1"/>
    <col min="18" max="21" width="4.7109375" style="631" customWidth="1"/>
    <col min="22" max="23" width="35.7109375" style="631" customWidth="1"/>
    <col min="24" max="24" width="4.7109375" style="631" customWidth="1"/>
    <col min="25" max="25" width="34.85546875" style="631" customWidth="1"/>
    <col min="26" max="27" width="12.7109375" style="631" customWidth="1"/>
    <col min="28" max="28" width="35.85546875" style="631" customWidth="1"/>
    <col min="29" max="29" width="10.7109375" style="631" customWidth="1"/>
    <col min="30" max="16384" width="9.140625" style="631"/>
  </cols>
  <sheetData>
    <row r="1" spans="1:29" ht="39.950000000000003" customHeight="1">
      <c r="A1" s="228"/>
      <c r="B1" s="241" t="str">
        <f>IF(F4=0,"Your Institution Does Not Complete This Table","")</f>
        <v>Your Institution Does Not Complete This Table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</row>
    <row r="2" spans="1:29" ht="30" customHeight="1">
      <c r="A2" s="730"/>
      <c r="B2" s="731" t="s">
        <v>304</v>
      </c>
      <c r="C2" s="732"/>
      <c r="D2" s="732"/>
      <c r="E2" s="732"/>
      <c r="F2" s="732"/>
      <c r="G2" s="733"/>
      <c r="H2" s="1323"/>
      <c r="I2" s="734"/>
      <c r="J2" s="734"/>
      <c r="K2" s="734"/>
      <c r="L2" s="734"/>
      <c r="M2" s="734"/>
      <c r="N2" s="734"/>
      <c r="O2" s="734"/>
      <c r="P2" s="734"/>
      <c r="Q2" s="734"/>
      <c r="R2" s="735"/>
      <c r="S2" s="234"/>
      <c r="T2" s="234"/>
      <c r="U2" s="234"/>
      <c r="V2" s="5"/>
      <c r="W2" s="5"/>
      <c r="X2" s="234"/>
      <c r="Y2" s="234"/>
      <c r="Z2" s="234"/>
      <c r="AA2" s="234"/>
      <c r="AB2" s="234"/>
      <c r="AC2" s="234"/>
    </row>
    <row r="3" spans="1:29" ht="15" customHeight="1" thickBot="1">
      <c r="A3" s="341"/>
      <c r="B3" s="46"/>
      <c r="C3" s="67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736"/>
      <c r="S3" s="68"/>
      <c r="T3" s="68"/>
      <c r="U3" s="68"/>
      <c r="V3" s="5"/>
      <c r="W3" s="5"/>
      <c r="X3" s="68"/>
      <c r="Y3" s="68"/>
      <c r="Z3" s="68"/>
      <c r="AA3" s="68"/>
      <c r="AB3" s="68"/>
      <c r="AC3" s="68"/>
    </row>
    <row r="4" spans="1:29" ht="35.1" customHeight="1" thickBot="1">
      <c r="A4" s="341"/>
      <c r="B4" s="408" t="s">
        <v>0</v>
      </c>
      <c r="C4" s="2654" t="str">
        <f>VLOOKUP('Background Data'!$C$2,Inst_Tables,2,FALSE)</f>
        <v>Glasgow, University of</v>
      </c>
      <c r="D4" s="2655"/>
      <c r="E4" s="2656"/>
      <c r="F4" s="824">
        <f>VLOOKUP('Background Data'!$C$2,Inst_Tables,10,FALSE)</f>
        <v>0</v>
      </c>
      <c r="G4" s="729"/>
      <c r="H4" s="729"/>
      <c r="I4" s="224"/>
      <c r="J4" s="69"/>
      <c r="K4" s="69"/>
      <c r="L4" s="69"/>
      <c r="M4" s="69"/>
      <c r="N4" s="69"/>
      <c r="O4" s="69"/>
      <c r="P4" s="69"/>
      <c r="Q4" s="69"/>
      <c r="R4" s="737"/>
      <c r="S4" s="69"/>
      <c r="T4" s="69"/>
      <c r="U4" s="69"/>
      <c r="V4" s="5"/>
      <c r="W4" s="5"/>
      <c r="X4" s="69"/>
      <c r="Y4" s="69"/>
      <c r="Z4" s="69"/>
      <c r="AA4" s="69"/>
      <c r="AB4" s="69"/>
      <c r="AC4" s="69"/>
    </row>
    <row r="5" spans="1:29" ht="35.1" customHeight="1">
      <c r="A5" s="341"/>
      <c r="B5" s="409" t="s">
        <v>485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673"/>
      <c r="S5" s="70"/>
      <c r="T5" s="70"/>
      <c r="U5" s="70"/>
      <c r="V5" s="5"/>
      <c r="W5" s="5"/>
      <c r="X5" s="70"/>
      <c r="Y5" s="70"/>
      <c r="Z5" s="70"/>
      <c r="AA5" s="70"/>
      <c r="AB5" s="70"/>
      <c r="AC5" s="70"/>
    </row>
    <row r="6" spans="1:29" ht="24.95" customHeight="1">
      <c r="A6" s="341"/>
      <c r="B6" s="11" t="s">
        <v>502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673"/>
      <c r="S6" s="70"/>
      <c r="T6" s="70"/>
      <c r="U6" s="70"/>
      <c r="V6" s="5"/>
      <c r="W6" s="5"/>
      <c r="X6" s="70"/>
      <c r="Y6" s="70"/>
      <c r="Z6" s="70"/>
      <c r="AA6" s="70"/>
      <c r="AB6" s="70"/>
      <c r="AC6" s="70"/>
    </row>
    <row r="7" spans="1:29" ht="15" customHeight="1" thickBot="1">
      <c r="A7" s="341"/>
      <c r="B7" s="41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673"/>
      <c r="S7" s="70"/>
      <c r="T7" s="70"/>
      <c r="U7" s="70"/>
      <c r="V7" s="5"/>
      <c r="W7" s="5"/>
      <c r="X7" s="70"/>
      <c r="Y7" s="70"/>
      <c r="Z7" s="70"/>
      <c r="AA7" s="70"/>
      <c r="AB7" s="70"/>
      <c r="AC7" s="70"/>
    </row>
    <row r="8" spans="1:29" ht="30" customHeight="1" thickBot="1">
      <c r="A8" s="341"/>
      <c r="B8" s="465"/>
      <c r="C8" s="2657" t="s">
        <v>69</v>
      </c>
      <c r="D8" s="2658"/>
      <c r="E8" s="2658"/>
      <c r="F8" s="2658"/>
      <c r="G8" s="2659"/>
      <c r="H8" s="2657" t="s">
        <v>354</v>
      </c>
      <c r="I8" s="2658"/>
      <c r="J8" s="2658"/>
      <c r="K8" s="2658"/>
      <c r="L8" s="2659"/>
      <c r="M8" s="2660" t="s">
        <v>2</v>
      </c>
      <c r="N8" s="2661"/>
      <c r="O8" s="2661"/>
      <c r="P8" s="2661"/>
      <c r="Q8" s="2662"/>
      <c r="R8" s="673"/>
      <c r="S8" s="70"/>
      <c r="T8" s="70"/>
      <c r="U8" s="70"/>
      <c r="V8" s="5"/>
      <c r="W8" s="5"/>
      <c r="X8" s="70"/>
      <c r="Y8" s="70"/>
      <c r="Z8" s="70"/>
      <c r="AA8" s="70"/>
      <c r="AB8" s="70"/>
      <c r="AC8" s="70"/>
    </row>
    <row r="9" spans="1:29" ht="30" customHeight="1">
      <c r="A9" s="341"/>
      <c r="B9" s="672"/>
      <c r="C9" s="715" t="s">
        <v>174</v>
      </c>
      <c r="D9" s="2664" t="s">
        <v>27</v>
      </c>
      <c r="E9" s="2664"/>
      <c r="F9" s="2664"/>
      <c r="G9" s="2665"/>
      <c r="H9" s="715" t="s">
        <v>174</v>
      </c>
      <c r="I9" s="2663" t="s">
        <v>27</v>
      </c>
      <c r="J9" s="2664"/>
      <c r="K9" s="2664"/>
      <c r="L9" s="2665"/>
      <c r="M9" s="715" t="s">
        <v>174</v>
      </c>
      <c r="N9" s="2664" t="s">
        <v>27</v>
      </c>
      <c r="O9" s="2664"/>
      <c r="P9" s="2664"/>
      <c r="Q9" s="2665"/>
      <c r="R9" s="673"/>
      <c r="S9" s="70"/>
      <c r="T9" s="70"/>
      <c r="U9" s="70"/>
      <c r="V9" s="290" t="s">
        <v>479</v>
      </c>
      <c r="W9" s="5"/>
      <c r="X9" s="70"/>
      <c r="Y9" s="333" t="s">
        <v>477</v>
      </c>
      <c r="Z9" s="70"/>
      <c r="AA9" s="70"/>
      <c r="AB9" s="70"/>
      <c r="AC9" s="70"/>
    </row>
    <row r="10" spans="1:29" ht="32.25" customHeight="1" thickBot="1">
      <c r="A10" s="341"/>
      <c r="B10" s="466"/>
      <c r="C10" s="726"/>
      <c r="D10" s="713" t="s">
        <v>24</v>
      </c>
      <c r="E10" s="738" t="s">
        <v>13</v>
      </c>
      <c r="F10" s="738" t="s">
        <v>14</v>
      </c>
      <c r="G10" s="739" t="s">
        <v>2</v>
      </c>
      <c r="H10" s="726"/>
      <c r="I10" s="713" t="s">
        <v>24</v>
      </c>
      <c r="J10" s="738" t="s">
        <v>13</v>
      </c>
      <c r="K10" s="738" t="s">
        <v>14</v>
      </c>
      <c r="L10" s="739" t="s">
        <v>2</v>
      </c>
      <c r="M10" s="726"/>
      <c r="N10" s="713" t="s">
        <v>24</v>
      </c>
      <c r="O10" s="738" t="s">
        <v>13</v>
      </c>
      <c r="P10" s="738" t="s">
        <v>14</v>
      </c>
      <c r="Q10" s="739" t="s">
        <v>2</v>
      </c>
      <c r="R10" s="673"/>
      <c r="S10" s="70"/>
      <c r="T10" s="70"/>
      <c r="U10" s="70"/>
      <c r="V10" s="5"/>
      <c r="W10" s="5"/>
      <c r="X10" s="70"/>
      <c r="Y10" s="70"/>
      <c r="Z10" s="70"/>
      <c r="AA10" s="70"/>
      <c r="AB10" s="70"/>
      <c r="AC10" s="70"/>
    </row>
    <row r="11" spans="1:29" ht="30" customHeight="1" thickBot="1">
      <c r="A11" s="341"/>
      <c r="B11" s="674" t="s">
        <v>208</v>
      </c>
      <c r="C11" s="715" t="s">
        <v>17</v>
      </c>
      <c r="D11" s="469" t="s">
        <v>17</v>
      </c>
      <c r="E11" s="28" t="s">
        <v>17</v>
      </c>
      <c r="F11" s="28" t="s">
        <v>17</v>
      </c>
      <c r="G11" s="30" t="s">
        <v>17</v>
      </c>
      <c r="H11" s="715" t="s">
        <v>17</v>
      </c>
      <c r="I11" s="469" t="s">
        <v>17</v>
      </c>
      <c r="J11" s="28" t="s">
        <v>17</v>
      </c>
      <c r="K11" s="28" t="s">
        <v>17</v>
      </c>
      <c r="L11" s="30" t="s">
        <v>17</v>
      </c>
      <c r="M11" s="715" t="s">
        <v>17</v>
      </c>
      <c r="N11" s="469" t="s">
        <v>17</v>
      </c>
      <c r="O11" s="28" t="s">
        <v>17</v>
      </c>
      <c r="P11" s="28" t="s">
        <v>17</v>
      </c>
      <c r="Q11" s="30" t="s">
        <v>17</v>
      </c>
      <c r="R11" s="673"/>
      <c r="S11" s="70"/>
      <c r="T11" s="70"/>
      <c r="U11" s="70"/>
      <c r="V11" s="2657" t="s">
        <v>478</v>
      </c>
      <c r="W11" s="2659"/>
      <c r="X11" s="70"/>
      <c r="Y11" s="749"/>
      <c r="Z11" s="752" t="s">
        <v>59</v>
      </c>
      <c r="AA11" s="2670" t="s">
        <v>167</v>
      </c>
      <c r="AB11" s="763" t="s">
        <v>68</v>
      </c>
      <c r="AC11" s="70"/>
    </row>
    <row r="12" spans="1:29" ht="30" customHeight="1" thickBot="1">
      <c r="A12" s="341"/>
      <c r="B12" s="467"/>
      <c r="C12" s="715" t="s">
        <v>30</v>
      </c>
      <c r="D12" s="469" t="s">
        <v>30</v>
      </c>
      <c r="E12" s="28" t="s">
        <v>30</v>
      </c>
      <c r="F12" s="28" t="s">
        <v>30</v>
      </c>
      <c r="G12" s="30" t="s">
        <v>55</v>
      </c>
      <c r="H12" s="715" t="s">
        <v>30</v>
      </c>
      <c r="I12" s="469" t="s">
        <v>30</v>
      </c>
      <c r="J12" s="28" t="s">
        <v>30</v>
      </c>
      <c r="K12" s="28" t="s">
        <v>30</v>
      </c>
      <c r="L12" s="30" t="s">
        <v>55</v>
      </c>
      <c r="M12" s="715" t="s">
        <v>55</v>
      </c>
      <c r="N12" s="469" t="s">
        <v>55</v>
      </c>
      <c r="O12" s="28" t="s">
        <v>55</v>
      </c>
      <c r="P12" s="28" t="s">
        <v>55</v>
      </c>
      <c r="Q12" s="30" t="s">
        <v>55</v>
      </c>
      <c r="R12" s="673"/>
      <c r="S12" s="70"/>
      <c r="T12" s="70"/>
      <c r="U12" s="70"/>
      <c r="V12" s="2666" t="s">
        <v>69</v>
      </c>
      <c r="W12" s="2668" t="s">
        <v>354</v>
      </c>
      <c r="X12" s="70"/>
      <c r="Y12" s="468"/>
      <c r="Z12" s="2341"/>
      <c r="AA12" s="2671"/>
      <c r="AB12" s="2342"/>
      <c r="AC12" s="70"/>
    </row>
    <row r="13" spans="1:29" ht="24.95" customHeight="1" thickBot="1">
      <c r="A13" s="341"/>
      <c r="B13" s="468"/>
      <c r="C13" s="716">
        <v>1</v>
      </c>
      <c r="D13" s="532">
        <v>2</v>
      </c>
      <c r="E13" s="521">
        <v>3</v>
      </c>
      <c r="F13" s="521">
        <v>4</v>
      </c>
      <c r="G13" s="522">
        <v>5</v>
      </c>
      <c r="H13" s="716">
        <v>6</v>
      </c>
      <c r="I13" s="532">
        <v>7</v>
      </c>
      <c r="J13" s="521">
        <v>8</v>
      </c>
      <c r="K13" s="521">
        <v>9</v>
      </c>
      <c r="L13" s="522">
        <v>10</v>
      </c>
      <c r="M13" s="716">
        <v>11</v>
      </c>
      <c r="N13" s="532">
        <v>12</v>
      </c>
      <c r="O13" s="521">
        <v>13</v>
      </c>
      <c r="P13" s="521">
        <v>14</v>
      </c>
      <c r="Q13" s="522">
        <v>15</v>
      </c>
      <c r="R13" s="673"/>
      <c r="S13" s="70"/>
      <c r="T13" s="70"/>
      <c r="U13" s="70"/>
      <c r="V13" s="2667"/>
      <c r="W13" s="2669"/>
      <c r="X13" s="70"/>
      <c r="Y13" s="2338" t="s">
        <v>11</v>
      </c>
      <c r="Z13" s="2339"/>
      <c r="AA13" s="2339"/>
      <c r="AB13" s="2340"/>
      <c r="AC13" s="70"/>
    </row>
    <row r="14" spans="1:29" ht="35.1" customHeight="1">
      <c r="A14" s="341"/>
      <c r="B14" s="453" t="s">
        <v>11</v>
      </c>
      <c r="C14" s="717"/>
      <c r="D14" s="219"/>
      <c r="E14" s="218"/>
      <c r="F14" s="218"/>
      <c r="G14" s="220"/>
      <c r="H14" s="717"/>
      <c r="I14" s="219"/>
      <c r="J14" s="218"/>
      <c r="K14" s="218"/>
      <c r="L14" s="220"/>
      <c r="M14" s="717"/>
      <c r="N14" s="219"/>
      <c r="O14" s="218"/>
      <c r="P14" s="218"/>
      <c r="Q14" s="220"/>
      <c r="R14" s="673"/>
      <c r="S14" s="70"/>
      <c r="T14" s="70"/>
      <c r="U14" s="70"/>
      <c r="V14" s="1727"/>
      <c r="W14" s="1727"/>
      <c r="X14" s="70"/>
      <c r="Y14" s="750" t="s">
        <v>69</v>
      </c>
      <c r="Z14" s="755">
        <f>'T1 Main Table'!$M$49</f>
        <v>0</v>
      </c>
      <c r="AA14" s="756">
        <f>$G$39-Z14</f>
        <v>0</v>
      </c>
      <c r="AB14" s="754" t="str">
        <f>IF(ABS(AA14)&gt;0.1,"Does not equal figure in Table 1","OK")</f>
        <v>OK</v>
      </c>
      <c r="AC14" s="70"/>
    </row>
    <row r="15" spans="1:29" ht="30" customHeight="1" thickBot="1">
      <c r="A15" s="341"/>
      <c r="B15" s="454" t="s">
        <v>34</v>
      </c>
      <c r="C15" s="718"/>
      <c r="D15" s="70"/>
      <c r="E15" s="71"/>
      <c r="F15" s="71"/>
      <c r="G15" s="72"/>
      <c r="H15" s="718"/>
      <c r="I15" s="70"/>
      <c r="J15" s="71"/>
      <c r="K15" s="71"/>
      <c r="L15" s="72"/>
      <c r="M15" s="718"/>
      <c r="N15" s="70"/>
      <c r="O15" s="71"/>
      <c r="P15" s="71"/>
      <c r="Q15" s="72"/>
      <c r="R15" s="673"/>
      <c r="S15" s="70"/>
      <c r="T15" s="70"/>
      <c r="U15" s="70"/>
      <c r="V15" s="331"/>
      <c r="W15" s="331"/>
      <c r="X15" s="70"/>
      <c r="Y15" s="750" t="s">
        <v>354</v>
      </c>
      <c r="Z15" s="755">
        <f>'T1 Main Table'!$Q$49</f>
        <v>0</v>
      </c>
      <c r="AA15" s="756">
        <f>$L$39-Z15</f>
        <v>0</v>
      </c>
      <c r="AB15" s="759" t="str">
        <f>IF(ABS(AA15)&gt;0.1,"Does not equal figure in Table 1","OK")</f>
        <v>OK</v>
      </c>
      <c r="AC15" s="70"/>
    </row>
    <row r="16" spans="1:29" ht="24.95" customHeight="1">
      <c r="A16" s="341"/>
      <c r="B16" s="455" t="s">
        <v>35</v>
      </c>
      <c r="C16" s="1482"/>
      <c r="D16" s="1483"/>
      <c r="E16" s="1484"/>
      <c r="F16" s="1484"/>
      <c r="G16" s="740">
        <f>SUM(D16:F16)</f>
        <v>0</v>
      </c>
      <c r="H16" s="1482"/>
      <c r="I16" s="1483"/>
      <c r="J16" s="1484"/>
      <c r="K16" s="1484"/>
      <c r="L16" s="740">
        <f>SUM(I16:K16)</f>
        <v>0</v>
      </c>
      <c r="M16" s="927">
        <f>SUM(C16,H16)</f>
        <v>0</v>
      </c>
      <c r="N16" s="745">
        <f>SUM(D16,I16)</f>
        <v>0</v>
      </c>
      <c r="O16" s="746">
        <f>SUM(E16,J16)</f>
        <v>0</v>
      </c>
      <c r="P16" s="746">
        <f>SUM(F16,K16)</f>
        <v>0</v>
      </c>
      <c r="Q16" s="740">
        <f>SUM(N16:P16)</f>
        <v>0</v>
      </c>
      <c r="R16" s="711"/>
      <c r="S16" s="235"/>
      <c r="T16" s="235"/>
      <c r="U16" s="235"/>
      <c r="V16" s="2336" t="str">
        <f>IF(AND(G16&gt;0,C16=0),"No intake",IF(AND(C16&gt;0,G16=0),"No enrolments",IF(OR(C16&gt;G16,AND(C16=G16,SUM(E16:F16)&gt;0)),"Intake inconsistent with enrolments","OK")))</f>
        <v>OK</v>
      </c>
      <c r="W16" s="2337" t="str">
        <f>IF(AND(L16&gt;0,H16=0),"No intake",IF(AND(H16&gt;0,L16=0),"No enrolments",IF(OR(H16&gt;L16,AND(H16=L16,SUM(J16:K16)&gt;0)),"Intake inconsistent with enrolments","OK")))</f>
        <v>OK</v>
      </c>
      <c r="X16" s="235"/>
      <c r="Y16" s="751" t="s">
        <v>9</v>
      </c>
      <c r="Z16" s="757"/>
      <c r="AA16" s="757"/>
      <c r="AB16" s="758"/>
      <c r="AC16" s="235"/>
    </row>
    <row r="17" spans="1:29" ht="24.95" customHeight="1">
      <c r="A17" s="341"/>
      <c r="B17" s="455" t="s">
        <v>36</v>
      </c>
      <c r="C17" s="1485"/>
      <c r="D17" s="1483"/>
      <c r="E17" s="1484"/>
      <c r="F17" s="1484"/>
      <c r="G17" s="740">
        <f>SUM(D17:F17)</f>
        <v>0</v>
      </c>
      <c r="H17" s="1485"/>
      <c r="I17" s="1483"/>
      <c r="J17" s="1484"/>
      <c r="K17" s="1484"/>
      <c r="L17" s="740">
        <f>SUM(I17:K17)</f>
        <v>0</v>
      </c>
      <c r="M17" s="927">
        <f t="shared" ref="M17:M18" si="0">SUM(C17,H17)</f>
        <v>0</v>
      </c>
      <c r="N17" s="745">
        <f t="shared" ref="N17:N18" si="1">SUM(D17,I17)</f>
        <v>0</v>
      </c>
      <c r="O17" s="746">
        <f t="shared" ref="O17:O18" si="2">SUM(E17,J17)</f>
        <v>0</v>
      </c>
      <c r="P17" s="746">
        <f t="shared" ref="P17:P18" si="3">SUM(F17,K17)</f>
        <v>0</v>
      </c>
      <c r="Q17" s="740">
        <f>SUM(N17:P17)</f>
        <v>0</v>
      </c>
      <c r="R17" s="711"/>
      <c r="S17" s="235"/>
      <c r="T17" s="235"/>
      <c r="U17" s="235"/>
      <c r="V17" s="2329" t="str">
        <f t="shared" ref="V17:V18" si="4">IF(AND(G17&gt;0,C17=0),"No intake",IF(AND(C17&gt;0,G17=0),"No enrolments",IF(OR(C17&gt;G17,AND(C17=G17,SUM(E17:F17)&gt;0)),"Intake inconsistent with enrolments","OK")))</f>
        <v>OK</v>
      </c>
      <c r="W17" s="2330" t="str">
        <f t="shared" ref="W17:W18" si="5">IF(AND(L17&gt;0,H17=0),"No intake",IF(AND(H17&gt;0,L17=0),"No enrolments",IF(OR(H17&gt;L17,AND(H17=L17,SUM(J17:K17)&gt;0)),"Intake inconsistent with enrolments","OK")))</f>
        <v>OK</v>
      </c>
      <c r="X17" s="235"/>
      <c r="Y17" s="750" t="s">
        <v>69</v>
      </c>
      <c r="Z17" s="755">
        <f>'T1 Main Table'!$M$16</f>
        <v>0</v>
      </c>
      <c r="AA17" s="756">
        <f>$G$46-Z17</f>
        <v>0</v>
      </c>
      <c r="AB17" s="222" t="str">
        <f>IF(ABS(AA17)&gt;0.1,"Does not equal figure in Table 1","OK")</f>
        <v>OK</v>
      </c>
      <c r="AC17" s="235"/>
    </row>
    <row r="18" spans="1:29" ht="24.95" customHeight="1" thickBot="1">
      <c r="A18" s="341"/>
      <c r="B18" s="455" t="s">
        <v>37</v>
      </c>
      <c r="C18" s="1486"/>
      <c r="D18" s="1487"/>
      <c r="E18" s="1488"/>
      <c r="F18" s="1488"/>
      <c r="G18" s="741">
        <f>SUM(D18:F18)</f>
        <v>0</v>
      </c>
      <c r="H18" s="1486"/>
      <c r="I18" s="1487"/>
      <c r="J18" s="1488"/>
      <c r="K18" s="1488"/>
      <c r="L18" s="741">
        <f>SUM(I18:K18)</f>
        <v>0</v>
      </c>
      <c r="M18" s="927">
        <f t="shared" si="0"/>
        <v>0</v>
      </c>
      <c r="N18" s="747">
        <f t="shared" si="1"/>
        <v>0</v>
      </c>
      <c r="O18" s="748">
        <f t="shared" si="2"/>
        <v>0</v>
      </c>
      <c r="P18" s="748">
        <f t="shared" si="3"/>
        <v>0</v>
      </c>
      <c r="Q18" s="741">
        <f>SUM(N18:P18)</f>
        <v>0</v>
      </c>
      <c r="R18" s="711"/>
      <c r="S18" s="235"/>
      <c r="T18" s="235"/>
      <c r="U18" s="235"/>
      <c r="V18" s="2329" t="str">
        <f t="shared" si="4"/>
        <v>OK</v>
      </c>
      <c r="W18" s="2330" t="str">
        <f t="shared" si="5"/>
        <v>OK</v>
      </c>
      <c r="X18" s="235"/>
      <c r="Y18" s="753" t="s">
        <v>354</v>
      </c>
      <c r="Z18" s="760">
        <f>'T1 Main Table'!$Q$16</f>
        <v>0</v>
      </c>
      <c r="AA18" s="761">
        <f>$L$46-Z18</f>
        <v>0</v>
      </c>
      <c r="AB18" s="762" t="str">
        <f>IF(ABS(AA18)&gt;0.1,"Does not equal figure in Table 1","OK")</f>
        <v>OK</v>
      </c>
      <c r="AC18" s="235"/>
    </row>
    <row r="19" spans="1:29" ht="24.95" customHeight="1">
      <c r="A19" s="341"/>
      <c r="B19" s="456" t="s">
        <v>2</v>
      </c>
      <c r="C19" s="1324">
        <f>SUM(C16:C18)</f>
        <v>0</v>
      </c>
      <c r="D19" s="1325">
        <f>SUM(D16:D18)</f>
        <v>0</v>
      </c>
      <c r="E19" s="1326">
        <f>SUM(E16:E18)</f>
        <v>0</v>
      </c>
      <c r="F19" s="1326">
        <f>SUM(F16:F18)</f>
        <v>0</v>
      </c>
      <c r="G19" s="1327">
        <f>SUM(D19:F19)</f>
        <v>0</v>
      </c>
      <c r="H19" s="1324">
        <f>SUM(H16:H18)</f>
        <v>0</v>
      </c>
      <c r="I19" s="1325">
        <f>SUM(I16:I18)</f>
        <v>0</v>
      </c>
      <c r="J19" s="1326">
        <f>SUM(J16:J18)</f>
        <v>0</v>
      </c>
      <c r="K19" s="1326">
        <f>SUM(K16:K18)</f>
        <v>0</v>
      </c>
      <c r="L19" s="1327">
        <f>SUM(I19:K19)</f>
        <v>0</v>
      </c>
      <c r="M19" s="1324">
        <f>SUM(M16:M18)</f>
        <v>0</v>
      </c>
      <c r="N19" s="1325">
        <f>SUM(N16:N18)</f>
        <v>0</v>
      </c>
      <c r="O19" s="1326">
        <f>SUM(O16:O18)</f>
        <v>0</v>
      </c>
      <c r="P19" s="1326">
        <f>SUM(P16:P18)</f>
        <v>0</v>
      </c>
      <c r="Q19" s="1327">
        <f>SUM(N19:P19)</f>
        <v>0</v>
      </c>
      <c r="R19" s="711"/>
      <c r="S19" s="235"/>
      <c r="T19" s="235"/>
      <c r="U19" s="235"/>
      <c r="V19" s="1452"/>
      <c r="W19" s="1452"/>
      <c r="X19" s="235"/>
      <c r="Y19" s="235"/>
      <c r="Z19" s="235"/>
      <c r="AA19" s="235"/>
      <c r="AB19" s="235"/>
      <c r="AC19" s="235"/>
    </row>
    <row r="20" spans="1:29" ht="30" customHeight="1" thickBot="1">
      <c r="A20" s="341"/>
      <c r="B20" s="1328" t="s">
        <v>38</v>
      </c>
      <c r="C20" s="1329"/>
      <c r="D20" s="1330"/>
      <c r="E20" s="742"/>
      <c r="F20" s="742"/>
      <c r="G20" s="1331"/>
      <c r="H20" s="1329"/>
      <c r="I20" s="1330"/>
      <c r="J20" s="742"/>
      <c r="K20" s="742"/>
      <c r="L20" s="1331"/>
      <c r="M20" s="1329"/>
      <c r="N20" s="1330"/>
      <c r="O20" s="742"/>
      <c r="P20" s="742"/>
      <c r="Q20" s="1331"/>
      <c r="R20" s="711"/>
      <c r="S20" s="235"/>
      <c r="T20" s="235"/>
      <c r="U20" s="235"/>
      <c r="V20" s="2335"/>
      <c r="W20" s="2335"/>
      <c r="X20" s="235"/>
      <c r="Y20" s="235"/>
      <c r="Z20" s="235"/>
      <c r="AA20" s="235"/>
      <c r="AB20" s="235"/>
      <c r="AC20" s="235"/>
    </row>
    <row r="21" spans="1:29" ht="24.95" customHeight="1">
      <c r="A21" s="341"/>
      <c r="B21" s="455" t="s">
        <v>35</v>
      </c>
      <c r="C21" s="1482"/>
      <c r="D21" s="1483"/>
      <c r="E21" s="1484"/>
      <c r="F21" s="1484"/>
      <c r="G21" s="740">
        <f>SUM(D21:F21)</f>
        <v>0</v>
      </c>
      <c r="H21" s="1482"/>
      <c r="I21" s="1483"/>
      <c r="J21" s="1484"/>
      <c r="K21" s="1484"/>
      <c r="L21" s="740">
        <f>SUM(I21:K21)</f>
        <v>0</v>
      </c>
      <c r="M21" s="927">
        <f>SUM(C21,H21)</f>
        <v>0</v>
      </c>
      <c r="N21" s="745">
        <f>SUM(D21,I21)</f>
        <v>0</v>
      </c>
      <c r="O21" s="746">
        <f t="shared" ref="O21:O23" si="6">SUM(E21,J21)</f>
        <v>0</v>
      </c>
      <c r="P21" s="746">
        <f t="shared" ref="P21:P23" si="7">SUM(F21,K21)</f>
        <v>0</v>
      </c>
      <c r="Q21" s="740">
        <f>SUM(N21:P21)</f>
        <v>0</v>
      </c>
      <c r="R21" s="711"/>
      <c r="S21" s="235"/>
      <c r="T21" s="235"/>
      <c r="U21" s="235"/>
      <c r="V21" s="2329" t="str">
        <f>IF(AND(G21&gt;0,C21=0),"No intake",IF(AND(C21&gt;0,G21=0),"No enrolments",IF(OR(C21&gt;G21,AND(C21=G21,SUM(E21:F21)&gt;0)),"Intake inconsistent with enrolments","OK")))</f>
        <v>OK</v>
      </c>
      <c r="W21" s="2330" t="str">
        <f>IF(AND(L21&gt;0,H21=0),"No intake",IF(AND(H21&gt;0,L21=0),"No enrolments",IF(OR(H21&gt;L21,AND(H21=L21,SUM(J21:K21)&gt;0)),"Intake inconsistent with enrolments","OK")))</f>
        <v>OK</v>
      </c>
      <c r="X21" s="235"/>
      <c r="Y21" s="235"/>
      <c r="Z21" s="235"/>
      <c r="AA21" s="235"/>
      <c r="AB21" s="235"/>
      <c r="AC21" s="235"/>
    </row>
    <row r="22" spans="1:29" ht="24.95" customHeight="1">
      <c r="A22" s="341"/>
      <c r="B22" s="455" t="s">
        <v>36</v>
      </c>
      <c r="C22" s="1485"/>
      <c r="D22" s="1483"/>
      <c r="E22" s="1484"/>
      <c r="F22" s="1484"/>
      <c r="G22" s="740">
        <f>SUM(D22:F22)</f>
        <v>0</v>
      </c>
      <c r="H22" s="1485"/>
      <c r="I22" s="1483"/>
      <c r="J22" s="1484"/>
      <c r="K22" s="1484"/>
      <c r="L22" s="740">
        <f>SUM(I22:K22)</f>
        <v>0</v>
      </c>
      <c r="M22" s="927">
        <f t="shared" ref="M22:M23" si="8">SUM(C22,H22)</f>
        <v>0</v>
      </c>
      <c r="N22" s="745">
        <f t="shared" ref="N22:N23" si="9">SUM(D22,I22)</f>
        <v>0</v>
      </c>
      <c r="O22" s="746">
        <f t="shared" si="6"/>
        <v>0</v>
      </c>
      <c r="P22" s="746">
        <f t="shared" si="7"/>
        <v>0</v>
      </c>
      <c r="Q22" s="740">
        <f>SUM(N22:P22)</f>
        <v>0</v>
      </c>
      <c r="R22" s="711"/>
      <c r="S22" s="235"/>
      <c r="T22" s="235"/>
      <c r="U22" s="235"/>
      <c r="V22" s="2329" t="str">
        <f t="shared" ref="V22:V23" si="10">IF(AND(G22&gt;0,C22=0),"No intake",IF(AND(C22&gt;0,G22=0),"No enrolments",IF(OR(C22&gt;G22,AND(C22=G22,SUM(E22:F22)&gt;0)),"Intake inconsistent with enrolments","OK")))</f>
        <v>OK</v>
      </c>
      <c r="W22" s="2330" t="str">
        <f t="shared" ref="W22:W23" si="11">IF(AND(L22&gt;0,H22=0),"No intake",IF(AND(H22&gt;0,L22=0),"No enrolments",IF(OR(H22&gt;L22,AND(H22=L22,SUM(J22:K22)&gt;0)),"Intake inconsistent with enrolments","OK")))</f>
        <v>OK</v>
      </c>
      <c r="X22" s="235"/>
      <c r="Y22" s="235"/>
      <c r="Z22" s="235"/>
      <c r="AA22" s="235"/>
      <c r="AB22" s="235"/>
      <c r="AC22" s="235"/>
    </row>
    <row r="23" spans="1:29" ht="24.95" customHeight="1" thickBot="1">
      <c r="A23" s="341"/>
      <c r="B23" s="455" t="s">
        <v>37</v>
      </c>
      <c r="C23" s="1482"/>
      <c r="D23" s="1483"/>
      <c r="E23" s="1484"/>
      <c r="F23" s="1484"/>
      <c r="G23" s="740">
        <f>SUM(D23:F23)</f>
        <v>0</v>
      </c>
      <c r="H23" s="1482"/>
      <c r="I23" s="1483"/>
      <c r="J23" s="1484"/>
      <c r="K23" s="1484"/>
      <c r="L23" s="740">
        <f>SUM(I23:K23)</f>
        <v>0</v>
      </c>
      <c r="M23" s="927">
        <f t="shared" si="8"/>
        <v>0</v>
      </c>
      <c r="N23" s="1332">
        <f t="shared" si="9"/>
        <v>0</v>
      </c>
      <c r="O23" s="748">
        <f t="shared" si="6"/>
        <v>0</v>
      </c>
      <c r="P23" s="748">
        <f t="shared" si="7"/>
        <v>0</v>
      </c>
      <c r="Q23" s="1327">
        <f>SUM(N23:P23)</f>
        <v>0</v>
      </c>
      <c r="R23" s="711"/>
      <c r="S23" s="235"/>
      <c r="T23" s="235"/>
      <c r="U23" s="235"/>
      <c r="V23" s="2329" t="str">
        <f t="shared" si="10"/>
        <v>OK</v>
      </c>
      <c r="W23" s="2330" t="str">
        <f t="shared" si="11"/>
        <v>OK</v>
      </c>
      <c r="X23" s="235"/>
      <c r="Y23" s="235"/>
      <c r="Z23" s="235"/>
      <c r="AA23" s="235"/>
      <c r="AB23" s="235"/>
      <c r="AC23" s="235"/>
    </row>
    <row r="24" spans="1:29" ht="24.95" customHeight="1">
      <c r="A24" s="341"/>
      <c r="B24" s="1333" t="s">
        <v>2</v>
      </c>
      <c r="C24" s="719">
        <f>SUM(C21:C23)</f>
        <v>0</v>
      </c>
      <c r="D24" s="714">
        <f>SUM(D21:D23)</f>
        <v>0</v>
      </c>
      <c r="E24" s="76">
        <f>SUM(E21:E23)</f>
        <v>0</v>
      </c>
      <c r="F24" s="76">
        <f>SUM(F21:F23)</f>
        <v>0</v>
      </c>
      <c r="G24" s="740">
        <f>SUM(D24:F24)</f>
        <v>0</v>
      </c>
      <c r="H24" s="719">
        <f>SUM(H21:H23)</f>
        <v>0</v>
      </c>
      <c r="I24" s="714">
        <f>SUM(I21:I23)</f>
        <v>0</v>
      </c>
      <c r="J24" s="76">
        <f>SUM(J21:J23)</f>
        <v>0</v>
      </c>
      <c r="K24" s="76">
        <f>SUM(K21:K23)</f>
        <v>0</v>
      </c>
      <c r="L24" s="740">
        <f>SUM(I24:K24)</f>
        <v>0</v>
      </c>
      <c r="M24" s="719">
        <f>SUM(M21:M23)</f>
        <v>0</v>
      </c>
      <c r="N24" s="714">
        <f>SUM(N21:N23)</f>
        <v>0</v>
      </c>
      <c r="O24" s="76">
        <f>SUM(O21:O23)</f>
        <v>0</v>
      </c>
      <c r="P24" s="76">
        <f>SUM(P21:P23)</f>
        <v>0</v>
      </c>
      <c r="Q24" s="740">
        <f>SUM(N24:P24)</f>
        <v>0</v>
      </c>
      <c r="R24" s="711"/>
      <c r="S24" s="235"/>
      <c r="T24" s="235"/>
      <c r="U24" s="235"/>
      <c r="V24" s="1452"/>
      <c r="W24" s="1452"/>
      <c r="X24" s="235"/>
      <c r="Y24" s="235"/>
      <c r="Z24" s="235"/>
      <c r="AA24" s="235"/>
      <c r="AB24" s="235"/>
      <c r="AC24" s="235"/>
    </row>
    <row r="25" spans="1:29" ht="30" customHeight="1" thickBot="1">
      <c r="A25" s="341"/>
      <c r="B25" s="454" t="s">
        <v>39</v>
      </c>
      <c r="C25" s="720"/>
      <c r="D25" s="75"/>
      <c r="E25" s="74"/>
      <c r="F25" s="77"/>
      <c r="G25" s="78"/>
      <c r="H25" s="720"/>
      <c r="I25" s="75"/>
      <c r="J25" s="74"/>
      <c r="K25" s="77"/>
      <c r="L25" s="78"/>
      <c r="M25" s="720"/>
      <c r="N25" s="75"/>
      <c r="O25" s="74"/>
      <c r="P25" s="77"/>
      <c r="Q25" s="78"/>
      <c r="R25" s="711"/>
      <c r="S25" s="235"/>
      <c r="T25" s="235"/>
      <c r="U25" s="235"/>
      <c r="V25" s="2335"/>
      <c r="W25" s="2335"/>
      <c r="X25" s="235"/>
      <c r="Y25" s="235"/>
      <c r="Z25" s="235"/>
      <c r="AA25" s="235"/>
      <c r="AB25" s="235"/>
      <c r="AC25" s="235"/>
    </row>
    <row r="26" spans="1:29" ht="24.95" customHeight="1">
      <c r="A26" s="341"/>
      <c r="B26" s="455" t="s">
        <v>35</v>
      </c>
      <c r="C26" s="1482"/>
      <c r="D26" s="1483"/>
      <c r="E26" s="1484"/>
      <c r="F26" s="1484"/>
      <c r="G26" s="740">
        <f>SUM(D26:F26)</f>
        <v>0</v>
      </c>
      <c r="H26" s="1482"/>
      <c r="I26" s="1483"/>
      <c r="J26" s="1484"/>
      <c r="K26" s="1484"/>
      <c r="L26" s="740">
        <f>SUM(I26:K26)</f>
        <v>0</v>
      </c>
      <c r="M26" s="927">
        <f>SUM(C26,H26)</f>
        <v>0</v>
      </c>
      <c r="N26" s="745">
        <f>SUM(D26,I26)</f>
        <v>0</v>
      </c>
      <c r="O26" s="746">
        <f t="shared" ref="O26:O28" si="12">SUM(E26,J26)</f>
        <v>0</v>
      </c>
      <c r="P26" s="746">
        <f t="shared" ref="P26:P28" si="13">SUM(F26,K26)</f>
        <v>0</v>
      </c>
      <c r="Q26" s="740">
        <f>SUM(N26:P26)</f>
        <v>0</v>
      </c>
      <c r="R26" s="711"/>
      <c r="S26" s="235"/>
      <c r="T26" s="235"/>
      <c r="U26" s="235"/>
      <c r="V26" s="2329" t="str">
        <f>IF(AND(G26&gt;0,C26=0),"No intake",IF(AND(C26&gt;0,G26=0),"No enrolments",IF(OR(C26&gt;G26,AND(C26=G26,SUM(E26:F26)&gt;0)),"Intake inconsistent with enrolments","OK")))</f>
        <v>OK</v>
      </c>
      <c r="W26" s="2330" t="str">
        <f>IF(AND(L26&gt;0,H26=0),"No intake",IF(AND(H26&gt;0,L26=0),"No enrolments",IF(OR(H26&gt;L26,AND(H26=L26,SUM(J26:K26)&gt;0)),"Intake inconsistent with enrolments","OK")))</f>
        <v>OK</v>
      </c>
      <c r="X26" s="235"/>
      <c r="Y26" s="235"/>
      <c r="Z26" s="235"/>
      <c r="AA26" s="235"/>
      <c r="AB26" s="235"/>
      <c r="AC26" s="235"/>
    </row>
    <row r="27" spans="1:29" ht="24.95" customHeight="1">
      <c r="A27" s="341"/>
      <c r="B27" s="455" t="s">
        <v>36</v>
      </c>
      <c r="C27" s="1485"/>
      <c r="D27" s="1483"/>
      <c r="E27" s="1484"/>
      <c r="F27" s="1484"/>
      <c r="G27" s="740">
        <f>SUM(D27:F27)</f>
        <v>0</v>
      </c>
      <c r="H27" s="1485"/>
      <c r="I27" s="1483"/>
      <c r="J27" s="1484"/>
      <c r="K27" s="1484"/>
      <c r="L27" s="740">
        <f>SUM(I27:K27)</f>
        <v>0</v>
      </c>
      <c r="M27" s="927">
        <f t="shared" ref="M27:M28" si="14">SUM(C27,H27)</f>
        <v>0</v>
      </c>
      <c r="N27" s="745">
        <f t="shared" ref="N27:N28" si="15">SUM(D27,I27)</f>
        <v>0</v>
      </c>
      <c r="O27" s="746">
        <f t="shared" si="12"/>
        <v>0</v>
      </c>
      <c r="P27" s="746">
        <f t="shared" si="13"/>
        <v>0</v>
      </c>
      <c r="Q27" s="740">
        <f>SUM(N27:P27)</f>
        <v>0</v>
      </c>
      <c r="R27" s="711"/>
      <c r="S27" s="235"/>
      <c r="T27" s="235"/>
      <c r="U27" s="235"/>
      <c r="V27" s="2329" t="str">
        <f t="shared" ref="V27:V28" si="16">IF(AND(G27&gt;0,C27=0),"No intake",IF(AND(C27&gt;0,G27=0),"No enrolments",IF(OR(C27&gt;G27,AND(C27=G27,SUM(E27:F27)&gt;0)),"Intake inconsistent with enrolments","OK")))</f>
        <v>OK</v>
      </c>
      <c r="W27" s="2330" t="str">
        <f t="shared" ref="W27:W28" si="17">IF(AND(L27&gt;0,H27=0),"No intake",IF(AND(H27&gt;0,L27=0),"No enrolments",IF(OR(H27&gt;L27,AND(H27=L27,SUM(J27:K27)&gt;0)),"Intake inconsistent with enrolments","OK")))</f>
        <v>OK</v>
      </c>
      <c r="X27" s="235"/>
      <c r="Y27" s="235"/>
      <c r="Z27" s="235"/>
      <c r="AA27" s="235"/>
      <c r="AB27" s="235"/>
      <c r="AC27" s="235"/>
    </row>
    <row r="28" spans="1:29" ht="24.95" customHeight="1" thickBot="1">
      <c r="A28" s="341"/>
      <c r="B28" s="455" t="s">
        <v>37</v>
      </c>
      <c r="C28" s="1486"/>
      <c r="D28" s="1487"/>
      <c r="E28" s="1488"/>
      <c r="F28" s="1488"/>
      <c r="G28" s="741">
        <f>SUM(D28:F28)</f>
        <v>0</v>
      </c>
      <c r="H28" s="1486"/>
      <c r="I28" s="1487"/>
      <c r="J28" s="1488"/>
      <c r="K28" s="1488"/>
      <c r="L28" s="741">
        <f>SUM(I28:K28)</f>
        <v>0</v>
      </c>
      <c r="M28" s="927">
        <f t="shared" si="14"/>
        <v>0</v>
      </c>
      <c r="N28" s="747">
        <f t="shared" si="15"/>
        <v>0</v>
      </c>
      <c r="O28" s="748">
        <f t="shared" si="12"/>
        <v>0</v>
      </c>
      <c r="P28" s="748">
        <f t="shared" si="13"/>
        <v>0</v>
      </c>
      <c r="Q28" s="741">
        <f>SUM(N28:P28)</f>
        <v>0</v>
      </c>
      <c r="R28" s="711"/>
      <c r="S28" s="235"/>
      <c r="T28" s="235"/>
      <c r="U28" s="235"/>
      <c r="V28" s="2329" t="str">
        <f t="shared" si="16"/>
        <v>OK</v>
      </c>
      <c r="W28" s="2330" t="str">
        <f t="shared" si="17"/>
        <v>OK</v>
      </c>
      <c r="X28" s="235"/>
      <c r="Y28" s="235"/>
      <c r="Z28" s="235"/>
      <c r="AA28" s="235"/>
      <c r="AB28" s="235"/>
      <c r="AC28" s="235"/>
    </row>
    <row r="29" spans="1:29" ht="24.95" customHeight="1">
      <c r="A29" s="341"/>
      <c r="B29" s="456" t="s">
        <v>2</v>
      </c>
      <c r="C29" s="1324">
        <f>SUM(C26:C28)</f>
        <v>0</v>
      </c>
      <c r="D29" s="1325">
        <f>SUM(D26:D28)</f>
        <v>0</v>
      </c>
      <c r="E29" s="1326">
        <f>SUM(E26:E28)</f>
        <v>0</v>
      </c>
      <c r="F29" s="1326">
        <f>SUM(F26:F28)</f>
        <v>0</v>
      </c>
      <c r="G29" s="1327">
        <f>SUM(D29:F29)</f>
        <v>0</v>
      </c>
      <c r="H29" s="1324">
        <f>SUM(H26:H28)</f>
        <v>0</v>
      </c>
      <c r="I29" s="1325">
        <f>SUM(I26:I28)</f>
        <v>0</v>
      </c>
      <c r="J29" s="1326">
        <f>SUM(J26:J28)</f>
        <v>0</v>
      </c>
      <c r="K29" s="1326">
        <f>SUM(K26:K28)</f>
        <v>0</v>
      </c>
      <c r="L29" s="1327">
        <f>SUM(I29:K29)</f>
        <v>0</v>
      </c>
      <c r="M29" s="1324">
        <f>SUM(M26:M28)</f>
        <v>0</v>
      </c>
      <c r="N29" s="1325">
        <f>SUM(N26:N28)</f>
        <v>0</v>
      </c>
      <c r="O29" s="1326">
        <f>SUM(O26:O28)</f>
        <v>0</v>
      </c>
      <c r="P29" s="1326">
        <f>SUM(P26:P28)</f>
        <v>0</v>
      </c>
      <c r="Q29" s="1327">
        <f>SUM(N29:P29)</f>
        <v>0</v>
      </c>
      <c r="R29" s="711"/>
      <c r="S29" s="235"/>
      <c r="T29" s="235"/>
      <c r="U29" s="235"/>
      <c r="V29" s="1452"/>
      <c r="W29" s="1452"/>
      <c r="X29" s="235"/>
      <c r="Y29" s="235"/>
      <c r="Z29" s="235"/>
      <c r="AA29" s="235"/>
      <c r="AB29" s="235"/>
      <c r="AC29" s="235"/>
    </row>
    <row r="30" spans="1:29" ht="30" customHeight="1" thickBot="1">
      <c r="A30" s="341"/>
      <c r="B30" s="1328" t="s">
        <v>40</v>
      </c>
      <c r="C30" s="721"/>
      <c r="D30" s="1330"/>
      <c r="E30" s="742"/>
      <c r="F30" s="675"/>
      <c r="G30" s="1334"/>
      <c r="H30" s="721"/>
      <c r="I30" s="1330"/>
      <c r="J30" s="742"/>
      <c r="K30" s="675"/>
      <c r="L30" s="1334"/>
      <c r="M30" s="721"/>
      <c r="N30" s="1330"/>
      <c r="O30" s="742"/>
      <c r="P30" s="675"/>
      <c r="Q30" s="1334"/>
      <c r="R30" s="711"/>
      <c r="S30" s="235"/>
      <c r="T30" s="235"/>
      <c r="U30" s="235"/>
      <c r="V30" s="2335"/>
      <c r="W30" s="2335"/>
      <c r="X30" s="235"/>
      <c r="Y30" s="235"/>
      <c r="Z30" s="235"/>
      <c r="AA30" s="235"/>
      <c r="AB30" s="235"/>
      <c r="AC30" s="235"/>
    </row>
    <row r="31" spans="1:29" ht="24.95" customHeight="1">
      <c r="A31" s="341"/>
      <c r="B31" s="455" t="s">
        <v>35</v>
      </c>
      <c r="C31" s="1482"/>
      <c r="D31" s="1483"/>
      <c r="E31" s="1484"/>
      <c r="F31" s="1484"/>
      <c r="G31" s="740">
        <f>SUM(D31:F31)</f>
        <v>0</v>
      </c>
      <c r="H31" s="1482"/>
      <c r="I31" s="1483"/>
      <c r="J31" s="1484"/>
      <c r="K31" s="1484"/>
      <c r="L31" s="740">
        <f>SUM(I31:K31)</f>
        <v>0</v>
      </c>
      <c r="M31" s="927">
        <f>SUM(C31,H31)</f>
        <v>0</v>
      </c>
      <c r="N31" s="745">
        <f>SUM(D31,I31)</f>
        <v>0</v>
      </c>
      <c r="O31" s="746">
        <f t="shared" ref="O31:O33" si="18">SUM(E31,J31)</f>
        <v>0</v>
      </c>
      <c r="P31" s="746">
        <f t="shared" ref="P31:P33" si="19">SUM(F31,K31)</f>
        <v>0</v>
      </c>
      <c r="Q31" s="740">
        <f>SUM(N31:P31)</f>
        <v>0</v>
      </c>
      <c r="R31" s="711"/>
      <c r="S31" s="235"/>
      <c r="T31" s="235"/>
      <c r="U31" s="235"/>
      <c r="V31" s="2329" t="str">
        <f>IF(AND(G31&gt;0,C31=0),"No intake",IF(AND(C31&gt;0,G31=0),"No enrolments",IF(OR(C31&gt;G31,AND(C31=G31,SUM(E31:F31)&gt;0)),"Intake inconsistent with enrolments","OK")))</f>
        <v>OK</v>
      </c>
      <c r="W31" s="2330" t="str">
        <f>IF(AND(L31&gt;0,H31=0),"No intake",IF(AND(H31&gt;0,L31=0),"No enrolments",IF(OR(H31&gt;L31,AND(H31=L31,SUM(J31:K31)&gt;0)),"Intake inconsistent with enrolments","OK")))</f>
        <v>OK</v>
      </c>
      <c r="X31" s="235"/>
      <c r="Y31" s="235"/>
      <c r="Z31" s="235"/>
      <c r="AA31" s="235"/>
      <c r="AB31" s="235"/>
      <c r="AC31" s="235"/>
    </row>
    <row r="32" spans="1:29" ht="24.95" customHeight="1">
      <c r="A32" s="341"/>
      <c r="B32" s="455" t="s">
        <v>36</v>
      </c>
      <c r="C32" s="1485"/>
      <c r="D32" s="1483"/>
      <c r="E32" s="1484"/>
      <c r="F32" s="1484"/>
      <c r="G32" s="740">
        <f>SUM(D32:F32)</f>
        <v>0</v>
      </c>
      <c r="H32" s="1485"/>
      <c r="I32" s="1483"/>
      <c r="J32" s="1484"/>
      <c r="K32" s="1484"/>
      <c r="L32" s="740">
        <f>SUM(I32:K32)</f>
        <v>0</v>
      </c>
      <c r="M32" s="927">
        <f t="shared" ref="M32:M33" si="20">SUM(C32,H32)</f>
        <v>0</v>
      </c>
      <c r="N32" s="745">
        <f t="shared" ref="N32:N33" si="21">SUM(D32,I32)</f>
        <v>0</v>
      </c>
      <c r="O32" s="746">
        <f t="shared" si="18"/>
        <v>0</v>
      </c>
      <c r="P32" s="746">
        <f t="shared" si="19"/>
        <v>0</v>
      </c>
      <c r="Q32" s="740">
        <f>SUM(N32:P32)</f>
        <v>0</v>
      </c>
      <c r="R32" s="711"/>
      <c r="S32" s="235"/>
      <c r="T32" s="235"/>
      <c r="U32" s="235"/>
      <c r="V32" s="2329" t="str">
        <f t="shared" ref="V32:V33" si="22">IF(AND(G32&gt;0,C32=0),"No intake",IF(AND(C32&gt;0,G32=0),"No enrolments",IF(OR(C32&gt;G32,AND(C32=G32,SUM(E32:F32)&gt;0)),"Intake inconsistent with enrolments","OK")))</f>
        <v>OK</v>
      </c>
      <c r="W32" s="2330" t="str">
        <f t="shared" ref="W32:W33" si="23">IF(AND(L32&gt;0,H32=0),"No intake",IF(AND(H32&gt;0,L32=0),"No enrolments",IF(OR(H32&gt;L32,AND(H32=L32,SUM(J32:K32)&gt;0)),"Intake inconsistent with enrolments","OK")))</f>
        <v>OK</v>
      </c>
      <c r="X32" s="235"/>
      <c r="Y32" s="235"/>
      <c r="Z32" s="235"/>
      <c r="AA32" s="235"/>
      <c r="AB32" s="235"/>
      <c r="AC32" s="235"/>
    </row>
    <row r="33" spans="1:29" ht="24.95" customHeight="1" thickBot="1">
      <c r="A33" s="341"/>
      <c r="B33" s="455" t="s">
        <v>37</v>
      </c>
      <c r="C33" s="1486"/>
      <c r="D33" s="1489"/>
      <c r="E33" s="1488"/>
      <c r="F33" s="1488"/>
      <c r="G33" s="1327">
        <f>SUM(D33:F33)</f>
        <v>0</v>
      </c>
      <c r="H33" s="1486"/>
      <c r="I33" s="1489"/>
      <c r="J33" s="1488"/>
      <c r="K33" s="1488"/>
      <c r="L33" s="1327">
        <f>SUM(I33:K33)</f>
        <v>0</v>
      </c>
      <c r="M33" s="927">
        <f t="shared" si="20"/>
        <v>0</v>
      </c>
      <c r="N33" s="1332">
        <f t="shared" si="21"/>
        <v>0</v>
      </c>
      <c r="O33" s="748">
        <f t="shared" si="18"/>
        <v>0</v>
      </c>
      <c r="P33" s="748">
        <f t="shared" si="19"/>
        <v>0</v>
      </c>
      <c r="Q33" s="1327">
        <f>SUM(N33:P33)</f>
        <v>0</v>
      </c>
      <c r="R33" s="711"/>
      <c r="S33" s="235"/>
      <c r="T33" s="235"/>
      <c r="U33" s="235"/>
      <c r="V33" s="2331" t="str">
        <f t="shared" si="22"/>
        <v>OK</v>
      </c>
      <c r="W33" s="2332" t="str">
        <f t="shared" si="23"/>
        <v>OK</v>
      </c>
      <c r="X33" s="235"/>
      <c r="Y33" s="235"/>
      <c r="Z33" s="235"/>
      <c r="AA33" s="235"/>
      <c r="AB33" s="235"/>
      <c r="AC33" s="235"/>
    </row>
    <row r="34" spans="1:29" ht="24.95" customHeight="1">
      <c r="A34" s="341"/>
      <c r="B34" s="1333" t="s">
        <v>2</v>
      </c>
      <c r="C34" s="719">
        <f>SUM(C31:C33)</f>
        <v>0</v>
      </c>
      <c r="D34" s="714">
        <f>SUM(D31:D33)</f>
        <v>0</v>
      </c>
      <c r="E34" s="76">
        <f>SUM(E31:E33)</f>
        <v>0</v>
      </c>
      <c r="F34" s="76">
        <f>SUM(F31:F33)</f>
        <v>0</v>
      </c>
      <c r="G34" s="740">
        <f>SUM(D34:F34)</f>
        <v>0</v>
      </c>
      <c r="H34" s="719">
        <f>SUM(H31:H33)</f>
        <v>0</v>
      </c>
      <c r="I34" s="714">
        <f>SUM(I31:I33)</f>
        <v>0</v>
      </c>
      <c r="J34" s="76">
        <f>SUM(J31:J33)</f>
        <v>0</v>
      </c>
      <c r="K34" s="76">
        <f>SUM(K31:K33)</f>
        <v>0</v>
      </c>
      <c r="L34" s="740">
        <f>SUM(I34:K34)</f>
        <v>0</v>
      </c>
      <c r="M34" s="719">
        <f>SUM(M31:M33)</f>
        <v>0</v>
      </c>
      <c r="N34" s="714">
        <f>SUM(N31:N33)</f>
        <v>0</v>
      </c>
      <c r="O34" s="76">
        <f>SUM(O31:O33)</f>
        <v>0</v>
      </c>
      <c r="P34" s="76">
        <f>SUM(P31:P33)</f>
        <v>0</v>
      </c>
      <c r="Q34" s="740">
        <f>SUM(N34:P34)</f>
        <v>0</v>
      </c>
      <c r="R34" s="711"/>
      <c r="S34" s="235"/>
      <c r="T34" s="235"/>
      <c r="U34" s="235"/>
      <c r="V34" s="1452"/>
      <c r="W34" s="1452"/>
      <c r="X34" s="235"/>
      <c r="Y34" s="235"/>
      <c r="Z34" s="235"/>
      <c r="AA34" s="235"/>
      <c r="AB34" s="235"/>
      <c r="AC34" s="235"/>
    </row>
    <row r="35" spans="1:29" ht="30" customHeight="1" thickBot="1">
      <c r="A35" s="341"/>
      <c r="B35" s="454" t="s">
        <v>41</v>
      </c>
      <c r="C35" s="720"/>
      <c r="D35" s="75"/>
      <c r="E35" s="74"/>
      <c r="F35" s="77"/>
      <c r="G35" s="78"/>
      <c r="H35" s="720"/>
      <c r="I35" s="75"/>
      <c r="J35" s="74"/>
      <c r="K35" s="77"/>
      <c r="L35" s="78"/>
      <c r="M35" s="720"/>
      <c r="N35" s="75"/>
      <c r="O35" s="74"/>
      <c r="P35" s="77"/>
      <c r="Q35" s="78"/>
      <c r="R35" s="711"/>
      <c r="S35" s="235"/>
      <c r="T35" s="235"/>
      <c r="U35" s="235"/>
      <c r="V35" s="2335"/>
      <c r="W35" s="2335"/>
      <c r="X35" s="235"/>
      <c r="Y35" s="937"/>
      <c r="Z35" s="937"/>
      <c r="AA35" s="937"/>
      <c r="AB35" s="937"/>
      <c r="AC35" s="937"/>
    </row>
    <row r="36" spans="1:29" ht="24.95" customHeight="1">
      <c r="A36" s="341"/>
      <c r="B36" s="455" t="s">
        <v>35</v>
      </c>
      <c r="C36" s="1482"/>
      <c r="D36" s="1483"/>
      <c r="E36" s="1484"/>
      <c r="F36" s="1484"/>
      <c r="G36" s="740">
        <f>SUM(D36:F36)</f>
        <v>0</v>
      </c>
      <c r="H36" s="1482"/>
      <c r="I36" s="1483"/>
      <c r="J36" s="1484"/>
      <c r="K36" s="1484"/>
      <c r="L36" s="740">
        <f>SUM(I36:K36)</f>
        <v>0</v>
      </c>
      <c r="M36" s="927">
        <f>SUM(C36,H36)</f>
        <v>0</v>
      </c>
      <c r="N36" s="745">
        <f>SUM(D36,I36)</f>
        <v>0</v>
      </c>
      <c r="O36" s="746">
        <f t="shared" ref="O36:O37" si="24">SUM(E36,J36)</f>
        <v>0</v>
      </c>
      <c r="P36" s="746">
        <f t="shared" ref="P36:P37" si="25">SUM(F36,K36)</f>
        <v>0</v>
      </c>
      <c r="Q36" s="740">
        <f>SUM(N36:P36)</f>
        <v>0</v>
      </c>
      <c r="R36" s="711"/>
      <c r="S36" s="235"/>
      <c r="T36" s="235"/>
      <c r="U36" s="235"/>
      <c r="V36" s="2336" t="str">
        <f>IF(AND(G36&gt;0,C36=0),"No intake",IF(AND(C36&gt;0,G36=0),"No enrolments",IF(OR(C36&gt;G36,AND(C36=G36,SUM(E36:F36)&gt;0)),"Intake inconsistent with enrolments","OK")))</f>
        <v>OK</v>
      </c>
      <c r="W36" s="2337" t="str">
        <f>IF(AND(L36&gt;0,H36=0),"No intake",IF(AND(H36&gt;0,L36=0),"No enrolments",IF(OR(H36&gt;L36,AND(H36=L36,SUM(J36:K36)&gt;0)),"Intake inconsistent with enrolments","OK")))</f>
        <v>OK</v>
      </c>
      <c r="X36" s="235"/>
      <c r="Y36" s="937"/>
      <c r="Z36" s="937"/>
      <c r="AA36" s="937"/>
      <c r="AB36" s="937"/>
      <c r="AC36" s="937"/>
    </row>
    <row r="37" spans="1:29" ht="24.95" customHeight="1" thickBot="1">
      <c r="A37" s="341"/>
      <c r="B37" s="455" t="s">
        <v>36</v>
      </c>
      <c r="C37" s="1485"/>
      <c r="D37" s="1483"/>
      <c r="E37" s="1484"/>
      <c r="F37" s="1484"/>
      <c r="G37" s="740">
        <f>SUM(D37:F37)</f>
        <v>0</v>
      </c>
      <c r="H37" s="1485"/>
      <c r="I37" s="1483"/>
      <c r="J37" s="1484"/>
      <c r="K37" s="1484"/>
      <c r="L37" s="740">
        <f>SUM(I37:K37)</f>
        <v>0</v>
      </c>
      <c r="M37" s="927">
        <f t="shared" ref="M37" si="26">SUM(C37,H37)</f>
        <v>0</v>
      </c>
      <c r="N37" s="745">
        <f t="shared" ref="N37" si="27">SUM(D37,I37)</f>
        <v>0</v>
      </c>
      <c r="O37" s="746">
        <f t="shared" si="24"/>
        <v>0</v>
      </c>
      <c r="P37" s="746">
        <f t="shared" si="25"/>
        <v>0</v>
      </c>
      <c r="Q37" s="740">
        <f>SUM(N37:P37)</f>
        <v>0</v>
      </c>
      <c r="R37" s="743"/>
      <c r="S37" s="235"/>
      <c r="T37" s="235"/>
      <c r="U37" s="727"/>
      <c r="V37" s="2331" t="str">
        <f t="shared" ref="V37" si="28">IF(AND(G37&gt;0,C37=0),"No intake",IF(AND(C37&gt;0,G37=0),"No enrolments",IF(OR(C37&gt;G37,AND(C37=G37,SUM(E37:F37)&gt;0)),"Intake inconsistent with enrolments","OK")))</f>
        <v>OK</v>
      </c>
      <c r="W37" s="2332" t="str">
        <f t="shared" ref="W37" si="29">IF(AND(L37&gt;0,H37=0),"No intake",IF(AND(H37&gt;0,L37=0),"No enrolments",IF(OR(H37&gt;L37,AND(H37=L37,SUM(J37:K37)&gt;0)),"Intake inconsistent with enrolments","OK")))</f>
        <v>OK</v>
      </c>
      <c r="X37" s="235"/>
      <c r="Y37" s="937"/>
      <c r="Z37" s="937"/>
      <c r="AA37" s="276"/>
      <c r="AB37" s="276"/>
      <c r="AC37" s="276"/>
    </row>
    <row r="38" spans="1:29" ht="24.95" customHeight="1">
      <c r="A38" s="341"/>
      <c r="B38" s="456" t="s">
        <v>2</v>
      </c>
      <c r="C38" s="1324">
        <f>SUM(C36:C37)</f>
        <v>0</v>
      </c>
      <c r="D38" s="1325">
        <f>SUM(D36:D37)</f>
        <v>0</v>
      </c>
      <c r="E38" s="1326">
        <f>SUM(E36:E37)</f>
        <v>0</v>
      </c>
      <c r="F38" s="1326">
        <f>SUM(F36:F37)</f>
        <v>0</v>
      </c>
      <c r="G38" s="1327">
        <f>SUM(D38:F38)</f>
        <v>0</v>
      </c>
      <c r="H38" s="1324">
        <f>SUM(H36:H37)</f>
        <v>0</v>
      </c>
      <c r="I38" s="1325">
        <f>SUM(I36:I37)</f>
        <v>0</v>
      </c>
      <c r="J38" s="1326">
        <f>SUM(J36:J37)</f>
        <v>0</v>
      </c>
      <c r="K38" s="1326">
        <f>SUM(K36:K37)</f>
        <v>0</v>
      </c>
      <c r="L38" s="1327">
        <f>SUM(I38:K38)</f>
        <v>0</v>
      </c>
      <c r="M38" s="1324">
        <f>SUM(M36:M37)</f>
        <v>0</v>
      </c>
      <c r="N38" s="1325">
        <f>SUM(N36:N37)</f>
        <v>0</v>
      </c>
      <c r="O38" s="1326">
        <f>SUM(O36:O37)</f>
        <v>0</v>
      </c>
      <c r="P38" s="1326">
        <f>SUM(P36:P37)</f>
        <v>0</v>
      </c>
      <c r="Q38" s="1327">
        <f>SUM(N38:P38)</f>
        <v>0</v>
      </c>
      <c r="R38" s="711"/>
      <c r="S38" s="235"/>
      <c r="T38" s="235"/>
      <c r="U38" s="235"/>
      <c r="V38" s="1452"/>
      <c r="W38" s="1452"/>
      <c r="X38" s="235"/>
      <c r="Y38" s="937"/>
      <c r="Z38" s="937"/>
      <c r="AA38" s="276"/>
      <c r="AB38" s="276"/>
      <c r="AC38" s="276"/>
    </row>
    <row r="39" spans="1:29" ht="35.1" customHeight="1" thickBot="1">
      <c r="A39" s="341"/>
      <c r="B39" s="1335" t="s">
        <v>170</v>
      </c>
      <c r="C39" s="722">
        <f>SUM(C19,C24,C29,C34,C38)</f>
        <v>0</v>
      </c>
      <c r="D39" s="461">
        <f>SUM(D19,D24,D29,D34,D38)</f>
        <v>0</v>
      </c>
      <c r="E39" s="79">
        <f>SUM(E19,E24,E29,E34,E38)</f>
        <v>0</v>
      </c>
      <c r="F39" s="79">
        <f>SUM(F19,F24,F29,F34,F38)</f>
        <v>0</v>
      </c>
      <c r="G39" s="221">
        <f>SUM(D39:F39)</f>
        <v>0</v>
      </c>
      <c r="H39" s="722">
        <f>SUM(H19,H24,H29,H34,H38)</f>
        <v>0</v>
      </c>
      <c r="I39" s="461">
        <f>SUM(I19,I24,I29,I34,I38)</f>
        <v>0</v>
      </c>
      <c r="J39" s="79">
        <f>SUM(J19,J24,J29,J34,J38)</f>
        <v>0</v>
      </c>
      <c r="K39" s="79">
        <f>SUM(K19,K24,K29,K34,K38)</f>
        <v>0</v>
      </c>
      <c r="L39" s="221">
        <f>SUM(I39:K39)</f>
        <v>0</v>
      </c>
      <c r="M39" s="722">
        <f>SUM(M19,M24,M29,M34,M38)</f>
        <v>0</v>
      </c>
      <c r="N39" s="461">
        <f>SUM(N19,N24,N29,N34,N38)</f>
        <v>0</v>
      </c>
      <c r="O39" s="79">
        <f>SUM(O19,O24,O29,O34,O38)</f>
        <v>0</v>
      </c>
      <c r="P39" s="79">
        <f>SUM(P19,P24,P29,P34,P38)</f>
        <v>0</v>
      </c>
      <c r="Q39" s="221">
        <f>SUM(N39:P39)</f>
        <v>0</v>
      </c>
      <c r="R39" s="744"/>
      <c r="S39" s="261"/>
      <c r="T39" s="261"/>
      <c r="U39" s="261"/>
      <c r="V39" s="276"/>
      <c r="W39" s="276"/>
      <c r="X39" s="261"/>
      <c r="Y39" s="937"/>
      <c r="Z39" s="275"/>
      <c r="AA39" s="275"/>
      <c r="AB39" s="275"/>
      <c r="AC39" s="937"/>
    </row>
    <row r="40" spans="1:29" ht="35.1" customHeight="1" thickBot="1">
      <c r="A40" s="341"/>
      <c r="B40" s="457" t="s">
        <v>9</v>
      </c>
      <c r="C40" s="723"/>
      <c r="D40" s="462"/>
      <c r="E40" s="226"/>
      <c r="F40" s="226"/>
      <c r="G40" s="225"/>
      <c r="H40" s="723"/>
      <c r="I40" s="462"/>
      <c r="J40" s="226"/>
      <c r="K40" s="226"/>
      <c r="L40" s="225"/>
      <c r="M40" s="723"/>
      <c r="N40" s="462"/>
      <c r="O40" s="226"/>
      <c r="P40" s="226"/>
      <c r="Q40" s="225"/>
      <c r="R40" s="736"/>
      <c r="S40" s="68"/>
      <c r="T40" s="68"/>
      <c r="U40" s="68"/>
      <c r="V40" s="2335"/>
      <c r="W40" s="2335"/>
      <c r="X40" s="68"/>
      <c r="Y40" s="937"/>
      <c r="Z40" s="937"/>
      <c r="AA40" s="937"/>
      <c r="AB40" s="937"/>
      <c r="AC40" s="937"/>
    </row>
    <row r="41" spans="1:29" ht="24.95" customHeight="1">
      <c r="A41" s="341"/>
      <c r="B41" s="458" t="s">
        <v>34</v>
      </c>
      <c r="C41" s="1482"/>
      <c r="D41" s="1490"/>
      <c r="E41" s="1484"/>
      <c r="F41" s="1484"/>
      <c r="G41" s="73">
        <f t="shared" ref="G41:G45" si="30">SUM(D41:F41)</f>
        <v>0</v>
      </c>
      <c r="H41" s="1482"/>
      <c r="I41" s="1490"/>
      <c r="J41" s="1484"/>
      <c r="K41" s="1484"/>
      <c r="L41" s="73">
        <f t="shared" ref="L41:L45" si="31">SUM(I41:K41)</f>
        <v>0</v>
      </c>
      <c r="M41" s="927">
        <f t="shared" ref="M41:M45" si="32">SUM(C41,H41)</f>
        <v>0</v>
      </c>
      <c r="N41" s="745">
        <f t="shared" ref="N41:N45" si="33">SUM(D41,I41)</f>
        <v>0</v>
      </c>
      <c r="O41" s="746">
        <f t="shared" ref="O41:O45" si="34">SUM(E41,J41)</f>
        <v>0</v>
      </c>
      <c r="P41" s="746">
        <f t="shared" ref="P41:P45" si="35">SUM(F41,K41)</f>
        <v>0</v>
      </c>
      <c r="Q41" s="73">
        <f t="shared" ref="Q41:Q45" si="36">SUM(N41:P41)</f>
        <v>0</v>
      </c>
      <c r="R41" s="712"/>
      <c r="S41" s="223"/>
      <c r="T41" s="223"/>
      <c r="U41" s="223"/>
      <c r="V41" s="2333" t="str">
        <f t="shared" ref="V41:V45" si="37">IF(AND(G41&gt;0,C41=0),"No intake",IF(AND(C41&gt;0,G41=0),"No enrolments",IF(OR(C41&gt;G41,AND(C41=G41,SUM(E41:F41)&gt;0)),"Intake inconsistent with enrolments","OK")))</f>
        <v>OK</v>
      </c>
      <c r="W41" s="2334" t="str">
        <f t="shared" ref="W41:W45" si="38">IF(AND(L41&gt;0,H41=0),"No intake",IF(AND(H41&gt;0,L41=0),"No enrolments",IF(OR(H41&gt;L41,AND(H41=L41,SUM(J41:K41)&gt;0)),"Intake inconsistent with enrolments","OK")))</f>
        <v>OK</v>
      </c>
      <c r="X41" s="223"/>
      <c r="Y41" s="275"/>
      <c r="Z41" s="275"/>
      <c r="AA41" s="275"/>
      <c r="AB41" s="275"/>
      <c r="AC41" s="275"/>
    </row>
    <row r="42" spans="1:29" ht="24.95" customHeight="1">
      <c r="A42" s="341"/>
      <c r="B42" s="458" t="s">
        <v>38</v>
      </c>
      <c r="C42" s="1482"/>
      <c r="D42" s="1490"/>
      <c r="E42" s="1484"/>
      <c r="F42" s="1484"/>
      <c r="G42" s="73">
        <f t="shared" si="30"/>
        <v>0</v>
      </c>
      <c r="H42" s="1482"/>
      <c r="I42" s="1490"/>
      <c r="J42" s="1484"/>
      <c r="K42" s="1484"/>
      <c r="L42" s="73">
        <f t="shared" si="31"/>
        <v>0</v>
      </c>
      <c r="M42" s="927">
        <f t="shared" si="32"/>
        <v>0</v>
      </c>
      <c r="N42" s="745">
        <f t="shared" si="33"/>
        <v>0</v>
      </c>
      <c r="O42" s="746">
        <f t="shared" si="34"/>
        <v>0</v>
      </c>
      <c r="P42" s="746">
        <f t="shared" si="35"/>
        <v>0</v>
      </c>
      <c r="Q42" s="73">
        <f t="shared" si="36"/>
        <v>0</v>
      </c>
      <c r="R42" s="712"/>
      <c r="S42" s="223"/>
      <c r="T42" s="223"/>
      <c r="U42" s="223"/>
      <c r="V42" s="24" t="str">
        <f t="shared" si="37"/>
        <v>OK</v>
      </c>
      <c r="W42" s="236" t="str">
        <f t="shared" si="38"/>
        <v>OK</v>
      </c>
      <c r="X42" s="223"/>
      <c r="Y42" s="275"/>
      <c r="Z42" s="937"/>
      <c r="AA42" s="275"/>
      <c r="AB42" s="275"/>
      <c r="AC42" s="275"/>
    </row>
    <row r="43" spans="1:29" ht="24.95" customHeight="1">
      <c r="A43" s="341"/>
      <c r="B43" s="458" t="s">
        <v>39</v>
      </c>
      <c r="C43" s="1482"/>
      <c r="D43" s="1490"/>
      <c r="E43" s="1484"/>
      <c r="F43" s="1484"/>
      <c r="G43" s="73">
        <f t="shared" si="30"/>
        <v>0</v>
      </c>
      <c r="H43" s="1482"/>
      <c r="I43" s="1490"/>
      <c r="J43" s="1484"/>
      <c r="K43" s="1484"/>
      <c r="L43" s="73">
        <f t="shared" si="31"/>
        <v>0</v>
      </c>
      <c r="M43" s="927">
        <f t="shared" si="32"/>
        <v>0</v>
      </c>
      <c r="N43" s="745">
        <f t="shared" si="33"/>
        <v>0</v>
      </c>
      <c r="O43" s="746">
        <f t="shared" si="34"/>
        <v>0</v>
      </c>
      <c r="P43" s="746">
        <f t="shared" si="35"/>
        <v>0</v>
      </c>
      <c r="Q43" s="73">
        <f t="shared" si="36"/>
        <v>0</v>
      </c>
      <c r="R43" s="712"/>
      <c r="S43" s="223"/>
      <c r="T43" s="223"/>
      <c r="U43" s="223"/>
      <c r="V43" s="24" t="str">
        <f t="shared" si="37"/>
        <v>OK</v>
      </c>
      <c r="W43" s="236" t="str">
        <f t="shared" si="38"/>
        <v>OK</v>
      </c>
      <c r="X43" s="223"/>
      <c r="Y43" s="275"/>
      <c r="Z43" s="275"/>
      <c r="AA43" s="275"/>
      <c r="AB43" s="275"/>
      <c r="AC43" s="275"/>
    </row>
    <row r="44" spans="1:29" ht="24.95" customHeight="1">
      <c r="A44" s="341"/>
      <c r="B44" s="458" t="s">
        <v>40</v>
      </c>
      <c r="C44" s="1482"/>
      <c r="D44" s="1490"/>
      <c r="E44" s="1484"/>
      <c r="F44" s="1484"/>
      <c r="G44" s="73">
        <f t="shared" si="30"/>
        <v>0</v>
      </c>
      <c r="H44" s="1482"/>
      <c r="I44" s="1490"/>
      <c r="J44" s="1484"/>
      <c r="K44" s="1484"/>
      <c r="L44" s="73">
        <f t="shared" si="31"/>
        <v>0</v>
      </c>
      <c r="M44" s="927">
        <f t="shared" si="32"/>
        <v>0</v>
      </c>
      <c r="N44" s="745">
        <f t="shared" si="33"/>
        <v>0</v>
      </c>
      <c r="O44" s="746">
        <f t="shared" si="34"/>
        <v>0</v>
      </c>
      <c r="P44" s="746">
        <f t="shared" si="35"/>
        <v>0</v>
      </c>
      <c r="Q44" s="73">
        <f t="shared" si="36"/>
        <v>0</v>
      </c>
      <c r="R44" s="233"/>
      <c r="S44" s="223"/>
      <c r="T44" s="223"/>
      <c r="U44" s="728"/>
      <c r="V44" s="24" t="str">
        <f t="shared" si="37"/>
        <v>OK</v>
      </c>
      <c r="W44" s="236" t="str">
        <f t="shared" si="38"/>
        <v>OK</v>
      </c>
      <c r="X44" s="223"/>
      <c r="Y44" s="275"/>
      <c r="Z44" s="937"/>
      <c r="AA44" s="276"/>
      <c r="AB44" s="276"/>
      <c r="AC44" s="275"/>
    </row>
    <row r="45" spans="1:29" ht="24.95" customHeight="1" thickBot="1">
      <c r="A45" s="341"/>
      <c r="B45" s="458" t="s">
        <v>41</v>
      </c>
      <c r="C45" s="1482"/>
      <c r="D45" s="1490"/>
      <c r="E45" s="1484"/>
      <c r="F45" s="1484"/>
      <c r="G45" s="73">
        <f t="shared" si="30"/>
        <v>0</v>
      </c>
      <c r="H45" s="1482"/>
      <c r="I45" s="1490"/>
      <c r="J45" s="1484"/>
      <c r="K45" s="1484"/>
      <c r="L45" s="73">
        <f t="shared" si="31"/>
        <v>0</v>
      </c>
      <c r="M45" s="927">
        <f t="shared" si="32"/>
        <v>0</v>
      </c>
      <c r="N45" s="745">
        <f t="shared" si="33"/>
        <v>0</v>
      </c>
      <c r="O45" s="746">
        <f t="shared" si="34"/>
        <v>0</v>
      </c>
      <c r="P45" s="746">
        <f t="shared" si="35"/>
        <v>0</v>
      </c>
      <c r="Q45" s="73">
        <f t="shared" si="36"/>
        <v>0</v>
      </c>
      <c r="R45" s="363"/>
      <c r="S45" s="224"/>
      <c r="T45" s="224"/>
      <c r="U45" s="224"/>
      <c r="V45" s="25" t="str">
        <f t="shared" si="37"/>
        <v>OK</v>
      </c>
      <c r="W45" s="237" t="str">
        <f t="shared" si="38"/>
        <v>OK</v>
      </c>
      <c r="X45" s="224"/>
      <c r="Y45" s="275"/>
      <c r="Z45" s="937"/>
      <c r="AA45" s="276"/>
      <c r="AB45" s="276"/>
      <c r="AC45" s="275"/>
    </row>
    <row r="46" spans="1:29" ht="35.1" customHeight="1" thickBot="1">
      <c r="A46" s="341"/>
      <c r="B46" s="459" t="s">
        <v>2</v>
      </c>
      <c r="C46" s="724">
        <f>SUM(C41:C45)</f>
        <v>0</v>
      </c>
      <c r="D46" s="463">
        <f>SUM(D41:D45)</f>
        <v>0</v>
      </c>
      <c r="E46" s="227">
        <f>SUM(E41:E45)</f>
        <v>0</v>
      </c>
      <c r="F46" s="227">
        <f>SUM(F41:F45)</f>
        <v>0</v>
      </c>
      <c r="G46" s="230">
        <f>SUM(D46:F46)</f>
        <v>0</v>
      </c>
      <c r="H46" s="724">
        <f>SUM(H41:H45)</f>
        <v>0</v>
      </c>
      <c r="I46" s="463">
        <f>SUM(I41:I45)</f>
        <v>0</v>
      </c>
      <c r="J46" s="227">
        <f>SUM(J41:J45)</f>
        <v>0</v>
      </c>
      <c r="K46" s="227">
        <f>SUM(K41:K45)</f>
        <v>0</v>
      </c>
      <c r="L46" s="230">
        <f>SUM(I46:K46)</f>
        <v>0</v>
      </c>
      <c r="M46" s="724">
        <f>SUM(M41:M45)</f>
        <v>0</v>
      </c>
      <c r="N46" s="463">
        <f>SUM(N41:N45)</f>
        <v>0</v>
      </c>
      <c r="O46" s="227">
        <f>SUM(O41:O45)</f>
        <v>0</v>
      </c>
      <c r="P46" s="227">
        <f>SUM(P41:P45)</f>
        <v>0</v>
      </c>
      <c r="Q46" s="230">
        <f>SUM(N46:P46)</f>
        <v>0</v>
      </c>
      <c r="R46" s="363"/>
      <c r="S46" s="224"/>
      <c r="T46" s="224"/>
      <c r="U46" s="224"/>
      <c r="V46" s="228"/>
      <c r="W46" s="228"/>
      <c r="X46" s="224"/>
      <c r="Y46" s="275"/>
      <c r="Z46" s="937"/>
      <c r="AA46" s="937"/>
      <c r="AB46" s="937"/>
      <c r="AC46" s="275"/>
    </row>
    <row r="47" spans="1:29" ht="35.1" customHeight="1" thickBot="1">
      <c r="A47" s="341"/>
      <c r="B47" s="460" t="s">
        <v>2</v>
      </c>
      <c r="C47" s="725">
        <f>SUM(C39,C46)</f>
        <v>0</v>
      </c>
      <c r="D47" s="464">
        <f>SUM(D39,D46)</f>
        <v>0</v>
      </c>
      <c r="E47" s="231">
        <f t="shared" ref="E47:F47" si="39">SUM(E39,E46)</f>
        <v>0</v>
      </c>
      <c r="F47" s="231">
        <f t="shared" si="39"/>
        <v>0</v>
      </c>
      <c r="G47" s="232">
        <f>SUM(D47:F47)</f>
        <v>0</v>
      </c>
      <c r="H47" s="725">
        <f>SUM(H39,H46)</f>
        <v>0</v>
      </c>
      <c r="I47" s="464">
        <f>SUM(I39,I46)</f>
        <v>0</v>
      </c>
      <c r="J47" s="231">
        <f t="shared" ref="J47:K47" si="40">SUM(J39,J46)</f>
        <v>0</v>
      </c>
      <c r="K47" s="231">
        <f t="shared" si="40"/>
        <v>0</v>
      </c>
      <c r="L47" s="232">
        <f>SUM(I47:K47)</f>
        <v>0</v>
      </c>
      <c r="M47" s="725">
        <f>SUM(M39,M46)</f>
        <v>0</v>
      </c>
      <c r="N47" s="464">
        <f>SUM(N39,N46)</f>
        <v>0</v>
      </c>
      <c r="O47" s="231">
        <f t="shared" ref="O47:P47" si="41">SUM(O39,O46)</f>
        <v>0</v>
      </c>
      <c r="P47" s="231">
        <f t="shared" si="41"/>
        <v>0</v>
      </c>
      <c r="Q47" s="232">
        <f>SUM(N47:P47)</f>
        <v>0</v>
      </c>
      <c r="R47" s="363"/>
      <c r="S47" s="224"/>
      <c r="T47" s="224"/>
      <c r="U47" s="224"/>
      <c r="V47" s="228"/>
      <c r="W47" s="228"/>
      <c r="X47" s="224"/>
      <c r="Y47" s="275"/>
      <c r="Z47" s="275"/>
      <c r="AA47" s="275"/>
      <c r="AB47" s="275"/>
      <c r="AC47" s="275"/>
    </row>
    <row r="48" spans="1:29">
      <c r="A48" s="350"/>
      <c r="B48" s="347"/>
      <c r="C48" s="347"/>
      <c r="D48" s="347"/>
      <c r="E48" s="347"/>
      <c r="F48" s="347"/>
      <c r="G48" s="347"/>
      <c r="H48" s="347"/>
      <c r="I48" s="347"/>
      <c r="J48" s="347"/>
      <c r="K48" s="347"/>
      <c r="L48" s="347"/>
      <c r="M48" s="347"/>
      <c r="N48" s="347"/>
      <c r="O48" s="347"/>
      <c r="P48" s="347"/>
      <c r="Q48" s="347"/>
      <c r="R48" s="349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</row>
    <row r="49" spans="1:29">
      <c r="A49" s="228"/>
      <c r="B49" s="228"/>
      <c r="C49" s="228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</row>
  </sheetData>
  <sheetProtection password="E23E" sheet="1" objects="1" scenarios="1"/>
  <mergeCells count="11">
    <mergeCell ref="V11:W11"/>
    <mergeCell ref="V12:V13"/>
    <mergeCell ref="W12:W13"/>
    <mergeCell ref="AA11:AA12"/>
    <mergeCell ref="D9:G9"/>
    <mergeCell ref="C4:E4"/>
    <mergeCell ref="C8:G8"/>
    <mergeCell ref="M8:Q8"/>
    <mergeCell ref="I9:L9"/>
    <mergeCell ref="N9:Q9"/>
    <mergeCell ref="H8:L8"/>
  </mergeCells>
  <conditionalFormatting sqref="B2">
    <cfRule type="expression" dxfId="49" priority="61" stopIfTrue="1">
      <formula>#REF!=0</formula>
    </cfRule>
  </conditionalFormatting>
  <conditionalFormatting sqref="D46:G46">
    <cfRule type="expression" dxfId="48" priority="59" stopIfTrue="1">
      <formula>#REF!=0</formula>
    </cfRule>
  </conditionalFormatting>
  <conditionalFormatting sqref="C46">
    <cfRule type="expression" dxfId="47" priority="60" stopIfTrue="1">
      <formula>#REF!=0</formula>
    </cfRule>
  </conditionalFormatting>
  <conditionalFormatting sqref="I46:L46">
    <cfRule type="expression" dxfId="46" priority="46" stopIfTrue="1">
      <formula>#REF!=0</formula>
    </cfRule>
  </conditionalFormatting>
  <conditionalFormatting sqref="N46:Q46">
    <cfRule type="expression" dxfId="45" priority="41" stopIfTrue="1">
      <formula>#REF!=0</formula>
    </cfRule>
  </conditionalFormatting>
  <conditionalFormatting sqref="M46">
    <cfRule type="expression" dxfId="44" priority="42" stopIfTrue="1">
      <formula>#REF!=0</formula>
    </cfRule>
  </conditionalFormatting>
  <conditionalFormatting sqref="A1:R1">
    <cfRule type="expression" dxfId="43" priority="280" stopIfTrue="1">
      <formula>$F$4=0</formula>
    </cfRule>
  </conditionalFormatting>
  <conditionalFormatting sqref="N21:P23">
    <cfRule type="expression" dxfId="42" priority="31" stopIfTrue="1">
      <formula>$F$4=0</formula>
    </cfRule>
  </conditionalFormatting>
  <conditionalFormatting sqref="N26:P28">
    <cfRule type="expression" dxfId="41" priority="30" stopIfTrue="1">
      <formula>$F$4=0</formula>
    </cfRule>
  </conditionalFormatting>
  <conditionalFormatting sqref="N31:P33">
    <cfRule type="expression" dxfId="40" priority="29" stopIfTrue="1">
      <formula>$F$4=0</formula>
    </cfRule>
  </conditionalFormatting>
  <conditionalFormatting sqref="N36:P37">
    <cfRule type="expression" dxfId="39" priority="28" stopIfTrue="1">
      <formula>$F$4=0</formula>
    </cfRule>
  </conditionalFormatting>
  <conditionalFormatting sqref="N41:P45">
    <cfRule type="expression" dxfId="38" priority="27" stopIfTrue="1">
      <formula>$F$4=0</formula>
    </cfRule>
  </conditionalFormatting>
  <conditionalFormatting sqref="H46">
    <cfRule type="expression" dxfId="37" priority="25" stopIfTrue="1">
      <formula>#REF!=0</formula>
    </cfRule>
  </conditionalFormatting>
  <conditionalFormatting sqref="M21:M23">
    <cfRule type="expression" dxfId="36" priority="24" stopIfTrue="1">
      <formula>$F$4=0</formula>
    </cfRule>
  </conditionalFormatting>
  <conditionalFormatting sqref="M26:M28">
    <cfRule type="expression" dxfId="35" priority="23" stopIfTrue="1">
      <formula>$F$4=0</formula>
    </cfRule>
  </conditionalFormatting>
  <conditionalFormatting sqref="M31:M33">
    <cfRule type="expression" dxfId="34" priority="22" stopIfTrue="1">
      <formula>$F$4=0</formula>
    </cfRule>
  </conditionalFormatting>
  <conditionalFormatting sqref="M36:M37">
    <cfRule type="expression" dxfId="33" priority="21" stopIfTrue="1">
      <formula>$F$4=0</formula>
    </cfRule>
  </conditionalFormatting>
  <conditionalFormatting sqref="M41:M45">
    <cfRule type="expression" dxfId="32" priority="20" stopIfTrue="1">
      <formula>$F$4=0</formula>
    </cfRule>
  </conditionalFormatting>
  <conditionalFormatting sqref="C16:F18 H16:K18 C20:F23 H21:K23 C26:F28 H26:K28 C31:F33 H31:K33 C36:F37 H36:K37 C41:F45 H41:K45">
    <cfRule type="expression" dxfId="31" priority="18">
      <formula>$F$4=1</formula>
    </cfRule>
  </conditionalFormatting>
  <conditionalFormatting sqref="V16:W16">
    <cfRule type="expression" dxfId="30" priority="17">
      <formula>V16&lt;&gt;"OK"</formula>
    </cfRule>
  </conditionalFormatting>
  <conditionalFormatting sqref="V17:W18">
    <cfRule type="expression" dxfId="29" priority="5">
      <formula>V17&lt;&gt;"OK"</formula>
    </cfRule>
  </conditionalFormatting>
  <conditionalFormatting sqref="V31:W31 V26:W26 V21:W21">
    <cfRule type="expression" dxfId="28" priority="4">
      <formula>V21&lt;&gt;"OK"</formula>
    </cfRule>
  </conditionalFormatting>
  <conditionalFormatting sqref="V32:W33 V27:W28 V22:W23">
    <cfRule type="expression" dxfId="27" priority="3">
      <formula>V22&lt;&gt;"OK"</formula>
    </cfRule>
  </conditionalFormatting>
  <conditionalFormatting sqref="V36:W36">
    <cfRule type="expression" dxfId="26" priority="2">
      <formula>V36&lt;&gt;"OK"</formula>
    </cfRule>
  </conditionalFormatting>
  <conditionalFormatting sqref="AB14:AB18">
    <cfRule type="expression" dxfId="25" priority="6">
      <formula>AB14&lt;&gt;"OK"</formula>
    </cfRule>
  </conditionalFormatting>
  <conditionalFormatting sqref="V37:W37">
    <cfRule type="expression" dxfId="24" priority="1">
      <formula>V37&lt;&gt;"OK"</formula>
    </cfRule>
  </conditionalFormatting>
  <dataValidations count="4">
    <dataValidation type="custom" allowBlank="1" showErrorMessage="1" errorTitle="Number less than 0" error="You are trying to enter a number which is less than 0, please re-enter a valid number." sqref="C38:F38 C19:F19 C34:F34 C29:F29 C24:F24 H29:K29 H34:K34 H38:K38 H24:K24 H19:K19 M38:P38 M19:P19 M24:P24 M29:P29 M34:P34 C46:Q46">
      <formula1>C19&gt;=0</formula1>
    </dataValidation>
    <dataValidation type="custom" errorStyle="warning" operator="greaterThanOrEqual" allowBlank="1" showInputMessage="1" showErrorMessage="1" error="Entry must be positive or zero, and no more than one decimal place" sqref="G26:G29 G16:G19 G21:G24 G31:G34 Q31:Q34 L36:L45 L26:L29 L16:L19 L21:L24 L31:L34 Q36:Q45 Q26:Q29 Q16:Q19 Q21:Q24 G36:G45">
      <formula1>AND(NOT(G16&lt;0),INT(G16*10)=G16*10)</formula1>
    </dataValidation>
    <dataValidation type="whole" operator="greaterThanOrEqual" allowBlank="1" showInputMessage="1" showErrorMessage="1" errorTitle="ERROR!" error="Invalid Entry" sqref="M31:P33 M21:P23 M36:P37 M26:P28 M16:P18 M41:P45">
      <formula1>0</formula1>
    </dataValidation>
    <dataValidation type="decimal" operator="greaterThanOrEqual" allowBlank="1" showInputMessage="1" showErrorMessage="1" errorTitle="ERROR!" error="Invalid Entry" sqref="C16:F18 H16:K18 C21:F23 H21:K23 C26:F28 H26:K28 C31:F33 H31:K33 C36:F37 H36:K37 C41:F45 H41:K45">
      <formula1>0</formula1>
    </dataValidation>
  </dataValidations>
  <pageMargins left="0.19685039370078741" right="0.19685039370078741" top="0.19685039370078741" bottom="0.39370078740157483" header="0" footer="0"/>
  <pageSetup paperSize="9" scale="55" fitToHeight="2" orientation="landscape" r:id="rId1"/>
  <headerFooter alignWithMargins="0"/>
  <rowBreaks count="1" manualBreakCount="1">
    <brk id="39" max="1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M28"/>
  <sheetViews>
    <sheetView zoomScale="80" zoomScaleNormal="80" workbookViewId="0"/>
  </sheetViews>
  <sheetFormatPr defaultColWidth="9.140625" defaultRowHeight="15"/>
  <cols>
    <col min="1" max="1" width="2.7109375" style="631" customWidth="1"/>
    <col min="2" max="2" width="24.7109375" style="631" customWidth="1"/>
    <col min="3" max="5" width="16.7109375" style="631" customWidth="1"/>
    <col min="6" max="7" width="4.7109375" style="631" customWidth="1"/>
    <col min="8" max="8" width="33.28515625" style="631" customWidth="1"/>
    <col min="9" max="9" width="35.7109375" style="631" customWidth="1"/>
    <col min="10" max="11" width="14.7109375" style="631" customWidth="1"/>
    <col min="12" max="12" width="30.7109375" style="631" customWidth="1"/>
    <col min="13" max="16384" width="9.140625" style="631"/>
  </cols>
  <sheetData>
    <row r="1" spans="1:13" ht="39.950000000000003" customHeight="1">
      <c r="A1" s="228"/>
      <c r="B1" s="241" t="str">
        <f>IF(F4=0,"Your Institution Does Not Complete This Table","")</f>
        <v/>
      </c>
      <c r="C1" s="2"/>
      <c r="D1" s="2"/>
      <c r="E1" s="2"/>
      <c r="F1" s="2"/>
      <c r="G1" s="228"/>
      <c r="H1" s="228"/>
      <c r="I1" s="228"/>
      <c r="J1" s="228"/>
      <c r="K1" s="228"/>
      <c r="L1" s="228"/>
      <c r="M1" s="228"/>
    </row>
    <row r="2" spans="1:13" ht="30" customHeight="1">
      <c r="A2" s="380"/>
      <c r="B2" s="334" t="s">
        <v>305</v>
      </c>
      <c r="C2" s="4"/>
      <c r="D2" s="4"/>
      <c r="E2" s="676"/>
      <c r="F2" s="680"/>
      <c r="G2" s="228"/>
      <c r="H2" s="228"/>
      <c r="I2" s="228"/>
      <c r="J2" s="228"/>
      <c r="K2" s="228"/>
      <c r="L2" s="228"/>
      <c r="M2" s="228"/>
    </row>
    <row r="3" spans="1:13" ht="15" customHeight="1" thickBot="1">
      <c r="A3" s="341"/>
      <c r="B3" s="46"/>
      <c r="C3" s="54"/>
      <c r="D3" s="54"/>
      <c r="E3" s="54"/>
      <c r="F3" s="681"/>
      <c r="G3" s="228"/>
      <c r="H3" s="228"/>
      <c r="I3" s="228"/>
      <c r="J3" s="228"/>
      <c r="K3" s="228"/>
      <c r="L3" s="228"/>
      <c r="M3" s="228"/>
    </row>
    <row r="4" spans="1:13" ht="35.1" customHeight="1" thickBot="1">
      <c r="A4" s="341"/>
      <c r="B4" s="397" t="s">
        <v>0</v>
      </c>
      <c r="C4" s="2579" t="str">
        <f>VLOOKUP('Background Data'!$C$2,Inst_Tables,2,FALSE)</f>
        <v>Glasgow, University of</v>
      </c>
      <c r="D4" s="2580"/>
      <c r="E4" s="2581"/>
      <c r="F4" s="823">
        <f>VLOOKUP('Background Data'!$C$2,Inst_Tables,11,FALSE)</f>
        <v>1</v>
      </c>
      <c r="G4" s="228"/>
      <c r="H4" s="228"/>
      <c r="I4" s="228"/>
      <c r="J4" s="228"/>
      <c r="K4" s="228"/>
      <c r="L4" s="228"/>
      <c r="M4" s="228"/>
    </row>
    <row r="5" spans="1:13" ht="35.1" customHeight="1">
      <c r="A5" s="341"/>
      <c r="B5" s="409" t="s">
        <v>486</v>
      </c>
      <c r="C5" s="57"/>
      <c r="D5" s="58"/>
      <c r="E5" s="58"/>
      <c r="F5" s="682"/>
      <c r="G5" s="228"/>
      <c r="H5" s="228"/>
      <c r="I5" s="228"/>
      <c r="J5" s="228"/>
      <c r="K5" s="228"/>
      <c r="L5" s="228"/>
      <c r="M5" s="228"/>
    </row>
    <row r="6" spans="1:13" ht="30" customHeight="1">
      <c r="A6" s="341"/>
      <c r="B6" s="11" t="s">
        <v>502</v>
      </c>
      <c r="C6" s="57"/>
      <c r="D6" s="58"/>
      <c r="E6" s="58"/>
      <c r="F6" s="682"/>
      <c r="G6" s="228"/>
      <c r="H6" s="228"/>
      <c r="I6" s="228"/>
      <c r="J6" s="228"/>
      <c r="K6" s="228"/>
      <c r="L6" s="228"/>
      <c r="M6" s="228"/>
    </row>
    <row r="7" spans="1:13" ht="15" customHeight="1" thickBot="1">
      <c r="A7" s="341"/>
      <c r="B7" s="390"/>
      <c r="C7" s="57"/>
      <c r="D7" s="58"/>
      <c r="E7" s="58"/>
      <c r="F7" s="682"/>
      <c r="G7" s="228"/>
      <c r="H7" s="228"/>
      <c r="I7" s="228"/>
      <c r="J7" s="228"/>
      <c r="K7" s="228"/>
      <c r="L7" s="228"/>
      <c r="M7" s="228"/>
    </row>
    <row r="8" spans="1:13" ht="50.1" customHeight="1" thickBot="1">
      <c r="A8" s="341"/>
      <c r="B8" s="399"/>
      <c r="C8" s="687" t="s">
        <v>244</v>
      </c>
      <c r="D8" s="691" t="s">
        <v>354</v>
      </c>
      <c r="E8" s="688" t="s">
        <v>2</v>
      </c>
      <c r="F8" s="683"/>
      <c r="G8" s="228"/>
      <c r="H8" s="2130" t="s">
        <v>396</v>
      </c>
      <c r="I8" s="228"/>
      <c r="J8" s="228"/>
      <c r="K8" s="228"/>
      <c r="L8" s="228"/>
      <c r="M8" s="228"/>
    </row>
    <row r="9" spans="1:13" ht="30" customHeight="1">
      <c r="A9" s="341"/>
      <c r="B9" s="2674" t="s">
        <v>179</v>
      </c>
      <c r="C9" s="677" t="s">
        <v>17</v>
      </c>
      <c r="D9" s="64" t="s">
        <v>17</v>
      </c>
      <c r="E9" s="429" t="s">
        <v>17</v>
      </c>
      <c r="F9" s="683"/>
      <c r="G9" s="228"/>
      <c r="H9" s="698"/>
      <c r="I9" s="2672" t="s">
        <v>480</v>
      </c>
      <c r="J9" s="700" t="s">
        <v>59</v>
      </c>
      <c r="K9" s="2604" t="s">
        <v>167</v>
      </c>
      <c r="L9" s="699" t="s">
        <v>246</v>
      </c>
      <c r="M9" s="228"/>
    </row>
    <row r="10" spans="1:13" ht="30" customHeight="1">
      <c r="A10" s="341"/>
      <c r="B10" s="2674"/>
      <c r="C10" s="1336" t="s">
        <v>30</v>
      </c>
      <c r="D10" s="15" t="s">
        <v>30</v>
      </c>
      <c r="E10" s="658" t="s">
        <v>55</v>
      </c>
      <c r="F10" s="683"/>
      <c r="G10" s="228"/>
      <c r="H10" s="432"/>
      <c r="I10" s="2673"/>
      <c r="J10" s="2343"/>
      <c r="K10" s="2675"/>
      <c r="L10" s="702"/>
      <c r="M10" s="228"/>
    </row>
    <row r="11" spans="1:13" ht="30" customHeight="1" thickBot="1">
      <c r="A11" s="341"/>
      <c r="B11" s="403"/>
      <c r="C11" s="678">
        <v>1</v>
      </c>
      <c r="D11" s="692">
        <v>2</v>
      </c>
      <c r="E11" s="689">
        <v>3</v>
      </c>
      <c r="F11" s="684"/>
      <c r="G11" s="228"/>
      <c r="H11" s="703"/>
      <c r="I11" s="701"/>
      <c r="J11" s="2344"/>
      <c r="K11" s="704"/>
      <c r="L11" s="701"/>
      <c r="M11" s="228"/>
    </row>
    <row r="12" spans="1:13" ht="35.1" customHeight="1" thickBot="1">
      <c r="A12" s="341"/>
      <c r="B12" s="393" t="s">
        <v>174</v>
      </c>
      <c r="C12" s="1491">
        <v>41</v>
      </c>
      <c r="D12" s="1492">
        <v>3</v>
      </c>
      <c r="E12" s="2101">
        <f>SUM(C12:D12)</f>
        <v>44</v>
      </c>
      <c r="F12" s="694"/>
      <c r="G12" s="228"/>
      <c r="H12" s="2126" t="s">
        <v>143</v>
      </c>
      <c r="I12" s="2345" t="str">
        <f>IF(AND($C$18&gt;0,$C$12=0),"No intake",IF(AND($C$12&gt;0,$C$18=0),"No enrolments",IF(OR($C$12&gt;$C$18,AND($C$12=$C$18,SUM($C$15:$C$17)&gt;0)),"Intake inconsistent with enrolments","OK")))</f>
        <v>OK</v>
      </c>
      <c r="J12" s="2127">
        <f>'T1 Main Table'!$M$50</f>
        <v>141.167</v>
      </c>
      <c r="K12" s="2128">
        <f>$C$18-$J$12</f>
        <v>0</v>
      </c>
      <c r="L12" s="2346" t="str">
        <f>IF(ABS(K12)&gt;0.1,"Does not equal figure in Table 1","OK")</f>
        <v>OK</v>
      </c>
      <c r="M12" s="228"/>
    </row>
    <row r="13" spans="1:13" ht="35.1" customHeight="1" thickBot="1">
      <c r="A13" s="341"/>
      <c r="B13" s="452" t="s">
        <v>175</v>
      </c>
      <c r="C13" s="679"/>
      <c r="D13" s="693"/>
      <c r="E13" s="690"/>
      <c r="F13" s="685"/>
      <c r="G13" s="228"/>
      <c r="H13" s="697" t="s">
        <v>245</v>
      </c>
      <c r="I13" s="2131" t="str">
        <f>IF(AND($D$18&gt;0,$D$12=0),"No intake",IF(AND($D$12&gt;0,$D$18=0),"No enrolments",IF(OR($D$12&gt;$D$18,AND($D$12=$D$18,SUM($D$15:$D$17)&gt;0)),"Intake inconsistent with enrolments","OK")))</f>
        <v>OK</v>
      </c>
      <c r="J13" s="2129">
        <f>'T1 Main Table'!$Q$50</f>
        <v>6</v>
      </c>
      <c r="K13" s="433">
        <f>$D$18-$J$13</f>
        <v>0</v>
      </c>
      <c r="L13" s="2132" t="str">
        <f>IF(ABS(K13)&gt;0.1,"Does not equal figure in Table 1","OK")</f>
        <v>OK</v>
      </c>
      <c r="M13" s="228"/>
    </row>
    <row r="14" spans="1:13" ht="35.1" customHeight="1">
      <c r="A14" s="341"/>
      <c r="B14" s="396">
        <v>1</v>
      </c>
      <c r="C14" s="1493">
        <v>41</v>
      </c>
      <c r="D14" s="1494">
        <v>3</v>
      </c>
      <c r="E14" s="2102">
        <f t="shared" ref="E14:E15" si="0">SUM(C14:D14)</f>
        <v>44</v>
      </c>
      <c r="F14" s="694"/>
      <c r="G14" s="228"/>
      <c r="H14" s="228"/>
      <c r="I14" s="228"/>
      <c r="J14" s="228"/>
      <c r="K14" s="228"/>
      <c r="L14" s="228"/>
      <c r="M14" s="228"/>
    </row>
    <row r="15" spans="1:13" ht="35.1" customHeight="1">
      <c r="A15" s="341"/>
      <c r="B15" s="396">
        <v>2</v>
      </c>
      <c r="C15" s="1493">
        <v>34.167000000000002</v>
      </c>
      <c r="D15" s="1494">
        <v>3</v>
      </c>
      <c r="E15" s="2102">
        <f t="shared" si="0"/>
        <v>37.167000000000002</v>
      </c>
      <c r="F15" s="694"/>
      <c r="G15" s="228"/>
      <c r="H15" s="228"/>
      <c r="I15" s="228"/>
      <c r="J15" s="228"/>
      <c r="K15" s="228"/>
      <c r="L15" s="228"/>
      <c r="M15" s="228"/>
    </row>
    <row r="16" spans="1:13" ht="35.1" customHeight="1">
      <c r="A16" s="341"/>
      <c r="B16" s="396">
        <v>3</v>
      </c>
      <c r="C16" s="1493">
        <v>45</v>
      </c>
      <c r="D16" s="1494"/>
      <c r="E16" s="2102">
        <f>SUM(C16:D16)</f>
        <v>45</v>
      </c>
      <c r="F16" s="694"/>
      <c r="G16" s="228"/>
      <c r="H16" s="695"/>
      <c r="I16" s="696"/>
      <c r="J16" s="228"/>
      <c r="K16" s="228"/>
      <c r="L16" s="228"/>
      <c r="M16" s="228"/>
    </row>
    <row r="17" spans="1:13" ht="35.1" customHeight="1">
      <c r="A17" s="341"/>
      <c r="B17" s="396">
        <v>4</v>
      </c>
      <c r="C17" s="1493">
        <v>21</v>
      </c>
      <c r="D17" s="1494"/>
      <c r="E17" s="2102">
        <f>SUM(C17:D17)</f>
        <v>21</v>
      </c>
      <c r="F17" s="694"/>
      <c r="G17" s="228"/>
      <c r="H17" s="695"/>
      <c r="I17" s="353"/>
      <c r="J17" s="228"/>
      <c r="K17" s="228"/>
      <c r="L17" s="228"/>
      <c r="M17" s="228"/>
    </row>
    <row r="18" spans="1:13" ht="35.1" customHeight="1" thickBot="1">
      <c r="A18" s="341"/>
      <c r="B18" s="411" t="s">
        <v>2</v>
      </c>
      <c r="C18" s="2104">
        <f>SUM(C14:C17)</f>
        <v>141.167</v>
      </c>
      <c r="D18" s="2105">
        <f>SUM(D14:D17)</f>
        <v>6</v>
      </c>
      <c r="E18" s="2103">
        <f t="shared" ref="E18" si="1">SUM(E14:E17)</f>
        <v>147.167</v>
      </c>
      <c r="F18" s="686"/>
      <c r="G18" s="228"/>
      <c r="H18" s="228"/>
      <c r="I18" s="228"/>
      <c r="J18" s="228"/>
      <c r="K18" s="228"/>
      <c r="L18" s="228"/>
      <c r="M18" s="228"/>
    </row>
    <row r="19" spans="1:13" ht="24.95" customHeight="1">
      <c r="A19" s="350"/>
      <c r="B19" s="60"/>
      <c r="C19" s="60"/>
      <c r="D19" s="61"/>
      <c r="E19" s="61"/>
      <c r="F19" s="62"/>
      <c r="G19" s="228"/>
      <c r="H19" s="228"/>
      <c r="I19" s="228"/>
      <c r="J19" s="228"/>
      <c r="K19" s="228"/>
      <c r="L19" s="228"/>
      <c r="M19" s="228"/>
    </row>
    <row r="20" spans="1:13" s="633" customFormat="1" ht="12" customHeight="1">
      <c r="B20" s="634"/>
    </row>
    <row r="21" spans="1:13">
      <c r="D21" s="632"/>
      <c r="E21" s="632"/>
      <c r="F21" s="632"/>
      <c r="G21" s="632"/>
      <c r="H21" s="632"/>
    </row>
    <row r="22" spans="1:13">
      <c r="D22" s="632"/>
      <c r="E22" s="632"/>
      <c r="F22" s="632"/>
      <c r="G22" s="632"/>
    </row>
    <row r="23" spans="1:13">
      <c r="D23" s="632"/>
      <c r="E23" s="632"/>
      <c r="F23" s="632"/>
      <c r="G23" s="632"/>
    </row>
    <row r="28" spans="1:13" ht="12.75" customHeight="1"/>
  </sheetData>
  <sheetProtection password="E23E" sheet="1" objects="1" scenarios="1"/>
  <mergeCells count="4">
    <mergeCell ref="I9:I10"/>
    <mergeCell ref="C4:E4"/>
    <mergeCell ref="B9:B10"/>
    <mergeCell ref="K9:K10"/>
  </mergeCells>
  <conditionalFormatting sqref="B2">
    <cfRule type="expression" dxfId="23" priority="10" stopIfTrue="1">
      <formula>#REF!=0</formula>
    </cfRule>
  </conditionalFormatting>
  <conditionalFormatting sqref="A1:F1">
    <cfRule type="expression" dxfId="22" priority="172" stopIfTrue="1">
      <formula>$F$4=0</formula>
    </cfRule>
  </conditionalFormatting>
  <conditionalFormatting sqref="C12:D12 C14:D17">
    <cfRule type="expression" dxfId="21" priority="2">
      <formula>$F$4=1</formula>
    </cfRule>
  </conditionalFormatting>
  <conditionalFormatting sqref="I12:I13 L12:L13">
    <cfRule type="expression" dxfId="20" priority="1">
      <formula>I12&lt;&gt;"OK"</formula>
    </cfRule>
  </conditionalFormatting>
  <dataValidations count="2">
    <dataValidation type="custom" allowBlank="1" showErrorMessage="1" errorTitle="Number less than 0" error="You are trying to enter a number which is less than 0, please re-enter a valid number." sqref="C13:D13 E12:F17">
      <formula1>C12&gt;=0</formula1>
    </dataValidation>
    <dataValidation type="decimal" operator="greaterThanOrEqual" allowBlank="1" showInputMessage="1" showErrorMessage="1" errorTitle="ERROR!" error="Invalid Entry" sqref="C12:D12 C14:D17">
      <formula1>0</formula1>
    </dataValidation>
  </dataValidations>
  <pageMargins left="0.19685039370078741" right="0.19685039370078741" top="0.19685039370078741" bottom="0.19685039370078741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D59"/>
  <sheetViews>
    <sheetView zoomScale="80" zoomScaleNormal="80" workbookViewId="0"/>
  </sheetViews>
  <sheetFormatPr defaultColWidth="9.140625" defaultRowHeight="15"/>
  <cols>
    <col min="1" max="1" width="5.7109375" style="770" customWidth="1"/>
    <col min="2" max="2" width="110.7109375" style="770" customWidth="1"/>
    <col min="3" max="3" width="18.7109375" style="1548" customWidth="1"/>
    <col min="4" max="4" width="5.7109375" style="770" customWidth="1"/>
    <col min="5" max="16384" width="9.140625" style="770"/>
  </cols>
  <sheetData>
    <row r="1" spans="1:4" ht="39.950000000000003" customHeight="1">
      <c r="A1" s="1747"/>
      <c r="B1" s="2457" t="str">
        <f>IF(C4=0,"Your Institution Does Not Complete This Table","")</f>
        <v/>
      </c>
      <c r="C1" s="2458"/>
      <c r="D1" s="2459"/>
    </row>
    <row r="2" spans="1:4" s="775" customFormat="1" ht="30" customHeight="1">
      <c r="A2" s="2460"/>
      <c r="B2" s="1342" t="s">
        <v>306</v>
      </c>
      <c r="C2" s="2461"/>
      <c r="D2" s="1516"/>
    </row>
    <row r="3" spans="1:4" ht="35.1" customHeight="1">
      <c r="A3" s="1749"/>
      <c r="B3" s="1012" t="s">
        <v>0</v>
      </c>
      <c r="C3" s="784"/>
      <c r="D3" s="1517"/>
    </row>
    <row r="4" spans="1:4" ht="30" customHeight="1">
      <c r="A4" s="1749"/>
      <c r="B4" s="1518" t="str">
        <f>VLOOKUP('Background Data'!$C$2,Inst_Tables,2,FALSE)</f>
        <v>Glasgow, University of</v>
      </c>
      <c r="C4" s="1519">
        <f>VLOOKUP('Background Data'!$C$2,Inst_Tables,12,FALSE)</f>
        <v>1</v>
      </c>
      <c r="D4" s="1517"/>
    </row>
    <row r="5" spans="1:4" s="1007" customFormat="1" ht="30" customHeight="1">
      <c r="A5" s="2396"/>
      <c r="B5" s="1013" t="s">
        <v>380</v>
      </c>
      <c r="C5" s="1520"/>
      <c r="D5" s="1521"/>
    </row>
    <row r="6" spans="1:4" s="1007" customFormat="1" ht="24.95" customHeight="1">
      <c r="A6" s="2396"/>
      <c r="B6" s="11" t="s">
        <v>503</v>
      </c>
      <c r="C6" s="1520"/>
      <c r="D6" s="1521"/>
    </row>
    <row r="7" spans="1:4" ht="9.9499999999999993" customHeight="1">
      <c r="A7" s="1749"/>
      <c r="B7" s="1522"/>
      <c r="C7" s="1523"/>
      <c r="D7" s="1524"/>
    </row>
    <row r="8" spans="1:4" ht="24.95" customHeight="1">
      <c r="A8" s="1749"/>
      <c r="B8" s="1525" t="s">
        <v>376</v>
      </c>
      <c r="C8" s="1526">
        <f>VLOOKUP('Background Data'!$C$2,Inst_FPs,3,FALSE)</f>
        <v>124</v>
      </c>
      <c r="D8" s="1524"/>
    </row>
    <row r="9" spans="1:4" ht="9.9499999999999993" customHeight="1" thickBot="1">
      <c r="A9" s="1749"/>
      <c r="B9" s="1522"/>
      <c r="C9" s="1523"/>
      <c r="D9" s="1524"/>
    </row>
    <row r="10" spans="1:4" ht="114.95" customHeight="1">
      <c r="A10" s="1749"/>
      <c r="B10" s="1527" t="s">
        <v>148</v>
      </c>
      <c r="C10" s="1528" t="s">
        <v>381</v>
      </c>
      <c r="D10" s="1521"/>
    </row>
    <row r="11" spans="1:4" ht="24.95" customHeight="1">
      <c r="A11" s="1749"/>
      <c r="B11" s="1529"/>
      <c r="C11" s="1530" t="s">
        <v>17</v>
      </c>
      <c r="D11" s="1531"/>
    </row>
    <row r="12" spans="1:4" ht="24.95" customHeight="1">
      <c r="A12" s="1749"/>
      <c r="B12" s="1532" t="s">
        <v>30</v>
      </c>
      <c r="C12" s="2462" t="s">
        <v>30</v>
      </c>
      <c r="D12" s="1531"/>
    </row>
    <row r="13" spans="1:4" ht="24.95" customHeight="1" thickBot="1">
      <c r="A13" s="1749"/>
      <c r="B13" s="1533">
        <v>1</v>
      </c>
      <c r="C13" s="1534">
        <v>2</v>
      </c>
      <c r="D13" s="1535"/>
    </row>
    <row r="14" spans="1:4" ht="35.1" customHeight="1">
      <c r="A14" s="1549"/>
      <c r="B14" s="1536" t="s">
        <v>535</v>
      </c>
      <c r="C14" s="1537">
        <v>5</v>
      </c>
      <c r="D14" s="1535"/>
    </row>
    <row r="15" spans="1:4" ht="35.1" customHeight="1">
      <c r="A15" s="1549"/>
      <c r="B15" s="1536" t="s">
        <v>536</v>
      </c>
      <c r="C15" s="2463">
        <v>10</v>
      </c>
      <c r="D15" s="1535"/>
    </row>
    <row r="16" spans="1:4" ht="35.1" customHeight="1">
      <c r="A16" s="1549"/>
      <c r="B16" s="1536" t="s">
        <v>537</v>
      </c>
      <c r="C16" s="2463">
        <v>10</v>
      </c>
      <c r="D16" s="1535"/>
    </row>
    <row r="17" spans="1:4" ht="35.1" customHeight="1">
      <c r="A17" s="1549"/>
      <c r="B17" s="1536" t="s">
        <v>538</v>
      </c>
      <c r="C17" s="2463">
        <v>3</v>
      </c>
      <c r="D17" s="1535"/>
    </row>
    <row r="18" spans="1:4" ht="35.1" customHeight="1">
      <c r="A18" s="1549"/>
      <c r="B18" s="1536" t="s">
        <v>539</v>
      </c>
      <c r="C18" s="2463">
        <v>3.5</v>
      </c>
      <c r="D18" s="1535"/>
    </row>
    <row r="19" spans="1:4" ht="35.1" customHeight="1">
      <c r="A19" s="1549"/>
      <c r="B19" s="1536" t="s">
        <v>540</v>
      </c>
      <c r="C19" s="2463">
        <v>4</v>
      </c>
      <c r="D19" s="1535"/>
    </row>
    <row r="20" spans="1:4" ht="35.1" customHeight="1">
      <c r="A20" s="1549"/>
      <c r="B20" s="1536" t="s">
        <v>541</v>
      </c>
      <c r="C20" s="2463">
        <v>1</v>
      </c>
      <c r="D20" s="1535"/>
    </row>
    <row r="21" spans="1:4" ht="35.1" customHeight="1">
      <c r="A21" s="1549"/>
      <c r="B21" s="1536" t="s">
        <v>542</v>
      </c>
      <c r="C21" s="2463">
        <v>2</v>
      </c>
      <c r="D21" s="1535"/>
    </row>
    <row r="22" spans="1:4" ht="35.1" customHeight="1">
      <c r="A22" s="1549"/>
      <c r="B22" s="1536" t="s">
        <v>543</v>
      </c>
      <c r="C22" s="2463">
        <v>1</v>
      </c>
      <c r="D22" s="1535"/>
    </row>
    <row r="23" spans="1:4" ht="35.1" customHeight="1">
      <c r="A23" s="1549"/>
      <c r="B23" s="1536" t="s">
        <v>544</v>
      </c>
      <c r="C23" s="2463">
        <v>1</v>
      </c>
      <c r="D23" s="1535"/>
    </row>
    <row r="24" spans="1:4" ht="35.1" customHeight="1">
      <c r="A24" s="1549"/>
      <c r="B24" s="1536" t="s">
        <v>545</v>
      </c>
      <c r="C24" s="2463">
        <v>1.5</v>
      </c>
      <c r="D24" s="1535"/>
    </row>
    <row r="25" spans="1:4" ht="35.1" customHeight="1">
      <c r="A25" s="1549"/>
      <c r="B25" s="1536" t="s">
        <v>546</v>
      </c>
      <c r="C25" s="2463">
        <v>2</v>
      </c>
      <c r="D25" s="1535"/>
    </row>
    <row r="26" spans="1:4" ht="35.1" customHeight="1">
      <c r="A26" s="1549"/>
      <c r="B26" s="1536" t="s">
        <v>547</v>
      </c>
      <c r="C26" s="2463">
        <v>1</v>
      </c>
      <c r="D26" s="1535"/>
    </row>
    <row r="27" spans="1:4" ht="35.1" customHeight="1">
      <c r="A27" s="1549"/>
      <c r="B27" s="1536" t="s">
        <v>548</v>
      </c>
      <c r="C27" s="2463">
        <v>9</v>
      </c>
      <c r="D27" s="1535"/>
    </row>
    <row r="28" spans="1:4" ht="35.1" customHeight="1">
      <c r="A28" s="1549"/>
      <c r="B28" s="1536" t="s">
        <v>549</v>
      </c>
      <c r="C28" s="2463">
        <v>1</v>
      </c>
      <c r="D28" s="1535"/>
    </row>
    <row r="29" spans="1:4" ht="35.1" customHeight="1">
      <c r="A29" s="1549"/>
      <c r="B29" s="1536" t="s">
        <v>550</v>
      </c>
      <c r="C29" s="2463">
        <v>13</v>
      </c>
      <c r="D29" s="1535"/>
    </row>
    <row r="30" spans="1:4" ht="35.1" customHeight="1">
      <c r="A30" s="1549"/>
      <c r="B30" s="1536" t="s">
        <v>551</v>
      </c>
      <c r="C30" s="2463">
        <v>3</v>
      </c>
      <c r="D30" s="1535"/>
    </row>
    <row r="31" spans="1:4" ht="35.1" customHeight="1">
      <c r="A31" s="1549"/>
      <c r="B31" s="1536" t="s">
        <v>552</v>
      </c>
      <c r="C31" s="2463">
        <v>1</v>
      </c>
      <c r="D31" s="1535"/>
    </row>
    <row r="32" spans="1:4" ht="35.1" customHeight="1">
      <c r="A32" s="1549"/>
      <c r="B32" s="1536" t="s">
        <v>553</v>
      </c>
      <c r="C32" s="2463">
        <v>5</v>
      </c>
      <c r="D32" s="1535"/>
    </row>
    <row r="33" spans="1:4" ht="35.1" customHeight="1">
      <c r="A33" s="1549"/>
      <c r="B33" s="1536" t="s">
        <v>554</v>
      </c>
      <c r="C33" s="2463">
        <v>5</v>
      </c>
      <c r="D33" s="1535"/>
    </row>
    <row r="34" spans="1:4" ht="35.1" customHeight="1">
      <c r="A34" s="1549"/>
      <c r="B34" s="1536" t="s">
        <v>564</v>
      </c>
      <c r="C34" s="2463">
        <v>1</v>
      </c>
      <c r="D34" s="1535"/>
    </row>
    <row r="35" spans="1:4" ht="35.1" customHeight="1">
      <c r="A35" s="1549"/>
      <c r="B35" s="1536" t="s">
        <v>555</v>
      </c>
      <c r="C35" s="2463">
        <v>1</v>
      </c>
      <c r="D35" s="1535"/>
    </row>
    <row r="36" spans="1:4" ht="35.1" customHeight="1">
      <c r="A36" s="1549"/>
      <c r="B36" s="1538" t="s">
        <v>556</v>
      </c>
      <c r="C36" s="2464">
        <v>3</v>
      </c>
      <c r="D36" s="1535"/>
    </row>
    <row r="37" spans="1:4" ht="35.1" customHeight="1">
      <c r="A37" s="1549"/>
      <c r="B37" s="1538" t="s">
        <v>557</v>
      </c>
      <c r="C37" s="2464">
        <v>9.5</v>
      </c>
      <c r="D37" s="1362"/>
    </row>
    <row r="38" spans="1:4" ht="35.1" customHeight="1">
      <c r="A38" s="1549"/>
      <c r="B38" s="1538" t="s">
        <v>558</v>
      </c>
      <c r="C38" s="2464">
        <v>5</v>
      </c>
      <c r="D38" s="1362"/>
    </row>
    <row r="39" spans="1:4" ht="35.1" customHeight="1">
      <c r="A39" s="1549"/>
      <c r="B39" s="1538" t="s">
        <v>559</v>
      </c>
      <c r="C39" s="1539">
        <v>7</v>
      </c>
      <c r="D39" s="1362"/>
    </row>
    <row r="40" spans="1:4" ht="35.1" customHeight="1">
      <c r="A40" s="1549"/>
      <c r="B40" s="1538" t="s">
        <v>560</v>
      </c>
      <c r="C40" s="2464">
        <v>2</v>
      </c>
      <c r="D40" s="1362"/>
    </row>
    <row r="41" spans="1:4" ht="35.1" customHeight="1">
      <c r="A41" s="1549"/>
      <c r="B41" s="1538" t="s">
        <v>561</v>
      </c>
      <c r="C41" s="2464">
        <v>2</v>
      </c>
      <c r="D41" s="1362"/>
    </row>
    <row r="42" spans="1:4" ht="35.1" customHeight="1">
      <c r="A42" s="1549"/>
      <c r="B42" s="1538" t="s">
        <v>562</v>
      </c>
      <c r="C42" s="2464">
        <v>0.5</v>
      </c>
      <c r="D42" s="1362"/>
    </row>
    <row r="43" spans="1:4" ht="35.1" customHeight="1">
      <c r="A43" s="1549"/>
      <c r="B43" s="1538" t="s">
        <v>563</v>
      </c>
      <c r="C43" s="2464">
        <v>2.5</v>
      </c>
      <c r="D43" s="1362"/>
    </row>
    <row r="44" spans="1:4" ht="35.1" customHeight="1">
      <c r="A44" s="1549"/>
      <c r="B44" s="1538"/>
      <c r="C44" s="2464"/>
      <c r="D44" s="1362"/>
    </row>
    <row r="45" spans="1:4" ht="35.1" customHeight="1">
      <c r="A45" s="1549"/>
      <c r="B45" s="1538"/>
      <c r="C45" s="2464"/>
      <c r="D45" s="1362"/>
    </row>
    <row r="46" spans="1:4" ht="35.1" customHeight="1">
      <c r="A46" s="1549"/>
      <c r="B46" s="1538"/>
      <c r="C46" s="2464"/>
      <c r="D46" s="1362"/>
    </row>
    <row r="47" spans="1:4" ht="35.1" customHeight="1">
      <c r="A47" s="1549"/>
      <c r="B47" s="1538"/>
      <c r="C47" s="2464"/>
      <c r="D47" s="1362"/>
    </row>
    <row r="48" spans="1:4" ht="35.1" customHeight="1">
      <c r="A48" s="1549"/>
      <c r="B48" s="1538"/>
      <c r="C48" s="2464"/>
      <c r="D48" s="1362"/>
    </row>
    <row r="49" spans="1:4" ht="35.1" customHeight="1">
      <c r="A49" s="1549"/>
      <c r="B49" s="1538"/>
      <c r="C49" s="2464"/>
      <c r="D49" s="1362"/>
    </row>
    <row r="50" spans="1:4" ht="35.1" customHeight="1">
      <c r="A50" s="1549"/>
      <c r="B50" s="1538"/>
      <c r="C50" s="1539"/>
      <c r="D50" s="1362"/>
    </row>
    <row r="51" spans="1:4" ht="35.1" customHeight="1">
      <c r="A51" s="1549"/>
      <c r="B51" s="1538"/>
      <c r="C51" s="2464"/>
      <c r="D51" s="1362"/>
    </row>
    <row r="52" spans="1:4" ht="35.1" customHeight="1">
      <c r="A52" s="1549"/>
      <c r="B52" s="1538"/>
      <c r="C52" s="2464"/>
      <c r="D52" s="1362"/>
    </row>
    <row r="53" spans="1:4" ht="35.1" customHeight="1">
      <c r="A53" s="1549"/>
      <c r="B53" s="1538"/>
      <c r="C53" s="2464"/>
      <c r="D53" s="1362"/>
    </row>
    <row r="54" spans="1:4" ht="35.1" customHeight="1" thickBot="1">
      <c r="A54" s="1549"/>
      <c r="B54" s="2465"/>
      <c r="C54" s="1539"/>
      <c r="D54" s="1362"/>
    </row>
    <row r="55" spans="1:4" ht="35.1" customHeight="1">
      <c r="A55" s="1749"/>
      <c r="B55" s="1368" t="s">
        <v>2</v>
      </c>
      <c r="C55" s="1540">
        <f>SUM(C14:C54)</f>
        <v>115.5</v>
      </c>
      <c r="D55" s="1362"/>
    </row>
    <row r="56" spans="1:4" ht="35.1" customHeight="1" thickBot="1">
      <c r="A56" s="1749"/>
      <c r="B56" s="1541" t="s">
        <v>377</v>
      </c>
      <c r="C56" s="1542">
        <f>IF($C$4=1,C55-$C$8,"")</f>
        <v>-8.5</v>
      </c>
      <c r="D56" s="1362"/>
    </row>
    <row r="57" spans="1:4" ht="30" customHeight="1">
      <c r="A57" s="1749"/>
      <c r="B57" s="1543" t="s">
        <v>378</v>
      </c>
      <c r="C57" s="1544"/>
      <c r="D57" s="1362"/>
    </row>
    <row r="58" spans="1:4" ht="20.100000000000001" customHeight="1">
      <c r="A58" s="1749"/>
      <c r="B58" s="1545" t="s">
        <v>379</v>
      </c>
      <c r="C58" s="1544"/>
      <c r="D58" s="1362"/>
    </row>
    <row r="59" spans="1:4" ht="20.100000000000001" customHeight="1">
      <c r="A59" s="1546"/>
      <c r="B59" s="808"/>
      <c r="C59" s="1547"/>
      <c r="D59" s="809"/>
    </row>
  </sheetData>
  <sheetProtection password="E23E" sheet="1" objects="1" scenarios="1"/>
  <conditionalFormatting sqref="A1:D1">
    <cfRule type="expression" dxfId="19" priority="6" stopIfTrue="1">
      <formula>$C$4=0</formula>
    </cfRule>
  </conditionalFormatting>
  <conditionalFormatting sqref="B7 B9">
    <cfRule type="expression" dxfId="18" priority="4" stopIfTrue="1">
      <formula>#REF!=0</formula>
    </cfRule>
  </conditionalFormatting>
  <conditionalFormatting sqref="B44:C54">
    <cfRule type="expression" dxfId="17" priority="3">
      <formula>$C$4=1</formula>
    </cfRule>
  </conditionalFormatting>
  <conditionalFormatting sqref="B2">
    <cfRule type="expression" dxfId="16" priority="2" stopIfTrue="1">
      <formula>#REF!=0</formula>
    </cfRule>
  </conditionalFormatting>
  <conditionalFormatting sqref="B14:C43">
    <cfRule type="expression" dxfId="15" priority="1">
      <formula>$C$4=1</formula>
    </cfRule>
  </conditionalFormatting>
  <dataValidations count="2">
    <dataValidation type="decimal" operator="greaterThanOrEqual" allowBlank="1" showErrorMessage="1" error="Invalid Entry" sqref="C14:C54">
      <formula1>0</formula1>
    </dataValidation>
    <dataValidation allowBlank="1" sqref="B59 C2 B4 B8:C8 B10:B56 D40:D59 B60:D65433 C10:C13 C55:C59 D5:D9 E1:IL1048576"/>
  </dataValidations>
  <pageMargins left="0.78740157480314965" right="0.19685039370078741" top="0.19685039370078741" bottom="0.19685039370078741" header="0" footer="0"/>
  <pageSetup paperSize="9" scale="35" orientation="portrait" r:id="rId1"/>
  <headerFooter alignWithMargins="0"/>
  <rowBreaks count="1" manualBreakCount="1">
    <brk id="39" max="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G20"/>
  <sheetViews>
    <sheetView zoomScaleNormal="100" workbookViewId="0"/>
  </sheetViews>
  <sheetFormatPr defaultColWidth="9.140625" defaultRowHeight="15"/>
  <cols>
    <col min="1" max="1" width="5.7109375" style="770" customWidth="1"/>
    <col min="2" max="2" width="53.7109375" style="770" customWidth="1"/>
    <col min="3" max="3" width="40" style="770" customWidth="1"/>
    <col min="4" max="5" width="15.7109375" style="770" customWidth="1"/>
    <col min="6" max="6" width="37.28515625" style="770" customWidth="1"/>
    <col min="7" max="7" width="8.7109375" style="770" customWidth="1"/>
    <col min="8" max="16384" width="9.140625" style="770"/>
  </cols>
  <sheetData>
    <row r="1" spans="1:7">
      <c r="A1" s="769"/>
      <c r="B1" s="769"/>
      <c r="C1" s="769"/>
      <c r="D1" s="769"/>
      <c r="E1" s="769"/>
      <c r="F1" s="769"/>
      <c r="G1" s="769"/>
    </row>
    <row r="2" spans="1:7" s="775" customFormat="1" ht="30" customHeight="1">
      <c r="A2" s="771"/>
      <c r="B2" s="772" t="s">
        <v>307</v>
      </c>
      <c r="C2" s="773"/>
      <c r="D2" s="773"/>
      <c r="E2" s="773"/>
      <c r="F2" s="774"/>
      <c r="G2" s="815"/>
    </row>
    <row r="3" spans="1:7" s="775" customFormat="1" ht="15" customHeight="1" thickBot="1">
      <c r="A3" s="776"/>
      <c r="B3" s="777"/>
      <c r="C3" s="778"/>
      <c r="D3" s="778"/>
      <c r="E3" s="778"/>
      <c r="F3" s="779"/>
      <c r="G3" s="815"/>
    </row>
    <row r="4" spans="1:7" ht="35.1" customHeight="1" thickBot="1">
      <c r="A4" s="780"/>
      <c r="B4" s="781" t="s">
        <v>0</v>
      </c>
      <c r="C4" s="822" t="str">
        <f>VLOOKUP('Background Data'!$C$2,Inst_Tables,2,FALSE)</f>
        <v>Glasgow, University of</v>
      </c>
      <c r="D4" s="782"/>
      <c r="E4" s="782"/>
      <c r="F4" s="783"/>
      <c r="G4" s="769"/>
    </row>
    <row r="5" spans="1:7" ht="30" customHeight="1">
      <c r="A5" s="780"/>
      <c r="B5" s="777" t="s">
        <v>287</v>
      </c>
      <c r="C5" s="784"/>
      <c r="D5" s="784"/>
      <c r="E5" s="784"/>
      <c r="F5" s="785"/>
      <c r="G5" s="769"/>
    </row>
    <row r="6" spans="1:7" ht="24.95" customHeight="1">
      <c r="A6" s="780"/>
      <c r="B6" s="11" t="s">
        <v>504</v>
      </c>
      <c r="C6" s="784"/>
      <c r="D6" s="784"/>
      <c r="E6" s="784"/>
      <c r="F6" s="785"/>
      <c r="G6" s="769"/>
    </row>
    <row r="7" spans="1:7" ht="9.9499999999999993" customHeight="1" thickBot="1">
      <c r="A7" s="780"/>
      <c r="B7" s="784"/>
      <c r="C7" s="784"/>
      <c r="D7" s="784"/>
      <c r="E7" s="784"/>
      <c r="F7" s="785"/>
      <c r="G7" s="769"/>
    </row>
    <row r="8" spans="1:7" ht="84.95" customHeight="1">
      <c r="A8" s="780"/>
      <c r="B8" s="786" t="s">
        <v>257</v>
      </c>
      <c r="C8" s="787" t="s">
        <v>258</v>
      </c>
      <c r="D8" s="788" t="s">
        <v>259</v>
      </c>
      <c r="E8" s="788" t="s">
        <v>260</v>
      </c>
      <c r="F8" s="785"/>
      <c r="G8" s="769"/>
    </row>
    <row r="9" spans="1:7" ht="24.95" customHeight="1">
      <c r="A9" s="780"/>
      <c r="B9" s="789"/>
      <c r="C9" s="790"/>
      <c r="D9" s="791" t="s">
        <v>17</v>
      </c>
      <c r="E9" s="791" t="s">
        <v>17</v>
      </c>
      <c r="F9" s="785"/>
      <c r="G9" s="769"/>
    </row>
    <row r="10" spans="1:7" ht="24.95" customHeight="1">
      <c r="A10" s="1361"/>
      <c r="B10" s="789"/>
      <c r="C10" s="790"/>
      <c r="D10" s="1307" t="s">
        <v>355</v>
      </c>
      <c r="E10" s="791" t="s">
        <v>30</v>
      </c>
      <c r="F10" s="1362"/>
      <c r="G10" s="769"/>
    </row>
    <row r="11" spans="1:7" ht="24.95" customHeight="1" thickBot="1">
      <c r="A11" s="780"/>
      <c r="B11" s="792"/>
      <c r="C11" s="793"/>
      <c r="D11" s="1363"/>
      <c r="E11" s="794">
        <v>1</v>
      </c>
      <c r="F11" s="785"/>
      <c r="G11" s="769"/>
    </row>
    <row r="12" spans="1:7" ht="30" customHeight="1">
      <c r="A12" s="780"/>
      <c r="B12" s="789" t="s">
        <v>261</v>
      </c>
      <c r="C12" s="790" t="str">
        <f t="shared" ref="C12:C17" si="0">VLOOKUP(B12,Innov_Centres,2,FALSE)</f>
        <v>Edinburgh Napier University</v>
      </c>
      <c r="D12" s="1364">
        <f t="shared" ref="D12:D17" si="1">VLOOKUP(B12,Innov_Centres,3,FALSE)</f>
        <v>20</v>
      </c>
      <c r="E12" s="795"/>
      <c r="F12" s="785"/>
      <c r="G12" s="769"/>
    </row>
    <row r="13" spans="1:7" ht="30" customHeight="1">
      <c r="A13" s="780"/>
      <c r="B13" s="796" t="s">
        <v>262</v>
      </c>
      <c r="C13" s="797" t="str">
        <f t="shared" si="0"/>
        <v>Edinburgh, University of</v>
      </c>
      <c r="D13" s="1365">
        <f t="shared" si="1"/>
        <v>75</v>
      </c>
      <c r="E13" s="798">
        <v>26</v>
      </c>
      <c r="F13" s="785"/>
      <c r="G13" s="769"/>
    </row>
    <row r="14" spans="1:7" ht="30" customHeight="1">
      <c r="A14" s="780"/>
      <c r="B14" s="796" t="s">
        <v>263</v>
      </c>
      <c r="C14" s="797" t="str">
        <f t="shared" si="0"/>
        <v>Strathclyde, University of</v>
      </c>
      <c r="D14" s="1365">
        <f t="shared" si="1"/>
        <v>20</v>
      </c>
      <c r="E14" s="798"/>
      <c r="F14" s="785"/>
      <c r="G14" s="769"/>
    </row>
    <row r="15" spans="1:7" ht="30" customHeight="1">
      <c r="A15" s="780"/>
      <c r="B15" s="796" t="s">
        <v>264</v>
      </c>
      <c r="C15" s="797" t="str">
        <f t="shared" si="0"/>
        <v>Glasgow, University of</v>
      </c>
      <c r="D15" s="1365">
        <f t="shared" si="1"/>
        <v>35</v>
      </c>
      <c r="E15" s="798">
        <v>36</v>
      </c>
      <c r="F15" s="785"/>
      <c r="G15" s="769"/>
    </row>
    <row r="16" spans="1:7" ht="30" customHeight="1">
      <c r="A16" s="780"/>
      <c r="B16" s="796" t="s">
        <v>265</v>
      </c>
      <c r="C16" s="797" t="str">
        <f t="shared" si="0"/>
        <v>Stirling, University of</v>
      </c>
      <c r="D16" s="1365">
        <f t="shared" si="1"/>
        <v>25</v>
      </c>
      <c r="E16" s="798"/>
      <c r="F16" s="785"/>
      <c r="G16" s="769"/>
    </row>
    <row r="17" spans="1:7" ht="30" customHeight="1" thickBot="1">
      <c r="A17" s="780"/>
      <c r="B17" s="799" t="s">
        <v>266</v>
      </c>
      <c r="C17" s="800" t="str">
        <f t="shared" si="0"/>
        <v>Strathclyde, University of</v>
      </c>
      <c r="D17" s="1366">
        <f t="shared" si="1"/>
        <v>30</v>
      </c>
      <c r="E17" s="801"/>
      <c r="F17" s="785"/>
      <c r="G17" s="769"/>
    </row>
    <row r="18" spans="1:7" ht="27" customHeight="1" thickBot="1">
      <c r="A18" s="780"/>
      <c r="B18" s="802" t="s">
        <v>2</v>
      </c>
      <c r="C18" s="803"/>
      <c r="D18" s="804"/>
      <c r="E18" s="805">
        <f>SUM(E12:E17)</f>
        <v>62</v>
      </c>
      <c r="F18" s="785"/>
      <c r="G18" s="769"/>
    </row>
    <row r="19" spans="1:7" ht="30" customHeight="1">
      <c r="A19" s="780"/>
      <c r="B19" s="806" t="s">
        <v>267</v>
      </c>
      <c r="C19" s="784"/>
      <c r="D19" s="784"/>
      <c r="E19" s="784"/>
      <c r="F19" s="785"/>
      <c r="G19" s="769"/>
    </row>
    <row r="20" spans="1:7">
      <c r="A20" s="807"/>
      <c r="B20" s="808"/>
      <c r="C20" s="808"/>
      <c r="D20" s="808"/>
      <c r="E20" s="808"/>
      <c r="F20" s="809"/>
      <c r="G20" s="769"/>
    </row>
  </sheetData>
  <sheetProtection password="E23E" sheet="1" objects="1" scenarios="1"/>
  <dataValidations count="2">
    <dataValidation allowBlank="1" sqref="C4 C2:F3 G2:IM4 D10"/>
    <dataValidation type="decimal" operator="greaterThanOrEqual" allowBlank="1" showInputMessage="1" showErrorMessage="1" errorTitle="ERROR!" error="Invalid Entry" sqref="E12:E17">
      <formula1>0</formula1>
    </dataValidation>
  </dataValidations>
  <pageMargins left="0.19685039370078741" right="0.19685039370078741" top="0.19685039370078741" bottom="0.39370078740157483" header="0" footer="0"/>
  <pageSetup paperSize="9" scale="8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6799067-58E3-475E-8F8B-B4B75C1F5CBC}">
            <xm:f>$C12='Background Data'!$D$2</xm:f>
            <x14:dxf>
              <font>
                <color rgb="FFFF0000"/>
              </font>
            </x14:dxf>
          </x14:cfRule>
          <xm:sqref>B12:C17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109"/>
  <sheetViews>
    <sheetView zoomScaleNormal="100" workbookViewId="0"/>
  </sheetViews>
  <sheetFormatPr defaultColWidth="9.140625" defaultRowHeight="15"/>
  <cols>
    <col min="1" max="1" width="2.7109375" style="631" customWidth="1"/>
    <col min="2" max="2" width="26.85546875" style="631" customWidth="1"/>
    <col min="3" max="7" width="15.7109375" style="631" customWidth="1"/>
    <col min="8" max="8" width="5.7109375" style="641" customWidth="1"/>
    <col min="9" max="9" width="5.7109375" style="631" customWidth="1"/>
    <col min="10" max="10" width="33.28515625" style="631" customWidth="1"/>
    <col min="11" max="11" width="31.140625" style="631" customWidth="1"/>
    <col min="12" max="12" width="40.140625" style="631" customWidth="1"/>
    <col min="13" max="16384" width="9.140625" style="631"/>
  </cols>
  <sheetData>
    <row r="1" spans="1:13" ht="39.950000000000003" customHeight="1">
      <c r="A1" s="380"/>
      <c r="B1" s="241" t="str">
        <f>IF(F4=0,"Your Institution Does Not Complete This Table","")</f>
        <v/>
      </c>
      <c r="C1" s="3"/>
      <c r="D1" s="3"/>
      <c r="E1" s="3"/>
      <c r="F1" s="3"/>
      <c r="G1" s="3"/>
      <c r="H1" s="3"/>
      <c r="I1" s="228"/>
      <c r="J1" s="228"/>
      <c r="K1" s="228"/>
      <c r="L1" s="228"/>
      <c r="M1" s="228"/>
    </row>
    <row r="2" spans="1:13" s="639" customFormat="1" ht="30" customHeight="1">
      <c r="A2" s="1351"/>
      <c r="B2" s="1342" t="s">
        <v>382</v>
      </c>
      <c r="C2" s="1342"/>
      <c r="D2" s="1342"/>
      <c r="E2" s="1342"/>
      <c r="F2" s="1342"/>
      <c r="G2" s="1342"/>
      <c r="H2" s="938"/>
      <c r="I2" s="1376"/>
      <c r="J2" s="228"/>
      <c r="K2" s="228"/>
      <c r="L2" s="228"/>
      <c r="M2" s="1376"/>
    </row>
    <row r="3" spans="1:13" s="639" customFormat="1" ht="15" customHeight="1" thickBot="1">
      <c r="A3" s="1352"/>
      <c r="B3" s="389"/>
      <c r="C3" s="337"/>
      <c r="D3" s="337"/>
      <c r="E3" s="337"/>
      <c r="F3" s="337"/>
      <c r="G3" s="337"/>
      <c r="H3" s="1353"/>
      <c r="I3" s="1376"/>
      <c r="J3" s="228"/>
      <c r="K3" s="228"/>
      <c r="L3" s="228"/>
      <c r="M3" s="1376"/>
    </row>
    <row r="4" spans="1:13" ht="35.1" customHeight="1" thickBot="1">
      <c r="A4" s="1354"/>
      <c r="B4" s="412" t="s">
        <v>0</v>
      </c>
      <c r="C4" s="2567" t="str">
        <f>VLOOKUP('Background Data'!$C$2,Inst_Tables,2,FALSE)</f>
        <v>Glasgow, University of</v>
      </c>
      <c r="D4" s="2568"/>
      <c r="E4" s="2569"/>
      <c r="F4" s="1344">
        <f>VLOOKUP('Background Data'!$C$2,Inst_Tables,13,FALSE)</f>
        <v>1</v>
      </c>
      <c r="G4" s="1343"/>
      <c r="H4" s="1355"/>
      <c r="I4" s="228"/>
      <c r="J4" s="228"/>
      <c r="K4" s="228"/>
      <c r="L4" s="228"/>
      <c r="M4" s="228"/>
    </row>
    <row r="5" spans="1:13" s="633" customFormat="1" ht="35.1" customHeight="1">
      <c r="A5" s="1356"/>
      <c r="B5" s="413" t="s">
        <v>357</v>
      </c>
      <c r="C5" s="243"/>
      <c r="D5" s="243"/>
      <c r="E5" s="243"/>
      <c r="F5" s="243"/>
      <c r="G5" s="243"/>
      <c r="H5" s="1357"/>
      <c r="I5" s="1377"/>
      <c r="J5" s="228"/>
      <c r="K5" s="228"/>
      <c r="L5" s="228"/>
      <c r="M5" s="1377"/>
    </row>
    <row r="6" spans="1:13" s="633" customFormat="1" ht="30" customHeight="1">
      <c r="A6" s="1356"/>
      <c r="B6" s="11" t="s">
        <v>505</v>
      </c>
      <c r="C6" s="243"/>
      <c r="D6" s="243"/>
      <c r="E6" s="243"/>
      <c r="F6" s="243"/>
      <c r="G6" s="243"/>
      <c r="H6" s="1357"/>
      <c r="I6" s="1377"/>
      <c r="J6" s="228"/>
      <c r="K6" s="228"/>
      <c r="L6" s="228"/>
      <c r="M6" s="1377"/>
    </row>
    <row r="7" spans="1:13" s="633" customFormat="1" ht="15" customHeight="1" thickBot="1">
      <c r="A7" s="1356"/>
      <c r="B7" s="247"/>
      <c r="C7" s="243"/>
      <c r="D7" s="243"/>
      <c r="E7" s="243"/>
      <c r="F7" s="243"/>
      <c r="G7" s="243"/>
      <c r="H7" s="1358"/>
      <c r="I7" s="1377"/>
      <c r="J7" s="228"/>
      <c r="K7" s="228"/>
      <c r="L7" s="228"/>
      <c r="M7" s="1377"/>
    </row>
    <row r="8" spans="1:13" ht="35.1" customHeight="1">
      <c r="A8" s="1354"/>
      <c r="B8" s="355"/>
      <c r="C8" s="2559" t="s">
        <v>147</v>
      </c>
      <c r="D8" s="2558" t="s">
        <v>358</v>
      </c>
      <c r="E8" s="2558"/>
      <c r="F8" s="2558"/>
      <c r="G8" s="2562"/>
      <c r="H8" s="1345"/>
      <c r="I8" s="228"/>
      <c r="J8" s="228"/>
      <c r="K8" s="228"/>
      <c r="L8" s="228"/>
      <c r="M8" s="228"/>
    </row>
    <row r="9" spans="1:13" ht="30" customHeight="1">
      <c r="A9" s="1354"/>
      <c r="B9" s="99"/>
      <c r="C9" s="2560"/>
      <c r="D9" s="2679" t="s">
        <v>356</v>
      </c>
      <c r="E9" s="2676" t="s">
        <v>175</v>
      </c>
      <c r="F9" s="2677"/>
      <c r="G9" s="2678"/>
      <c r="H9" s="1345"/>
      <c r="I9" s="228"/>
      <c r="J9" s="228"/>
      <c r="K9" s="228"/>
      <c r="L9" s="228"/>
      <c r="M9" s="228"/>
    </row>
    <row r="10" spans="1:13" ht="24.95" customHeight="1">
      <c r="A10" s="1354"/>
      <c r="B10" s="1347" t="s">
        <v>148</v>
      </c>
      <c r="C10" s="1308"/>
      <c r="D10" s="2680"/>
      <c r="E10" s="1346">
        <v>1</v>
      </c>
      <c r="F10" s="1348">
        <v>2</v>
      </c>
      <c r="G10" s="1307" t="s">
        <v>2</v>
      </c>
      <c r="H10" s="1345"/>
      <c r="I10" s="228"/>
      <c r="J10" s="1663" t="s">
        <v>479</v>
      </c>
      <c r="K10" s="353"/>
      <c r="L10" s="353"/>
      <c r="M10" s="228"/>
    </row>
    <row r="11" spans="1:13" ht="30" customHeight="1" thickBot="1">
      <c r="A11" s="1354"/>
      <c r="B11" s="99"/>
      <c r="C11" s="447" t="s">
        <v>17</v>
      </c>
      <c r="D11" s="447" t="s">
        <v>17</v>
      </c>
      <c r="E11" s="1306" t="s">
        <v>17</v>
      </c>
      <c r="F11" s="249" t="s">
        <v>17</v>
      </c>
      <c r="G11" s="1307" t="s">
        <v>17</v>
      </c>
      <c r="H11" s="817"/>
      <c r="I11" s="228"/>
      <c r="J11" s="353"/>
      <c r="K11" s="353"/>
      <c r="L11" s="353"/>
      <c r="M11" s="228"/>
    </row>
    <row r="12" spans="1:13" ht="30" customHeight="1">
      <c r="A12" s="1354"/>
      <c r="B12" s="356"/>
      <c r="C12" s="447" t="s">
        <v>355</v>
      </c>
      <c r="D12" s="447" t="s">
        <v>30</v>
      </c>
      <c r="E12" s="817" t="s">
        <v>30</v>
      </c>
      <c r="F12" s="249" t="s">
        <v>30</v>
      </c>
      <c r="G12" s="658" t="s">
        <v>55</v>
      </c>
      <c r="H12" s="817"/>
      <c r="I12" s="228"/>
      <c r="J12" s="698"/>
      <c r="K12" s="1378" t="s">
        <v>359</v>
      </c>
      <c r="L12" s="1379" t="s">
        <v>160</v>
      </c>
      <c r="M12" s="228"/>
    </row>
    <row r="13" spans="1:13" ht="30" customHeight="1" thickBot="1">
      <c r="A13" s="1354"/>
      <c r="B13" s="357"/>
      <c r="C13" s="534">
        <v>1</v>
      </c>
      <c r="D13" s="534">
        <v>2</v>
      </c>
      <c r="E13" s="819">
        <v>3</v>
      </c>
      <c r="F13" s="820">
        <v>4</v>
      </c>
      <c r="G13" s="535">
        <v>5</v>
      </c>
      <c r="H13" s="1359"/>
      <c r="I13" s="228"/>
      <c r="J13" s="705"/>
      <c r="K13" s="704"/>
      <c r="L13" s="701"/>
      <c r="M13" s="228"/>
    </row>
    <row r="14" spans="1:13" ht="35.1" customHeight="1">
      <c r="A14" s="1354"/>
      <c r="B14" s="767" t="s">
        <v>255</v>
      </c>
      <c r="C14" s="1349">
        <f>VLOOKUP('Background Data'!$C$2,Inst_FPs,36,FALSE)</f>
        <v>40.200000000000003</v>
      </c>
      <c r="D14" s="1485">
        <v>57.75</v>
      </c>
      <c r="E14" s="1371">
        <v>53.25</v>
      </c>
      <c r="F14" s="1372">
        <v>69.75</v>
      </c>
      <c r="G14" s="2110">
        <f>SUM(E14:F14)</f>
        <v>123</v>
      </c>
      <c r="H14" s="1360"/>
      <c r="I14" s="228"/>
      <c r="J14" s="706" t="s">
        <v>143</v>
      </c>
      <c r="K14" s="707" t="str">
        <f>IF(AND($G14&gt;0,$D14=0),"No intake",IF(AND($D14&gt;0,$G14=0),"No enrolments","OK"))</f>
        <v>OK</v>
      </c>
      <c r="L14" s="708" t="str">
        <f>IF(OR($D14&gt;$G14,AND($D14=$G14,$F14&gt;0)),"Intake inconsistent with enrolments?","OK")</f>
        <v>OK</v>
      </c>
      <c r="M14" s="228"/>
    </row>
    <row r="15" spans="1:13" ht="35.1" customHeight="1" thickBot="1">
      <c r="A15" s="1354"/>
      <c r="B15" s="768" t="s">
        <v>256</v>
      </c>
      <c r="C15" s="1350">
        <f>VLOOKUP('Background Data'!$C$2,Inst_FPs,37,FALSE)</f>
        <v>0</v>
      </c>
      <c r="D15" s="2347"/>
      <c r="E15" s="1374"/>
      <c r="F15" s="1375"/>
      <c r="G15" s="2111">
        <f>SUM(E15:F15)</f>
        <v>0</v>
      </c>
      <c r="H15" s="1360"/>
      <c r="I15" s="228"/>
      <c r="J15" s="697" t="s">
        <v>245</v>
      </c>
      <c r="K15" s="709" t="str">
        <f>IF(AND($G15&gt;0,$D15=0),"No intake",IF(AND($D15&gt;0,$G15=0),"No enrolments","OK"))</f>
        <v>OK</v>
      </c>
      <c r="L15" s="710" t="str">
        <f>IF(OR($D15&gt;$G15,AND($D15=$G15,$F15&gt;0)),"Intake inconsistent with enrolments?","OK")</f>
        <v>OK</v>
      </c>
      <c r="M15" s="228"/>
    </row>
    <row r="16" spans="1:13" ht="30" customHeight="1">
      <c r="A16" s="1354"/>
      <c r="B16" s="414" t="s">
        <v>276</v>
      </c>
      <c r="C16" s="340"/>
      <c r="D16" s="340"/>
      <c r="E16" s="340"/>
      <c r="F16" s="340"/>
      <c r="G16" s="340"/>
      <c r="H16" s="1360"/>
      <c r="I16" s="228"/>
      <c r="J16" s="695"/>
      <c r="K16" s="696"/>
      <c r="L16" s="228"/>
      <c r="M16" s="228"/>
    </row>
    <row r="17" spans="1:13" ht="20.100000000000001" customHeight="1">
      <c r="A17" s="1354"/>
      <c r="B17" s="414" t="s">
        <v>277</v>
      </c>
      <c r="C17" s="340"/>
      <c r="D17" s="340"/>
      <c r="E17" s="340"/>
      <c r="F17" s="340"/>
      <c r="G17" s="340"/>
      <c r="H17" s="1360"/>
      <c r="I17" s="228"/>
      <c r="J17" s="695"/>
      <c r="K17" s="353"/>
      <c r="L17" s="228"/>
      <c r="M17" s="228"/>
    </row>
    <row r="18" spans="1:13" ht="20.100000000000001" customHeight="1">
      <c r="A18" s="1354"/>
      <c r="B18" s="649" t="s">
        <v>278</v>
      </c>
      <c r="C18" s="340"/>
      <c r="D18" s="340"/>
      <c r="E18" s="340"/>
      <c r="F18" s="340"/>
      <c r="G18" s="340"/>
      <c r="H18" s="1360"/>
      <c r="I18" s="228"/>
      <c r="J18" s="228"/>
      <c r="K18" s="228"/>
      <c r="L18" s="228"/>
      <c r="M18" s="228"/>
    </row>
    <row r="19" spans="1:13" ht="15" customHeight="1">
      <c r="A19" s="350"/>
      <c r="B19" s="415"/>
      <c r="C19" s="347"/>
      <c r="D19" s="347"/>
      <c r="E19" s="347"/>
      <c r="F19" s="347"/>
      <c r="G19" s="347"/>
      <c r="H19" s="939"/>
      <c r="I19" s="228"/>
      <c r="J19" s="228"/>
      <c r="K19" s="228"/>
      <c r="L19" s="228"/>
      <c r="M19" s="228"/>
    </row>
    <row r="20" spans="1:13" s="640" customFormat="1" ht="15.75" customHeight="1">
      <c r="J20" s="633"/>
      <c r="K20" s="633"/>
      <c r="L20" s="633"/>
    </row>
    <row r="21" spans="1:13" ht="15.75" customHeight="1">
      <c r="J21" s="632"/>
    </row>
    <row r="22" spans="1:13" ht="15.75" customHeight="1"/>
    <row r="23" spans="1:13" ht="15.75" customHeight="1"/>
    <row r="24" spans="1:13" ht="15.75" customHeight="1"/>
    <row r="25" spans="1:13" ht="15.75" customHeight="1"/>
    <row r="26" spans="1:13" ht="15.75" customHeight="1"/>
    <row r="27" spans="1:13" ht="15.75" customHeight="1"/>
    <row r="28" spans="1:13" ht="15.75" customHeight="1"/>
    <row r="29" spans="1:13" ht="15.75" customHeight="1"/>
    <row r="30" spans="1:13" ht="15.75" customHeight="1"/>
    <row r="31" spans="1:13" ht="15.75" customHeight="1"/>
    <row r="32" spans="1:1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sheetProtection password="E23E" sheet="1" objects="1" scenarios="1"/>
  <mergeCells count="5">
    <mergeCell ref="D8:G8"/>
    <mergeCell ref="C8:C9"/>
    <mergeCell ref="E9:G9"/>
    <mergeCell ref="D9:D10"/>
    <mergeCell ref="C4:E4"/>
  </mergeCells>
  <conditionalFormatting sqref="B2">
    <cfRule type="expression" dxfId="13" priority="5" stopIfTrue="1">
      <formula>#REF!=0</formula>
    </cfRule>
  </conditionalFormatting>
  <conditionalFormatting sqref="D14:F15">
    <cfRule type="expression" dxfId="12" priority="3">
      <formula>$C14&gt;0</formula>
    </cfRule>
  </conditionalFormatting>
  <conditionalFormatting sqref="A1:H1">
    <cfRule type="expression" dxfId="11" priority="312" stopIfTrue="1">
      <formula>$F$4=0</formula>
    </cfRule>
  </conditionalFormatting>
  <conditionalFormatting sqref="K14:L15">
    <cfRule type="expression" dxfId="10" priority="1">
      <formula>K14&lt;&gt;"OK"</formula>
    </cfRule>
  </conditionalFormatting>
  <dataValidations count="1">
    <dataValidation allowBlank="1" sqref="B20:B65486 G13:G65486 H2:H3 C2:C4 D2:E3 M1:IO1048576 C10:C65486 H8:H65486 C8 B8:B15 D11:D65486 E9:E65486 D8:D9 F10:F65486 G10:G11 I1:I1048576 G2:G4 F2:F3"/>
  </dataValidations>
  <pageMargins left="0.19685039370078741" right="0.19685039370078741" top="0.19685039370078741" bottom="0.39370078740157483" header="0" footer="0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H122"/>
  <sheetViews>
    <sheetView zoomScaleNormal="100" workbookViewId="0"/>
  </sheetViews>
  <sheetFormatPr defaultColWidth="9.140625" defaultRowHeight="15"/>
  <cols>
    <col min="1" max="1" width="2.7109375" style="631" customWidth="1"/>
    <col min="2" max="2" width="72.42578125" style="631" customWidth="1"/>
    <col min="3" max="7" width="18.7109375" style="641" customWidth="1"/>
    <col min="8" max="8" width="5.7109375" style="631" customWidth="1"/>
    <col min="9" max="16384" width="9.140625" style="631"/>
  </cols>
  <sheetData>
    <row r="1" spans="1:8" ht="39.950000000000003" customHeight="1">
      <c r="A1" s="380"/>
      <c r="B1" s="241" t="str">
        <f>IF(E4=0,"Your Institution Does Not Complete This Table","")</f>
        <v>Your Institution Does Not Complete This Table</v>
      </c>
      <c r="C1" s="3"/>
      <c r="D1" s="3"/>
      <c r="E1" s="3"/>
      <c r="F1" s="3"/>
      <c r="G1" s="3"/>
      <c r="H1" s="3"/>
    </row>
    <row r="2" spans="1:8" s="639" customFormat="1" ht="30" customHeight="1">
      <c r="A2" s="416"/>
      <c r="B2" s="334" t="s">
        <v>490</v>
      </c>
      <c r="C2" s="335"/>
      <c r="D2" s="335"/>
      <c r="E2" s="810"/>
      <c r="F2" s="810"/>
      <c r="G2" s="335"/>
      <c r="H2" s="336"/>
    </row>
    <row r="3" spans="1:8" s="639" customFormat="1" ht="15" customHeight="1" thickBot="1">
      <c r="A3" s="418"/>
      <c r="B3" s="389"/>
      <c r="C3" s="103"/>
      <c r="D3" s="103"/>
      <c r="E3" s="103"/>
      <c r="F3" s="103"/>
      <c r="G3" s="103"/>
      <c r="H3" s="338"/>
    </row>
    <row r="4" spans="1:8" ht="35.1" customHeight="1" thickBot="1">
      <c r="A4" s="419"/>
      <c r="B4" s="412" t="s">
        <v>0</v>
      </c>
      <c r="C4" s="2567" t="str">
        <f>VLOOKUP('Background Data'!$C$2,Inst_Tables,2,FALSE)</f>
        <v>Glasgow, University of</v>
      </c>
      <c r="D4" s="2569"/>
      <c r="E4" s="448">
        <f>VLOOKUP('Background Data'!$C$2,Inst_Tables,14,FALSE)</f>
        <v>0</v>
      </c>
      <c r="F4" s="243"/>
      <c r="G4" s="243"/>
      <c r="H4" s="363"/>
    </row>
    <row r="5" spans="1:8" s="633" customFormat="1" ht="35.1" customHeight="1">
      <c r="A5" s="420"/>
      <c r="B5" s="389" t="s">
        <v>288</v>
      </c>
      <c r="C5" s="243"/>
      <c r="D5" s="243"/>
      <c r="E5" s="243"/>
      <c r="F5" s="243"/>
      <c r="G5" s="243"/>
      <c r="H5" s="339"/>
    </row>
    <row r="6" spans="1:8" s="633" customFormat="1" ht="30" customHeight="1">
      <c r="A6" s="420"/>
      <c r="B6" s="11" t="s">
        <v>506</v>
      </c>
      <c r="C6" s="243"/>
      <c r="D6" s="243"/>
      <c r="E6" s="243"/>
      <c r="F6" s="243"/>
      <c r="G6" s="243"/>
      <c r="H6" s="339"/>
    </row>
    <row r="7" spans="1:8" ht="15" customHeight="1" thickBot="1">
      <c r="A7" s="419"/>
      <c r="B7" s="421"/>
      <c r="C7" s="56"/>
      <c r="D7" s="56"/>
      <c r="E7" s="56"/>
      <c r="F7" s="56"/>
      <c r="G7" s="56"/>
      <c r="H7" s="342"/>
    </row>
    <row r="8" spans="1:8" ht="30" customHeight="1" thickBot="1">
      <c r="A8" s="419"/>
      <c r="B8" s="355"/>
      <c r="C8" s="2681" t="s">
        <v>168</v>
      </c>
      <c r="D8" s="2681"/>
      <c r="E8" s="2681"/>
      <c r="F8" s="2681"/>
      <c r="G8" s="2682"/>
      <c r="H8" s="339"/>
    </row>
    <row r="9" spans="1:8" ht="30" customHeight="1">
      <c r="A9" s="419"/>
      <c r="B9" s="99"/>
      <c r="C9" s="2685" t="s">
        <v>232</v>
      </c>
      <c r="D9" s="2560" t="s">
        <v>233</v>
      </c>
      <c r="E9" s="2683" t="s">
        <v>268</v>
      </c>
      <c r="F9" s="2683"/>
      <c r="G9" s="2684"/>
      <c r="H9" s="646"/>
    </row>
    <row r="10" spans="1:8" ht="30" customHeight="1">
      <c r="A10" s="812"/>
      <c r="B10" s="99"/>
      <c r="C10" s="2685"/>
      <c r="D10" s="2560"/>
      <c r="E10" s="816" t="s">
        <v>269</v>
      </c>
      <c r="F10" s="813" t="s">
        <v>231</v>
      </c>
      <c r="G10" s="814" t="s">
        <v>2</v>
      </c>
      <c r="H10" s="646"/>
    </row>
    <row r="11" spans="1:8" ht="24.95" customHeight="1">
      <c r="A11" s="419"/>
      <c r="B11" s="1367" t="s">
        <v>148</v>
      </c>
      <c r="C11" s="1306" t="s">
        <v>17</v>
      </c>
      <c r="D11" s="447" t="s">
        <v>17</v>
      </c>
      <c r="E11" s="817" t="s">
        <v>17</v>
      </c>
      <c r="F11" s="249" t="s">
        <v>17</v>
      </c>
      <c r="G11" s="361" t="s">
        <v>17</v>
      </c>
      <c r="H11" s="346"/>
    </row>
    <row r="12" spans="1:8" ht="24.95" customHeight="1">
      <c r="A12" s="419"/>
      <c r="B12" s="356"/>
      <c r="C12" s="1306" t="s">
        <v>30</v>
      </c>
      <c r="D12" s="447" t="s">
        <v>30</v>
      </c>
      <c r="E12" s="354" t="s">
        <v>30</v>
      </c>
      <c r="F12" s="249" t="s">
        <v>30</v>
      </c>
      <c r="G12" s="250" t="s">
        <v>55</v>
      </c>
      <c r="H12" s="343"/>
    </row>
    <row r="13" spans="1:8" ht="24.95" customHeight="1" thickBot="1">
      <c r="A13" s="419"/>
      <c r="B13" s="357"/>
      <c r="C13" s="819">
        <v>1</v>
      </c>
      <c r="D13" s="534">
        <v>2</v>
      </c>
      <c r="E13" s="819">
        <v>3</v>
      </c>
      <c r="F13" s="820">
        <v>4</v>
      </c>
      <c r="G13" s="535">
        <v>5</v>
      </c>
      <c r="H13" s="262"/>
    </row>
    <row r="14" spans="1:8" ht="35.1" customHeight="1">
      <c r="A14" s="419"/>
      <c r="B14" s="1550"/>
      <c r="C14" s="1551"/>
      <c r="D14" s="1552"/>
      <c r="E14" s="1551"/>
      <c r="F14" s="1553"/>
      <c r="G14" s="928">
        <f>SUM(E14:F14)</f>
        <v>0</v>
      </c>
      <c r="H14" s="262"/>
    </row>
    <row r="15" spans="1:8" ht="35.1" customHeight="1">
      <c r="A15" s="419"/>
      <c r="B15" s="1554"/>
      <c r="C15" s="1555"/>
      <c r="D15" s="1556"/>
      <c r="E15" s="1555"/>
      <c r="F15" s="1557"/>
      <c r="G15" s="929">
        <f t="shared" ref="G15:G28" si="0">SUM(E15:F15)</f>
        <v>0</v>
      </c>
      <c r="H15" s="344"/>
    </row>
    <row r="16" spans="1:8" ht="35.1" customHeight="1">
      <c r="A16" s="419"/>
      <c r="B16" s="1554"/>
      <c r="C16" s="1555"/>
      <c r="D16" s="1556"/>
      <c r="E16" s="1555"/>
      <c r="F16" s="1557"/>
      <c r="G16" s="929">
        <f t="shared" si="0"/>
        <v>0</v>
      </c>
      <c r="H16" s="344"/>
    </row>
    <row r="17" spans="1:8" ht="35.1" customHeight="1">
      <c r="A17" s="419"/>
      <c r="B17" s="1554"/>
      <c r="C17" s="1555"/>
      <c r="D17" s="1556"/>
      <c r="E17" s="1555"/>
      <c r="F17" s="1557"/>
      <c r="G17" s="929">
        <f t="shared" si="0"/>
        <v>0</v>
      </c>
      <c r="H17" s="344"/>
    </row>
    <row r="18" spans="1:8" ht="35.1" customHeight="1">
      <c r="A18" s="419"/>
      <c r="B18" s="1554"/>
      <c r="C18" s="1551"/>
      <c r="D18" s="1552"/>
      <c r="E18" s="1551"/>
      <c r="F18" s="1553"/>
      <c r="G18" s="929">
        <f t="shared" si="0"/>
        <v>0</v>
      </c>
      <c r="H18" s="344"/>
    </row>
    <row r="19" spans="1:8" ht="35.1" customHeight="1">
      <c r="A19" s="419"/>
      <c r="B19" s="1554"/>
      <c r="C19" s="1555"/>
      <c r="D19" s="1556"/>
      <c r="E19" s="1555"/>
      <c r="F19" s="1557"/>
      <c r="G19" s="929">
        <f t="shared" si="0"/>
        <v>0</v>
      </c>
      <c r="H19" s="344"/>
    </row>
    <row r="20" spans="1:8" ht="35.1" customHeight="1">
      <c r="A20" s="419"/>
      <c r="B20" s="1554"/>
      <c r="C20" s="1555"/>
      <c r="D20" s="1556"/>
      <c r="E20" s="1555"/>
      <c r="F20" s="1557"/>
      <c r="G20" s="929">
        <f t="shared" si="0"/>
        <v>0</v>
      </c>
      <c r="H20" s="344"/>
    </row>
    <row r="21" spans="1:8" ht="35.1" customHeight="1">
      <c r="A21" s="419"/>
      <c r="B21" s="1554"/>
      <c r="C21" s="1555"/>
      <c r="D21" s="1556"/>
      <c r="E21" s="1555"/>
      <c r="F21" s="1557"/>
      <c r="G21" s="929">
        <f t="shared" si="0"/>
        <v>0</v>
      </c>
      <c r="H21" s="344"/>
    </row>
    <row r="22" spans="1:8" ht="35.1" customHeight="1">
      <c r="A22" s="419"/>
      <c r="B22" s="1554"/>
      <c r="C22" s="1555"/>
      <c r="D22" s="1556"/>
      <c r="E22" s="1555"/>
      <c r="F22" s="1557"/>
      <c r="G22" s="929">
        <f t="shared" si="0"/>
        <v>0</v>
      </c>
      <c r="H22" s="344"/>
    </row>
    <row r="23" spans="1:8" ht="35.1" customHeight="1">
      <c r="A23" s="419"/>
      <c r="B23" s="1554"/>
      <c r="C23" s="1555"/>
      <c r="D23" s="1556"/>
      <c r="E23" s="1555"/>
      <c r="F23" s="1557"/>
      <c r="G23" s="929">
        <f t="shared" si="0"/>
        <v>0</v>
      </c>
      <c r="H23" s="344"/>
    </row>
    <row r="24" spans="1:8" ht="35.1" customHeight="1">
      <c r="A24" s="419"/>
      <c r="B24" s="1554"/>
      <c r="C24" s="1551"/>
      <c r="D24" s="1552"/>
      <c r="E24" s="1551"/>
      <c r="F24" s="1553"/>
      <c r="G24" s="929">
        <f t="shared" si="0"/>
        <v>0</v>
      </c>
      <c r="H24" s="344"/>
    </row>
    <row r="25" spans="1:8" ht="35.1" customHeight="1">
      <c r="A25" s="419"/>
      <c r="B25" s="1554"/>
      <c r="C25" s="1555"/>
      <c r="D25" s="1556"/>
      <c r="E25" s="1555"/>
      <c r="F25" s="1557"/>
      <c r="G25" s="929">
        <f t="shared" si="0"/>
        <v>0</v>
      </c>
      <c r="H25" s="344"/>
    </row>
    <row r="26" spans="1:8" ht="35.1" customHeight="1">
      <c r="A26" s="419"/>
      <c r="B26" s="1554"/>
      <c r="C26" s="1555"/>
      <c r="D26" s="1556"/>
      <c r="E26" s="1555"/>
      <c r="F26" s="1557"/>
      <c r="G26" s="929">
        <f t="shared" si="0"/>
        <v>0</v>
      </c>
      <c r="H26" s="344"/>
    </row>
    <row r="27" spans="1:8" ht="35.1" customHeight="1">
      <c r="A27" s="419"/>
      <c r="B27" s="1554"/>
      <c r="C27" s="1555"/>
      <c r="D27" s="1556"/>
      <c r="E27" s="1555"/>
      <c r="F27" s="1557"/>
      <c r="G27" s="929">
        <f t="shared" si="0"/>
        <v>0</v>
      </c>
      <c r="H27" s="344"/>
    </row>
    <row r="28" spans="1:8" ht="35.1" customHeight="1" thickBot="1">
      <c r="A28" s="419"/>
      <c r="B28" s="1558"/>
      <c r="C28" s="1551"/>
      <c r="D28" s="1559"/>
      <c r="E28" s="1551"/>
      <c r="F28" s="1553"/>
      <c r="G28" s="929">
        <f t="shared" si="0"/>
        <v>0</v>
      </c>
      <c r="H28" s="344"/>
    </row>
    <row r="29" spans="1:8" ht="35.1" customHeight="1">
      <c r="A29" s="419"/>
      <c r="B29" s="1368" t="s">
        <v>2</v>
      </c>
      <c r="C29" s="1560">
        <f>SUM(C14:C28)</f>
        <v>0</v>
      </c>
      <c r="D29" s="1561">
        <f t="shared" ref="D29:G29" si="1">SUM(D14:D28)</f>
        <v>0</v>
      </c>
      <c r="E29" s="1562">
        <f t="shared" si="1"/>
        <v>0</v>
      </c>
      <c r="F29" s="1563">
        <f t="shared" si="1"/>
        <v>0</v>
      </c>
      <c r="G29" s="1564">
        <f t="shared" si="1"/>
        <v>0</v>
      </c>
      <c r="H29" s="344"/>
    </row>
    <row r="30" spans="1:8" ht="35.1" customHeight="1">
      <c r="A30" s="419"/>
      <c r="B30" s="1369" t="s">
        <v>234</v>
      </c>
      <c r="C30" s="1565">
        <f>VLOOKUP('Background Data'!$C$2,Inst_FPs,5,FALSE)</f>
        <v>0</v>
      </c>
      <c r="D30" s="1566">
        <f>VLOOKUP('Background Data'!$C$2,Inst_FPs,6,FALSE)</f>
        <v>0</v>
      </c>
      <c r="E30" s="1568"/>
      <c r="F30" s="1569"/>
      <c r="G30" s="1567">
        <f>VLOOKUP('Background Data'!$C$2,Inst_FPs,7,FALSE)</f>
        <v>0</v>
      </c>
      <c r="H30" s="344"/>
    </row>
    <row r="31" spans="1:8" ht="35.1" customHeight="1" thickBot="1">
      <c r="A31" s="419"/>
      <c r="B31" s="1370" t="s">
        <v>209</v>
      </c>
      <c r="C31" s="645" t="str">
        <f>IF(C30&gt;0,C29-C30,"")</f>
        <v/>
      </c>
      <c r="D31" s="430" t="str">
        <f t="shared" ref="D31:G31" si="2">IF(D30&gt;0,D29-D30,"")</f>
        <v/>
      </c>
      <c r="E31" s="1570"/>
      <c r="F31" s="1571"/>
      <c r="G31" s="648" t="str">
        <f t="shared" si="2"/>
        <v/>
      </c>
      <c r="H31" s="344"/>
    </row>
    <row r="32" spans="1:8" ht="15" customHeight="1">
      <c r="A32" s="350"/>
      <c r="B32" s="415"/>
      <c r="C32" s="348"/>
      <c r="D32" s="348"/>
      <c r="E32" s="811"/>
      <c r="F32" s="811"/>
      <c r="G32" s="348"/>
      <c r="H32" s="349"/>
    </row>
    <row r="33" s="640" customFormat="1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</sheetData>
  <sheetProtection password="E23E" sheet="1" objects="1" scenarios="1"/>
  <mergeCells count="5">
    <mergeCell ref="C8:G8"/>
    <mergeCell ref="C4:D4"/>
    <mergeCell ref="E9:G9"/>
    <mergeCell ref="C9:C10"/>
    <mergeCell ref="D9:D10"/>
  </mergeCells>
  <conditionalFormatting sqref="B2">
    <cfRule type="expression" dxfId="9" priority="10" stopIfTrue="1">
      <formula>#REF!=0</formula>
    </cfRule>
  </conditionalFormatting>
  <conditionalFormatting sqref="B7">
    <cfRule type="expression" dxfId="8" priority="8" stopIfTrue="1">
      <formula>#REF!=0</formula>
    </cfRule>
  </conditionalFormatting>
  <conditionalFormatting sqref="A1:H1">
    <cfRule type="expression" dxfId="7" priority="259" stopIfTrue="1">
      <formula>$E$4=0</formula>
    </cfRule>
  </conditionalFormatting>
  <conditionalFormatting sqref="B14:B28">
    <cfRule type="expression" dxfId="6" priority="4">
      <formula>$E$4=1</formula>
    </cfRule>
  </conditionalFormatting>
  <conditionalFormatting sqref="C14:C28">
    <cfRule type="expression" dxfId="5" priority="3">
      <formula>$C$30&gt;0</formula>
    </cfRule>
  </conditionalFormatting>
  <conditionalFormatting sqref="D14:D28">
    <cfRule type="expression" dxfId="4" priority="2">
      <formula>$D$30&gt;0</formula>
    </cfRule>
  </conditionalFormatting>
  <conditionalFormatting sqref="E14:F28">
    <cfRule type="expression" dxfId="3" priority="1">
      <formula>$G$30&gt;0</formula>
    </cfRule>
  </conditionalFormatting>
  <dataValidations count="4">
    <dataValidation allowBlank="1" sqref="B33:B65499 H18:H65499 C4 C2:G3 B8:B31 C8:C9 G11:G65499 C11:F13 C29:F65499 I1:IR1048576 H5:H7"/>
    <dataValidation type="custom" allowBlank="1" showErrorMessage="1" errorTitle="ERROR!" error="Either_x000a_No Allocation of Funded Places_x000a_Or_x000a_Invalid Entry" sqref="C14:C28">
      <formula1>AND($C$30&gt;0,C14&gt;=0)</formula1>
    </dataValidation>
    <dataValidation type="custom" allowBlank="1" showErrorMessage="1" errorTitle="ERROR!" error="Either_x000a_No Allocation of Funded Places_x000a_Or_x000a_Invalid Entry" sqref="D14:D28">
      <formula1>AND($D$30&gt;0,D14&gt;=0)</formula1>
    </dataValidation>
    <dataValidation type="custom" allowBlank="1" showErrorMessage="1" errorTitle="ERROR!" error="Either_x000a_No Allocation of Funded Places_x000a_Or_x000a_Invalid Entry" sqref="E14:F28">
      <formula1>AND($G$30&gt;0,E14&gt;=0)</formula1>
    </dataValidation>
  </dataValidations>
  <pageMargins left="0.19685039370078741" right="0.19685039370078741" top="0.19685039370078741" bottom="0.39370078740157483" header="0" footer="0"/>
  <pageSetup paperSize="9" scale="5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F8"/>
  <sheetViews>
    <sheetView zoomScaleNormal="100" workbookViewId="0"/>
  </sheetViews>
  <sheetFormatPr defaultColWidth="9.140625" defaultRowHeight="15"/>
  <cols>
    <col min="1" max="1" width="2.7109375" style="631" customWidth="1"/>
    <col min="2" max="2" width="85.7109375" style="631" customWidth="1"/>
    <col min="3" max="3" width="16.5703125" style="631" customWidth="1"/>
    <col min="4" max="4" width="12.140625" style="631" customWidth="1"/>
    <col min="5" max="5" width="10.7109375" style="641" customWidth="1"/>
    <col min="6" max="6" width="5.7109375" style="631" customWidth="1"/>
    <col min="7" max="16384" width="9.140625" style="631"/>
  </cols>
  <sheetData>
    <row r="1" spans="1:6" s="639" customFormat="1" ht="30" customHeight="1">
      <c r="A1" s="416"/>
      <c r="B1" s="334" t="s">
        <v>308</v>
      </c>
      <c r="C1" s="650"/>
      <c r="D1" s="650"/>
      <c r="E1" s="335"/>
      <c r="F1" s="336"/>
    </row>
    <row r="2" spans="1:6" ht="35.1" customHeight="1" thickBot="1">
      <c r="A2" s="341"/>
      <c r="B2" s="412" t="s">
        <v>0</v>
      </c>
      <c r="C2" s="412"/>
      <c r="D2" s="412"/>
      <c r="E2" s="224"/>
      <c r="F2" s="359"/>
    </row>
    <row r="3" spans="1:6" ht="30" customHeight="1" thickBot="1">
      <c r="A3" s="341"/>
      <c r="B3" s="821" t="str">
        <f>VLOOKUP('Background Data'!$C$2,Inst_Tables,2,FALSE)</f>
        <v>Glasgow, University of</v>
      </c>
      <c r="C3" s="389"/>
      <c r="D3" s="389"/>
      <c r="E3" s="360"/>
      <c r="F3" s="359"/>
    </row>
    <row r="4" spans="1:6" s="633" customFormat="1" ht="30" customHeight="1">
      <c r="A4" s="362"/>
      <c r="B4" s="389" t="s">
        <v>289</v>
      </c>
      <c r="C4" s="389"/>
      <c r="D4" s="389"/>
      <c r="E4" s="243"/>
      <c r="F4" s="339"/>
    </row>
    <row r="5" spans="1:6" s="633" customFormat="1" ht="30" customHeight="1">
      <c r="A5" s="362"/>
      <c r="B5" s="11" t="s">
        <v>507</v>
      </c>
      <c r="C5" s="11"/>
      <c r="D5" s="11"/>
      <c r="E5" s="243"/>
      <c r="F5" s="339"/>
    </row>
    <row r="6" spans="1:6" ht="15" customHeight="1" thickBot="1">
      <c r="A6" s="341"/>
      <c r="B6" s="417"/>
      <c r="C6" s="417"/>
      <c r="D6" s="417"/>
      <c r="E6" s="358"/>
      <c r="F6" s="345"/>
    </row>
    <row r="7" spans="1:6" ht="35.1" customHeight="1" thickBot="1">
      <c r="A7" s="341"/>
      <c r="B7" s="652" t="s">
        <v>289</v>
      </c>
      <c r="C7" s="653" t="s">
        <v>26</v>
      </c>
      <c r="D7" s="653" t="s">
        <v>30</v>
      </c>
      <c r="E7" s="657">
        <v>34</v>
      </c>
      <c r="F7" s="262"/>
    </row>
    <row r="8" spans="1:6" ht="20.100000000000001" customHeight="1">
      <c r="A8" s="350"/>
      <c r="B8" s="347"/>
      <c r="C8" s="651"/>
      <c r="D8" s="651"/>
      <c r="E8" s="348"/>
      <c r="F8" s="349"/>
    </row>
  </sheetData>
  <sheetProtection password="E23E" sheet="1" objects="1" scenarios="1"/>
  <conditionalFormatting sqref="B1:D1">
    <cfRule type="expression" dxfId="2" priority="2" stopIfTrue="1">
      <formula>#REF!=0</formula>
    </cfRule>
  </conditionalFormatting>
  <conditionalFormatting sqref="B6:D6">
    <cfRule type="expression" dxfId="1" priority="1" stopIfTrue="1">
      <formula>#REF!=0</formula>
    </cfRule>
  </conditionalFormatting>
  <dataValidations count="2">
    <dataValidation allowBlank="1" sqref="B9:F65382 E1 F4:F6 F8 B3 G1:IN1048576 B7:D8 E8"/>
    <dataValidation type="whole" operator="greaterThanOrEqual" allowBlank="1" showErrorMessage="1" errorTitle="ERROR!" error="Invalid Entry" sqref="E7">
      <formula1>0</formula1>
    </dataValidation>
  </dataValidations>
  <pageMargins left="0.19685039370078741" right="0.19685039370078741" top="0.19685039370078741" bottom="0.19685039370078741" header="0" footer="0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zoomScale="90" zoomScaleNormal="90" workbookViewId="0"/>
  </sheetViews>
  <sheetFormatPr defaultRowHeight="12.75"/>
  <cols>
    <col min="1" max="1" width="3.7109375" style="1605" customWidth="1"/>
    <col min="2" max="2" width="49.5703125" style="1605" customWidth="1"/>
    <col min="3" max="11" width="13.7109375" style="1605" customWidth="1"/>
    <col min="12" max="12" width="5.7109375" style="1605" customWidth="1"/>
    <col min="13" max="16384" width="9.140625" style="1605"/>
  </cols>
  <sheetData>
    <row r="1" spans="1:12" s="1591" customFormat="1" ht="9.9499999999999993" customHeight="1">
      <c r="A1" s="1572"/>
      <c r="B1" s="1573"/>
      <c r="C1" s="1573"/>
      <c r="D1" s="1573"/>
      <c r="E1" s="1573"/>
      <c r="F1" s="1573"/>
      <c r="G1" s="1573"/>
      <c r="H1" s="1573"/>
      <c r="I1" s="1573"/>
      <c r="J1" s="1573"/>
      <c r="K1" s="1573"/>
      <c r="L1" s="1574"/>
    </row>
    <row r="2" spans="1:12" s="1591" customFormat="1" ht="24.95" customHeight="1">
      <c r="A2" s="1575"/>
      <c r="B2" s="1590" t="s">
        <v>383</v>
      </c>
      <c r="C2" s="1576"/>
      <c r="D2" s="1576"/>
      <c r="E2" s="1576"/>
      <c r="F2" s="1576"/>
      <c r="G2" s="1576"/>
      <c r="H2" s="1576"/>
      <c r="I2" s="1576"/>
      <c r="J2" s="1576"/>
      <c r="K2" s="1576"/>
      <c r="L2" s="1577"/>
    </row>
    <row r="3" spans="1:12" s="1591" customFormat="1" ht="9.9499999999999993" customHeight="1" thickBot="1">
      <c r="A3" s="1575"/>
      <c r="B3" s="1578"/>
      <c r="C3" s="1579"/>
      <c r="D3" s="1579"/>
      <c r="E3" s="1579"/>
      <c r="F3" s="1579"/>
      <c r="G3" s="1576"/>
      <c r="H3" s="1576"/>
      <c r="I3" s="1576"/>
      <c r="J3" s="1576"/>
      <c r="K3" s="1576"/>
      <c r="L3" s="1577"/>
    </row>
    <row r="4" spans="1:12" s="1591" customFormat="1" ht="30" customHeight="1" thickBot="1">
      <c r="A4" s="1575"/>
      <c r="B4" s="1578" t="s">
        <v>91</v>
      </c>
      <c r="C4" s="2688" t="str">
        <f>VLOOKUP('Background Data'!$C$2,Inst_Tables,2,FALSE)</f>
        <v>Glasgow, University of</v>
      </c>
      <c r="D4" s="2689"/>
      <c r="E4" s="2690"/>
      <c r="F4" s="1576"/>
      <c r="G4" s="1576"/>
      <c r="H4" s="1576"/>
      <c r="I4" s="1576"/>
      <c r="J4" s="1576"/>
      <c r="K4" s="1576"/>
      <c r="L4" s="1577"/>
    </row>
    <row r="5" spans="1:12" s="1591" customFormat="1" ht="30" customHeight="1">
      <c r="A5" s="1575"/>
      <c r="B5" s="1580" t="s">
        <v>318</v>
      </c>
      <c r="C5" s="1576"/>
      <c r="D5" s="1576"/>
      <c r="E5" s="1576"/>
      <c r="F5" s="1576"/>
      <c r="G5" s="1576"/>
      <c r="H5" s="1576"/>
      <c r="I5" s="1576"/>
      <c r="J5" s="1576"/>
      <c r="K5" s="1576"/>
      <c r="L5" s="1577"/>
    </row>
    <row r="6" spans="1:12" s="1591" customFormat="1" ht="21.95" customHeight="1">
      <c r="A6" s="1575"/>
      <c r="B6" s="11" t="s">
        <v>527</v>
      </c>
      <c r="C6" s="1576"/>
      <c r="D6" s="1576"/>
      <c r="E6" s="1576"/>
      <c r="F6" s="1576"/>
      <c r="G6" s="1576"/>
      <c r="H6" s="1576"/>
      <c r="I6" s="1576"/>
      <c r="J6" s="1576"/>
      <c r="K6" s="1576"/>
      <c r="L6" s="1577"/>
    </row>
    <row r="7" spans="1:12" s="1591" customFormat="1" ht="9.9499999999999993" customHeight="1" thickBot="1">
      <c r="A7" s="1575"/>
      <c r="B7" s="1576"/>
      <c r="C7" s="1576"/>
      <c r="D7" s="1576"/>
      <c r="E7" s="1576"/>
      <c r="F7" s="1576"/>
      <c r="G7" s="1576"/>
      <c r="H7" s="1576"/>
      <c r="I7" s="1576"/>
      <c r="J7" s="1576"/>
      <c r="K7" s="1576"/>
      <c r="L7" s="1577"/>
    </row>
    <row r="8" spans="1:12" s="1591" customFormat="1" ht="30" customHeight="1">
      <c r="A8" s="1575"/>
      <c r="B8" s="1581"/>
      <c r="C8" s="2691" t="s">
        <v>42</v>
      </c>
      <c r="D8" s="2686"/>
      <c r="E8" s="2686"/>
      <c r="F8" s="2692" t="s">
        <v>31</v>
      </c>
      <c r="G8" s="2686"/>
      <c r="H8" s="2687"/>
      <c r="I8" s="2686" t="s">
        <v>2</v>
      </c>
      <c r="J8" s="2686"/>
      <c r="K8" s="2687"/>
      <c r="L8" s="1577"/>
    </row>
    <row r="9" spans="1:12" s="1591" customFormat="1" ht="30" customHeight="1">
      <c r="A9" s="1575"/>
      <c r="B9" s="1592" t="s">
        <v>384</v>
      </c>
      <c r="C9" s="1582" t="s">
        <v>319</v>
      </c>
      <c r="D9" s="1583" t="s">
        <v>1</v>
      </c>
      <c r="E9" s="1582" t="s">
        <v>2</v>
      </c>
      <c r="F9" s="1598" t="s">
        <v>319</v>
      </c>
      <c r="G9" s="1583" t="s">
        <v>1</v>
      </c>
      <c r="H9" s="1584" t="s">
        <v>2</v>
      </c>
      <c r="I9" s="1597" t="s">
        <v>319</v>
      </c>
      <c r="J9" s="1583" t="s">
        <v>1</v>
      </c>
      <c r="K9" s="1584" t="s">
        <v>2</v>
      </c>
      <c r="L9" s="1577"/>
    </row>
    <row r="10" spans="1:12" s="1591" customFormat="1" ht="30" customHeight="1">
      <c r="A10" s="1575"/>
      <c r="B10" s="1585"/>
      <c r="C10" s="1599">
        <v>1</v>
      </c>
      <c r="D10" s="1599">
        <v>2</v>
      </c>
      <c r="E10" s="1600">
        <v>3</v>
      </c>
      <c r="F10" s="1601">
        <v>4</v>
      </c>
      <c r="G10" s="1599">
        <v>5</v>
      </c>
      <c r="H10" s="1602">
        <v>6</v>
      </c>
      <c r="I10" s="1603">
        <v>7</v>
      </c>
      <c r="J10" s="1599">
        <v>8</v>
      </c>
      <c r="K10" s="1602">
        <v>9</v>
      </c>
      <c r="L10" s="1577"/>
    </row>
    <row r="11" spans="1:12" s="1591" customFormat="1" ht="30" customHeight="1" thickBot="1">
      <c r="A11" s="1575"/>
      <c r="B11" s="2085"/>
      <c r="C11" s="2086" t="s">
        <v>30</v>
      </c>
      <c r="D11" s="2086" t="s">
        <v>30</v>
      </c>
      <c r="E11" s="2087" t="s">
        <v>55</v>
      </c>
      <c r="F11" s="2088" t="s">
        <v>30</v>
      </c>
      <c r="G11" s="2086" t="s">
        <v>30</v>
      </c>
      <c r="H11" s="2089" t="s">
        <v>55</v>
      </c>
      <c r="I11" s="2090" t="s">
        <v>55</v>
      </c>
      <c r="J11" s="2086" t="s">
        <v>55</v>
      </c>
      <c r="K11" s="2089" t="s">
        <v>55</v>
      </c>
      <c r="L11" s="1577"/>
    </row>
    <row r="12" spans="1:12" s="1591" customFormat="1" ht="30" customHeight="1">
      <c r="A12" s="1575"/>
      <c r="B12" s="2091" t="s">
        <v>385</v>
      </c>
      <c r="C12" s="2092"/>
      <c r="D12" s="2092"/>
      <c r="E12" s="2093"/>
      <c r="F12" s="2094"/>
      <c r="G12" s="2092"/>
      <c r="H12" s="2095"/>
      <c r="I12" s="2096"/>
      <c r="J12" s="2092"/>
      <c r="K12" s="2095"/>
      <c r="L12" s="1577"/>
    </row>
    <row r="13" spans="1:12" s="1591" customFormat="1" ht="30" customHeight="1">
      <c r="A13" s="1575"/>
      <c r="B13" s="1586" t="s">
        <v>320</v>
      </c>
      <c r="C13" s="1606">
        <v>405</v>
      </c>
      <c r="D13" s="1606"/>
      <c r="E13" s="1607">
        <f>SUM(C13:D13)</f>
        <v>405</v>
      </c>
      <c r="F13" s="1608">
        <v>23</v>
      </c>
      <c r="G13" s="1606"/>
      <c r="H13" s="1609">
        <f>SUM(F13:G13)</f>
        <v>23</v>
      </c>
      <c r="I13" s="1610">
        <f>SUM(C13,F13)</f>
        <v>428</v>
      </c>
      <c r="J13" s="1611">
        <f t="shared" ref="J13:J14" si="0">SUM(D13,G13)</f>
        <v>0</v>
      </c>
      <c r="K13" s="1609">
        <f>SUM(I13:J13)</f>
        <v>428</v>
      </c>
      <c r="L13" s="1577"/>
    </row>
    <row r="14" spans="1:12" s="1591" customFormat="1" ht="30" customHeight="1">
      <c r="A14" s="1575"/>
      <c r="B14" s="1586" t="s">
        <v>321</v>
      </c>
      <c r="C14" s="1606">
        <v>410</v>
      </c>
      <c r="D14" s="1606"/>
      <c r="E14" s="1607">
        <f>SUM(C14:D14)</f>
        <v>410</v>
      </c>
      <c r="F14" s="1608">
        <v>12</v>
      </c>
      <c r="G14" s="1606"/>
      <c r="H14" s="1609">
        <f>SUM(F14:G14)</f>
        <v>12</v>
      </c>
      <c r="I14" s="1610">
        <f t="shared" ref="I14" si="1">SUM(C14,F14)</f>
        <v>422</v>
      </c>
      <c r="J14" s="1611">
        <f t="shared" si="0"/>
        <v>0</v>
      </c>
      <c r="K14" s="1609">
        <f>SUM(I14:J14)</f>
        <v>422</v>
      </c>
      <c r="L14" s="1577"/>
    </row>
    <row r="15" spans="1:12" s="1591" customFormat="1" ht="30" customHeight="1">
      <c r="A15" s="1575"/>
      <c r="B15" s="1596" t="s">
        <v>322</v>
      </c>
      <c r="C15" s="1612">
        <f>SUM(C13:C14)</f>
        <v>815</v>
      </c>
      <c r="D15" s="1612">
        <f>SUM(D13:D14)</f>
        <v>0</v>
      </c>
      <c r="E15" s="1613">
        <f>SUM(E13:E14)</f>
        <v>815</v>
      </c>
      <c r="F15" s="1614">
        <f t="shared" ref="F15:J15" si="2">SUM(F13:F14)</f>
        <v>35</v>
      </c>
      <c r="G15" s="1612">
        <f t="shared" si="2"/>
        <v>0</v>
      </c>
      <c r="H15" s="1615">
        <f>SUM(H13:H14)</f>
        <v>35</v>
      </c>
      <c r="I15" s="1616">
        <f t="shared" si="2"/>
        <v>850</v>
      </c>
      <c r="J15" s="1612">
        <f t="shared" si="2"/>
        <v>0</v>
      </c>
      <c r="K15" s="1615">
        <f>SUM(K13:K14)</f>
        <v>850</v>
      </c>
      <c r="L15" s="1577"/>
    </row>
    <row r="16" spans="1:12" s="1591" customFormat="1" ht="35.1" customHeight="1" thickBot="1">
      <c r="A16" s="1575"/>
      <c r="B16" s="2348" t="s">
        <v>386</v>
      </c>
      <c r="C16" s="2349">
        <v>3046</v>
      </c>
      <c r="D16" s="2349"/>
      <c r="E16" s="2350">
        <f>SUM(C16:D16)</f>
        <v>3046</v>
      </c>
      <c r="F16" s="2351">
        <v>94</v>
      </c>
      <c r="G16" s="2349"/>
      <c r="H16" s="2352">
        <f>SUM(F16:G16)</f>
        <v>94</v>
      </c>
      <c r="I16" s="2353">
        <f>SUM(C16,F16)</f>
        <v>3140</v>
      </c>
      <c r="J16" s="2354">
        <f>SUM(D16,G16)</f>
        <v>0</v>
      </c>
      <c r="K16" s="2352">
        <f>SUM(I16:J16)</f>
        <v>3140</v>
      </c>
      <c r="L16" s="1577"/>
    </row>
    <row r="17" spans="1:12" s="1591" customFormat="1" ht="30" customHeight="1">
      <c r="A17" s="1575"/>
      <c r="B17" s="1595" t="s">
        <v>387</v>
      </c>
      <c r="C17" s="1617"/>
      <c r="D17" s="1617"/>
      <c r="E17" s="1618"/>
      <c r="F17" s="1619"/>
      <c r="G17" s="1617"/>
      <c r="H17" s="1620"/>
      <c r="I17" s="1621"/>
      <c r="J17" s="1617"/>
      <c r="K17" s="1620"/>
      <c r="L17" s="1577"/>
    </row>
    <row r="18" spans="1:12" s="1591" customFormat="1" ht="30" customHeight="1">
      <c r="A18" s="1575"/>
      <c r="B18" s="1586" t="s">
        <v>320</v>
      </c>
      <c r="C18" s="1606">
        <v>15</v>
      </c>
      <c r="D18" s="1606"/>
      <c r="E18" s="1607">
        <f>SUM(C18:D18)</f>
        <v>15</v>
      </c>
      <c r="F18" s="1608"/>
      <c r="G18" s="1606"/>
      <c r="H18" s="1609">
        <f>SUM(F18:G18)</f>
        <v>0</v>
      </c>
      <c r="I18" s="1610">
        <f>SUM(C18,F18)</f>
        <v>15</v>
      </c>
      <c r="J18" s="1611">
        <f t="shared" ref="J18:J19" si="3">SUM(D18,G18)</f>
        <v>0</v>
      </c>
      <c r="K18" s="1609">
        <f>SUM(I18:J18)</f>
        <v>15</v>
      </c>
      <c r="L18" s="1577"/>
    </row>
    <row r="19" spans="1:12" s="1591" customFormat="1" ht="30" customHeight="1">
      <c r="A19" s="1575"/>
      <c r="B19" s="1586" t="s">
        <v>321</v>
      </c>
      <c r="C19" s="1606">
        <v>2</v>
      </c>
      <c r="D19" s="1606"/>
      <c r="E19" s="1607">
        <f>SUM(C19:D19)</f>
        <v>2</v>
      </c>
      <c r="F19" s="1608"/>
      <c r="G19" s="1606"/>
      <c r="H19" s="1609">
        <f>SUM(F19:G19)</f>
        <v>0</v>
      </c>
      <c r="I19" s="1610">
        <f t="shared" ref="I19" si="4">SUM(C19,F19)</f>
        <v>2</v>
      </c>
      <c r="J19" s="1611">
        <f t="shared" si="3"/>
        <v>0</v>
      </c>
      <c r="K19" s="1609">
        <f>SUM(I19:J19)</f>
        <v>2</v>
      </c>
      <c r="L19" s="1577"/>
    </row>
    <row r="20" spans="1:12" s="1591" customFormat="1" ht="30" customHeight="1">
      <c r="A20" s="1575"/>
      <c r="B20" s="1596" t="s">
        <v>322</v>
      </c>
      <c r="C20" s="1612">
        <f>SUM(C18:C19)</f>
        <v>17</v>
      </c>
      <c r="D20" s="1612">
        <f t="shared" ref="D20:J20" si="5">SUM(D18:D19)</f>
        <v>0</v>
      </c>
      <c r="E20" s="1613">
        <f t="shared" si="5"/>
        <v>17</v>
      </c>
      <c r="F20" s="1614">
        <f t="shared" si="5"/>
        <v>0</v>
      </c>
      <c r="G20" s="1612">
        <f t="shared" si="5"/>
        <v>0</v>
      </c>
      <c r="H20" s="1615">
        <f t="shared" si="5"/>
        <v>0</v>
      </c>
      <c r="I20" s="1616">
        <f t="shared" si="5"/>
        <v>17</v>
      </c>
      <c r="J20" s="1612">
        <f t="shared" si="5"/>
        <v>0</v>
      </c>
      <c r="K20" s="1615">
        <f>SUM(K18:K19)</f>
        <v>17</v>
      </c>
      <c r="L20" s="1577"/>
    </row>
    <row r="21" spans="1:12" s="1591" customFormat="1" ht="35.1" customHeight="1" thickBot="1">
      <c r="A21" s="1575"/>
      <c r="B21" s="2348" t="s">
        <v>386</v>
      </c>
      <c r="C21" s="2349">
        <v>21</v>
      </c>
      <c r="D21" s="2349"/>
      <c r="E21" s="2350">
        <f>SUM(C21:D21)</f>
        <v>21</v>
      </c>
      <c r="F21" s="2351"/>
      <c r="G21" s="2349"/>
      <c r="H21" s="2352">
        <f>SUM(F21:G21)</f>
        <v>0</v>
      </c>
      <c r="I21" s="2353">
        <f>SUM(C21,F21)</f>
        <v>21</v>
      </c>
      <c r="J21" s="2354">
        <f>SUM(D21,G21)</f>
        <v>0</v>
      </c>
      <c r="K21" s="2352">
        <f>SUM(I21:J21)</f>
        <v>21</v>
      </c>
      <c r="L21" s="1577"/>
    </row>
    <row r="22" spans="1:12" s="1591" customFormat="1" ht="30" customHeight="1">
      <c r="A22" s="1575"/>
      <c r="B22" s="1604" t="s">
        <v>489</v>
      </c>
      <c r="C22" s="1617"/>
      <c r="D22" s="1617"/>
      <c r="E22" s="1618"/>
      <c r="F22" s="1619"/>
      <c r="G22" s="1617"/>
      <c r="H22" s="1620"/>
      <c r="I22" s="1621"/>
      <c r="J22" s="1617"/>
      <c r="K22" s="1620"/>
      <c r="L22" s="1577"/>
    </row>
    <row r="23" spans="1:12" s="1591" customFormat="1" ht="30" customHeight="1">
      <c r="A23" s="1575"/>
      <c r="B23" s="1586" t="s">
        <v>320</v>
      </c>
      <c r="C23" s="1611">
        <f>SUM(C13,C18)</f>
        <v>420</v>
      </c>
      <c r="D23" s="1611">
        <f t="shared" ref="D23:D24" si="6">SUM(D13,D18)</f>
        <v>0</v>
      </c>
      <c r="E23" s="1607">
        <f>SUM(C23:D23)</f>
        <v>420</v>
      </c>
      <c r="F23" s="1622">
        <f t="shared" ref="F23:G23" si="7">SUM(F13,F18)</f>
        <v>23</v>
      </c>
      <c r="G23" s="1611">
        <f t="shared" si="7"/>
        <v>0</v>
      </c>
      <c r="H23" s="1609">
        <f>SUM(F23:G23)</f>
        <v>23</v>
      </c>
      <c r="I23" s="1610">
        <f>SUM(C23,F23)</f>
        <v>443</v>
      </c>
      <c r="J23" s="1611">
        <f>SUM(D23,G23)</f>
        <v>0</v>
      </c>
      <c r="K23" s="1609">
        <f>SUM(I23:J23)</f>
        <v>443</v>
      </c>
      <c r="L23" s="1577"/>
    </row>
    <row r="24" spans="1:12" s="1591" customFormat="1" ht="30" customHeight="1">
      <c r="A24" s="1575"/>
      <c r="B24" s="1586" t="s">
        <v>321</v>
      </c>
      <c r="C24" s="1611">
        <f t="shared" ref="C24" si="8">SUM(C14,C19)</f>
        <v>412</v>
      </c>
      <c r="D24" s="1611">
        <f t="shared" si="6"/>
        <v>0</v>
      </c>
      <c r="E24" s="1607">
        <f>SUM(C24:D24)</f>
        <v>412</v>
      </c>
      <c r="F24" s="1622">
        <f t="shared" ref="F24:G24" si="9">SUM(F14,F19)</f>
        <v>12</v>
      </c>
      <c r="G24" s="1611">
        <f t="shared" si="9"/>
        <v>0</v>
      </c>
      <c r="H24" s="1609">
        <f>SUM(F24:G24)</f>
        <v>12</v>
      </c>
      <c r="I24" s="1610">
        <f t="shared" ref="I24" si="10">SUM(C24,F24)</f>
        <v>424</v>
      </c>
      <c r="J24" s="1611">
        <f t="shared" ref="J24" si="11">SUM(D24,G24)</f>
        <v>0</v>
      </c>
      <c r="K24" s="1609">
        <f>SUM(I24:J24)</f>
        <v>424</v>
      </c>
      <c r="L24" s="1577"/>
    </row>
    <row r="25" spans="1:12" s="1591" customFormat="1" ht="30" customHeight="1">
      <c r="A25" s="1575"/>
      <c r="B25" s="1596" t="s">
        <v>322</v>
      </c>
      <c r="C25" s="1612">
        <f>SUM(C23:C24)</f>
        <v>832</v>
      </c>
      <c r="D25" s="1612">
        <f t="shared" ref="D25:G25" si="12">SUM(D23:D24)</f>
        <v>0</v>
      </c>
      <c r="E25" s="2097">
        <f>SUM(E23:E24)</f>
        <v>832</v>
      </c>
      <c r="F25" s="1614">
        <f t="shared" si="12"/>
        <v>35</v>
      </c>
      <c r="G25" s="1612">
        <f t="shared" si="12"/>
        <v>0</v>
      </c>
      <c r="H25" s="1615">
        <f>SUM(H23:H24)</f>
        <v>35</v>
      </c>
      <c r="I25" s="1616">
        <f>SUM(I23:I24)</f>
        <v>867</v>
      </c>
      <c r="J25" s="1612">
        <f>SUM(J23:J24)</f>
        <v>0</v>
      </c>
      <c r="K25" s="1615">
        <f>SUM(K23:K24)</f>
        <v>867</v>
      </c>
      <c r="L25" s="1577"/>
    </row>
    <row r="26" spans="1:12" s="1591" customFormat="1" ht="35.1" customHeight="1" thickBot="1">
      <c r="A26" s="1575"/>
      <c r="B26" s="2348" t="s">
        <v>386</v>
      </c>
      <c r="C26" s="2355">
        <f>SUM(C16,C21)</f>
        <v>3067</v>
      </c>
      <c r="D26" s="2355">
        <f t="shared" ref="D26" si="13">SUM(D16,D21)</f>
        <v>0</v>
      </c>
      <c r="E26" s="2350">
        <f>SUM(C26:D26)</f>
        <v>3067</v>
      </c>
      <c r="F26" s="2356">
        <f t="shared" ref="F26:G26" si="14">SUM(F16,F21)</f>
        <v>94</v>
      </c>
      <c r="G26" s="2355">
        <f t="shared" si="14"/>
        <v>0</v>
      </c>
      <c r="H26" s="2352">
        <f>SUM(F26:G26)</f>
        <v>94</v>
      </c>
      <c r="I26" s="2353">
        <f>SUM(C26,F26)</f>
        <v>3161</v>
      </c>
      <c r="J26" s="2354">
        <f>SUM(D26,G26)</f>
        <v>0</v>
      </c>
      <c r="K26" s="2352">
        <f>SUM(I26:J26)</f>
        <v>3161</v>
      </c>
      <c r="L26" s="1577"/>
    </row>
    <row r="27" spans="1:12" s="1591" customFormat="1" ht="24.95" customHeight="1">
      <c r="A27" s="1575"/>
      <c r="B27" s="2357" t="s">
        <v>488</v>
      </c>
      <c r="C27" s="1576"/>
      <c r="D27" s="1576"/>
      <c r="E27" s="1576"/>
      <c r="F27" s="1576"/>
      <c r="G27" s="1576"/>
      <c r="H27" s="1576"/>
      <c r="I27" s="1576"/>
      <c r="J27" s="1576"/>
      <c r="K27" s="1576"/>
      <c r="L27" s="1577"/>
    </row>
    <row r="28" spans="1:12" s="1591" customFormat="1" ht="24.95" customHeight="1">
      <c r="A28" s="1575"/>
      <c r="B28" s="1623" t="s">
        <v>388</v>
      </c>
      <c r="C28" s="1576"/>
      <c r="D28" s="1576"/>
      <c r="E28" s="1576"/>
      <c r="F28" s="1576"/>
      <c r="G28" s="1576"/>
      <c r="H28" s="1576"/>
      <c r="I28" s="1576"/>
      <c r="J28" s="1576"/>
      <c r="K28" s="1576"/>
      <c r="L28" s="1577"/>
    </row>
    <row r="29" spans="1:12" s="1591" customFormat="1" ht="15.75" thickBot="1">
      <c r="A29" s="1587"/>
      <c r="B29" s="1588"/>
      <c r="C29" s="1588"/>
      <c r="D29" s="1588"/>
      <c r="E29" s="1588"/>
      <c r="F29" s="1588"/>
      <c r="G29" s="1588"/>
      <c r="H29" s="1588"/>
      <c r="I29" s="1588"/>
      <c r="J29" s="1588"/>
      <c r="K29" s="1588"/>
      <c r="L29" s="1589"/>
    </row>
  </sheetData>
  <sheetProtection password="E23E" sheet="1" objects="1" scenarios="1"/>
  <mergeCells count="4">
    <mergeCell ref="I8:K8"/>
    <mergeCell ref="C4:E4"/>
    <mergeCell ref="C8:E8"/>
    <mergeCell ref="F8:H8"/>
  </mergeCells>
  <pageMargins left="0.19685039370078741" right="0.19685039370078741" top="0.19685039370078741" bottom="0.39370078740157483" header="0" footer="0"/>
  <pageSetup paperSize="9" scale="7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IF200"/>
  <sheetViews>
    <sheetView zoomScale="80" zoomScaleNormal="80" workbookViewId="0">
      <pane xSplit="2" topLeftCell="C1" activePane="topRight" state="frozen"/>
      <selection activeCell="A57" sqref="A57"/>
      <selection pane="topRight"/>
    </sheetView>
  </sheetViews>
  <sheetFormatPr defaultColWidth="9.140625" defaultRowHeight="15"/>
  <cols>
    <col min="1" max="1" width="7.7109375" style="537" customWidth="1"/>
    <col min="2" max="2" width="60.7109375" style="537" customWidth="1"/>
    <col min="3" max="65" width="12.7109375" style="537" customWidth="1"/>
    <col min="66" max="66" width="11.7109375" style="537" customWidth="1"/>
    <col min="67" max="67" width="50.7109375" style="537" customWidth="1"/>
    <col min="68" max="68" width="35.7109375" style="2466" customWidth="1"/>
    <col min="69" max="69" width="12.7109375" style="2466" customWidth="1"/>
    <col min="70" max="70" width="13.42578125" style="2466" customWidth="1"/>
    <col min="71" max="71" width="20.7109375" style="537" customWidth="1"/>
    <col min="72" max="72" width="28.85546875" style="537" customWidth="1"/>
    <col min="73" max="16384" width="9.140625" style="537"/>
  </cols>
  <sheetData>
    <row r="2" spans="1:70" ht="30" hidden="1" customHeight="1">
      <c r="A2" s="536" t="s">
        <v>101</v>
      </c>
      <c r="C2" s="2484">
        <v>8</v>
      </c>
      <c r="D2" s="472" t="str">
        <f>VLOOKUP(C2,Inst_Tables,2,FALSE)</f>
        <v>Glasgow, University of</v>
      </c>
      <c r="BP2" s="537"/>
      <c r="BQ2" s="537"/>
      <c r="BR2" s="537"/>
    </row>
    <row r="3" spans="1:70" ht="18" hidden="1" customHeight="1">
      <c r="BP3" s="537"/>
      <c r="BQ3" s="537"/>
      <c r="BR3" s="537"/>
    </row>
    <row r="4" spans="1:70" ht="20.100000000000001" hidden="1" customHeight="1">
      <c r="A4" s="538" t="s">
        <v>515</v>
      </c>
      <c r="C4" s="539"/>
      <c r="D4" s="540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4"/>
      <c r="P4" s="541"/>
      <c r="Q4" s="541"/>
      <c r="R4" s="541"/>
      <c r="S4" s="1227"/>
      <c r="T4" s="1227"/>
      <c r="U4" s="1227"/>
      <c r="V4" s="1227"/>
      <c r="W4" s="542"/>
      <c r="X4" s="543"/>
      <c r="Y4" s="543"/>
      <c r="Z4" s="543"/>
      <c r="AA4" s="543"/>
      <c r="AB4" s="543"/>
      <c r="AC4" s="543"/>
      <c r="AD4" s="543"/>
      <c r="AE4" s="543"/>
      <c r="AF4" s="543"/>
      <c r="AX4" s="560"/>
      <c r="BP4" s="537"/>
      <c r="BQ4" s="537"/>
      <c r="BR4" s="537"/>
    </row>
    <row r="5" spans="1:70" ht="15.75" hidden="1" thickBot="1">
      <c r="B5" s="1"/>
      <c r="C5" s="541"/>
      <c r="D5" s="544"/>
      <c r="E5" s="544"/>
      <c r="F5" s="544"/>
      <c r="G5" s="541"/>
      <c r="H5" s="541"/>
      <c r="K5" s="544"/>
      <c r="L5" s="545"/>
      <c r="M5" s="541"/>
      <c r="O5" s="541"/>
      <c r="Q5" s="544"/>
      <c r="R5" s="541"/>
      <c r="S5" s="541"/>
      <c r="T5" s="541"/>
      <c r="U5" s="544"/>
      <c r="V5" s="544"/>
      <c r="W5" s="544"/>
      <c r="BP5" s="537"/>
      <c r="BQ5" s="537"/>
      <c r="BR5" s="537"/>
    </row>
    <row r="6" spans="1:70" ht="45" hidden="1" customHeight="1">
      <c r="A6" s="2707" t="s">
        <v>91</v>
      </c>
      <c r="B6" s="2708"/>
      <c r="C6" s="2729" t="s">
        <v>128</v>
      </c>
      <c r="D6" s="2730"/>
      <c r="E6" s="2730"/>
      <c r="F6" s="2730"/>
      <c r="G6" s="2730"/>
      <c r="H6" s="2730"/>
      <c r="I6" s="2730"/>
      <c r="J6" s="2730"/>
      <c r="K6" s="2730"/>
      <c r="L6" s="2730"/>
      <c r="M6" s="2730"/>
      <c r="N6" s="2731"/>
      <c r="O6" s="2727" t="s">
        <v>374</v>
      </c>
      <c r="P6" s="2727"/>
      <c r="Q6" s="2728"/>
      <c r="T6" s="541"/>
      <c r="U6" s="544"/>
      <c r="V6" s="544"/>
      <c r="W6" s="544"/>
      <c r="BP6" s="537"/>
      <c r="BQ6" s="537"/>
      <c r="BR6" s="537"/>
    </row>
    <row r="7" spans="1:70" ht="35.1" hidden="1" customHeight="1">
      <c r="A7" s="1035" t="s">
        <v>153</v>
      </c>
      <c r="B7" s="1250" t="s">
        <v>112</v>
      </c>
      <c r="C7" s="1506" t="s">
        <v>129</v>
      </c>
      <c r="D7" s="1506" t="s">
        <v>130</v>
      </c>
      <c r="E7" s="1506" t="s">
        <v>131</v>
      </c>
      <c r="F7" s="1506" t="s">
        <v>180</v>
      </c>
      <c r="G7" s="1506" t="s">
        <v>279</v>
      </c>
      <c r="H7" s="1506" t="s">
        <v>280</v>
      </c>
      <c r="I7" s="1507">
        <v>3</v>
      </c>
      <c r="J7" s="1507" t="s">
        <v>171</v>
      </c>
      <c r="K7" s="1507" t="s">
        <v>172</v>
      </c>
      <c r="L7" s="1023" t="s">
        <v>154</v>
      </c>
      <c r="M7" s="1023" t="s">
        <v>156</v>
      </c>
      <c r="N7" s="764" t="s">
        <v>373</v>
      </c>
      <c r="O7" s="1024" t="s">
        <v>42</v>
      </c>
      <c r="P7" s="766" t="s">
        <v>31</v>
      </c>
      <c r="Q7" s="765" t="s">
        <v>219</v>
      </c>
      <c r="T7" s="541"/>
      <c r="U7" s="544"/>
      <c r="V7" s="544"/>
      <c r="W7" s="544"/>
      <c r="BP7" s="537"/>
      <c r="BQ7" s="537"/>
      <c r="BR7" s="537"/>
    </row>
    <row r="8" spans="1:70" ht="50.1" hidden="1" customHeight="1">
      <c r="A8" s="1256"/>
      <c r="B8" s="1251"/>
      <c r="C8" s="1508" t="s">
        <v>247</v>
      </c>
      <c r="D8" s="1508" t="s">
        <v>248</v>
      </c>
      <c r="E8" s="1508" t="s">
        <v>249</v>
      </c>
      <c r="F8" s="1509" t="s">
        <v>352</v>
      </c>
      <c r="G8" s="1509" t="s">
        <v>353</v>
      </c>
      <c r="H8" s="1509" t="s">
        <v>360</v>
      </c>
      <c r="I8" s="1510" t="s">
        <v>250</v>
      </c>
      <c r="J8" s="1511" t="s">
        <v>251</v>
      </c>
      <c r="K8" s="1511" t="s">
        <v>252</v>
      </c>
      <c r="L8" s="1504" t="s">
        <v>375</v>
      </c>
      <c r="M8" s="1252" t="s">
        <v>254</v>
      </c>
      <c r="N8" s="1512" t="s">
        <v>253</v>
      </c>
      <c r="O8" s="1253"/>
      <c r="P8" s="1254"/>
      <c r="Q8" s="1255"/>
      <c r="T8" s="541"/>
      <c r="U8" s="544"/>
      <c r="V8" s="544"/>
      <c r="W8" s="544"/>
      <c r="BP8" s="537"/>
      <c r="BQ8" s="537"/>
      <c r="BR8" s="537"/>
    </row>
    <row r="9" spans="1:70" ht="30" hidden="1" customHeight="1">
      <c r="A9" s="1261">
        <v>1</v>
      </c>
      <c r="B9" s="1260">
        <v>2</v>
      </c>
      <c r="C9" s="1259">
        <v>3</v>
      </c>
      <c r="D9" s="1259">
        <v>4</v>
      </c>
      <c r="E9" s="1259">
        <v>5</v>
      </c>
      <c r="F9" s="1259">
        <v>6</v>
      </c>
      <c r="G9" s="1259">
        <v>7</v>
      </c>
      <c r="H9" s="1259">
        <v>8</v>
      </c>
      <c r="I9" s="1259">
        <v>9</v>
      </c>
      <c r="J9" s="1259">
        <v>10</v>
      </c>
      <c r="K9" s="1259">
        <v>11</v>
      </c>
      <c r="L9" s="1505">
        <v>12</v>
      </c>
      <c r="M9" s="1505">
        <v>13</v>
      </c>
      <c r="N9" s="1257">
        <v>14</v>
      </c>
      <c r="O9" s="1505">
        <v>15</v>
      </c>
      <c r="P9" s="1258">
        <v>16</v>
      </c>
      <c r="Q9" s="1257">
        <v>17</v>
      </c>
      <c r="T9" s="541"/>
      <c r="U9" s="544"/>
      <c r="V9" s="544"/>
      <c r="W9" s="544"/>
      <c r="BP9" s="537"/>
      <c r="BQ9" s="537"/>
      <c r="BR9" s="537"/>
    </row>
    <row r="10" spans="1:70" ht="20.100000000000001" hidden="1" customHeight="1">
      <c r="A10" s="546">
        <v>1</v>
      </c>
      <c r="B10" s="547" t="s">
        <v>43</v>
      </c>
      <c r="C10" s="1513">
        <f>IF(SUM(O39:T39,AD39:AF39)&gt;0,1,0)</f>
        <v>1</v>
      </c>
      <c r="D10" s="1513">
        <v>1</v>
      </c>
      <c r="E10" s="1513">
        <v>0</v>
      </c>
      <c r="F10" s="1514">
        <f>IF(SUM(T39,AF39)&gt;0,1,0)</f>
        <v>1</v>
      </c>
      <c r="G10" s="1514">
        <v>1</v>
      </c>
      <c r="H10" s="1514">
        <v>1</v>
      </c>
      <c r="I10" s="1513">
        <v>1</v>
      </c>
      <c r="J10" s="1513">
        <f t="shared" ref="J10:J28" si="0">IF(AB39&gt;0,1,0)</f>
        <v>0</v>
      </c>
      <c r="K10" s="1513">
        <f t="shared" ref="K10:K28" si="1">IF(U39&gt;0,1,0)</f>
        <v>0</v>
      </c>
      <c r="L10" s="1514">
        <f>IF(C39&gt;0,1,0)</f>
        <v>1</v>
      </c>
      <c r="M10" s="1514">
        <f>IF(SUM(AJ39:AK39)&gt;0,1,0)</f>
        <v>1</v>
      </c>
      <c r="N10" s="1515">
        <f>IF(SUM(E39:G39)&gt;0,1,0)</f>
        <v>0</v>
      </c>
      <c r="O10" s="1025">
        <v>3</v>
      </c>
      <c r="P10" s="1026">
        <v>4</v>
      </c>
      <c r="Q10" s="663">
        <v>45</v>
      </c>
      <c r="T10" s="555"/>
      <c r="U10" s="555"/>
      <c r="V10" s="644"/>
      <c r="W10" s="644"/>
      <c r="X10" s="662"/>
      <c r="Y10" s="662"/>
      <c r="Z10" s="662"/>
      <c r="AA10" s="662"/>
      <c r="AB10" s="662"/>
      <c r="BP10" s="537"/>
      <c r="BQ10" s="537"/>
      <c r="BR10" s="537"/>
    </row>
    <row r="11" spans="1:70" ht="20.100000000000001" hidden="1" customHeight="1">
      <c r="A11" s="546">
        <v>2</v>
      </c>
      <c r="B11" s="547" t="s">
        <v>44</v>
      </c>
      <c r="C11" s="1513">
        <f t="shared" ref="C11:C28" si="2">IF(SUM(O40:T40,AD40:AF40)&gt;0,1,0)</f>
        <v>0</v>
      </c>
      <c r="D11" s="1513">
        <v>0</v>
      </c>
      <c r="E11" s="1513">
        <v>0</v>
      </c>
      <c r="F11" s="1514">
        <f t="shared" ref="F11:F28" si="3">IF(SUM(T40,AF40)&gt;0,1,0)</f>
        <v>0</v>
      </c>
      <c r="G11" s="1514">
        <v>0</v>
      </c>
      <c r="H11" s="1514">
        <v>0</v>
      </c>
      <c r="I11" s="1513">
        <v>0</v>
      </c>
      <c r="J11" s="1513">
        <f t="shared" si="0"/>
        <v>0</v>
      </c>
      <c r="K11" s="1513">
        <f t="shared" si="1"/>
        <v>1</v>
      </c>
      <c r="L11" s="1514">
        <f t="shared" ref="L11:L28" si="4">IF(C40&gt;0,1,0)</f>
        <v>1</v>
      </c>
      <c r="M11" s="1514">
        <f t="shared" ref="M11:M28" si="5">IF(SUM(AJ40:AK40)&gt;0,1,0)</f>
        <v>0</v>
      </c>
      <c r="N11" s="1515">
        <f t="shared" ref="N11:N28" si="6">IF(SUM(E40:G40)&gt;0,1,0)</f>
        <v>0</v>
      </c>
      <c r="O11" s="1025">
        <f>O10+2</f>
        <v>5</v>
      </c>
      <c r="P11" s="1026">
        <f>P10+2</f>
        <v>6</v>
      </c>
      <c r="Q11" s="663">
        <v>46</v>
      </c>
      <c r="T11" s="555"/>
      <c r="U11" s="555"/>
      <c r="V11" s="644"/>
      <c r="W11" s="544"/>
      <c r="BP11" s="537"/>
      <c r="BQ11" s="537"/>
      <c r="BR11" s="537"/>
    </row>
    <row r="12" spans="1:70" ht="20.100000000000001" hidden="1" customHeight="1">
      <c r="A12" s="546">
        <v>3</v>
      </c>
      <c r="B12" s="547" t="s">
        <v>45</v>
      </c>
      <c r="C12" s="1513">
        <f t="shared" si="2"/>
        <v>1</v>
      </c>
      <c r="D12" s="1513">
        <v>1</v>
      </c>
      <c r="E12" s="1513">
        <v>0</v>
      </c>
      <c r="F12" s="1514">
        <f t="shared" si="3"/>
        <v>1</v>
      </c>
      <c r="G12" s="1514">
        <v>1</v>
      </c>
      <c r="H12" s="1514">
        <v>1</v>
      </c>
      <c r="I12" s="1513">
        <v>2</v>
      </c>
      <c r="J12" s="1513">
        <f t="shared" si="0"/>
        <v>1</v>
      </c>
      <c r="K12" s="1513">
        <f t="shared" si="1"/>
        <v>0</v>
      </c>
      <c r="L12" s="1514">
        <f t="shared" si="4"/>
        <v>1</v>
      </c>
      <c r="M12" s="1514">
        <f t="shared" si="5"/>
        <v>1</v>
      </c>
      <c r="N12" s="1515">
        <f t="shared" si="6"/>
        <v>0</v>
      </c>
      <c r="O12" s="1025">
        <f t="shared" ref="O12:P27" si="7">O11+2</f>
        <v>7</v>
      </c>
      <c r="P12" s="1026">
        <f t="shared" si="7"/>
        <v>8</v>
      </c>
      <c r="Q12" s="663">
        <v>47</v>
      </c>
      <c r="T12" s="555"/>
      <c r="U12" s="555"/>
      <c r="V12" s="644"/>
      <c r="W12" s="544"/>
      <c r="BP12" s="537"/>
      <c r="BQ12" s="537"/>
      <c r="BR12" s="537"/>
    </row>
    <row r="13" spans="1:70" ht="20.100000000000001" hidden="1" customHeight="1">
      <c r="A13" s="546">
        <v>4</v>
      </c>
      <c r="B13" s="547" t="s">
        <v>60</v>
      </c>
      <c r="C13" s="1513">
        <f t="shared" si="2"/>
        <v>0</v>
      </c>
      <c r="D13" s="1513">
        <v>0</v>
      </c>
      <c r="E13" s="1513">
        <v>0</v>
      </c>
      <c r="F13" s="1514">
        <f t="shared" si="3"/>
        <v>0</v>
      </c>
      <c r="G13" s="1514">
        <v>0</v>
      </c>
      <c r="H13" s="1514">
        <v>0</v>
      </c>
      <c r="I13" s="1513">
        <v>0</v>
      </c>
      <c r="J13" s="1513">
        <f t="shared" si="0"/>
        <v>1</v>
      </c>
      <c r="K13" s="1513">
        <f t="shared" si="1"/>
        <v>0</v>
      </c>
      <c r="L13" s="1514">
        <f t="shared" si="4"/>
        <v>1</v>
      </c>
      <c r="M13" s="1514">
        <f t="shared" si="5"/>
        <v>0</v>
      </c>
      <c r="N13" s="1515">
        <f t="shared" si="6"/>
        <v>0</v>
      </c>
      <c r="O13" s="1025">
        <f t="shared" si="7"/>
        <v>9</v>
      </c>
      <c r="P13" s="1026">
        <f t="shared" si="7"/>
        <v>10</v>
      </c>
      <c r="Q13" s="663">
        <v>48</v>
      </c>
      <c r="T13" s="555"/>
      <c r="U13" s="555"/>
      <c r="V13" s="644"/>
      <c r="W13" s="544"/>
      <c r="BP13" s="537"/>
      <c r="BQ13" s="537"/>
      <c r="BR13" s="537"/>
    </row>
    <row r="14" spans="1:70" ht="20.100000000000001" hidden="1" customHeight="1">
      <c r="A14" s="546">
        <v>5</v>
      </c>
      <c r="B14" s="547" t="s">
        <v>46</v>
      </c>
      <c r="C14" s="1513">
        <f t="shared" si="2"/>
        <v>1</v>
      </c>
      <c r="D14" s="1513">
        <v>0</v>
      </c>
      <c r="E14" s="1513">
        <v>0</v>
      </c>
      <c r="F14" s="1514">
        <f t="shared" si="3"/>
        <v>1</v>
      </c>
      <c r="G14" s="1514">
        <v>1</v>
      </c>
      <c r="H14" s="1514">
        <v>1</v>
      </c>
      <c r="I14" s="1513">
        <v>3</v>
      </c>
      <c r="J14" s="1513">
        <f t="shared" si="0"/>
        <v>0</v>
      </c>
      <c r="K14" s="1513">
        <f t="shared" si="1"/>
        <v>1</v>
      </c>
      <c r="L14" s="1514">
        <f t="shared" si="4"/>
        <v>1</v>
      </c>
      <c r="M14" s="1514">
        <f t="shared" si="5"/>
        <v>1</v>
      </c>
      <c r="N14" s="1515">
        <f t="shared" si="6"/>
        <v>1</v>
      </c>
      <c r="O14" s="1025">
        <f t="shared" si="7"/>
        <v>11</v>
      </c>
      <c r="P14" s="1026">
        <f t="shared" si="7"/>
        <v>12</v>
      </c>
      <c r="Q14" s="663">
        <v>49</v>
      </c>
      <c r="T14" s="555"/>
      <c r="U14" s="555"/>
      <c r="V14" s="644"/>
      <c r="W14" s="544"/>
      <c r="BP14" s="537"/>
      <c r="BQ14" s="537"/>
      <c r="BR14" s="537"/>
    </row>
    <row r="15" spans="1:70" ht="20.100000000000001" hidden="1" customHeight="1">
      <c r="A15" s="546">
        <v>6</v>
      </c>
      <c r="B15" s="547" t="s">
        <v>47</v>
      </c>
      <c r="C15" s="1513">
        <f t="shared" si="2"/>
        <v>0</v>
      </c>
      <c r="D15" s="1513">
        <v>0</v>
      </c>
      <c r="E15" s="1513">
        <v>0</v>
      </c>
      <c r="F15" s="1514">
        <f t="shared" si="3"/>
        <v>0</v>
      </c>
      <c r="G15" s="1514">
        <v>0</v>
      </c>
      <c r="H15" s="1514">
        <v>0</v>
      </c>
      <c r="I15" s="1513">
        <v>0</v>
      </c>
      <c r="J15" s="1513">
        <f t="shared" si="0"/>
        <v>1</v>
      </c>
      <c r="K15" s="1513">
        <f t="shared" si="1"/>
        <v>1</v>
      </c>
      <c r="L15" s="1514">
        <f t="shared" si="4"/>
        <v>1</v>
      </c>
      <c r="M15" s="1514">
        <f t="shared" si="5"/>
        <v>0</v>
      </c>
      <c r="N15" s="1515">
        <f t="shared" si="6"/>
        <v>0</v>
      </c>
      <c r="O15" s="1025">
        <f t="shared" si="7"/>
        <v>13</v>
      </c>
      <c r="P15" s="1026">
        <f t="shared" si="7"/>
        <v>14</v>
      </c>
      <c r="Q15" s="663">
        <v>50</v>
      </c>
      <c r="T15" s="555"/>
      <c r="U15" s="555"/>
      <c r="V15" s="644"/>
      <c r="W15" s="544"/>
      <c r="BP15" s="537"/>
      <c r="BQ15" s="537"/>
      <c r="BR15" s="537"/>
    </row>
    <row r="16" spans="1:70" ht="20.100000000000001" hidden="1" customHeight="1">
      <c r="A16" s="546">
        <v>7</v>
      </c>
      <c r="B16" s="547" t="s">
        <v>48</v>
      </c>
      <c r="C16" s="1513">
        <f t="shared" si="2"/>
        <v>0</v>
      </c>
      <c r="D16" s="1513">
        <v>0</v>
      </c>
      <c r="E16" s="1513">
        <v>0</v>
      </c>
      <c r="F16" s="1514">
        <f t="shared" si="3"/>
        <v>0</v>
      </c>
      <c r="G16" s="1514">
        <v>0</v>
      </c>
      <c r="H16" s="1514">
        <v>0</v>
      </c>
      <c r="I16" s="1513">
        <v>0</v>
      </c>
      <c r="J16" s="1513">
        <f t="shared" si="0"/>
        <v>0</v>
      </c>
      <c r="K16" s="1513">
        <f t="shared" si="1"/>
        <v>0</v>
      </c>
      <c r="L16" s="1514">
        <f t="shared" si="4"/>
        <v>1</v>
      </c>
      <c r="M16" s="1514">
        <f t="shared" si="5"/>
        <v>0</v>
      </c>
      <c r="N16" s="1515">
        <f t="shared" si="6"/>
        <v>0</v>
      </c>
      <c r="O16" s="1025">
        <f t="shared" si="7"/>
        <v>15</v>
      </c>
      <c r="P16" s="1026">
        <f t="shared" si="7"/>
        <v>16</v>
      </c>
      <c r="Q16" s="663">
        <v>51</v>
      </c>
      <c r="T16" s="555"/>
      <c r="U16" s="555"/>
      <c r="V16" s="644"/>
      <c r="W16" s="544"/>
      <c r="BP16" s="537"/>
      <c r="BQ16" s="537"/>
      <c r="BR16" s="537"/>
    </row>
    <row r="17" spans="1:70" ht="20.100000000000001" hidden="1" customHeight="1">
      <c r="A17" s="546">
        <v>8</v>
      </c>
      <c r="B17" s="547" t="s">
        <v>49</v>
      </c>
      <c r="C17" s="1513">
        <f t="shared" si="2"/>
        <v>1</v>
      </c>
      <c r="D17" s="1513">
        <v>0</v>
      </c>
      <c r="E17" s="1513">
        <v>1</v>
      </c>
      <c r="F17" s="1514">
        <f t="shared" si="3"/>
        <v>1</v>
      </c>
      <c r="G17" s="1514">
        <v>1</v>
      </c>
      <c r="H17" s="1514">
        <v>1</v>
      </c>
      <c r="I17" s="1513">
        <v>4</v>
      </c>
      <c r="J17" s="1513">
        <f t="shared" si="0"/>
        <v>0</v>
      </c>
      <c r="K17" s="1513">
        <f t="shared" si="1"/>
        <v>1</v>
      </c>
      <c r="L17" s="1514">
        <f t="shared" si="4"/>
        <v>1</v>
      </c>
      <c r="M17" s="1514">
        <f t="shared" si="5"/>
        <v>1</v>
      </c>
      <c r="N17" s="1515">
        <f t="shared" si="6"/>
        <v>0</v>
      </c>
      <c r="O17" s="1025">
        <f t="shared" si="7"/>
        <v>17</v>
      </c>
      <c r="P17" s="1026">
        <f t="shared" si="7"/>
        <v>18</v>
      </c>
      <c r="Q17" s="663">
        <v>52</v>
      </c>
      <c r="T17" s="555"/>
      <c r="U17" s="555"/>
      <c r="V17" s="644"/>
      <c r="W17" s="544"/>
      <c r="BP17" s="537"/>
      <c r="BQ17" s="537"/>
      <c r="BR17" s="537"/>
    </row>
    <row r="18" spans="1:70" ht="20.100000000000001" hidden="1" customHeight="1">
      <c r="A18" s="546">
        <v>9</v>
      </c>
      <c r="B18" s="547" t="s">
        <v>50</v>
      </c>
      <c r="C18" s="1513">
        <f t="shared" si="2"/>
        <v>0</v>
      </c>
      <c r="D18" s="1513">
        <v>0</v>
      </c>
      <c r="E18" s="1513">
        <v>0</v>
      </c>
      <c r="F18" s="1514">
        <f t="shared" si="3"/>
        <v>0</v>
      </c>
      <c r="G18" s="1514">
        <v>0</v>
      </c>
      <c r="H18" s="1514">
        <v>0</v>
      </c>
      <c r="I18" s="1513">
        <v>0</v>
      </c>
      <c r="J18" s="1513">
        <f t="shared" si="0"/>
        <v>0</v>
      </c>
      <c r="K18" s="1513">
        <f t="shared" si="1"/>
        <v>0</v>
      </c>
      <c r="L18" s="1514">
        <f t="shared" si="4"/>
        <v>1</v>
      </c>
      <c r="M18" s="1514">
        <f t="shared" si="5"/>
        <v>0</v>
      </c>
      <c r="N18" s="1515">
        <f t="shared" si="6"/>
        <v>0</v>
      </c>
      <c r="O18" s="1025">
        <f t="shared" si="7"/>
        <v>19</v>
      </c>
      <c r="P18" s="1026">
        <f t="shared" si="7"/>
        <v>20</v>
      </c>
      <c r="Q18" s="663">
        <v>53</v>
      </c>
      <c r="T18" s="555"/>
      <c r="U18" s="555"/>
      <c r="V18" s="644"/>
      <c r="W18" s="544"/>
      <c r="BP18" s="537"/>
      <c r="BQ18" s="537"/>
      <c r="BR18" s="537"/>
    </row>
    <row r="19" spans="1:70" ht="20.100000000000001" hidden="1" customHeight="1">
      <c r="A19" s="546">
        <v>10</v>
      </c>
      <c r="B19" s="547" t="s">
        <v>87</v>
      </c>
      <c r="C19" s="1513">
        <f t="shared" si="2"/>
        <v>1</v>
      </c>
      <c r="D19" s="1513">
        <v>0</v>
      </c>
      <c r="E19" s="1513">
        <v>0</v>
      </c>
      <c r="F19" s="1514">
        <f t="shared" si="3"/>
        <v>1</v>
      </c>
      <c r="G19" s="1514">
        <v>1</v>
      </c>
      <c r="H19" s="1514">
        <v>1</v>
      </c>
      <c r="I19" s="1513">
        <v>0</v>
      </c>
      <c r="J19" s="1513">
        <f t="shared" si="0"/>
        <v>1</v>
      </c>
      <c r="K19" s="1513">
        <f t="shared" si="1"/>
        <v>0</v>
      </c>
      <c r="L19" s="1514">
        <f t="shared" si="4"/>
        <v>0</v>
      </c>
      <c r="M19" s="1514">
        <f t="shared" si="5"/>
        <v>1</v>
      </c>
      <c r="N19" s="1515">
        <f t="shared" si="6"/>
        <v>1</v>
      </c>
      <c r="O19" s="1025">
        <f t="shared" si="7"/>
        <v>21</v>
      </c>
      <c r="P19" s="1026">
        <f t="shared" si="7"/>
        <v>22</v>
      </c>
      <c r="Q19" s="663">
        <v>54</v>
      </c>
      <c r="T19" s="555"/>
      <c r="U19" s="555"/>
      <c r="V19" s="644"/>
      <c r="W19" s="544"/>
      <c r="BP19" s="537"/>
      <c r="BQ19" s="537"/>
      <c r="BR19" s="537"/>
    </row>
    <row r="20" spans="1:70" ht="20.100000000000001" hidden="1" customHeight="1">
      <c r="A20" s="546">
        <v>11</v>
      </c>
      <c r="B20" s="547" t="s">
        <v>88</v>
      </c>
      <c r="C20" s="1513">
        <f t="shared" si="2"/>
        <v>0</v>
      </c>
      <c r="D20" s="1513">
        <v>0</v>
      </c>
      <c r="E20" s="1513">
        <v>0</v>
      </c>
      <c r="F20" s="1514">
        <f t="shared" si="3"/>
        <v>0</v>
      </c>
      <c r="G20" s="1514">
        <v>0</v>
      </c>
      <c r="H20" s="1514">
        <v>0</v>
      </c>
      <c r="I20" s="1513">
        <v>0</v>
      </c>
      <c r="J20" s="1513">
        <f t="shared" si="0"/>
        <v>0</v>
      </c>
      <c r="K20" s="1513">
        <f t="shared" si="1"/>
        <v>0</v>
      </c>
      <c r="L20" s="1514">
        <f t="shared" si="4"/>
        <v>1</v>
      </c>
      <c r="M20" s="1514">
        <f t="shared" si="5"/>
        <v>0</v>
      </c>
      <c r="N20" s="1515">
        <f t="shared" si="6"/>
        <v>0</v>
      </c>
      <c r="O20" s="1025">
        <f t="shared" si="7"/>
        <v>23</v>
      </c>
      <c r="P20" s="1026">
        <f t="shared" si="7"/>
        <v>24</v>
      </c>
      <c r="Q20" s="663">
        <v>55</v>
      </c>
      <c r="T20" s="555"/>
      <c r="U20" s="555"/>
      <c r="V20" s="644"/>
      <c r="W20" s="544"/>
      <c r="BP20" s="537"/>
      <c r="BQ20" s="537"/>
      <c r="BR20" s="537"/>
    </row>
    <row r="21" spans="1:70" ht="20.100000000000001" hidden="1" customHeight="1">
      <c r="A21" s="546">
        <v>12</v>
      </c>
      <c r="B21" s="547" t="s">
        <v>57</v>
      </c>
      <c r="C21" s="1513">
        <f t="shared" si="2"/>
        <v>0</v>
      </c>
      <c r="D21" s="1513">
        <v>0</v>
      </c>
      <c r="E21" s="1513">
        <v>0</v>
      </c>
      <c r="F21" s="1514">
        <f t="shared" si="3"/>
        <v>0</v>
      </c>
      <c r="G21" s="1514">
        <v>0</v>
      </c>
      <c r="H21" s="1514">
        <v>0</v>
      </c>
      <c r="I21" s="1513">
        <v>0</v>
      </c>
      <c r="J21" s="1513">
        <f t="shared" si="0"/>
        <v>0</v>
      </c>
      <c r="K21" s="1513">
        <f t="shared" si="1"/>
        <v>1</v>
      </c>
      <c r="L21" s="1514">
        <f t="shared" si="4"/>
        <v>1</v>
      </c>
      <c r="M21" s="1514">
        <f t="shared" si="5"/>
        <v>0</v>
      </c>
      <c r="N21" s="1515">
        <f t="shared" si="6"/>
        <v>0</v>
      </c>
      <c r="O21" s="1025">
        <f t="shared" si="7"/>
        <v>25</v>
      </c>
      <c r="P21" s="1026">
        <f t="shared" si="7"/>
        <v>26</v>
      </c>
      <c r="Q21" s="663">
        <v>56</v>
      </c>
      <c r="T21" s="555"/>
      <c r="U21" s="555"/>
      <c r="V21" s="644"/>
      <c r="W21" s="544"/>
      <c r="BP21" s="537"/>
      <c r="BQ21" s="537"/>
      <c r="BR21" s="537"/>
    </row>
    <row r="22" spans="1:70" ht="20.100000000000001" hidden="1" customHeight="1">
      <c r="A22" s="546">
        <v>13</v>
      </c>
      <c r="B22" s="547" t="s">
        <v>51</v>
      </c>
      <c r="C22" s="1513">
        <f t="shared" si="2"/>
        <v>0</v>
      </c>
      <c r="D22" s="1513">
        <v>0</v>
      </c>
      <c r="E22" s="1513">
        <v>0</v>
      </c>
      <c r="F22" s="1514">
        <f t="shared" si="3"/>
        <v>0</v>
      </c>
      <c r="G22" s="1514">
        <v>0</v>
      </c>
      <c r="H22" s="1514">
        <v>0</v>
      </c>
      <c r="I22" s="1513">
        <v>0</v>
      </c>
      <c r="J22" s="1513">
        <f t="shared" si="0"/>
        <v>1</v>
      </c>
      <c r="K22" s="1513">
        <f t="shared" si="1"/>
        <v>1</v>
      </c>
      <c r="L22" s="1514">
        <f t="shared" si="4"/>
        <v>1</v>
      </c>
      <c r="M22" s="1514">
        <f t="shared" si="5"/>
        <v>0</v>
      </c>
      <c r="N22" s="1515">
        <f t="shared" si="6"/>
        <v>0</v>
      </c>
      <c r="O22" s="1025">
        <f t="shared" si="7"/>
        <v>27</v>
      </c>
      <c r="P22" s="1026">
        <f t="shared" si="7"/>
        <v>28</v>
      </c>
      <c r="Q22" s="663">
        <v>57</v>
      </c>
      <c r="T22" s="555"/>
      <c r="U22" s="555"/>
      <c r="V22" s="644"/>
      <c r="W22" s="544"/>
      <c r="BP22" s="537"/>
      <c r="BQ22" s="537"/>
      <c r="BR22" s="537"/>
    </row>
    <row r="23" spans="1:70" ht="20.100000000000001" hidden="1" customHeight="1">
      <c r="A23" s="546">
        <v>14</v>
      </c>
      <c r="B23" s="485" t="s">
        <v>89</v>
      </c>
      <c r="C23" s="1513">
        <f t="shared" si="2"/>
        <v>1</v>
      </c>
      <c r="D23" s="1513">
        <v>0</v>
      </c>
      <c r="E23" s="1513">
        <v>0</v>
      </c>
      <c r="F23" s="1514">
        <f t="shared" si="3"/>
        <v>0</v>
      </c>
      <c r="G23" s="1514">
        <v>0</v>
      </c>
      <c r="H23" s="1514">
        <v>0</v>
      </c>
      <c r="I23" s="1513">
        <v>0</v>
      </c>
      <c r="J23" s="1513">
        <f t="shared" si="0"/>
        <v>0</v>
      </c>
      <c r="K23" s="1513">
        <f t="shared" si="1"/>
        <v>0</v>
      </c>
      <c r="L23" s="1514">
        <f t="shared" si="4"/>
        <v>1</v>
      </c>
      <c r="M23" s="1514">
        <f t="shared" si="5"/>
        <v>0</v>
      </c>
      <c r="N23" s="1515">
        <f t="shared" si="6"/>
        <v>0</v>
      </c>
      <c r="O23" s="1025">
        <f t="shared" si="7"/>
        <v>29</v>
      </c>
      <c r="P23" s="1026">
        <f t="shared" si="7"/>
        <v>30</v>
      </c>
      <c r="Q23" s="663">
        <v>58</v>
      </c>
      <c r="T23" s="555"/>
      <c r="U23" s="555"/>
      <c r="V23" s="644"/>
      <c r="W23" s="544"/>
      <c r="BP23" s="537"/>
      <c r="BQ23" s="537"/>
      <c r="BR23" s="537"/>
    </row>
    <row r="24" spans="1:70" ht="20.100000000000001" hidden="1" customHeight="1">
      <c r="A24" s="546">
        <v>15</v>
      </c>
      <c r="B24" s="1027" t="s">
        <v>142</v>
      </c>
      <c r="C24" s="1513">
        <f t="shared" si="2"/>
        <v>0</v>
      </c>
      <c r="D24" s="1513">
        <v>0</v>
      </c>
      <c r="E24" s="1513">
        <v>0</v>
      </c>
      <c r="F24" s="1514">
        <f t="shared" si="3"/>
        <v>0</v>
      </c>
      <c r="G24" s="1514">
        <v>0</v>
      </c>
      <c r="H24" s="1514">
        <v>0</v>
      </c>
      <c r="I24" s="1513">
        <v>0</v>
      </c>
      <c r="J24" s="1513">
        <f t="shared" si="0"/>
        <v>0</v>
      </c>
      <c r="K24" s="1513">
        <f t="shared" si="1"/>
        <v>0</v>
      </c>
      <c r="L24" s="1514">
        <f t="shared" si="4"/>
        <v>1</v>
      </c>
      <c r="M24" s="1514">
        <f t="shared" si="5"/>
        <v>0</v>
      </c>
      <c r="N24" s="1515">
        <f t="shared" si="6"/>
        <v>1</v>
      </c>
      <c r="O24" s="1025">
        <f t="shared" si="7"/>
        <v>31</v>
      </c>
      <c r="P24" s="1026">
        <f t="shared" si="7"/>
        <v>32</v>
      </c>
      <c r="Q24" s="663">
        <v>59</v>
      </c>
      <c r="T24" s="555"/>
      <c r="U24" s="555"/>
      <c r="V24" s="644"/>
      <c r="W24" s="544"/>
      <c r="BP24" s="537"/>
      <c r="BQ24" s="537"/>
      <c r="BR24" s="537"/>
    </row>
    <row r="25" spans="1:70" ht="20.100000000000001" hidden="1" customHeight="1">
      <c r="A25" s="546">
        <v>16</v>
      </c>
      <c r="B25" s="547" t="s">
        <v>52</v>
      </c>
      <c r="C25" s="1513">
        <f t="shared" si="2"/>
        <v>0</v>
      </c>
      <c r="D25" s="1513">
        <v>0</v>
      </c>
      <c r="E25" s="1513">
        <v>0</v>
      </c>
      <c r="F25" s="1514">
        <f t="shared" si="3"/>
        <v>0</v>
      </c>
      <c r="G25" s="1514">
        <v>0</v>
      </c>
      <c r="H25" s="1514">
        <v>0</v>
      </c>
      <c r="I25" s="1513">
        <v>5</v>
      </c>
      <c r="J25" s="1513">
        <f t="shared" si="0"/>
        <v>0</v>
      </c>
      <c r="K25" s="1513">
        <f t="shared" si="1"/>
        <v>0</v>
      </c>
      <c r="L25" s="1514">
        <f t="shared" si="4"/>
        <v>1</v>
      </c>
      <c r="M25" s="1514">
        <f t="shared" si="5"/>
        <v>0</v>
      </c>
      <c r="N25" s="1515">
        <f t="shared" si="6"/>
        <v>0</v>
      </c>
      <c r="O25" s="1025">
        <f t="shared" si="7"/>
        <v>33</v>
      </c>
      <c r="P25" s="1026">
        <f t="shared" si="7"/>
        <v>34</v>
      </c>
      <c r="Q25" s="663">
        <v>60</v>
      </c>
      <c r="T25" s="555"/>
      <c r="U25" s="555"/>
      <c r="V25" s="644"/>
      <c r="W25" s="544"/>
      <c r="BP25" s="537"/>
      <c r="BQ25" s="537"/>
      <c r="BR25" s="537"/>
    </row>
    <row r="26" spans="1:70" ht="20.100000000000001" hidden="1" customHeight="1">
      <c r="A26" s="546">
        <v>17</v>
      </c>
      <c r="B26" s="547" t="s">
        <v>53</v>
      </c>
      <c r="C26" s="1513">
        <f t="shared" si="2"/>
        <v>1</v>
      </c>
      <c r="D26" s="1513">
        <v>1</v>
      </c>
      <c r="E26" s="1513">
        <v>0</v>
      </c>
      <c r="F26" s="1514">
        <f t="shared" si="3"/>
        <v>0</v>
      </c>
      <c r="G26" s="1514">
        <v>1</v>
      </c>
      <c r="H26" s="1514">
        <v>1</v>
      </c>
      <c r="I26" s="1513">
        <v>0</v>
      </c>
      <c r="J26" s="1513">
        <f t="shared" si="0"/>
        <v>1</v>
      </c>
      <c r="K26" s="1513">
        <f t="shared" si="1"/>
        <v>0</v>
      </c>
      <c r="L26" s="1514">
        <f t="shared" si="4"/>
        <v>1</v>
      </c>
      <c r="M26" s="1514">
        <f t="shared" si="5"/>
        <v>0</v>
      </c>
      <c r="N26" s="1515">
        <f t="shared" si="6"/>
        <v>0</v>
      </c>
      <c r="O26" s="1025">
        <f t="shared" si="7"/>
        <v>35</v>
      </c>
      <c r="P26" s="1026">
        <f t="shared" si="7"/>
        <v>36</v>
      </c>
      <c r="Q26" s="663">
        <v>61</v>
      </c>
      <c r="T26" s="555"/>
      <c r="U26" s="555"/>
      <c r="V26" s="644"/>
      <c r="W26" s="544"/>
      <c r="BP26" s="537"/>
      <c r="BQ26" s="537"/>
      <c r="BR26" s="537"/>
    </row>
    <row r="27" spans="1:70" ht="20.100000000000001" hidden="1" customHeight="1">
      <c r="A27" s="546">
        <v>18</v>
      </c>
      <c r="B27" s="547" t="s">
        <v>54</v>
      </c>
      <c r="C27" s="1513">
        <f t="shared" si="2"/>
        <v>1</v>
      </c>
      <c r="D27" s="1513">
        <v>0</v>
      </c>
      <c r="E27" s="1513">
        <v>0</v>
      </c>
      <c r="F27" s="1514">
        <f t="shared" si="3"/>
        <v>1</v>
      </c>
      <c r="G27" s="1514">
        <v>1</v>
      </c>
      <c r="H27" s="1514">
        <v>1</v>
      </c>
      <c r="I27" s="1513">
        <v>0</v>
      </c>
      <c r="J27" s="1513">
        <f t="shared" si="0"/>
        <v>0</v>
      </c>
      <c r="K27" s="1513">
        <f t="shared" si="1"/>
        <v>0</v>
      </c>
      <c r="L27" s="1514">
        <f t="shared" si="4"/>
        <v>1</v>
      </c>
      <c r="M27" s="1514">
        <f t="shared" si="5"/>
        <v>1</v>
      </c>
      <c r="N27" s="1515">
        <f t="shared" si="6"/>
        <v>0</v>
      </c>
      <c r="O27" s="1025">
        <f t="shared" si="7"/>
        <v>37</v>
      </c>
      <c r="P27" s="1026">
        <f t="shared" si="7"/>
        <v>38</v>
      </c>
      <c r="Q27" s="663">
        <v>62</v>
      </c>
      <c r="T27" s="555"/>
      <c r="U27" s="555"/>
      <c r="V27" s="644"/>
      <c r="W27" s="544"/>
      <c r="BP27" s="537"/>
      <c r="BQ27" s="537"/>
      <c r="BR27" s="537"/>
    </row>
    <row r="28" spans="1:70" ht="20.100000000000001" hidden="1" customHeight="1">
      <c r="A28" s="546">
        <v>19</v>
      </c>
      <c r="B28" s="547" t="s">
        <v>58</v>
      </c>
      <c r="C28" s="1513">
        <f t="shared" si="2"/>
        <v>1</v>
      </c>
      <c r="D28" s="1513">
        <v>0</v>
      </c>
      <c r="E28" s="1513">
        <v>0</v>
      </c>
      <c r="F28" s="1514">
        <f t="shared" si="3"/>
        <v>1</v>
      </c>
      <c r="G28" s="1514">
        <v>1</v>
      </c>
      <c r="H28" s="1514">
        <v>1</v>
      </c>
      <c r="I28" s="1513">
        <v>0</v>
      </c>
      <c r="J28" s="1513">
        <f t="shared" si="0"/>
        <v>1</v>
      </c>
      <c r="K28" s="1513">
        <f t="shared" si="1"/>
        <v>0</v>
      </c>
      <c r="L28" s="1514">
        <f t="shared" si="4"/>
        <v>1</v>
      </c>
      <c r="M28" s="1514">
        <f t="shared" si="5"/>
        <v>1</v>
      </c>
      <c r="N28" s="1515">
        <f t="shared" si="6"/>
        <v>0</v>
      </c>
      <c r="O28" s="1025">
        <f t="shared" ref="O28:P28" si="8">O27+2</f>
        <v>39</v>
      </c>
      <c r="P28" s="1026">
        <f t="shared" si="8"/>
        <v>40</v>
      </c>
      <c r="Q28" s="663">
        <v>63</v>
      </c>
      <c r="T28" s="555"/>
      <c r="U28" s="555"/>
      <c r="V28" s="644"/>
      <c r="BP28" s="537"/>
      <c r="BQ28" s="537"/>
      <c r="BR28" s="537"/>
    </row>
    <row r="29" spans="1:70" ht="24.95" hidden="1" customHeight="1" thickBot="1">
      <c r="A29" s="548">
        <v>21</v>
      </c>
      <c r="B29" s="549" t="s">
        <v>164</v>
      </c>
      <c r="C29" s="643"/>
      <c r="D29" s="550"/>
      <c r="E29" s="550"/>
      <c r="F29" s="551"/>
      <c r="G29" s="551"/>
      <c r="H29" s="551"/>
      <c r="I29" s="550"/>
      <c r="J29" s="550"/>
      <c r="K29" s="550"/>
      <c r="L29" s="552"/>
      <c r="M29" s="552"/>
      <c r="N29" s="647"/>
      <c r="O29" s="553">
        <f>O28+4</f>
        <v>43</v>
      </c>
      <c r="P29" s="554">
        <f>P28+4</f>
        <v>44</v>
      </c>
      <c r="Q29" s="664">
        <v>65</v>
      </c>
      <c r="T29" s="541"/>
      <c r="U29" s="544"/>
      <c r="V29" s="544"/>
      <c r="W29" s="544"/>
      <c r="BP29" s="537"/>
      <c r="BQ29" s="537"/>
      <c r="BR29" s="537"/>
    </row>
    <row r="30" spans="1:70" ht="18" hidden="1" customHeight="1">
      <c r="AA30" s="2467"/>
      <c r="AB30" s="2467"/>
      <c r="AC30" s="2467"/>
      <c r="AD30" s="2467"/>
      <c r="AE30" s="2467"/>
      <c r="AF30" s="2467"/>
      <c r="AG30" s="2467"/>
      <c r="AH30" s="2467"/>
      <c r="AI30" s="2467"/>
      <c r="AJ30" s="2467"/>
      <c r="BP30" s="537"/>
      <c r="BQ30" s="537"/>
      <c r="BR30" s="537"/>
    </row>
    <row r="31" spans="1:70" hidden="1"/>
    <row r="32" spans="1:70" s="1040" customFormat="1" ht="24.95" hidden="1" customHeight="1">
      <c r="A32" s="1036" t="s">
        <v>446</v>
      </c>
      <c r="B32" s="1037"/>
      <c r="C32" s="1038"/>
      <c r="D32" s="1038"/>
      <c r="E32" s="1038"/>
      <c r="F32" s="1038"/>
      <c r="G32" s="1038"/>
      <c r="H32" s="1038"/>
      <c r="I32" s="1038"/>
      <c r="J32" s="1038"/>
      <c r="K32" s="1038"/>
      <c r="L32" s="1038"/>
      <c r="M32" s="1038"/>
      <c r="N32" s="1038"/>
      <c r="O32" s="1038"/>
      <c r="P32" s="1038"/>
      <c r="Q32" s="1038"/>
      <c r="R32" s="1038"/>
      <c r="S32" s="1038"/>
      <c r="T32" s="1038"/>
      <c r="U32" s="1038"/>
      <c r="V32" s="1038"/>
      <c r="W32" s="1038"/>
      <c r="X32" s="1038"/>
      <c r="Y32" s="1038"/>
      <c r="Z32" s="1038"/>
      <c r="AA32" s="1038"/>
      <c r="AB32" s="1038"/>
      <c r="AC32" s="1038"/>
      <c r="AD32" s="1038"/>
      <c r="AE32" s="1038"/>
      <c r="AF32" s="1038"/>
      <c r="AG32" s="1038"/>
      <c r="AH32" s="1038"/>
      <c r="AI32" s="1038"/>
      <c r="AJ32" s="1038"/>
      <c r="AK32" s="1038"/>
      <c r="AL32" s="1038"/>
      <c r="AM32" s="1038"/>
      <c r="AN32" s="1038"/>
      <c r="AO32" s="1038"/>
      <c r="AP32" s="1038"/>
      <c r="AQ32" s="1038"/>
      <c r="AR32" s="1038"/>
      <c r="AS32" s="1037"/>
      <c r="AT32" s="1037"/>
      <c r="AU32" s="1037"/>
      <c r="AV32" s="1039"/>
      <c r="AW32" s="2468"/>
      <c r="AX32" s="2469"/>
      <c r="AY32" s="2469"/>
      <c r="AZ32" s="2469"/>
      <c r="BA32" s="2469"/>
      <c r="BB32" s="2469"/>
      <c r="BC32" s="2469"/>
      <c r="BD32" s="2469"/>
      <c r="BE32" s="2469"/>
      <c r="BF32" s="2469"/>
      <c r="BG32" s="2469"/>
      <c r="BH32" s="2469"/>
      <c r="BI32" s="2469"/>
      <c r="BJ32" s="2469"/>
      <c r="BK32" s="2469"/>
      <c r="BL32" s="2469"/>
      <c r="BM32" s="2469"/>
      <c r="BN32" s="2469"/>
      <c r="BO32" s="1037"/>
      <c r="BP32" s="1037"/>
      <c r="BQ32" s="1037"/>
    </row>
    <row r="33" spans="1:69" s="1043" customFormat="1" ht="9.9499999999999993" hidden="1" customHeight="1" thickBot="1">
      <c r="A33" s="1041"/>
      <c r="B33" s="1041"/>
      <c r="C33" s="1041"/>
      <c r="D33" s="1041"/>
      <c r="E33" s="1041"/>
      <c r="F33" s="1041"/>
      <c r="G33" s="1041"/>
      <c r="H33" s="1041"/>
      <c r="I33" s="1041"/>
      <c r="J33" s="1041"/>
      <c r="K33" s="1041"/>
      <c r="L33" s="1041"/>
      <c r="M33" s="1041"/>
      <c r="N33" s="1041"/>
      <c r="O33" s="1041"/>
      <c r="P33" s="1041"/>
      <c r="Q33" s="1041"/>
      <c r="R33" s="1041"/>
      <c r="S33" s="1041"/>
      <c r="T33" s="1041"/>
      <c r="U33" s="1041"/>
      <c r="V33" s="1041"/>
      <c r="W33" s="1041"/>
      <c r="X33" s="1041"/>
      <c r="Y33" s="1041"/>
      <c r="Z33" s="1041"/>
      <c r="AA33" s="1041"/>
      <c r="AB33" s="1041"/>
      <c r="AC33" s="1041"/>
      <c r="AD33" s="1042"/>
      <c r="AE33" s="1042"/>
      <c r="AF33" s="1041"/>
      <c r="AG33" s="1041"/>
      <c r="AH33" s="1041"/>
      <c r="AI33" s="1041"/>
      <c r="AJ33" s="1041"/>
      <c r="AK33" s="1041"/>
      <c r="AL33" s="1041"/>
      <c r="AM33" s="1041"/>
      <c r="AN33" s="1041"/>
      <c r="AO33" s="1041"/>
      <c r="AP33" s="1042"/>
      <c r="AQ33" s="1041"/>
      <c r="AR33" s="1041"/>
      <c r="AS33" s="1041"/>
      <c r="AT33" s="1041"/>
      <c r="AU33" s="1041"/>
      <c r="AV33" s="1041"/>
      <c r="AW33" s="1041"/>
      <c r="AX33" s="1041"/>
      <c r="AY33" s="1041"/>
      <c r="AZ33" s="1041"/>
      <c r="BA33" s="1041"/>
      <c r="BB33" s="1041"/>
      <c r="BC33" s="1041"/>
      <c r="BD33" s="1041"/>
      <c r="BE33" s="1041"/>
      <c r="BF33" s="1041"/>
      <c r="BG33" s="1041"/>
      <c r="BH33" s="1041"/>
      <c r="BI33" s="1041"/>
      <c r="BJ33" s="1041"/>
      <c r="BK33" s="1041"/>
      <c r="BL33" s="1041"/>
      <c r="BM33" s="1041"/>
      <c r="BN33" s="1041"/>
      <c r="BO33" s="1041"/>
      <c r="BP33" s="1041"/>
      <c r="BQ33" s="1041"/>
    </row>
    <row r="34" spans="1:69" s="1043" customFormat="1" ht="30" hidden="1" customHeight="1">
      <c r="A34" s="1044"/>
      <c r="B34" s="1045"/>
      <c r="C34" s="2719" t="s">
        <v>324</v>
      </c>
      <c r="D34" s="2720"/>
      <c r="E34" s="2720"/>
      <c r="F34" s="2720"/>
      <c r="G34" s="2720"/>
      <c r="H34" s="2720"/>
      <c r="I34" s="2720"/>
      <c r="J34" s="2720"/>
      <c r="K34" s="2720"/>
      <c r="L34" s="2720"/>
      <c r="M34" s="2720"/>
      <c r="N34" s="2720"/>
      <c r="O34" s="2720"/>
      <c r="P34" s="2720"/>
      <c r="Q34" s="2720"/>
      <c r="R34" s="2720"/>
      <c r="S34" s="2720"/>
      <c r="T34" s="2720"/>
      <c r="U34" s="2720"/>
      <c r="V34" s="2720"/>
      <c r="W34" s="2720"/>
      <c r="X34" s="2720"/>
      <c r="Y34" s="2720"/>
      <c r="Z34" s="2720"/>
      <c r="AA34" s="2720"/>
      <c r="AB34" s="2720"/>
      <c r="AC34" s="2720"/>
      <c r="AD34" s="2720"/>
      <c r="AE34" s="2720"/>
      <c r="AF34" s="2720"/>
      <c r="AG34" s="2720"/>
      <c r="AH34" s="2720"/>
      <c r="AI34" s="2720"/>
      <c r="AJ34" s="2720"/>
      <c r="AK34" s="2720"/>
      <c r="AL34" s="2721"/>
      <c r="AM34" s="2719" t="s">
        <v>325</v>
      </c>
      <c r="AN34" s="2720"/>
      <c r="AO34" s="2720"/>
      <c r="AP34" s="2720"/>
      <c r="AQ34" s="2720"/>
      <c r="AR34" s="2721"/>
      <c r="AS34" s="2719" t="s">
        <v>326</v>
      </c>
      <c r="AT34" s="2720"/>
      <c r="AU34" s="2720"/>
      <c r="AV34" s="2720"/>
      <c r="AW34" s="2720"/>
      <c r="AX34" s="2720"/>
      <c r="AY34" s="2720"/>
      <c r="AZ34" s="2720"/>
      <c r="BA34" s="2720"/>
      <c r="BB34" s="2720"/>
      <c r="BC34" s="2720"/>
      <c r="BD34" s="2720"/>
      <c r="BE34" s="2720"/>
      <c r="BF34" s="2721"/>
      <c r="BG34" s="1041"/>
      <c r="BH34" s="1041"/>
      <c r="BI34" s="1041"/>
      <c r="BJ34" s="1041"/>
      <c r="BK34" s="1041"/>
      <c r="BL34" s="1041"/>
      <c r="BM34" s="1041"/>
      <c r="BN34" s="1041"/>
      <c r="BO34" s="1041"/>
      <c r="BP34" s="1041"/>
      <c r="BQ34" s="1041"/>
    </row>
    <row r="35" spans="1:69" s="1043" customFormat="1" ht="45" hidden="1" customHeight="1">
      <c r="A35" s="1046"/>
      <c r="B35" s="1047"/>
      <c r="C35" s="2709" t="s">
        <v>327</v>
      </c>
      <c r="D35" s="1048" t="s">
        <v>241</v>
      </c>
      <c r="E35" s="2710" t="s">
        <v>228</v>
      </c>
      <c r="F35" s="2711"/>
      <c r="G35" s="2712"/>
      <c r="H35" s="2713" t="s">
        <v>311</v>
      </c>
      <c r="I35" s="2714"/>
      <c r="J35" s="2715"/>
      <c r="K35" s="2716" t="s">
        <v>312</v>
      </c>
      <c r="L35" s="2717"/>
      <c r="M35" s="2717"/>
      <c r="N35" s="2717"/>
      <c r="O35" s="2717"/>
      <c r="P35" s="2717"/>
      <c r="Q35" s="2717"/>
      <c r="R35" s="2717"/>
      <c r="S35" s="2717"/>
      <c r="T35" s="2717"/>
      <c r="U35" s="2717"/>
      <c r="V35" s="2718"/>
      <c r="W35" s="2716" t="s">
        <v>313</v>
      </c>
      <c r="X35" s="2717"/>
      <c r="Y35" s="2717"/>
      <c r="Z35" s="2717"/>
      <c r="AA35" s="2717"/>
      <c r="AB35" s="2717"/>
      <c r="AC35" s="2717"/>
      <c r="AD35" s="2717"/>
      <c r="AE35" s="2717"/>
      <c r="AF35" s="2717"/>
      <c r="AG35" s="2717"/>
      <c r="AH35" s="2717"/>
      <c r="AI35" s="2717"/>
      <c r="AJ35" s="2717"/>
      <c r="AK35" s="2717"/>
      <c r="AL35" s="2718"/>
      <c r="AM35" s="2732" t="s">
        <v>314</v>
      </c>
      <c r="AN35" s="2733"/>
      <c r="AO35" s="2733"/>
      <c r="AP35" s="2733"/>
      <c r="AQ35" s="2734"/>
      <c r="AR35" s="2735" t="s">
        <v>315</v>
      </c>
      <c r="AS35" s="2440" t="s">
        <v>521</v>
      </c>
      <c r="AT35" s="2441" t="s">
        <v>330</v>
      </c>
      <c r="AU35" s="1049" t="s">
        <v>137</v>
      </c>
      <c r="AV35" s="2722" t="s">
        <v>328</v>
      </c>
      <c r="AW35" s="2723"/>
      <c r="AX35" s="2724" t="s">
        <v>329</v>
      </c>
      <c r="AY35" s="2725"/>
      <c r="AZ35" s="2725"/>
      <c r="BA35" s="2725"/>
      <c r="BB35" s="2725"/>
      <c r="BC35" s="2725"/>
      <c r="BD35" s="2725"/>
      <c r="BE35" s="2725"/>
      <c r="BF35" s="2726"/>
      <c r="BG35" s="517"/>
      <c r="BH35" s="517"/>
      <c r="BI35" s="517"/>
      <c r="BJ35" s="1068"/>
      <c r="BK35" s="1068"/>
      <c r="BL35" s="1068"/>
      <c r="BM35" s="1068"/>
      <c r="BN35" s="517"/>
      <c r="BO35" s="517"/>
      <c r="BP35" s="1041"/>
      <c r="BQ35" s="1041"/>
    </row>
    <row r="36" spans="1:69" s="1043" customFormat="1" ht="99.95" hidden="1" customHeight="1">
      <c r="A36" s="2716" t="s">
        <v>91</v>
      </c>
      <c r="B36" s="2718"/>
      <c r="C36" s="2709"/>
      <c r="D36" s="1050"/>
      <c r="E36" s="1051" t="s">
        <v>229</v>
      </c>
      <c r="F36" s="1052" t="s">
        <v>230</v>
      </c>
      <c r="G36" s="1053" t="s">
        <v>270</v>
      </c>
      <c r="H36" s="827" t="s">
        <v>223</v>
      </c>
      <c r="I36" s="242" t="s">
        <v>224</v>
      </c>
      <c r="J36" s="1054" t="s">
        <v>2</v>
      </c>
      <c r="K36" s="556" t="s">
        <v>92</v>
      </c>
      <c r="L36" s="473" t="s">
        <v>162</v>
      </c>
      <c r="M36" s="474" t="s">
        <v>93</v>
      </c>
      <c r="N36" s="473" t="s">
        <v>163</v>
      </c>
      <c r="O36" s="1055" t="s">
        <v>334</v>
      </c>
      <c r="P36" s="1055" t="s">
        <v>94</v>
      </c>
      <c r="Q36" s="1055" t="s">
        <v>95</v>
      </c>
      <c r="R36" s="1055" t="s">
        <v>96</v>
      </c>
      <c r="S36" s="1055" t="s">
        <v>97</v>
      </c>
      <c r="T36" s="1055" t="s">
        <v>98</v>
      </c>
      <c r="U36" s="1055" t="s">
        <v>173</v>
      </c>
      <c r="V36" s="557" t="s">
        <v>2</v>
      </c>
      <c r="W36" s="665" t="s">
        <v>92</v>
      </c>
      <c r="X36" s="473" t="s">
        <v>162</v>
      </c>
      <c r="Y36" s="473" t="s">
        <v>330</v>
      </c>
      <c r="Z36" s="473" t="s">
        <v>331</v>
      </c>
      <c r="AA36" s="473" t="s">
        <v>93</v>
      </c>
      <c r="AB36" s="473" t="s">
        <v>332</v>
      </c>
      <c r="AC36" s="473" t="s">
        <v>333</v>
      </c>
      <c r="AD36" s="473" t="s">
        <v>334</v>
      </c>
      <c r="AE36" s="473" t="s">
        <v>97</v>
      </c>
      <c r="AF36" s="473" t="s">
        <v>98</v>
      </c>
      <c r="AG36" s="473" t="s">
        <v>335</v>
      </c>
      <c r="AH36" s="473" t="s">
        <v>336</v>
      </c>
      <c r="AI36" s="473" t="s">
        <v>337</v>
      </c>
      <c r="AJ36" s="473" t="s">
        <v>239</v>
      </c>
      <c r="AK36" s="473" t="s">
        <v>240</v>
      </c>
      <c r="AL36" s="557" t="s">
        <v>2</v>
      </c>
      <c r="AM36" s="1056" t="s">
        <v>103</v>
      </c>
      <c r="AN36" s="1057" t="s">
        <v>104</v>
      </c>
      <c r="AO36" s="1057" t="s">
        <v>139</v>
      </c>
      <c r="AP36" s="1057" t="s">
        <v>140</v>
      </c>
      <c r="AQ36" s="1057" t="s">
        <v>141</v>
      </c>
      <c r="AR36" s="2735"/>
      <c r="AS36" s="1058"/>
      <c r="AT36" s="2442"/>
      <c r="AU36" s="1059"/>
      <c r="AV36" s="2443" t="s">
        <v>35</v>
      </c>
      <c r="AW36" s="2443" t="s">
        <v>338</v>
      </c>
      <c r="AX36" s="2437" t="s">
        <v>334</v>
      </c>
      <c r="AY36" s="2444" t="s">
        <v>94</v>
      </c>
      <c r="AZ36" s="2444" t="s">
        <v>339</v>
      </c>
      <c r="BA36" s="2444" t="s">
        <v>340</v>
      </c>
      <c r="BB36" s="2444" t="s">
        <v>97</v>
      </c>
      <c r="BC36" s="2444" t="s">
        <v>98</v>
      </c>
      <c r="BD36" s="2444" t="s">
        <v>335</v>
      </c>
      <c r="BE36" s="2444" t="s">
        <v>336</v>
      </c>
      <c r="BF36" s="2445" t="s">
        <v>337</v>
      </c>
      <c r="BG36" s="517"/>
      <c r="BH36" s="517"/>
      <c r="BI36" s="517"/>
      <c r="BJ36" s="1068"/>
      <c r="BK36" s="1068"/>
      <c r="BL36" s="1068"/>
      <c r="BM36" s="1068"/>
      <c r="BN36" s="517"/>
      <c r="BO36" s="517"/>
      <c r="BP36" s="517"/>
      <c r="BQ36" s="517"/>
    </row>
    <row r="37" spans="1:69" s="1043" customFormat="1" ht="24.95" hidden="1" customHeight="1">
      <c r="A37" s="1060" t="s">
        <v>323</v>
      </c>
      <c r="B37" s="1061" t="s">
        <v>112</v>
      </c>
      <c r="C37" s="1062" t="s">
        <v>17</v>
      </c>
      <c r="D37" s="518" t="s">
        <v>17</v>
      </c>
      <c r="E37" s="558" t="s">
        <v>17</v>
      </c>
      <c r="F37" s="475" t="s">
        <v>17</v>
      </c>
      <c r="G37" s="518" t="s">
        <v>17</v>
      </c>
      <c r="H37" s="558" t="s">
        <v>17</v>
      </c>
      <c r="I37" s="475" t="s">
        <v>17</v>
      </c>
      <c r="J37" s="518" t="s">
        <v>17</v>
      </c>
      <c r="K37" s="476" t="s">
        <v>17</v>
      </c>
      <c r="L37" s="477" t="s">
        <v>17</v>
      </c>
      <c r="M37" s="1063" t="s">
        <v>17</v>
      </c>
      <c r="N37" s="477" t="s">
        <v>17</v>
      </c>
      <c r="O37" s="1028" t="s">
        <v>17</v>
      </c>
      <c r="P37" s="1028" t="s">
        <v>17</v>
      </c>
      <c r="Q37" s="1028" t="s">
        <v>17</v>
      </c>
      <c r="R37" s="1028" t="s">
        <v>17</v>
      </c>
      <c r="S37" s="1028" t="s">
        <v>17</v>
      </c>
      <c r="T37" s="1028" t="s">
        <v>17</v>
      </c>
      <c r="U37" s="1028" t="s">
        <v>17</v>
      </c>
      <c r="V37" s="478" t="s">
        <v>17</v>
      </c>
      <c r="W37" s="559" t="s">
        <v>17</v>
      </c>
      <c r="X37" s="477" t="s">
        <v>17</v>
      </c>
      <c r="Y37" s="477" t="s">
        <v>17</v>
      </c>
      <c r="Z37" s="477" t="s">
        <v>17</v>
      </c>
      <c r="AA37" s="477" t="s">
        <v>17</v>
      </c>
      <c r="AB37" s="477" t="s">
        <v>17</v>
      </c>
      <c r="AC37" s="477" t="s">
        <v>17</v>
      </c>
      <c r="AD37" s="477" t="s">
        <v>17</v>
      </c>
      <c r="AE37" s="477" t="s">
        <v>17</v>
      </c>
      <c r="AF37" s="477" t="s">
        <v>17</v>
      </c>
      <c r="AG37" s="477" t="s">
        <v>17</v>
      </c>
      <c r="AH37" s="477" t="s">
        <v>17</v>
      </c>
      <c r="AI37" s="477" t="s">
        <v>17</v>
      </c>
      <c r="AJ37" s="477" t="s">
        <v>17</v>
      </c>
      <c r="AK37" s="1063" t="s">
        <v>17</v>
      </c>
      <c r="AL37" s="1064" t="s">
        <v>17</v>
      </c>
      <c r="AM37" s="1065" t="s">
        <v>17</v>
      </c>
      <c r="AN37" s="1066" t="s">
        <v>17</v>
      </c>
      <c r="AO37" s="1066" t="s">
        <v>17</v>
      </c>
      <c r="AP37" s="1066" t="s">
        <v>17</v>
      </c>
      <c r="AQ37" s="1066" t="s">
        <v>17</v>
      </c>
      <c r="AR37" s="1067" t="s">
        <v>341</v>
      </c>
      <c r="AS37" s="1065" t="s">
        <v>17</v>
      </c>
      <c r="AT37" s="2446" t="s">
        <v>17</v>
      </c>
      <c r="AU37" s="2447" t="s">
        <v>17</v>
      </c>
      <c r="AV37" s="2446" t="s">
        <v>17</v>
      </c>
      <c r="AW37" s="2446" t="s">
        <v>17</v>
      </c>
      <c r="AX37" s="2446" t="s">
        <v>17</v>
      </c>
      <c r="AY37" s="2446" t="s">
        <v>17</v>
      </c>
      <c r="AZ37" s="2446" t="s">
        <v>17</v>
      </c>
      <c r="BA37" s="2446" t="s">
        <v>17</v>
      </c>
      <c r="BB37" s="2446" t="s">
        <v>17</v>
      </c>
      <c r="BC37" s="2446" t="s">
        <v>17</v>
      </c>
      <c r="BD37" s="2446" t="s">
        <v>17</v>
      </c>
      <c r="BE37" s="2446" t="s">
        <v>17</v>
      </c>
      <c r="BF37" s="1067" t="s">
        <v>341</v>
      </c>
      <c r="BG37" s="517"/>
      <c r="BH37" s="1068"/>
      <c r="BI37" s="1068"/>
      <c r="BJ37" s="1068"/>
      <c r="BK37" s="1227"/>
      <c r="BL37" s="1227"/>
      <c r="BM37" s="1227"/>
      <c r="BN37" s="1227"/>
      <c r="BO37" s="1227"/>
      <c r="BP37" s="1068"/>
      <c r="BQ37" s="1068"/>
    </row>
    <row r="38" spans="1:69" s="1043" customFormat="1" ht="24.95" hidden="1" customHeight="1">
      <c r="A38" s="1069">
        <v>1</v>
      </c>
      <c r="B38" s="1070">
        <v>2</v>
      </c>
      <c r="C38" s="1071">
        <v>3</v>
      </c>
      <c r="D38" s="1072">
        <v>4</v>
      </c>
      <c r="E38" s="1073">
        <v>5</v>
      </c>
      <c r="F38" s="1074">
        <v>6</v>
      </c>
      <c r="G38" s="1075">
        <v>7</v>
      </c>
      <c r="H38" s="1073">
        <v>8</v>
      </c>
      <c r="I38" s="1074">
        <v>9</v>
      </c>
      <c r="J38" s="1075">
        <v>10</v>
      </c>
      <c r="K38" s="1073">
        <v>11</v>
      </c>
      <c r="L38" s="1074">
        <v>12</v>
      </c>
      <c r="M38" s="1074">
        <v>13</v>
      </c>
      <c r="N38" s="1076">
        <v>14</v>
      </c>
      <c r="O38" s="1074">
        <v>15</v>
      </c>
      <c r="P38" s="1074">
        <v>16</v>
      </c>
      <c r="Q38" s="1076">
        <v>17</v>
      </c>
      <c r="R38" s="1074">
        <v>18</v>
      </c>
      <c r="S38" s="1074">
        <v>19</v>
      </c>
      <c r="T38" s="1076">
        <v>20</v>
      </c>
      <c r="U38" s="1074">
        <v>21</v>
      </c>
      <c r="V38" s="1075">
        <v>22</v>
      </c>
      <c r="W38" s="1073">
        <v>23</v>
      </c>
      <c r="X38" s="1074">
        <v>24</v>
      </c>
      <c r="Y38" s="1077">
        <v>25</v>
      </c>
      <c r="Z38" s="1074">
        <v>26</v>
      </c>
      <c r="AA38" s="1077">
        <v>27</v>
      </c>
      <c r="AB38" s="1074">
        <v>28</v>
      </c>
      <c r="AC38" s="1077">
        <v>29</v>
      </c>
      <c r="AD38" s="1074">
        <v>30</v>
      </c>
      <c r="AE38" s="1074">
        <v>31</v>
      </c>
      <c r="AF38" s="1074">
        <v>32</v>
      </c>
      <c r="AG38" s="1077">
        <v>33</v>
      </c>
      <c r="AH38" s="1074">
        <v>34</v>
      </c>
      <c r="AI38" s="1077">
        <v>35</v>
      </c>
      <c r="AJ38" s="1074">
        <v>36</v>
      </c>
      <c r="AK38" s="1074">
        <v>37</v>
      </c>
      <c r="AL38" s="1078">
        <v>38</v>
      </c>
      <c r="AM38" s="1079">
        <v>39</v>
      </c>
      <c r="AN38" s="1074">
        <v>40</v>
      </c>
      <c r="AO38" s="1076">
        <v>41</v>
      </c>
      <c r="AP38" s="1074">
        <v>42</v>
      </c>
      <c r="AQ38" s="1074">
        <v>43</v>
      </c>
      <c r="AR38" s="1078">
        <v>44</v>
      </c>
      <c r="AS38" s="1069">
        <v>45</v>
      </c>
      <c r="AT38" s="2448">
        <v>46</v>
      </c>
      <c r="AU38" s="1071">
        <v>47</v>
      </c>
      <c r="AV38" s="2448">
        <v>48</v>
      </c>
      <c r="AW38" s="2448">
        <v>49</v>
      </c>
      <c r="AX38" s="1071">
        <v>50</v>
      </c>
      <c r="AY38" s="2448">
        <v>51</v>
      </c>
      <c r="AZ38" s="2448">
        <v>52</v>
      </c>
      <c r="BA38" s="2448">
        <v>53</v>
      </c>
      <c r="BB38" s="2448">
        <v>54</v>
      </c>
      <c r="BC38" s="2448">
        <v>55</v>
      </c>
      <c r="BD38" s="2448">
        <v>56</v>
      </c>
      <c r="BE38" s="2448">
        <v>57</v>
      </c>
      <c r="BF38" s="2449">
        <v>58</v>
      </c>
      <c r="BG38" s="1068"/>
      <c r="BH38" s="1068"/>
      <c r="BI38" s="1068"/>
      <c r="BJ38" s="1068"/>
      <c r="BK38" s="2470"/>
      <c r="BL38" s="2470"/>
      <c r="BM38" s="2470"/>
      <c r="BN38" s="2470"/>
      <c r="BO38" s="2470"/>
      <c r="BP38" s="1068"/>
      <c r="BQ38" s="1068"/>
    </row>
    <row r="39" spans="1:69" s="1043" customFormat="1" ht="24.95" hidden="1" customHeight="1">
      <c r="A39" s="1080">
        <v>1</v>
      </c>
      <c r="B39" s="1081" t="s">
        <v>43</v>
      </c>
      <c r="C39" s="1082">
        <v>71</v>
      </c>
      <c r="D39" s="2471">
        <v>0</v>
      </c>
      <c r="E39" s="1083">
        <v>0</v>
      </c>
      <c r="F39" s="1084">
        <v>0</v>
      </c>
      <c r="G39" s="1085">
        <v>0</v>
      </c>
      <c r="H39" s="2472">
        <v>6605.5999999999995</v>
      </c>
      <c r="I39" s="2473">
        <v>0</v>
      </c>
      <c r="J39" s="2430">
        <v>6605.5999999999995</v>
      </c>
      <c r="K39" s="2474">
        <v>379.3</v>
      </c>
      <c r="L39" s="2473">
        <v>237.3</v>
      </c>
      <c r="M39" s="2473">
        <v>0</v>
      </c>
      <c r="N39" s="2473">
        <v>0</v>
      </c>
      <c r="O39" s="2473">
        <v>429.9</v>
      </c>
      <c r="P39" s="2473">
        <v>64.3</v>
      </c>
      <c r="Q39" s="2473">
        <v>0</v>
      </c>
      <c r="R39" s="2473">
        <v>0</v>
      </c>
      <c r="S39" s="2473">
        <v>57.4</v>
      </c>
      <c r="T39" s="2473">
        <v>98.4</v>
      </c>
      <c r="U39" s="2473">
        <v>0</v>
      </c>
      <c r="V39" s="481">
        <v>1266.6000000000001</v>
      </c>
      <c r="W39" s="2474">
        <v>10</v>
      </c>
      <c r="X39" s="2473">
        <v>20</v>
      </c>
      <c r="Y39" s="2473">
        <v>0</v>
      </c>
      <c r="Z39" s="2473">
        <v>20</v>
      </c>
      <c r="AA39" s="2473">
        <v>63</v>
      </c>
      <c r="AB39" s="2473">
        <v>0</v>
      </c>
      <c r="AC39" s="2473">
        <v>0</v>
      </c>
      <c r="AD39" s="2473">
        <v>0</v>
      </c>
      <c r="AE39" s="2473">
        <v>168</v>
      </c>
      <c r="AF39" s="2473">
        <v>107</v>
      </c>
      <c r="AG39" s="2473">
        <v>0</v>
      </c>
      <c r="AH39" s="2473">
        <v>0</v>
      </c>
      <c r="AI39" s="2473">
        <v>0</v>
      </c>
      <c r="AJ39" s="2473">
        <v>37.799999999999997</v>
      </c>
      <c r="AK39" s="2473">
        <v>0</v>
      </c>
      <c r="AL39" s="1086">
        <v>425.8</v>
      </c>
      <c r="AM39" s="2474">
        <v>810</v>
      </c>
      <c r="AN39" s="2473">
        <v>79</v>
      </c>
      <c r="AO39" s="1084">
        <v>663</v>
      </c>
      <c r="AP39" s="561">
        <v>273</v>
      </c>
      <c r="AQ39" s="666">
        <v>0</v>
      </c>
      <c r="AR39" s="1087">
        <v>6271</v>
      </c>
      <c r="AS39" s="1088">
        <v>162</v>
      </c>
      <c r="AT39" s="2450">
        <v>0</v>
      </c>
      <c r="AU39" s="1089">
        <v>20</v>
      </c>
      <c r="AV39" s="1090">
        <v>0</v>
      </c>
      <c r="AW39" s="1090">
        <v>0</v>
      </c>
      <c r="AX39" s="1091">
        <v>143</v>
      </c>
      <c r="AY39" s="1090">
        <v>25</v>
      </c>
      <c r="AZ39" s="1090">
        <v>0</v>
      </c>
      <c r="BA39" s="1090">
        <v>0</v>
      </c>
      <c r="BB39" s="1090">
        <v>226</v>
      </c>
      <c r="BC39" s="1090">
        <v>207</v>
      </c>
      <c r="BD39" s="1090">
        <v>0</v>
      </c>
      <c r="BE39" s="1090">
        <v>0</v>
      </c>
      <c r="BF39" s="1092">
        <v>0</v>
      </c>
      <c r="BG39" s="1227"/>
      <c r="BH39" s="1227"/>
      <c r="BI39" s="1227"/>
      <c r="BJ39" s="1227"/>
      <c r="BK39" s="1227"/>
      <c r="BL39" s="2475"/>
      <c r="BM39" s="2475"/>
      <c r="BN39" s="2475"/>
      <c r="BO39" s="2475"/>
      <c r="BP39" s="2475"/>
      <c r="BQ39" s="2475"/>
    </row>
    <row r="40" spans="1:69" s="1043" customFormat="1" ht="20.100000000000001" hidden="1" customHeight="1">
      <c r="A40" s="1093">
        <v>2</v>
      </c>
      <c r="B40" s="1094" t="s">
        <v>44</v>
      </c>
      <c r="C40" s="1082">
        <v>20</v>
      </c>
      <c r="D40" s="1097">
        <v>0</v>
      </c>
      <c r="E40" s="1083">
        <v>0</v>
      </c>
      <c r="F40" s="1095">
        <v>0</v>
      </c>
      <c r="G40" s="1096">
        <v>0</v>
      </c>
      <c r="H40" s="479">
        <v>3157.3</v>
      </c>
      <c r="I40" s="1097">
        <v>0</v>
      </c>
      <c r="J40" s="2430">
        <v>3157.3</v>
      </c>
      <c r="K40" s="2474">
        <v>0</v>
      </c>
      <c r="L40" s="2473">
        <v>0</v>
      </c>
      <c r="M40" s="2473">
        <v>0</v>
      </c>
      <c r="N40" s="2473">
        <v>0</v>
      </c>
      <c r="O40" s="2473">
        <v>0</v>
      </c>
      <c r="P40" s="2473">
        <v>0</v>
      </c>
      <c r="Q40" s="2473">
        <v>0</v>
      </c>
      <c r="R40" s="2473">
        <v>0</v>
      </c>
      <c r="S40" s="2473">
        <v>0</v>
      </c>
      <c r="T40" s="2473">
        <v>0</v>
      </c>
      <c r="U40" s="2473">
        <v>130</v>
      </c>
      <c r="V40" s="481">
        <v>130</v>
      </c>
      <c r="W40" s="480">
        <v>0</v>
      </c>
      <c r="X40" s="1095">
        <v>0</v>
      </c>
      <c r="Y40" s="480">
        <v>0</v>
      </c>
      <c r="Z40" s="480">
        <v>0</v>
      </c>
      <c r="AA40" s="480">
        <v>0</v>
      </c>
      <c r="AB40" s="480">
        <v>0</v>
      </c>
      <c r="AC40" s="480">
        <v>8</v>
      </c>
      <c r="AD40" s="480">
        <v>0</v>
      </c>
      <c r="AE40" s="480">
        <v>0</v>
      </c>
      <c r="AF40" s="1097">
        <v>0</v>
      </c>
      <c r="AG40" s="480">
        <v>0</v>
      </c>
      <c r="AH40" s="480">
        <v>0</v>
      </c>
      <c r="AI40" s="480">
        <v>0</v>
      </c>
      <c r="AJ40" s="480">
        <v>0</v>
      </c>
      <c r="AK40" s="480">
        <v>0</v>
      </c>
      <c r="AL40" s="1098">
        <v>8</v>
      </c>
      <c r="AM40" s="2476">
        <v>0</v>
      </c>
      <c r="AN40" s="561">
        <v>0</v>
      </c>
      <c r="AO40" s="1095">
        <v>0</v>
      </c>
      <c r="AP40" s="561">
        <v>0</v>
      </c>
      <c r="AQ40" s="561">
        <v>139</v>
      </c>
      <c r="AR40" s="1092">
        <v>3370</v>
      </c>
      <c r="AS40" s="1088">
        <v>0</v>
      </c>
      <c r="AT40" s="2451">
        <v>0</v>
      </c>
      <c r="AU40" s="1089">
        <v>0</v>
      </c>
      <c r="AV40" s="1090">
        <v>0</v>
      </c>
      <c r="AW40" s="1090">
        <v>47</v>
      </c>
      <c r="AX40" s="1091">
        <v>0</v>
      </c>
      <c r="AY40" s="1090">
        <v>0</v>
      </c>
      <c r="AZ40" s="1090">
        <v>0</v>
      </c>
      <c r="BA40" s="1090">
        <v>0</v>
      </c>
      <c r="BB40" s="1090">
        <v>0</v>
      </c>
      <c r="BC40" s="1090">
        <v>0</v>
      </c>
      <c r="BD40" s="1090">
        <v>0</v>
      </c>
      <c r="BE40" s="1090">
        <v>0</v>
      </c>
      <c r="BF40" s="1092">
        <v>0</v>
      </c>
      <c r="BG40" s="1227"/>
      <c r="BH40" s="1227"/>
      <c r="BI40" s="1227"/>
      <c r="BJ40" s="1227"/>
      <c r="BK40" s="1227"/>
      <c r="BL40" s="2475"/>
      <c r="BM40" s="2475"/>
      <c r="BN40" s="2475"/>
      <c r="BO40" s="2475"/>
      <c r="BP40" s="2475"/>
      <c r="BQ40" s="2475"/>
    </row>
    <row r="41" spans="1:69" s="1043" customFormat="1" ht="20.100000000000001" hidden="1" customHeight="1">
      <c r="A41" s="1093">
        <v>3</v>
      </c>
      <c r="B41" s="1094" t="s">
        <v>45</v>
      </c>
      <c r="C41" s="1082">
        <v>49</v>
      </c>
      <c r="D41" s="1097">
        <v>0</v>
      </c>
      <c r="E41" s="1083">
        <v>0</v>
      </c>
      <c r="F41" s="1095">
        <v>0</v>
      </c>
      <c r="G41" s="1096">
        <v>0</v>
      </c>
      <c r="H41" s="479">
        <v>5972.2</v>
      </c>
      <c r="I41" s="1097">
        <v>0</v>
      </c>
      <c r="J41" s="2430">
        <v>5972.2</v>
      </c>
      <c r="K41" s="2474">
        <v>296.5</v>
      </c>
      <c r="L41" s="2473">
        <v>212.4</v>
      </c>
      <c r="M41" s="2473">
        <v>131.30000000000001</v>
      </c>
      <c r="N41" s="2473">
        <v>33.700000000000003</v>
      </c>
      <c r="O41" s="2473">
        <v>277.60000000000002</v>
      </c>
      <c r="P41" s="2473">
        <v>0</v>
      </c>
      <c r="Q41" s="2473">
        <v>0</v>
      </c>
      <c r="R41" s="2473">
        <v>0</v>
      </c>
      <c r="S41" s="2473">
        <v>39.299999999999997</v>
      </c>
      <c r="T41" s="2473">
        <v>38.9</v>
      </c>
      <c r="U41" s="2473">
        <v>0</v>
      </c>
      <c r="V41" s="481">
        <v>1029.7</v>
      </c>
      <c r="W41" s="479">
        <v>18</v>
      </c>
      <c r="X41" s="1095">
        <v>20</v>
      </c>
      <c r="Y41" s="480">
        <v>0</v>
      </c>
      <c r="Z41" s="480">
        <v>0</v>
      </c>
      <c r="AA41" s="480">
        <v>0</v>
      </c>
      <c r="AB41" s="480">
        <v>1163</v>
      </c>
      <c r="AC41" s="561">
        <v>0</v>
      </c>
      <c r="AD41" s="561">
        <v>0</v>
      </c>
      <c r="AE41" s="561">
        <v>124</v>
      </c>
      <c r="AF41" s="1097">
        <v>33</v>
      </c>
      <c r="AG41" s="480">
        <v>40</v>
      </c>
      <c r="AH41" s="480">
        <v>0</v>
      </c>
      <c r="AI41" s="561">
        <v>0</v>
      </c>
      <c r="AJ41" s="561">
        <v>53.6</v>
      </c>
      <c r="AK41" s="561">
        <v>0</v>
      </c>
      <c r="AL41" s="1098">
        <v>1451.6</v>
      </c>
      <c r="AM41" s="2476">
        <v>691</v>
      </c>
      <c r="AN41" s="561">
        <v>240</v>
      </c>
      <c r="AO41" s="1095">
        <v>456</v>
      </c>
      <c r="AP41" s="561">
        <v>113</v>
      </c>
      <c r="AQ41" s="561">
        <v>1280</v>
      </c>
      <c r="AR41" s="1092">
        <v>5515</v>
      </c>
      <c r="AS41" s="1088">
        <v>144</v>
      </c>
      <c r="AT41" s="2451">
        <v>0</v>
      </c>
      <c r="AU41" s="1089">
        <v>48</v>
      </c>
      <c r="AV41" s="1090">
        <v>468</v>
      </c>
      <c r="AW41" s="1090">
        <v>0</v>
      </c>
      <c r="AX41" s="1091">
        <v>120</v>
      </c>
      <c r="AY41" s="1090">
        <v>0</v>
      </c>
      <c r="AZ41" s="1090">
        <v>0</v>
      </c>
      <c r="BA41" s="1090">
        <v>0</v>
      </c>
      <c r="BB41" s="1090">
        <v>164</v>
      </c>
      <c r="BC41" s="1090">
        <v>73</v>
      </c>
      <c r="BD41" s="1090">
        <v>40</v>
      </c>
      <c r="BE41" s="1090">
        <v>0</v>
      </c>
      <c r="BF41" s="1092">
        <v>0</v>
      </c>
      <c r="BG41" s="1227"/>
      <c r="BH41" s="1227"/>
      <c r="BI41" s="1227"/>
      <c r="BJ41" s="1227"/>
      <c r="BK41" s="1227"/>
      <c r="BL41" s="2475"/>
      <c r="BM41" s="2475"/>
      <c r="BN41" s="2475"/>
      <c r="BO41" s="2475"/>
      <c r="BP41" s="2475"/>
      <c r="BQ41" s="2475"/>
    </row>
    <row r="42" spans="1:69" s="1043" customFormat="1" ht="20.100000000000001" hidden="1" customHeight="1">
      <c r="A42" s="1093">
        <v>4</v>
      </c>
      <c r="B42" s="1094" t="s">
        <v>60</v>
      </c>
      <c r="C42" s="1082">
        <v>24</v>
      </c>
      <c r="D42" s="1097">
        <v>20</v>
      </c>
      <c r="E42" s="1083">
        <v>0</v>
      </c>
      <c r="F42" s="1095">
        <v>0</v>
      </c>
      <c r="G42" s="1096">
        <v>0</v>
      </c>
      <c r="H42" s="479">
        <v>7440.3</v>
      </c>
      <c r="I42" s="1097">
        <v>0</v>
      </c>
      <c r="J42" s="2430">
        <v>7440.3</v>
      </c>
      <c r="K42" s="2474">
        <v>0</v>
      </c>
      <c r="L42" s="2473">
        <v>0</v>
      </c>
      <c r="M42" s="2473">
        <v>0</v>
      </c>
      <c r="N42" s="2473">
        <v>0</v>
      </c>
      <c r="O42" s="2473">
        <v>0</v>
      </c>
      <c r="P42" s="2473">
        <v>0</v>
      </c>
      <c r="Q42" s="2473">
        <v>0</v>
      </c>
      <c r="R42" s="2473">
        <v>0</v>
      </c>
      <c r="S42" s="2473">
        <v>0</v>
      </c>
      <c r="T42" s="2473">
        <v>0</v>
      </c>
      <c r="U42" s="2473">
        <v>0</v>
      </c>
      <c r="V42" s="481">
        <v>0</v>
      </c>
      <c r="W42" s="482">
        <v>0</v>
      </c>
      <c r="X42" s="1095">
        <v>0</v>
      </c>
      <c r="Y42" s="561">
        <v>0</v>
      </c>
      <c r="Z42" s="561">
        <v>0</v>
      </c>
      <c r="AA42" s="561">
        <v>0</v>
      </c>
      <c r="AB42" s="480">
        <v>1661</v>
      </c>
      <c r="AC42" s="561">
        <v>0</v>
      </c>
      <c r="AD42" s="561">
        <v>0</v>
      </c>
      <c r="AE42" s="561">
        <v>0</v>
      </c>
      <c r="AF42" s="1097">
        <v>0</v>
      </c>
      <c r="AG42" s="561">
        <v>0</v>
      </c>
      <c r="AH42" s="480">
        <v>0</v>
      </c>
      <c r="AI42" s="561">
        <v>0</v>
      </c>
      <c r="AJ42" s="561">
        <v>0</v>
      </c>
      <c r="AK42" s="561">
        <v>0</v>
      </c>
      <c r="AL42" s="1098">
        <v>1661</v>
      </c>
      <c r="AM42" s="2476">
        <v>0</v>
      </c>
      <c r="AN42" s="561">
        <v>0</v>
      </c>
      <c r="AO42" s="1095">
        <v>0</v>
      </c>
      <c r="AP42" s="561">
        <v>0</v>
      </c>
      <c r="AQ42" s="561">
        <v>1807</v>
      </c>
      <c r="AR42" s="1092">
        <v>6204</v>
      </c>
      <c r="AS42" s="1088">
        <v>0</v>
      </c>
      <c r="AT42" s="2451">
        <v>0</v>
      </c>
      <c r="AU42" s="1089">
        <v>0</v>
      </c>
      <c r="AV42" s="1090">
        <v>698</v>
      </c>
      <c r="AW42" s="1090">
        <v>0</v>
      </c>
      <c r="AX42" s="1091">
        <v>0</v>
      </c>
      <c r="AY42" s="1090">
        <v>0</v>
      </c>
      <c r="AZ42" s="1090">
        <v>0</v>
      </c>
      <c r="BA42" s="1090">
        <v>0</v>
      </c>
      <c r="BB42" s="1090">
        <v>0</v>
      </c>
      <c r="BC42" s="1090">
        <v>0</v>
      </c>
      <c r="BD42" s="1090">
        <v>0</v>
      </c>
      <c r="BE42" s="1090">
        <v>0</v>
      </c>
      <c r="BF42" s="1092">
        <v>0</v>
      </c>
      <c r="BG42" s="1227"/>
      <c r="BH42" s="1227"/>
      <c r="BI42" s="1227"/>
      <c r="BJ42" s="1227"/>
      <c r="BK42" s="1227"/>
      <c r="BL42" s="2475"/>
      <c r="BM42" s="2475"/>
      <c r="BN42" s="2475"/>
      <c r="BO42" s="2475"/>
      <c r="BP42" s="2475"/>
      <c r="BQ42" s="2475"/>
    </row>
    <row r="43" spans="1:69" s="1043" customFormat="1" ht="20.100000000000001" hidden="1" customHeight="1">
      <c r="A43" s="1093">
        <v>5</v>
      </c>
      <c r="B43" s="1094" t="s">
        <v>46</v>
      </c>
      <c r="C43" s="1082">
        <v>92</v>
      </c>
      <c r="D43" s="1097">
        <v>75</v>
      </c>
      <c r="E43" s="1083">
        <v>0</v>
      </c>
      <c r="F43" s="1095">
        <v>80</v>
      </c>
      <c r="G43" s="1096">
        <v>0</v>
      </c>
      <c r="H43" s="479">
        <v>8926.9</v>
      </c>
      <c r="I43" s="1097">
        <v>0</v>
      </c>
      <c r="J43" s="2430">
        <v>8926.9</v>
      </c>
      <c r="K43" s="2474">
        <v>301</v>
      </c>
      <c r="L43" s="2473">
        <v>209</v>
      </c>
      <c r="M43" s="2473">
        <v>0</v>
      </c>
      <c r="N43" s="2473">
        <v>0</v>
      </c>
      <c r="O43" s="2473">
        <v>296</v>
      </c>
      <c r="P43" s="2473">
        <v>0</v>
      </c>
      <c r="Q43" s="2473">
        <v>381.2</v>
      </c>
      <c r="R43" s="2473">
        <v>0</v>
      </c>
      <c r="S43" s="2473">
        <v>62</v>
      </c>
      <c r="T43" s="2473">
        <v>123</v>
      </c>
      <c r="U43" s="2473">
        <v>119</v>
      </c>
      <c r="V43" s="481">
        <v>1491.2</v>
      </c>
      <c r="W43" s="479">
        <v>35.5</v>
      </c>
      <c r="X43" s="1095">
        <v>20</v>
      </c>
      <c r="Y43" s="561">
        <v>0</v>
      </c>
      <c r="Z43" s="480">
        <v>0</v>
      </c>
      <c r="AA43" s="480">
        <v>0</v>
      </c>
      <c r="AB43" s="561">
        <v>0</v>
      </c>
      <c r="AC43" s="480">
        <v>0</v>
      </c>
      <c r="AD43" s="480">
        <v>45</v>
      </c>
      <c r="AE43" s="480">
        <v>56</v>
      </c>
      <c r="AF43" s="1097">
        <v>88</v>
      </c>
      <c r="AG43" s="480">
        <v>20</v>
      </c>
      <c r="AH43" s="561">
        <v>0</v>
      </c>
      <c r="AI43" s="480">
        <v>0</v>
      </c>
      <c r="AJ43" s="480">
        <v>42.6</v>
      </c>
      <c r="AK43" s="480">
        <v>0</v>
      </c>
      <c r="AL43" s="1098">
        <v>307.10000000000002</v>
      </c>
      <c r="AM43" s="2476">
        <v>999</v>
      </c>
      <c r="AN43" s="561">
        <v>0</v>
      </c>
      <c r="AO43" s="1095">
        <v>478</v>
      </c>
      <c r="AP43" s="561">
        <v>622</v>
      </c>
      <c r="AQ43" s="561">
        <v>138</v>
      </c>
      <c r="AR43" s="1092">
        <v>8417</v>
      </c>
      <c r="AS43" s="1088">
        <v>200</v>
      </c>
      <c r="AT43" s="2451">
        <v>0</v>
      </c>
      <c r="AU43" s="1089">
        <v>0</v>
      </c>
      <c r="AV43" s="1090">
        <v>0</v>
      </c>
      <c r="AW43" s="1090">
        <v>44</v>
      </c>
      <c r="AX43" s="1091">
        <v>45</v>
      </c>
      <c r="AY43" s="1090">
        <v>0</v>
      </c>
      <c r="AZ43" s="1090">
        <v>100</v>
      </c>
      <c r="BA43" s="1090">
        <v>0</v>
      </c>
      <c r="BB43" s="1090">
        <v>123</v>
      </c>
      <c r="BC43" s="1090">
        <v>219</v>
      </c>
      <c r="BD43" s="1090">
        <v>20</v>
      </c>
      <c r="BE43" s="1090">
        <v>0</v>
      </c>
      <c r="BF43" s="1092">
        <v>0</v>
      </c>
      <c r="BG43" s="1227"/>
      <c r="BH43" s="1227"/>
      <c r="BI43" s="1227"/>
      <c r="BJ43" s="1227"/>
      <c r="BK43" s="1227"/>
      <c r="BL43" s="2475"/>
      <c r="BM43" s="2475"/>
      <c r="BN43" s="2475"/>
      <c r="BO43" s="2475"/>
      <c r="BP43" s="2475"/>
      <c r="BQ43" s="2475"/>
    </row>
    <row r="44" spans="1:69" s="1043" customFormat="1" ht="24.95" hidden="1" customHeight="1">
      <c r="A44" s="1093">
        <v>6</v>
      </c>
      <c r="B44" s="1094" t="s">
        <v>47</v>
      </c>
      <c r="C44" s="1082">
        <v>51</v>
      </c>
      <c r="D44" s="1097">
        <v>0</v>
      </c>
      <c r="E44" s="1083">
        <v>0</v>
      </c>
      <c r="F44" s="1095">
        <v>0</v>
      </c>
      <c r="G44" s="1096">
        <v>0</v>
      </c>
      <c r="H44" s="479">
        <v>9670.7999999999993</v>
      </c>
      <c r="I44" s="1097">
        <v>0</v>
      </c>
      <c r="J44" s="2430">
        <v>9670.7999999999993</v>
      </c>
      <c r="K44" s="2474">
        <v>0</v>
      </c>
      <c r="L44" s="2473">
        <v>0</v>
      </c>
      <c r="M44" s="2473">
        <v>0</v>
      </c>
      <c r="N44" s="2473">
        <v>0</v>
      </c>
      <c r="O44" s="2473">
        <v>0</v>
      </c>
      <c r="P44" s="2473">
        <v>0</v>
      </c>
      <c r="Q44" s="2473">
        <v>0</v>
      </c>
      <c r="R44" s="2473">
        <v>0</v>
      </c>
      <c r="S44" s="2473">
        <v>0</v>
      </c>
      <c r="T44" s="2473">
        <v>0</v>
      </c>
      <c r="U44" s="2473">
        <v>178</v>
      </c>
      <c r="V44" s="481">
        <v>178</v>
      </c>
      <c r="W44" s="482">
        <v>0</v>
      </c>
      <c r="X44" s="1095">
        <v>0</v>
      </c>
      <c r="Y44" s="561">
        <v>0</v>
      </c>
      <c r="Z44" s="561">
        <v>0</v>
      </c>
      <c r="AA44" s="561">
        <v>0</v>
      </c>
      <c r="AB44" s="480">
        <v>1508</v>
      </c>
      <c r="AC44" s="561">
        <v>10</v>
      </c>
      <c r="AD44" s="561">
        <v>0</v>
      </c>
      <c r="AE44" s="561">
        <v>0</v>
      </c>
      <c r="AF44" s="1097">
        <v>0</v>
      </c>
      <c r="AG44" s="561">
        <v>0</v>
      </c>
      <c r="AH44" s="480">
        <v>0</v>
      </c>
      <c r="AI44" s="561">
        <v>0</v>
      </c>
      <c r="AJ44" s="561">
        <v>0</v>
      </c>
      <c r="AK44" s="561">
        <v>0</v>
      </c>
      <c r="AL44" s="1098">
        <v>1518</v>
      </c>
      <c r="AM44" s="2476">
        <v>0</v>
      </c>
      <c r="AN44" s="561">
        <v>0</v>
      </c>
      <c r="AO44" s="1095">
        <v>0</v>
      </c>
      <c r="AP44" s="561">
        <v>0</v>
      </c>
      <c r="AQ44" s="561">
        <v>1712</v>
      </c>
      <c r="AR44" s="1092">
        <v>8561</v>
      </c>
      <c r="AS44" s="1088">
        <v>0</v>
      </c>
      <c r="AT44" s="2451">
        <v>0</v>
      </c>
      <c r="AU44" s="1089">
        <v>0</v>
      </c>
      <c r="AV44" s="1090">
        <v>579</v>
      </c>
      <c r="AW44" s="1090">
        <v>62</v>
      </c>
      <c r="AX44" s="1091">
        <v>0</v>
      </c>
      <c r="AY44" s="1090">
        <v>0</v>
      </c>
      <c r="AZ44" s="1090">
        <v>0</v>
      </c>
      <c r="BA44" s="1090">
        <v>0</v>
      </c>
      <c r="BB44" s="1090">
        <v>0</v>
      </c>
      <c r="BC44" s="1090">
        <v>0</v>
      </c>
      <c r="BD44" s="1090">
        <v>0</v>
      </c>
      <c r="BE44" s="1090">
        <v>0</v>
      </c>
      <c r="BF44" s="1092">
        <v>0</v>
      </c>
      <c r="BG44" s="1227"/>
      <c r="BH44" s="1227"/>
      <c r="BI44" s="1227"/>
      <c r="BJ44" s="1227"/>
      <c r="BK44" s="1227"/>
      <c r="BL44" s="2475"/>
      <c r="BM44" s="2475"/>
      <c r="BN44" s="2475"/>
      <c r="BO44" s="2475"/>
      <c r="BP44" s="2475"/>
      <c r="BQ44" s="2475"/>
    </row>
    <row r="45" spans="1:69" s="1043" customFormat="1" ht="20.100000000000001" hidden="1" customHeight="1">
      <c r="A45" s="1093">
        <v>7</v>
      </c>
      <c r="B45" s="1094" t="s">
        <v>48</v>
      </c>
      <c r="C45" s="1082">
        <v>35</v>
      </c>
      <c r="D45" s="1097">
        <v>0</v>
      </c>
      <c r="E45" s="1083">
        <v>0</v>
      </c>
      <c r="F45" s="1095">
        <v>0</v>
      </c>
      <c r="G45" s="1096">
        <v>0</v>
      </c>
      <c r="H45" s="479">
        <v>1225.9999999999998</v>
      </c>
      <c r="I45" s="1097">
        <v>0</v>
      </c>
      <c r="J45" s="2430">
        <v>1225.9999999999998</v>
      </c>
      <c r="K45" s="2474">
        <v>0</v>
      </c>
      <c r="L45" s="2473">
        <v>0</v>
      </c>
      <c r="M45" s="2473">
        <v>0</v>
      </c>
      <c r="N45" s="2473">
        <v>0</v>
      </c>
      <c r="O45" s="2473">
        <v>0</v>
      </c>
      <c r="P45" s="2473">
        <v>0</v>
      </c>
      <c r="Q45" s="2473">
        <v>0</v>
      </c>
      <c r="R45" s="2473">
        <v>0</v>
      </c>
      <c r="S45" s="2473">
        <v>0</v>
      </c>
      <c r="T45" s="2473">
        <v>0</v>
      </c>
      <c r="U45" s="2473">
        <v>0</v>
      </c>
      <c r="V45" s="481">
        <v>0</v>
      </c>
      <c r="W45" s="482">
        <v>0</v>
      </c>
      <c r="X45" s="1095">
        <v>0</v>
      </c>
      <c r="Y45" s="561">
        <v>0</v>
      </c>
      <c r="Z45" s="561">
        <v>0</v>
      </c>
      <c r="AA45" s="561">
        <v>0</v>
      </c>
      <c r="AB45" s="561">
        <v>0</v>
      </c>
      <c r="AC45" s="561">
        <v>0</v>
      </c>
      <c r="AD45" s="561">
        <v>0</v>
      </c>
      <c r="AE45" s="561">
        <v>0</v>
      </c>
      <c r="AF45" s="1097">
        <v>0</v>
      </c>
      <c r="AG45" s="561">
        <v>0</v>
      </c>
      <c r="AH45" s="561">
        <v>0</v>
      </c>
      <c r="AI45" s="561">
        <v>0</v>
      </c>
      <c r="AJ45" s="561">
        <v>0</v>
      </c>
      <c r="AK45" s="561">
        <v>0</v>
      </c>
      <c r="AL45" s="1098">
        <v>0</v>
      </c>
      <c r="AM45" s="2476">
        <v>0</v>
      </c>
      <c r="AN45" s="561">
        <v>0</v>
      </c>
      <c r="AO45" s="1095">
        <v>0</v>
      </c>
      <c r="AP45" s="561">
        <v>0</v>
      </c>
      <c r="AQ45" s="561">
        <v>0</v>
      </c>
      <c r="AR45" s="1092">
        <v>1077</v>
      </c>
      <c r="AS45" s="1088">
        <v>0</v>
      </c>
      <c r="AT45" s="2451">
        <v>0</v>
      </c>
      <c r="AU45" s="1089">
        <v>0</v>
      </c>
      <c r="AV45" s="1090">
        <v>0</v>
      </c>
      <c r="AW45" s="1090">
        <v>0</v>
      </c>
      <c r="AX45" s="1091">
        <v>0</v>
      </c>
      <c r="AY45" s="1090">
        <v>0</v>
      </c>
      <c r="AZ45" s="1090">
        <v>0</v>
      </c>
      <c r="BA45" s="1090">
        <v>0</v>
      </c>
      <c r="BB45" s="1090">
        <v>0</v>
      </c>
      <c r="BC45" s="1090">
        <v>0</v>
      </c>
      <c r="BD45" s="1090">
        <v>0</v>
      </c>
      <c r="BE45" s="1090">
        <v>0</v>
      </c>
      <c r="BF45" s="1092">
        <v>0</v>
      </c>
      <c r="BG45" s="1227"/>
      <c r="BH45" s="1227"/>
      <c r="BI45" s="1227"/>
      <c r="BJ45" s="1227"/>
      <c r="BK45" s="1227"/>
      <c r="BL45" s="2475"/>
      <c r="BM45" s="2475"/>
      <c r="BN45" s="2475"/>
      <c r="BO45" s="2475"/>
      <c r="BP45" s="2475"/>
      <c r="BQ45" s="2475"/>
    </row>
    <row r="46" spans="1:69" s="1043" customFormat="1" ht="20.100000000000001" hidden="1" customHeight="1">
      <c r="A46" s="1093">
        <v>8</v>
      </c>
      <c r="B46" s="1094" t="s">
        <v>49</v>
      </c>
      <c r="C46" s="1082">
        <v>124</v>
      </c>
      <c r="D46" s="1097">
        <v>35</v>
      </c>
      <c r="E46" s="1083">
        <v>0</v>
      </c>
      <c r="F46" s="1095">
        <v>0</v>
      </c>
      <c r="G46" s="1096">
        <v>0</v>
      </c>
      <c r="H46" s="479">
        <v>12187.699999999997</v>
      </c>
      <c r="I46" s="1097">
        <v>0</v>
      </c>
      <c r="J46" s="2430">
        <v>12187.699999999997</v>
      </c>
      <c r="K46" s="2474">
        <v>494.1</v>
      </c>
      <c r="L46" s="2473">
        <v>305.8</v>
      </c>
      <c r="M46" s="2473">
        <v>209.1</v>
      </c>
      <c r="N46" s="2473">
        <v>53</v>
      </c>
      <c r="O46" s="2473">
        <v>510.5</v>
      </c>
      <c r="P46" s="2473">
        <v>0</v>
      </c>
      <c r="Q46" s="2473">
        <v>0</v>
      </c>
      <c r="R46" s="2473">
        <v>95.1</v>
      </c>
      <c r="S46" s="2473">
        <v>70.3</v>
      </c>
      <c r="T46" s="2473">
        <v>126.9</v>
      </c>
      <c r="U46" s="2473">
        <v>146</v>
      </c>
      <c r="V46" s="481">
        <v>2010.8</v>
      </c>
      <c r="W46" s="479">
        <v>81</v>
      </c>
      <c r="X46" s="1095">
        <v>20</v>
      </c>
      <c r="Y46" s="561">
        <v>0</v>
      </c>
      <c r="Z46" s="480">
        <v>20</v>
      </c>
      <c r="AA46" s="480">
        <v>0</v>
      </c>
      <c r="AB46" s="561">
        <v>0</v>
      </c>
      <c r="AC46" s="561">
        <v>7</v>
      </c>
      <c r="AD46" s="561">
        <v>0</v>
      </c>
      <c r="AE46" s="561">
        <v>116</v>
      </c>
      <c r="AF46" s="1097">
        <v>96</v>
      </c>
      <c r="AG46" s="480">
        <v>60</v>
      </c>
      <c r="AH46" s="561">
        <v>0</v>
      </c>
      <c r="AI46" s="561">
        <v>0</v>
      </c>
      <c r="AJ46" s="561">
        <v>40.200000000000003</v>
      </c>
      <c r="AK46" s="561">
        <v>0</v>
      </c>
      <c r="AL46" s="1098">
        <v>440.2</v>
      </c>
      <c r="AM46" s="2476">
        <v>1203</v>
      </c>
      <c r="AN46" s="561">
        <v>330</v>
      </c>
      <c r="AO46" s="1095">
        <v>699</v>
      </c>
      <c r="AP46" s="561">
        <v>382</v>
      </c>
      <c r="AQ46" s="561">
        <v>160</v>
      </c>
      <c r="AR46" s="1092">
        <v>11120</v>
      </c>
      <c r="AS46" s="1088">
        <v>220</v>
      </c>
      <c r="AT46" s="2451">
        <v>0</v>
      </c>
      <c r="AU46" s="1089">
        <v>67</v>
      </c>
      <c r="AV46" s="1090">
        <v>0</v>
      </c>
      <c r="AW46" s="1090">
        <v>50</v>
      </c>
      <c r="AX46" s="1091">
        <v>134</v>
      </c>
      <c r="AY46" s="1090">
        <v>0</v>
      </c>
      <c r="AZ46" s="1090">
        <v>0</v>
      </c>
      <c r="BA46" s="1090">
        <v>33</v>
      </c>
      <c r="BB46" s="1090">
        <v>187</v>
      </c>
      <c r="BC46" s="1090">
        <v>227</v>
      </c>
      <c r="BD46" s="1090">
        <v>60</v>
      </c>
      <c r="BE46" s="1090">
        <v>0</v>
      </c>
      <c r="BF46" s="1092">
        <v>0</v>
      </c>
      <c r="BG46" s="1227"/>
      <c r="BH46" s="1227"/>
      <c r="BI46" s="1227"/>
      <c r="BJ46" s="1227"/>
      <c r="BK46" s="1227"/>
      <c r="BL46" s="2475"/>
      <c r="BM46" s="2475"/>
      <c r="BN46" s="2475"/>
      <c r="BO46" s="2475"/>
      <c r="BP46" s="2475"/>
      <c r="BQ46" s="2475"/>
    </row>
    <row r="47" spans="1:69" s="1043" customFormat="1" ht="20.100000000000001" hidden="1" customHeight="1">
      <c r="A47" s="1093">
        <v>9</v>
      </c>
      <c r="B47" s="1094" t="s">
        <v>50</v>
      </c>
      <c r="C47" s="1082">
        <v>70</v>
      </c>
      <c r="D47" s="1097">
        <v>0</v>
      </c>
      <c r="E47" s="1083">
        <v>0</v>
      </c>
      <c r="F47" s="1095">
        <v>0</v>
      </c>
      <c r="G47" s="1096">
        <v>0</v>
      </c>
      <c r="H47" s="479">
        <v>4978.9999999999991</v>
      </c>
      <c r="I47" s="1097">
        <v>0</v>
      </c>
      <c r="J47" s="2430">
        <v>4978.9999999999991</v>
      </c>
      <c r="K47" s="2474">
        <v>0</v>
      </c>
      <c r="L47" s="2473">
        <v>0</v>
      </c>
      <c r="M47" s="2473">
        <v>0</v>
      </c>
      <c r="N47" s="2473">
        <v>0</v>
      </c>
      <c r="O47" s="2473">
        <v>0</v>
      </c>
      <c r="P47" s="2473">
        <v>0</v>
      </c>
      <c r="Q47" s="2473">
        <v>0</v>
      </c>
      <c r="R47" s="2473">
        <v>0</v>
      </c>
      <c r="S47" s="2473">
        <v>0</v>
      </c>
      <c r="T47" s="2473">
        <v>0</v>
      </c>
      <c r="U47" s="2473">
        <v>0</v>
      </c>
      <c r="V47" s="481">
        <v>0</v>
      </c>
      <c r="W47" s="482">
        <v>0</v>
      </c>
      <c r="X47" s="1095">
        <v>0</v>
      </c>
      <c r="Y47" s="561">
        <v>0</v>
      </c>
      <c r="Z47" s="561">
        <v>0</v>
      </c>
      <c r="AA47" s="561">
        <v>0</v>
      </c>
      <c r="AB47" s="1095">
        <v>0</v>
      </c>
      <c r="AC47" s="561">
        <v>0</v>
      </c>
      <c r="AD47" s="561">
        <v>0</v>
      </c>
      <c r="AE47" s="561">
        <v>0</v>
      </c>
      <c r="AF47" s="1099">
        <v>0</v>
      </c>
      <c r="AG47" s="561">
        <v>0</v>
      </c>
      <c r="AH47" s="1095">
        <v>0</v>
      </c>
      <c r="AI47" s="561">
        <v>0</v>
      </c>
      <c r="AJ47" s="561">
        <v>0</v>
      </c>
      <c r="AK47" s="561">
        <v>0</v>
      </c>
      <c r="AL47" s="1100">
        <v>0</v>
      </c>
      <c r="AM47" s="2476">
        <v>0</v>
      </c>
      <c r="AN47" s="561">
        <v>0</v>
      </c>
      <c r="AO47" s="1095">
        <v>0</v>
      </c>
      <c r="AP47" s="561">
        <v>0</v>
      </c>
      <c r="AQ47" s="561">
        <v>0</v>
      </c>
      <c r="AR47" s="1092">
        <v>4504</v>
      </c>
      <c r="AS47" s="1088">
        <v>0</v>
      </c>
      <c r="AT47" s="2451">
        <v>0</v>
      </c>
      <c r="AU47" s="1089">
        <v>0</v>
      </c>
      <c r="AV47" s="1090">
        <v>0</v>
      </c>
      <c r="AW47" s="1090">
        <v>0</v>
      </c>
      <c r="AX47" s="1091">
        <v>0</v>
      </c>
      <c r="AY47" s="1090">
        <v>0</v>
      </c>
      <c r="AZ47" s="1090">
        <v>0</v>
      </c>
      <c r="BA47" s="1090">
        <v>0</v>
      </c>
      <c r="BB47" s="1090">
        <v>0</v>
      </c>
      <c r="BC47" s="1090">
        <v>0</v>
      </c>
      <c r="BD47" s="1090">
        <v>0</v>
      </c>
      <c r="BE47" s="1090">
        <v>0</v>
      </c>
      <c r="BF47" s="1092">
        <v>0</v>
      </c>
      <c r="BG47" s="1227"/>
      <c r="BH47" s="1227"/>
      <c r="BI47" s="1227"/>
      <c r="BJ47" s="1227"/>
      <c r="BK47" s="1227"/>
      <c r="BL47" s="2475"/>
      <c r="BM47" s="2475"/>
      <c r="BN47" s="2475"/>
      <c r="BO47" s="2475"/>
      <c r="BP47" s="2475"/>
      <c r="BQ47" s="2475"/>
    </row>
    <row r="48" spans="1:69" s="1043" customFormat="1" ht="20.100000000000001" hidden="1" customHeight="1">
      <c r="A48" s="1093">
        <v>10</v>
      </c>
      <c r="B48" s="1094" t="s">
        <v>87</v>
      </c>
      <c r="C48" s="1082">
        <v>0</v>
      </c>
      <c r="D48" s="1097">
        <v>0</v>
      </c>
      <c r="E48" s="1083">
        <v>48.3</v>
      </c>
      <c r="F48" s="1095">
        <v>25</v>
      </c>
      <c r="G48" s="1096">
        <v>275</v>
      </c>
      <c r="H48" s="479">
        <v>5783.2</v>
      </c>
      <c r="I48" s="1097">
        <v>0</v>
      </c>
      <c r="J48" s="2430">
        <v>5783.2</v>
      </c>
      <c r="K48" s="2474">
        <v>0</v>
      </c>
      <c r="L48" s="2473">
        <v>0</v>
      </c>
      <c r="M48" s="2473">
        <v>0</v>
      </c>
      <c r="N48" s="2473">
        <v>0</v>
      </c>
      <c r="O48" s="2473">
        <v>0</v>
      </c>
      <c r="P48" s="2473">
        <v>0</v>
      </c>
      <c r="Q48" s="2473">
        <v>0</v>
      </c>
      <c r="R48" s="2473">
        <v>0</v>
      </c>
      <c r="S48" s="2473">
        <v>0</v>
      </c>
      <c r="T48" s="2473">
        <v>0</v>
      </c>
      <c r="U48" s="2473">
        <v>0</v>
      </c>
      <c r="V48" s="481">
        <v>0</v>
      </c>
      <c r="W48" s="482">
        <v>0</v>
      </c>
      <c r="X48" s="561">
        <v>0</v>
      </c>
      <c r="Y48" s="561">
        <v>0</v>
      </c>
      <c r="Z48" s="561">
        <v>0</v>
      </c>
      <c r="AA48" s="561">
        <v>0</v>
      </c>
      <c r="AB48" s="561">
        <v>258</v>
      </c>
      <c r="AC48" s="561">
        <v>0</v>
      </c>
      <c r="AD48" s="561">
        <v>0</v>
      </c>
      <c r="AE48" s="561">
        <v>84</v>
      </c>
      <c r="AF48" s="1097">
        <v>34</v>
      </c>
      <c r="AG48" s="561">
        <v>30</v>
      </c>
      <c r="AH48" s="561">
        <v>6</v>
      </c>
      <c r="AI48" s="561">
        <v>2</v>
      </c>
      <c r="AJ48" s="561">
        <v>82.9</v>
      </c>
      <c r="AK48" s="561">
        <v>198</v>
      </c>
      <c r="AL48" s="1098">
        <v>694.9</v>
      </c>
      <c r="AM48" s="2476">
        <v>0</v>
      </c>
      <c r="AN48" s="561">
        <v>0</v>
      </c>
      <c r="AO48" s="1095">
        <v>90</v>
      </c>
      <c r="AP48" s="561">
        <v>66</v>
      </c>
      <c r="AQ48" s="561">
        <v>260</v>
      </c>
      <c r="AR48" s="1092">
        <v>6045</v>
      </c>
      <c r="AS48" s="1088">
        <v>0</v>
      </c>
      <c r="AT48" s="2451">
        <v>0</v>
      </c>
      <c r="AU48" s="1089">
        <v>0</v>
      </c>
      <c r="AV48" s="1090">
        <v>145</v>
      </c>
      <c r="AW48" s="1090">
        <v>0</v>
      </c>
      <c r="AX48" s="1091">
        <v>0</v>
      </c>
      <c r="AY48" s="1090">
        <v>0</v>
      </c>
      <c r="AZ48" s="1090">
        <v>0</v>
      </c>
      <c r="BA48" s="1090">
        <v>0</v>
      </c>
      <c r="BB48" s="1090">
        <v>84</v>
      </c>
      <c r="BC48" s="1090">
        <v>34</v>
      </c>
      <c r="BD48" s="1090">
        <v>30</v>
      </c>
      <c r="BE48" s="1090">
        <v>6</v>
      </c>
      <c r="BF48" s="1092">
        <v>2</v>
      </c>
      <c r="BG48" s="1227"/>
      <c r="BH48" s="1227"/>
      <c r="BI48" s="1227"/>
      <c r="BJ48" s="1227"/>
      <c r="BK48" s="1227"/>
      <c r="BL48" s="2475"/>
      <c r="BM48" s="2475"/>
      <c r="BN48" s="2475"/>
      <c r="BO48" s="2475"/>
      <c r="BP48" s="2475"/>
      <c r="BQ48" s="2475"/>
    </row>
    <row r="49" spans="1:69" s="1043" customFormat="1" ht="24.95" hidden="1" customHeight="1">
      <c r="A49" s="1093">
        <v>11</v>
      </c>
      <c r="B49" s="1094" t="s">
        <v>88</v>
      </c>
      <c r="C49" s="1082">
        <v>18</v>
      </c>
      <c r="D49" s="1097">
        <v>0</v>
      </c>
      <c r="E49" s="1083">
        <v>0</v>
      </c>
      <c r="F49" s="1095">
        <v>0</v>
      </c>
      <c r="G49" s="1096">
        <v>0</v>
      </c>
      <c r="H49" s="479">
        <v>4154.8999999999996</v>
      </c>
      <c r="I49" s="1097">
        <v>0</v>
      </c>
      <c r="J49" s="2430">
        <v>4154.8999999999996</v>
      </c>
      <c r="K49" s="2474">
        <v>0</v>
      </c>
      <c r="L49" s="2473">
        <v>0</v>
      </c>
      <c r="M49" s="2473">
        <v>0</v>
      </c>
      <c r="N49" s="2473">
        <v>0</v>
      </c>
      <c r="O49" s="2473">
        <v>0</v>
      </c>
      <c r="P49" s="2473">
        <v>0</v>
      </c>
      <c r="Q49" s="2473">
        <v>0</v>
      </c>
      <c r="R49" s="2473">
        <v>0</v>
      </c>
      <c r="S49" s="2473">
        <v>0</v>
      </c>
      <c r="T49" s="2473">
        <v>0</v>
      </c>
      <c r="U49" s="2473">
        <v>0</v>
      </c>
      <c r="V49" s="481">
        <v>0</v>
      </c>
      <c r="W49" s="482">
        <v>0</v>
      </c>
      <c r="X49" s="1095">
        <v>0</v>
      </c>
      <c r="Y49" s="561">
        <v>0</v>
      </c>
      <c r="Z49" s="561">
        <v>0</v>
      </c>
      <c r="AA49" s="561">
        <v>0</v>
      </c>
      <c r="AB49" s="561">
        <v>0</v>
      </c>
      <c r="AC49" s="561">
        <v>0</v>
      </c>
      <c r="AD49" s="561">
        <v>0</v>
      </c>
      <c r="AE49" s="561">
        <v>0</v>
      </c>
      <c r="AF49" s="1097">
        <v>0</v>
      </c>
      <c r="AG49" s="561">
        <v>0</v>
      </c>
      <c r="AH49" s="561">
        <v>0</v>
      </c>
      <c r="AI49" s="561">
        <v>0</v>
      </c>
      <c r="AJ49" s="561">
        <v>0</v>
      </c>
      <c r="AK49" s="561">
        <v>0</v>
      </c>
      <c r="AL49" s="1098">
        <v>0</v>
      </c>
      <c r="AM49" s="2476">
        <v>0</v>
      </c>
      <c r="AN49" s="561">
        <v>0</v>
      </c>
      <c r="AO49" s="1095">
        <v>0</v>
      </c>
      <c r="AP49" s="561">
        <v>0</v>
      </c>
      <c r="AQ49" s="561">
        <v>0</v>
      </c>
      <c r="AR49" s="1092">
        <v>0</v>
      </c>
      <c r="AS49" s="1088">
        <v>0</v>
      </c>
      <c r="AT49" s="2451">
        <v>0</v>
      </c>
      <c r="AU49" s="1089">
        <v>0</v>
      </c>
      <c r="AV49" s="1090">
        <v>0</v>
      </c>
      <c r="AW49" s="1090">
        <v>0</v>
      </c>
      <c r="AX49" s="1091">
        <v>0</v>
      </c>
      <c r="AY49" s="1090">
        <v>0</v>
      </c>
      <c r="AZ49" s="1090">
        <v>0</v>
      </c>
      <c r="BA49" s="1090">
        <v>0</v>
      </c>
      <c r="BB49" s="1090">
        <v>0</v>
      </c>
      <c r="BC49" s="1090">
        <v>0</v>
      </c>
      <c r="BD49" s="1090">
        <v>0</v>
      </c>
      <c r="BE49" s="1090">
        <v>0</v>
      </c>
      <c r="BF49" s="1092">
        <v>0</v>
      </c>
      <c r="BG49" s="1227"/>
      <c r="BH49" s="1227"/>
      <c r="BI49" s="1227"/>
      <c r="BJ49" s="1227"/>
      <c r="BK49" s="1227"/>
      <c r="BL49" s="2475"/>
      <c r="BM49" s="2475"/>
      <c r="BN49" s="2475"/>
      <c r="BO49" s="2475"/>
      <c r="BP49" s="2475"/>
      <c r="BQ49" s="2475"/>
    </row>
    <row r="50" spans="1:69" s="1043" customFormat="1" ht="20.100000000000001" hidden="1" customHeight="1">
      <c r="A50" s="1093">
        <v>12</v>
      </c>
      <c r="B50" s="1094" t="s">
        <v>57</v>
      </c>
      <c r="C50" s="1082">
        <v>27</v>
      </c>
      <c r="D50" s="1097">
        <v>0</v>
      </c>
      <c r="E50" s="1083">
        <v>0</v>
      </c>
      <c r="F50" s="1095">
        <v>0</v>
      </c>
      <c r="G50" s="1096">
        <v>0</v>
      </c>
      <c r="H50" s="479">
        <v>2315.5</v>
      </c>
      <c r="I50" s="1097">
        <v>0</v>
      </c>
      <c r="J50" s="2430">
        <v>2315.5</v>
      </c>
      <c r="K50" s="2474">
        <v>0</v>
      </c>
      <c r="L50" s="2473">
        <v>0</v>
      </c>
      <c r="M50" s="2473">
        <v>0</v>
      </c>
      <c r="N50" s="2473">
        <v>0</v>
      </c>
      <c r="O50" s="2473">
        <v>0</v>
      </c>
      <c r="P50" s="2473">
        <v>0</v>
      </c>
      <c r="Q50" s="2473">
        <v>0</v>
      </c>
      <c r="R50" s="2473">
        <v>0</v>
      </c>
      <c r="S50" s="2473">
        <v>0</v>
      </c>
      <c r="T50" s="2473">
        <v>0</v>
      </c>
      <c r="U50" s="2473">
        <v>139</v>
      </c>
      <c r="V50" s="481">
        <v>139</v>
      </c>
      <c r="W50" s="482">
        <v>0</v>
      </c>
      <c r="X50" s="1095">
        <v>0</v>
      </c>
      <c r="Y50" s="561">
        <v>0</v>
      </c>
      <c r="Z50" s="561">
        <v>0</v>
      </c>
      <c r="AA50" s="561">
        <v>0</v>
      </c>
      <c r="AB50" s="561">
        <v>0</v>
      </c>
      <c r="AC50" s="561">
        <v>14</v>
      </c>
      <c r="AD50" s="561">
        <v>0</v>
      </c>
      <c r="AE50" s="561">
        <v>0</v>
      </c>
      <c r="AF50" s="1097">
        <v>0</v>
      </c>
      <c r="AG50" s="561">
        <v>0</v>
      </c>
      <c r="AH50" s="561">
        <v>0</v>
      </c>
      <c r="AI50" s="561">
        <v>0</v>
      </c>
      <c r="AJ50" s="561">
        <v>0</v>
      </c>
      <c r="AK50" s="561">
        <v>0</v>
      </c>
      <c r="AL50" s="1098">
        <v>14</v>
      </c>
      <c r="AM50" s="2476">
        <v>0</v>
      </c>
      <c r="AN50" s="561">
        <v>0</v>
      </c>
      <c r="AO50" s="1095">
        <v>0</v>
      </c>
      <c r="AP50" s="561">
        <v>0</v>
      </c>
      <c r="AQ50" s="561">
        <v>157</v>
      </c>
      <c r="AR50" s="1092">
        <v>2378</v>
      </c>
      <c r="AS50" s="1088">
        <v>0</v>
      </c>
      <c r="AT50" s="2451">
        <v>0</v>
      </c>
      <c r="AU50" s="1089">
        <v>0</v>
      </c>
      <c r="AV50" s="1090">
        <v>0</v>
      </c>
      <c r="AW50" s="1090">
        <v>47</v>
      </c>
      <c r="AX50" s="1091">
        <v>0</v>
      </c>
      <c r="AY50" s="1090">
        <v>0</v>
      </c>
      <c r="AZ50" s="1090">
        <v>0</v>
      </c>
      <c r="BA50" s="1090">
        <v>0</v>
      </c>
      <c r="BB50" s="1090">
        <v>0</v>
      </c>
      <c r="BC50" s="1090">
        <v>0</v>
      </c>
      <c r="BD50" s="1090">
        <v>0</v>
      </c>
      <c r="BE50" s="1090">
        <v>0</v>
      </c>
      <c r="BF50" s="1092">
        <v>0</v>
      </c>
      <c r="BG50" s="1227"/>
      <c r="BH50" s="1227"/>
      <c r="BI50" s="1227"/>
      <c r="BJ50" s="1227"/>
      <c r="BK50" s="1227"/>
      <c r="BL50" s="2475"/>
      <c r="BM50" s="2475"/>
      <c r="BN50" s="2475"/>
      <c r="BO50" s="2475"/>
      <c r="BP50" s="2475"/>
      <c r="BQ50" s="2475"/>
    </row>
    <row r="51" spans="1:69" s="1043" customFormat="1" ht="20.100000000000001" hidden="1" customHeight="1">
      <c r="A51" s="1093">
        <v>13</v>
      </c>
      <c r="B51" s="1094" t="s">
        <v>51</v>
      </c>
      <c r="C51" s="1082">
        <v>50</v>
      </c>
      <c r="D51" s="1097">
        <v>0</v>
      </c>
      <c r="E51" s="1083">
        <v>0</v>
      </c>
      <c r="F51" s="1095">
        <v>0</v>
      </c>
      <c r="G51" s="1096">
        <v>0</v>
      </c>
      <c r="H51" s="479">
        <v>6315.9999999999991</v>
      </c>
      <c r="I51" s="1097">
        <v>0</v>
      </c>
      <c r="J51" s="2430">
        <v>6315.9999999999991</v>
      </c>
      <c r="K51" s="2474">
        <v>0</v>
      </c>
      <c r="L51" s="2473">
        <v>0</v>
      </c>
      <c r="M51" s="2473">
        <v>0</v>
      </c>
      <c r="N51" s="2473">
        <v>0</v>
      </c>
      <c r="O51" s="2473">
        <v>0</v>
      </c>
      <c r="P51" s="2473">
        <v>0</v>
      </c>
      <c r="Q51" s="2473">
        <v>0</v>
      </c>
      <c r="R51" s="2473">
        <v>0</v>
      </c>
      <c r="S51" s="2473">
        <v>0</v>
      </c>
      <c r="T51" s="2473">
        <v>0</v>
      </c>
      <c r="U51" s="2473">
        <v>68</v>
      </c>
      <c r="V51" s="481">
        <v>68</v>
      </c>
      <c r="W51" s="482">
        <v>0</v>
      </c>
      <c r="X51" s="1095">
        <v>0</v>
      </c>
      <c r="Y51" s="561">
        <v>0</v>
      </c>
      <c r="Z51" s="561">
        <v>0</v>
      </c>
      <c r="AA51" s="561">
        <v>0</v>
      </c>
      <c r="AB51" s="480">
        <v>961</v>
      </c>
      <c r="AC51" s="561">
        <v>30</v>
      </c>
      <c r="AD51" s="561">
        <v>0</v>
      </c>
      <c r="AE51" s="561">
        <v>0</v>
      </c>
      <c r="AF51" s="1097">
        <v>0</v>
      </c>
      <c r="AG51" s="561">
        <v>0</v>
      </c>
      <c r="AH51" s="480">
        <v>0</v>
      </c>
      <c r="AI51" s="561">
        <v>0</v>
      </c>
      <c r="AJ51" s="561">
        <v>0</v>
      </c>
      <c r="AK51" s="561">
        <v>0</v>
      </c>
      <c r="AL51" s="1098">
        <v>991</v>
      </c>
      <c r="AM51" s="2476">
        <v>0</v>
      </c>
      <c r="AN51" s="561">
        <v>0</v>
      </c>
      <c r="AO51" s="1095">
        <v>0</v>
      </c>
      <c r="AP51" s="561">
        <v>0</v>
      </c>
      <c r="AQ51" s="561">
        <v>1064</v>
      </c>
      <c r="AR51" s="1092">
        <v>5731</v>
      </c>
      <c r="AS51" s="1088">
        <v>0</v>
      </c>
      <c r="AT51" s="2451">
        <v>0</v>
      </c>
      <c r="AU51" s="1089">
        <v>0</v>
      </c>
      <c r="AV51" s="1090">
        <v>372</v>
      </c>
      <c r="AW51" s="1090">
        <v>30</v>
      </c>
      <c r="AX51" s="1091">
        <v>0</v>
      </c>
      <c r="AY51" s="1090">
        <v>0</v>
      </c>
      <c r="AZ51" s="1090">
        <v>0</v>
      </c>
      <c r="BA51" s="1090">
        <v>0</v>
      </c>
      <c r="BB51" s="1090">
        <v>0</v>
      </c>
      <c r="BC51" s="1090">
        <v>0</v>
      </c>
      <c r="BD51" s="1090">
        <v>0</v>
      </c>
      <c r="BE51" s="1090">
        <v>0</v>
      </c>
      <c r="BF51" s="1092">
        <v>0</v>
      </c>
      <c r="BG51" s="1227"/>
      <c r="BH51" s="1227"/>
      <c r="BI51" s="1227"/>
      <c r="BJ51" s="1227"/>
      <c r="BK51" s="1227"/>
      <c r="BL51" s="2475"/>
      <c r="BM51" s="2475"/>
      <c r="BN51" s="2475"/>
      <c r="BO51" s="2475"/>
      <c r="BP51" s="2475"/>
      <c r="BQ51" s="2475"/>
    </row>
    <row r="52" spans="1:69" s="1043" customFormat="1" ht="20.100000000000001" hidden="1" customHeight="1">
      <c r="A52" s="1093">
        <v>14</v>
      </c>
      <c r="B52" s="1101" t="s">
        <v>89</v>
      </c>
      <c r="C52" s="1082">
        <v>24</v>
      </c>
      <c r="D52" s="1097">
        <v>0</v>
      </c>
      <c r="E52" s="1083">
        <v>0</v>
      </c>
      <c r="F52" s="1095">
        <v>0</v>
      </c>
      <c r="G52" s="1096">
        <v>0</v>
      </c>
      <c r="H52" s="479">
        <v>544</v>
      </c>
      <c r="I52" s="1097">
        <v>36</v>
      </c>
      <c r="J52" s="2430">
        <v>580</v>
      </c>
      <c r="K52" s="2474">
        <v>0</v>
      </c>
      <c r="L52" s="2473">
        <v>0</v>
      </c>
      <c r="M52" s="2473">
        <v>0</v>
      </c>
      <c r="N52" s="2473">
        <v>0</v>
      </c>
      <c r="O52" s="2473">
        <v>0</v>
      </c>
      <c r="P52" s="2473">
        <v>107.6</v>
      </c>
      <c r="Q52" s="2473">
        <v>0</v>
      </c>
      <c r="R52" s="2473">
        <v>0</v>
      </c>
      <c r="S52" s="2473">
        <v>0</v>
      </c>
      <c r="T52" s="2473">
        <v>0</v>
      </c>
      <c r="U52" s="2473">
        <v>0</v>
      </c>
      <c r="V52" s="481">
        <v>107.6</v>
      </c>
      <c r="W52" s="482">
        <v>0</v>
      </c>
      <c r="X52" s="1095">
        <v>0</v>
      </c>
      <c r="Y52" s="561">
        <v>0</v>
      </c>
      <c r="Z52" s="561">
        <v>0</v>
      </c>
      <c r="AA52" s="561">
        <v>0</v>
      </c>
      <c r="AB52" s="561">
        <v>0</v>
      </c>
      <c r="AC52" s="561">
        <v>0</v>
      </c>
      <c r="AD52" s="561">
        <v>0</v>
      </c>
      <c r="AE52" s="561">
        <v>0</v>
      </c>
      <c r="AF52" s="1097">
        <v>0</v>
      </c>
      <c r="AG52" s="561">
        <v>0</v>
      </c>
      <c r="AH52" s="561">
        <v>0</v>
      </c>
      <c r="AI52" s="561">
        <v>0</v>
      </c>
      <c r="AJ52" s="561">
        <v>0</v>
      </c>
      <c r="AK52" s="561">
        <v>0</v>
      </c>
      <c r="AL52" s="1098">
        <v>0</v>
      </c>
      <c r="AM52" s="2476">
        <v>0</v>
      </c>
      <c r="AN52" s="561">
        <v>0</v>
      </c>
      <c r="AO52" s="1095">
        <v>0</v>
      </c>
      <c r="AP52" s="561">
        <v>108</v>
      </c>
      <c r="AQ52" s="561">
        <v>0</v>
      </c>
      <c r="AR52" s="1092">
        <v>486</v>
      </c>
      <c r="AS52" s="1088">
        <v>0</v>
      </c>
      <c r="AT52" s="2451">
        <v>0</v>
      </c>
      <c r="AU52" s="1089">
        <v>0</v>
      </c>
      <c r="AV52" s="1090">
        <v>0</v>
      </c>
      <c r="AW52" s="1090">
        <v>0</v>
      </c>
      <c r="AX52" s="1091">
        <v>0</v>
      </c>
      <c r="AY52" s="1090">
        <v>32</v>
      </c>
      <c r="AZ52" s="1090">
        <v>0</v>
      </c>
      <c r="BA52" s="1090">
        <v>0</v>
      </c>
      <c r="BB52" s="1090">
        <v>0</v>
      </c>
      <c r="BC52" s="1090">
        <v>0</v>
      </c>
      <c r="BD52" s="1090">
        <v>0</v>
      </c>
      <c r="BE52" s="1090">
        <v>0</v>
      </c>
      <c r="BF52" s="1092">
        <v>0</v>
      </c>
      <c r="BG52" s="1227"/>
      <c r="BH52" s="1227"/>
      <c r="BI52" s="1227"/>
      <c r="BJ52" s="1227"/>
      <c r="BK52" s="1227"/>
      <c r="BL52" s="2475"/>
      <c r="BM52" s="2475"/>
      <c r="BN52" s="2475"/>
      <c r="BO52" s="2475"/>
      <c r="BP52" s="2475"/>
      <c r="BQ52" s="2475"/>
    </row>
    <row r="53" spans="1:69" s="1043" customFormat="1" ht="20.100000000000001" hidden="1" customHeight="1">
      <c r="A53" s="1093">
        <v>15</v>
      </c>
      <c r="B53" s="1094" t="s">
        <v>142</v>
      </c>
      <c r="C53" s="1082">
        <v>6</v>
      </c>
      <c r="D53" s="1097">
        <v>0</v>
      </c>
      <c r="E53" s="1083">
        <v>0</v>
      </c>
      <c r="F53" s="1095">
        <v>0</v>
      </c>
      <c r="G53" s="1096">
        <v>25</v>
      </c>
      <c r="H53" s="479">
        <v>1440.9999999999998</v>
      </c>
      <c r="I53" s="1097">
        <v>0</v>
      </c>
      <c r="J53" s="2430">
        <v>1440.9999999999998</v>
      </c>
      <c r="K53" s="2474">
        <v>0</v>
      </c>
      <c r="L53" s="2473">
        <v>0</v>
      </c>
      <c r="M53" s="2473">
        <v>0</v>
      </c>
      <c r="N53" s="2473">
        <v>0</v>
      </c>
      <c r="O53" s="2473">
        <v>0</v>
      </c>
      <c r="P53" s="2473">
        <v>0</v>
      </c>
      <c r="Q53" s="2473">
        <v>0</v>
      </c>
      <c r="R53" s="2473">
        <v>0</v>
      </c>
      <c r="S53" s="2473">
        <v>0</v>
      </c>
      <c r="T53" s="2473">
        <v>0</v>
      </c>
      <c r="U53" s="2473">
        <v>0</v>
      </c>
      <c r="V53" s="481">
        <v>0</v>
      </c>
      <c r="W53" s="482">
        <v>0</v>
      </c>
      <c r="X53" s="1095">
        <v>0</v>
      </c>
      <c r="Y53" s="561">
        <v>0</v>
      </c>
      <c r="Z53" s="561">
        <v>0</v>
      </c>
      <c r="AA53" s="561">
        <v>0</v>
      </c>
      <c r="AB53" s="561">
        <v>0</v>
      </c>
      <c r="AC53" s="561">
        <v>0</v>
      </c>
      <c r="AD53" s="561">
        <v>0</v>
      </c>
      <c r="AE53" s="561">
        <v>0</v>
      </c>
      <c r="AF53" s="1097">
        <v>0</v>
      </c>
      <c r="AG53" s="561">
        <v>0</v>
      </c>
      <c r="AH53" s="561">
        <v>0</v>
      </c>
      <c r="AI53" s="561">
        <v>0</v>
      </c>
      <c r="AJ53" s="561">
        <v>0</v>
      </c>
      <c r="AK53" s="561">
        <v>0</v>
      </c>
      <c r="AL53" s="1098">
        <v>0</v>
      </c>
      <c r="AM53" s="2476">
        <v>0</v>
      </c>
      <c r="AN53" s="561">
        <v>0</v>
      </c>
      <c r="AO53" s="1095">
        <v>0</v>
      </c>
      <c r="AP53" s="561">
        <v>0</v>
      </c>
      <c r="AQ53" s="561">
        <v>0</v>
      </c>
      <c r="AR53" s="1092">
        <v>1412</v>
      </c>
      <c r="AS53" s="1088">
        <v>0</v>
      </c>
      <c r="AT53" s="2451">
        <v>0</v>
      </c>
      <c r="AU53" s="1089">
        <v>0</v>
      </c>
      <c r="AV53" s="1090">
        <v>0</v>
      </c>
      <c r="AW53" s="1090">
        <v>0</v>
      </c>
      <c r="AX53" s="1091">
        <v>0</v>
      </c>
      <c r="AY53" s="1090">
        <v>0</v>
      </c>
      <c r="AZ53" s="1090">
        <v>0</v>
      </c>
      <c r="BA53" s="1090">
        <v>0</v>
      </c>
      <c r="BB53" s="1090">
        <v>0</v>
      </c>
      <c r="BC53" s="1090">
        <v>0</v>
      </c>
      <c r="BD53" s="1090">
        <v>0</v>
      </c>
      <c r="BE53" s="1090">
        <v>0</v>
      </c>
      <c r="BF53" s="1092">
        <v>0</v>
      </c>
      <c r="BG53" s="1227"/>
      <c r="BH53" s="1227"/>
      <c r="BI53" s="1227"/>
      <c r="BJ53" s="1227"/>
      <c r="BK53" s="1227"/>
      <c r="BL53" s="2475"/>
      <c r="BM53" s="2475"/>
      <c r="BN53" s="2475"/>
      <c r="BO53" s="2475"/>
      <c r="BP53" s="2475"/>
      <c r="BQ53" s="2475"/>
    </row>
    <row r="54" spans="1:69" s="1043" customFormat="1" ht="24.95" hidden="1" customHeight="1">
      <c r="A54" s="1093">
        <v>16</v>
      </c>
      <c r="B54" s="1094" t="s">
        <v>52</v>
      </c>
      <c r="C54" s="1082">
        <v>27</v>
      </c>
      <c r="D54" s="1097">
        <v>0</v>
      </c>
      <c r="E54" s="1083">
        <v>0</v>
      </c>
      <c r="F54" s="1095">
        <v>0</v>
      </c>
      <c r="G54" s="1096">
        <v>0</v>
      </c>
      <c r="H54" s="479">
        <v>2675</v>
      </c>
      <c r="I54" s="1097">
        <v>0</v>
      </c>
      <c r="J54" s="2430">
        <v>2675</v>
      </c>
      <c r="K54" s="2474">
        <v>0</v>
      </c>
      <c r="L54" s="2473">
        <v>149.5</v>
      </c>
      <c r="M54" s="2473">
        <v>0</v>
      </c>
      <c r="N54" s="2473">
        <v>0</v>
      </c>
      <c r="O54" s="2473">
        <v>0</v>
      </c>
      <c r="P54" s="2473">
        <v>0</v>
      </c>
      <c r="Q54" s="2473">
        <v>0</v>
      </c>
      <c r="R54" s="2473">
        <v>0</v>
      </c>
      <c r="S54" s="2473">
        <v>0</v>
      </c>
      <c r="T54" s="2473">
        <v>0</v>
      </c>
      <c r="U54" s="2473">
        <v>0</v>
      </c>
      <c r="V54" s="481">
        <v>149.5</v>
      </c>
      <c r="W54" s="482">
        <v>0</v>
      </c>
      <c r="X54" s="1095">
        <v>30</v>
      </c>
      <c r="Y54" s="561">
        <v>55</v>
      </c>
      <c r="Z54" s="561">
        <v>0</v>
      </c>
      <c r="AA54" s="561">
        <v>0</v>
      </c>
      <c r="AB54" s="561">
        <v>0</v>
      </c>
      <c r="AC54" s="561">
        <v>0</v>
      </c>
      <c r="AD54" s="561">
        <v>0</v>
      </c>
      <c r="AE54" s="561">
        <v>0</v>
      </c>
      <c r="AF54" s="1097">
        <v>0</v>
      </c>
      <c r="AG54" s="561">
        <v>0</v>
      </c>
      <c r="AH54" s="561">
        <v>0</v>
      </c>
      <c r="AI54" s="561">
        <v>0</v>
      </c>
      <c r="AJ54" s="561">
        <v>0</v>
      </c>
      <c r="AK54" s="561">
        <v>0</v>
      </c>
      <c r="AL54" s="1098">
        <v>85</v>
      </c>
      <c r="AM54" s="2476">
        <v>343</v>
      </c>
      <c r="AN54" s="561">
        <v>0</v>
      </c>
      <c r="AO54" s="1095">
        <v>0</v>
      </c>
      <c r="AP54" s="561">
        <v>0</v>
      </c>
      <c r="AQ54" s="561">
        <v>0</v>
      </c>
      <c r="AR54" s="1092">
        <v>2590</v>
      </c>
      <c r="AS54" s="1088">
        <v>108</v>
      </c>
      <c r="AT54" s="2451">
        <v>55</v>
      </c>
      <c r="AU54" s="1089">
        <v>0</v>
      </c>
      <c r="AV54" s="1090">
        <v>0</v>
      </c>
      <c r="AW54" s="1090">
        <v>0</v>
      </c>
      <c r="AX54" s="1091">
        <v>0</v>
      </c>
      <c r="AY54" s="1090">
        <v>0</v>
      </c>
      <c r="AZ54" s="1090">
        <v>0</v>
      </c>
      <c r="BA54" s="1090">
        <v>0</v>
      </c>
      <c r="BB54" s="1090">
        <v>0</v>
      </c>
      <c r="BC54" s="1090">
        <v>0</v>
      </c>
      <c r="BD54" s="1090">
        <v>0</v>
      </c>
      <c r="BE54" s="1090">
        <v>0</v>
      </c>
      <c r="BF54" s="1092">
        <v>0</v>
      </c>
      <c r="BG54" s="1227"/>
      <c r="BH54" s="1227"/>
      <c r="BI54" s="1227"/>
      <c r="BJ54" s="1227"/>
      <c r="BK54" s="1227"/>
      <c r="BL54" s="2475"/>
      <c r="BM54" s="2475"/>
      <c r="BN54" s="2475"/>
      <c r="BO54" s="2475"/>
      <c r="BP54" s="2475"/>
      <c r="BQ54" s="2475"/>
    </row>
    <row r="55" spans="1:69" s="1043" customFormat="1" ht="20.100000000000001" hidden="1" customHeight="1">
      <c r="A55" s="1093">
        <v>17</v>
      </c>
      <c r="B55" s="1094" t="s">
        <v>53</v>
      </c>
      <c r="C55" s="1082">
        <v>42</v>
      </c>
      <c r="D55" s="1097">
        <v>25</v>
      </c>
      <c r="E55" s="1083">
        <v>0</v>
      </c>
      <c r="F55" s="1095">
        <v>0</v>
      </c>
      <c r="G55" s="1096">
        <v>0</v>
      </c>
      <c r="H55" s="479">
        <v>5577.2</v>
      </c>
      <c r="I55" s="1097">
        <v>0</v>
      </c>
      <c r="J55" s="2430">
        <v>5577.2</v>
      </c>
      <c r="K55" s="2474">
        <v>0</v>
      </c>
      <c r="L55" s="2473">
        <v>0</v>
      </c>
      <c r="M55" s="2473">
        <v>0</v>
      </c>
      <c r="N55" s="2473">
        <v>0</v>
      </c>
      <c r="O55" s="2473">
        <v>148.4</v>
      </c>
      <c r="P55" s="2473">
        <v>0</v>
      </c>
      <c r="Q55" s="2473">
        <v>0</v>
      </c>
      <c r="R55" s="2473">
        <v>0</v>
      </c>
      <c r="S55" s="2473">
        <v>0</v>
      </c>
      <c r="T55" s="2473">
        <v>0</v>
      </c>
      <c r="U55" s="2473">
        <v>0</v>
      </c>
      <c r="V55" s="481">
        <v>148.4</v>
      </c>
      <c r="W55" s="482">
        <v>0</v>
      </c>
      <c r="X55" s="1095">
        <v>0</v>
      </c>
      <c r="Y55" s="561">
        <v>0</v>
      </c>
      <c r="Z55" s="480">
        <v>0</v>
      </c>
      <c r="AA55" s="480">
        <v>0</v>
      </c>
      <c r="AB55" s="561">
        <v>723</v>
      </c>
      <c r="AC55" s="561">
        <v>0</v>
      </c>
      <c r="AD55" s="561">
        <v>0</v>
      </c>
      <c r="AE55" s="561">
        <v>0</v>
      </c>
      <c r="AF55" s="1097">
        <v>0</v>
      </c>
      <c r="AG55" s="480">
        <v>76.2</v>
      </c>
      <c r="AH55" s="561">
        <v>75.599999999999994</v>
      </c>
      <c r="AI55" s="561">
        <v>7</v>
      </c>
      <c r="AJ55" s="561">
        <v>0</v>
      </c>
      <c r="AK55" s="561">
        <v>0</v>
      </c>
      <c r="AL55" s="1098">
        <v>881.80000000000007</v>
      </c>
      <c r="AM55" s="2476">
        <v>0</v>
      </c>
      <c r="AN55" s="561">
        <v>0</v>
      </c>
      <c r="AO55" s="1095">
        <v>235</v>
      </c>
      <c r="AP55" s="561">
        <v>83</v>
      </c>
      <c r="AQ55" s="561">
        <v>792</v>
      </c>
      <c r="AR55" s="1092">
        <v>5192</v>
      </c>
      <c r="AS55" s="1088">
        <v>0</v>
      </c>
      <c r="AT55" s="2451">
        <v>0</v>
      </c>
      <c r="AU55" s="1089">
        <v>0</v>
      </c>
      <c r="AV55" s="1090">
        <v>278</v>
      </c>
      <c r="AW55" s="1090">
        <v>0</v>
      </c>
      <c r="AX55" s="1091">
        <v>44</v>
      </c>
      <c r="AY55" s="1090">
        <v>0</v>
      </c>
      <c r="AZ55" s="1090">
        <v>0</v>
      </c>
      <c r="BA55" s="1090">
        <v>0</v>
      </c>
      <c r="BB55" s="1090">
        <v>0</v>
      </c>
      <c r="BC55" s="1090">
        <v>0</v>
      </c>
      <c r="BD55" s="1090">
        <v>60</v>
      </c>
      <c r="BE55" s="1090">
        <v>45</v>
      </c>
      <c r="BF55" s="1092">
        <v>7</v>
      </c>
      <c r="BG55" s="1227"/>
      <c r="BH55" s="1227"/>
      <c r="BI55" s="1227"/>
      <c r="BJ55" s="1227"/>
      <c r="BK55" s="1227"/>
      <c r="BL55" s="2475"/>
      <c r="BM55" s="2475"/>
      <c r="BN55" s="2475"/>
      <c r="BO55" s="2475"/>
      <c r="BP55" s="2475"/>
      <c r="BQ55" s="2475"/>
    </row>
    <row r="56" spans="1:69" s="1043" customFormat="1" ht="20.100000000000001" hidden="1" customHeight="1">
      <c r="A56" s="1093">
        <v>18</v>
      </c>
      <c r="B56" s="1094" t="s">
        <v>54</v>
      </c>
      <c r="C56" s="1082">
        <v>77</v>
      </c>
      <c r="D56" s="1097">
        <v>50</v>
      </c>
      <c r="E56" s="1083">
        <v>0</v>
      </c>
      <c r="F56" s="1095">
        <v>0</v>
      </c>
      <c r="G56" s="1096">
        <v>0</v>
      </c>
      <c r="H56" s="479">
        <v>11303.7</v>
      </c>
      <c r="I56" s="1097">
        <v>0</v>
      </c>
      <c r="J56" s="2430">
        <v>11303.7</v>
      </c>
      <c r="K56" s="2474">
        <v>0</v>
      </c>
      <c r="L56" s="2473">
        <v>0</v>
      </c>
      <c r="M56" s="2473">
        <v>0</v>
      </c>
      <c r="N56" s="2473">
        <v>0</v>
      </c>
      <c r="O56" s="2473">
        <v>512.29999999999995</v>
      </c>
      <c r="P56" s="2473">
        <v>0</v>
      </c>
      <c r="Q56" s="2473">
        <v>0</v>
      </c>
      <c r="R56" s="2473">
        <v>0</v>
      </c>
      <c r="S56" s="2473">
        <v>129.5</v>
      </c>
      <c r="T56" s="2473">
        <v>351.2</v>
      </c>
      <c r="U56" s="2473">
        <v>0</v>
      </c>
      <c r="V56" s="481">
        <v>993</v>
      </c>
      <c r="W56" s="1102">
        <v>0</v>
      </c>
      <c r="X56" s="1095">
        <v>0</v>
      </c>
      <c r="Y56" s="1095">
        <v>0</v>
      </c>
      <c r="Z56" s="1095">
        <v>0</v>
      </c>
      <c r="AA56" s="1095">
        <v>0</v>
      </c>
      <c r="AB56" s="1095">
        <v>0</v>
      </c>
      <c r="AC56" s="1095">
        <v>0</v>
      </c>
      <c r="AD56" s="1095">
        <v>0</v>
      </c>
      <c r="AE56" s="1095">
        <v>159</v>
      </c>
      <c r="AF56" s="1095">
        <v>278</v>
      </c>
      <c r="AG56" s="1095">
        <v>0</v>
      </c>
      <c r="AH56" s="1095">
        <v>0</v>
      </c>
      <c r="AI56" s="1095">
        <v>0</v>
      </c>
      <c r="AJ56" s="1095">
        <v>40.200000000000003</v>
      </c>
      <c r="AK56" s="1095">
        <v>0</v>
      </c>
      <c r="AL56" s="1096">
        <v>477.2</v>
      </c>
      <c r="AM56" s="2476">
        <v>0</v>
      </c>
      <c r="AN56" s="561">
        <v>0</v>
      </c>
      <c r="AO56" s="1095">
        <v>813</v>
      </c>
      <c r="AP56" s="561">
        <v>640</v>
      </c>
      <c r="AQ56" s="561">
        <v>0</v>
      </c>
      <c r="AR56" s="1092">
        <v>10368</v>
      </c>
      <c r="AS56" s="1088">
        <v>0</v>
      </c>
      <c r="AT56" s="2451">
        <v>0</v>
      </c>
      <c r="AU56" s="1089">
        <v>0</v>
      </c>
      <c r="AV56" s="1090">
        <v>0</v>
      </c>
      <c r="AW56" s="1090">
        <v>0</v>
      </c>
      <c r="AX56" s="1091">
        <v>152</v>
      </c>
      <c r="AY56" s="1090">
        <v>0</v>
      </c>
      <c r="AZ56" s="1090">
        <v>0</v>
      </c>
      <c r="BA56" s="1090">
        <v>0</v>
      </c>
      <c r="BB56" s="1090">
        <v>294</v>
      </c>
      <c r="BC56" s="1090">
        <v>640</v>
      </c>
      <c r="BD56" s="1090">
        <v>0</v>
      </c>
      <c r="BE56" s="1090">
        <v>0</v>
      </c>
      <c r="BF56" s="1092">
        <v>0</v>
      </c>
      <c r="BG56" s="1227"/>
      <c r="BH56" s="1227"/>
      <c r="BI56" s="1227"/>
      <c r="BJ56" s="1227"/>
      <c r="BK56" s="1227"/>
      <c r="BL56" s="2475"/>
      <c r="BM56" s="2475"/>
      <c r="BN56" s="2475"/>
      <c r="BO56" s="2475"/>
      <c r="BP56" s="2475"/>
      <c r="BQ56" s="2475"/>
    </row>
    <row r="57" spans="1:69" s="1043" customFormat="1" ht="20.100000000000001" hidden="1" customHeight="1">
      <c r="A57" s="1093">
        <v>19</v>
      </c>
      <c r="B57" s="1094" t="s">
        <v>58</v>
      </c>
      <c r="C57" s="1082">
        <v>25</v>
      </c>
      <c r="D57" s="1097">
        <v>0</v>
      </c>
      <c r="E57" s="1083">
        <v>0</v>
      </c>
      <c r="F57" s="1095">
        <v>0</v>
      </c>
      <c r="G57" s="1096">
        <v>0</v>
      </c>
      <c r="H57" s="479">
        <v>8443.4</v>
      </c>
      <c r="I57" s="1097">
        <v>0</v>
      </c>
      <c r="J57" s="2430">
        <v>8443.4</v>
      </c>
      <c r="K57" s="2474">
        <v>0</v>
      </c>
      <c r="L57" s="2473">
        <v>0</v>
      </c>
      <c r="M57" s="2473">
        <v>0</v>
      </c>
      <c r="N57" s="2473">
        <v>0</v>
      </c>
      <c r="O57" s="2473">
        <v>288.7</v>
      </c>
      <c r="P57" s="2473">
        <v>0</v>
      </c>
      <c r="Q57" s="2473">
        <v>0</v>
      </c>
      <c r="R57" s="2473">
        <v>0</v>
      </c>
      <c r="S57" s="2473">
        <v>33.6</v>
      </c>
      <c r="T57" s="2473">
        <v>53.8</v>
      </c>
      <c r="U57" s="2473">
        <v>0</v>
      </c>
      <c r="V57" s="481">
        <v>376.1</v>
      </c>
      <c r="W57" s="482">
        <v>0</v>
      </c>
      <c r="X57" s="1095">
        <v>0</v>
      </c>
      <c r="Y57" s="561">
        <v>0</v>
      </c>
      <c r="Z57" s="480">
        <v>0</v>
      </c>
      <c r="AA57" s="480">
        <v>0</v>
      </c>
      <c r="AB57" s="480">
        <v>2148</v>
      </c>
      <c r="AC57" s="561">
        <v>0</v>
      </c>
      <c r="AD57" s="561">
        <v>0</v>
      </c>
      <c r="AE57" s="561">
        <v>88</v>
      </c>
      <c r="AF57" s="1097">
        <v>55</v>
      </c>
      <c r="AG57" s="480">
        <v>30</v>
      </c>
      <c r="AH57" s="480">
        <v>0</v>
      </c>
      <c r="AI57" s="561">
        <v>0</v>
      </c>
      <c r="AJ57" s="561">
        <v>31.7</v>
      </c>
      <c r="AK57" s="561">
        <v>0</v>
      </c>
      <c r="AL57" s="1098">
        <v>2352.6999999999998</v>
      </c>
      <c r="AM57" s="2476">
        <v>0</v>
      </c>
      <c r="AN57" s="561">
        <v>0</v>
      </c>
      <c r="AO57" s="1095">
        <v>411</v>
      </c>
      <c r="AP57" s="561">
        <v>140</v>
      </c>
      <c r="AQ57" s="561">
        <v>2166</v>
      </c>
      <c r="AR57" s="1092">
        <v>8101</v>
      </c>
      <c r="AS57" s="1088">
        <v>0</v>
      </c>
      <c r="AT57" s="2451">
        <v>0</v>
      </c>
      <c r="AU57" s="1089">
        <v>0</v>
      </c>
      <c r="AV57" s="1090">
        <v>848</v>
      </c>
      <c r="AW57" s="1090">
        <v>0</v>
      </c>
      <c r="AX57" s="1091">
        <v>72</v>
      </c>
      <c r="AY57" s="1090">
        <v>0</v>
      </c>
      <c r="AZ57" s="1090">
        <v>0</v>
      </c>
      <c r="BA57" s="1090">
        <v>0</v>
      </c>
      <c r="BB57" s="1090">
        <v>122</v>
      </c>
      <c r="BC57" s="1090">
        <v>110</v>
      </c>
      <c r="BD57" s="1090">
        <v>30</v>
      </c>
      <c r="BE57" s="1090">
        <v>0</v>
      </c>
      <c r="BF57" s="1092">
        <v>0</v>
      </c>
      <c r="BG57" s="1227"/>
      <c r="BH57" s="1227"/>
      <c r="BI57" s="1227"/>
      <c r="BJ57" s="1227"/>
      <c r="BK57" s="1227"/>
      <c r="BL57" s="2475"/>
      <c r="BM57" s="2475"/>
      <c r="BN57" s="2475"/>
      <c r="BO57" s="2475"/>
      <c r="BP57" s="2475"/>
      <c r="BQ57" s="2475"/>
    </row>
    <row r="58" spans="1:69" s="1043" customFormat="1" ht="30" hidden="1" customHeight="1" thickBot="1">
      <c r="A58" s="1103"/>
      <c r="B58" s="1104" t="s">
        <v>2</v>
      </c>
      <c r="C58" s="1105">
        <v>832</v>
      </c>
      <c r="D58" s="1105">
        <v>205</v>
      </c>
      <c r="E58" s="1106">
        <v>48.3</v>
      </c>
      <c r="F58" s="1107">
        <v>105</v>
      </c>
      <c r="G58" s="1108">
        <v>300</v>
      </c>
      <c r="H58" s="1106">
        <v>108719.69999999997</v>
      </c>
      <c r="I58" s="1107">
        <v>36</v>
      </c>
      <c r="J58" s="1108">
        <v>108755.69999999997</v>
      </c>
      <c r="K58" s="1109">
        <v>1470.9</v>
      </c>
      <c r="L58" s="1110">
        <v>1114</v>
      </c>
      <c r="M58" s="1110">
        <v>340.4</v>
      </c>
      <c r="N58" s="1110">
        <v>86.7</v>
      </c>
      <c r="O58" s="1110">
        <v>2463.3999999999996</v>
      </c>
      <c r="P58" s="1110">
        <v>171.89999999999998</v>
      </c>
      <c r="Q58" s="1110">
        <v>381.2</v>
      </c>
      <c r="R58" s="1110">
        <v>95.1</v>
      </c>
      <c r="S58" s="1110">
        <v>392.1</v>
      </c>
      <c r="T58" s="1110">
        <v>792.2</v>
      </c>
      <c r="U58" s="1110">
        <v>780</v>
      </c>
      <c r="V58" s="1111">
        <v>8087.9000000000005</v>
      </c>
      <c r="W58" s="1112">
        <v>144.5</v>
      </c>
      <c r="X58" s="1110">
        <v>110</v>
      </c>
      <c r="Y58" s="1110">
        <v>55</v>
      </c>
      <c r="Z58" s="1110">
        <v>40</v>
      </c>
      <c r="AA58" s="1110">
        <v>63</v>
      </c>
      <c r="AB58" s="1110">
        <v>8422</v>
      </c>
      <c r="AC58" s="1110">
        <v>69</v>
      </c>
      <c r="AD58" s="1341">
        <v>45</v>
      </c>
      <c r="AE58" s="1113">
        <v>795</v>
      </c>
      <c r="AF58" s="1110">
        <v>691</v>
      </c>
      <c r="AG58" s="1110">
        <v>256.2</v>
      </c>
      <c r="AH58" s="1110">
        <v>81.599999999999994</v>
      </c>
      <c r="AI58" s="1110">
        <v>9</v>
      </c>
      <c r="AJ58" s="1110">
        <v>329</v>
      </c>
      <c r="AK58" s="1110">
        <v>198</v>
      </c>
      <c r="AL58" s="1111">
        <v>11308.3</v>
      </c>
      <c r="AM58" s="1109">
        <v>4046</v>
      </c>
      <c r="AN58" s="1107">
        <v>649</v>
      </c>
      <c r="AO58" s="1110">
        <v>3845</v>
      </c>
      <c r="AP58" s="1110">
        <v>2427</v>
      </c>
      <c r="AQ58" s="1110">
        <v>9675</v>
      </c>
      <c r="AR58" s="1114">
        <v>97342</v>
      </c>
      <c r="AS58" s="1115">
        <v>834</v>
      </c>
      <c r="AT58" s="1117">
        <v>55</v>
      </c>
      <c r="AU58" s="1116">
        <v>135</v>
      </c>
      <c r="AV58" s="1117">
        <v>3388</v>
      </c>
      <c r="AW58" s="1117">
        <v>280</v>
      </c>
      <c r="AX58" s="1118">
        <v>710</v>
      </c>
      <c r="AY58" s="1117">
        <v>57</v>
      </c>
      <c r="AZ58" s="1117">
        <v>100</v>
      </c>
      <c r="BA58" s="1117">
        <v>33</v>
      </c>
      <c r="BB58" s="1117">
        <v>1200</v>
      </c>
      <c r="BC58" s="1117">
        <v>1510</v>
      </c>
      <c r="BD58" s="1117">
        <v>240</v>
      </c>
      <c r="BE58" s="1117">
        <v>51</v>
      </c>
      <c r="BF58" s="1114">
        <v>9</v>
      </c>
      <c r="BG58" s="1227"/>
      <c r="BH58" s="1227"/>
      <c r="BI58" s="1227"/>
      <c r="BJ58" s="1227"/>
      <c r="BK58" s="1227"/>
      <c r="BL58" s="2475"/>
      <c r="BM58" s="2475"/>
      <c r="BN58" s="2475"/>
      <c r="BO58" s="2475"/>
      <c r="BP58" s="2475"/>
      <c r="BQ58" s="2475"/>
    </row>
    <row r="59" spans="1:69" s="1120" customFormat="1" hidden="1">
      <c r="A59" s="1119"/>
      <c r="B59" s="1119"/>
      <c r="C59" s="1119"/>
      <c r="D59" s="1119"/>
      <c r="E59" s="1119"/>
      <c r="F59" s="1119"/>
      <c r="G59" s="1119"/>
      <c r="H59" s="1119"/>
      <c r="I59" s="1119"/>
      <c r="J59" s="1119"/>
      <c r="K59" s="1119"/>
      <c r="L59" s="1119"/>
      <c r="M59" s="1119"/>
      <c r="N59" s="1119"/>
      <c r="O59" s="1119"/>
      <c r="P59" s="1119"/>
      <c r="Q59" s="1119"/>
      <c r="R59" s="1119"/>
      <c r="S59" s="1119"/>
      <c r="T59" s="1119"/>
      <c r="U59" s="1119"/>
      <c r="V59" s="1119"/>
      <c r="W59" s="1119"/>
      <c r="X59" s="1119"/>
      <c r="Y59" s="1119"/>
      <c r="Z59" s="1119"/>
      <c r="AA59" s="1119"/>
      <c r="AB59" s="1119"/>
      <c r="AC59" s="1119"/>
      <c r="AD59" s="1119"/>
      <c r="AE59" s="1119"/>
      <c r="AF59" s="1119"/>
      <c r="AG59" s="1119"/>
      <c r="AH59" s="1119"/>
      <c r="AI59" s="1119"/>
      <c r="AJ59" s="1119"/>
      <c r="AK59" s="1119"/>
      <c r="AL59" s="1119"/>
      <c r="AM59" s="1119"/>
      <c r="AN59" s="1119"/>
      <c r="AO59" s="1119"/>
      <c r="AP59" s="1119"/>
      <c r="AQ59" s="1119"/>
      <c r="AR59" s="1119"/>
      <c r="AS59" s="1119"/>
      <c r="AT59" s="1119"/>
      <c r="AU59" s="1119"/>
      <c r="AV59" s="1119"/>
      <c r="AW59" s="1119"/>
      <c r="AX59" s="1119"/>
      <c r="AY59" s="1119"/>
      <c r="AZ59" s="1119"/>
      <c r="BA59" s="1119"/>
      <c r="BB59" s="1119"/>
      <c r="BC59" s="1119"/>
      <c r="BD59" s="1119"/>
      <c r="BE59" s="1119"/>
      <c r="BF59" s="1119"/>
      <c r="BG59" s="1119"/>
      <c r="BH59" s="1119"/>
      <c r="BI59" s="1119"/>
      <c r="BJ59" s="1119"/>
      <c r="BK59" s="1119"/>
      <c r="BL59" s="1119"/>
      <c r="BM59" s="1119"/>
      <c r="BN59" s="1119"/>
      <c r="BO59" s="1119"/>
      <c r="BP59" s="1119"/>
      <c r="BQ59" s="1119"/>
    </row>
    <row r="60" spans="1:69" s="1120" customFormat="1" hidden="1">
      <c r="A60" s="1119"/>
      <c r="B60" s="1119"/>
      <c r="C60" s="1119"/>
      <c r="D60" s="1119"/>
      <c r="E60" s="1119"/>
      <c r="F60" s="1119"/>
      <c r="G60" s="1119"/>
      <c r="H60" s="1119"/>
      <c r="I60" s="1119"/>
      <c r="J60" s="1119"/>
      <c r="K60" s="1119"/>
      <c r="L60" s="1119"/>
      <c r="M60" s="1119"/>
      <c r="N60" s="1119"/>
      <c r="O60" s="1119"/>
      <c r="P60" s="1119"/>
      <c r="Q60" s="1119"/>
      <c r="R60" s="1119"/>
      <c r="S60" s="1119"/>
      <c r="T60" s="1119"/>
      <c r="U60" s="1119"/>
      <c r="V60" s="1119"/>
      <c r="W60" s="1119"/>
      <c r="X60" s="1119"/>
      <c r="Y60" s="1119"/>
      <c r="Z60" s="1119"/>
      <c r="AA60" s="1119"/>
      <c r="AB60" s="1119"/>
      <c r="AC60" s="1119"/>
      <c r="AD60" s="1119"/>
      <c r="AE60" s="1119"/>
      <c r="AF60" s="1119"/>
      <c r="AG60" s="1119"/>
      <c r="AH60" s="1119"/>
      <c r="AI60" s="1119"/>
      <c r="AJ60" s="1119"/>
      <c r="AK60" s="1119"/>
      <c r="AL60" s="1119"/>
      <c r="AM60" s="1119"/>
      <c r="AN60" s="1119"/>
      <c r="AO60" s="1119"/>
      <c r="AP60" s="1119"/>
      <c r="AQ60" s="1119"/>
      <c r="AR60" s="1119"/>
      <c r="AS60" s="1119"/>
      <c r="AT60" s="1119"/>
      <c r="AU60" s="1119"/>
      <c r="AV60" s="1119"/>
      <c r="AW60" s="1119"/>
      <c r="AX60" s="1119"/>
      <c r="AY60" s="1119"/>
      <c r="AZ60" s="1119"/>
      <c r="BA60" s="1119"/>
      <c r="BB60" s="1119"/>
      <c r="BC60" s="1119"/>
      <c r="BD60" s="1119"/>
      <c r="BE60" s="1119"/>
      <c r="BF60" s="1119"/>
      <c r="BG60" s="1119"/>
      <c r="BH60" s="1119"/>
      <c r="BI60" s="1119"/>
      <c r="BJ60" s="1119"/>
      <c r="BK60" s="1119"/>
      <c r="BL60" s="1119"/>
      <c r="BM60" s="1119"/>
      <c r="BN60" s="1119"/>
      <c r="BO60" s="1119"/>
      <c r="BP60" s="1119"/>
      <c r="BQ60" s="1119"/>
    </row>
    <row r="61" spans="1:69" s="1121" customFormat="1" ht="20.100000000000001" hidden="1" customHeight="1">
      <c r="A61" s="257" t="s">
        <v>316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</row>
    <row r="62" spans="1:69" s="1120" customFormat="1" ht="9.9499999999999993" hidden="1" customHeight="1" thickBot="1">
      <c r="A62" s="1119"/>
      <c r="B62" s="1119"/>
      <c r="C62" s="1119"/>
      <c r="D62" s="1119"/>
      <c r="E62" s="1119"/>
      <c r="F62" s="1119"/>
      <c r="G62" s="1119"/>
      <c r="H62" s="1119"/>
      <c r="I62" s="1119"/>
      <c r="J62" s="1119"/>
      <c r="K62" s="1119"/>
      <c r="L62" s="1119"/>
      <c r="M62" s="1119"/>
      <c r="N62" s="1119"/>
      <c r="O62" s="1119"/>
      <c r="P62" s="1119"/>
      <c r="Q62" s="1119"/>
      <c r="R62" s="1119"/>
      <c r="S62" s="1119"/>
      <c r="T62" s="1119"/>
      <c r="U62" s="1119"/>
      <c r="V62" s="1119"/>
      <c r="W62" s="1119"/>
      <c r="X62" s="1119"/>
      <c r="Y62" s="1119"/>
      <c r="Z62" s="1119"/>
      <c r="AA62" s="1119"/>
      <c r="AB62" s="1119"/>
      <c r="AC62" s="1119"/>
      <c r="AD62" s="1119"/>
      <c r="AE62" s="1119"/>
      <c r="AF62" s="1119"/>
      <c r="AG62" s="1119"/>
      <c r="AH62" s="1119"/>
      <c r="AI62" s="1119"/>
      <c r="AJ62" s="1119"/>
      <c r="AK62" s="1119"/>
      <c r="AL62" s="1119"/>
      <c r="AM62" s="1119"/>
      <c r="AN62" s="1119"/>
      <c r="AO62" s="1119"/>
      <c r="AP62" s="1119"/>
      <c r="AQ62" s="1119"/>
      <c r="AR62" s="1119"/>
      <c r="AS62" s="1119"/>
      <c r="AT62" s="1119"/>
      <c r="AU62" s="1119"/>
      <c r="AV62" s="1119"/>
      <c r="AW62" s="1119"/>
      <c r="AX62" s="1119"/>
      <c r="AY62" s="1119"/>
      <c r="AZ62" s="1119"/>
      <c r="BA62" s="1119"/>
      <c r="BB62" s="1119"/>
      <c r="BC62" s="1119"/>
      <c r="BD62" s="1119"/>
      <c r="BE62" s="1119"/>
      <c r="BF62" s="1119"/>
      <c r="BG62" s="1119"/>
      <c r="BH62" s="1119"/>
      <c r="BI62" s="1119"/>
      <c r="BJ62" s="1119"/>
      <c r="BK62" s="1119"/>
      <c r="BL62" s="1119"/>
      <c r="BM62" s="1119"/>
      <c r="BN62" s="1119"/>
      <c r="BO62" s="1119"/>
      <c r="BP62" s="1119"/>
      <c r="BQ62" s="1119"/>
    </row>
    <row r="63" spans="1:69" s="1120" customFormat="1" ht="39.950000000000003" hidden="1" customHeight="1">
      <c r="A63" s="1122"/>
      <c r="B63" s="1123"/>
      <c r="C63" s="2700" t="s">
        <v>69</v>
      </c>
      <c r="D63" s="2700"/>
      <c r="E63" s="2700"/>
      <c r="F63" s="2700"/>
      <c r="G63" s="2700"/>
      <c r="H63" s="2700"/>
      <c r="I63" s="2700"/>
      <c r="J63" s="2700"/>
      <c r="K63" s="2700"/>
      <c r="L63" s="2700"/>
      <c r="M63" s="2700"/>
      <c r="N63" s="2700"/>
      <c r="O63" s="2700"/>
      <c r="P63" s="2700"/>
      <c r="Q63" s="2700"/>
      <c r="R63" s="2700"/>
      <c r="S63" s="2700"/>
      <c r="T63" s="2700"/>
      <c r="U63" s="2700"/>
      <c r="V63" s="2700"/>
      <c r="W63" s="2700"/>
      <c r="X63" s="2700"/>
      <c r="Y63" s="2700"/>
      <c r="Z63" s="2700"/>
      <c r="AA63" s="2700"/>
      <c r="AB63" s="2700"/>
      <c r="AC63" s="2700"/>
      <c r="AD63" s="2700"/>
      <c r="AE63" s="2700"/>
      <c r="AF63" s="2700"/>
      <c r="AG63" s="2700"/>
      <c r="AH63" s="2700"/>
      <c r="AI63" s="2700"/>
      <c r="AJ63" s="2700"/>
      <c r="AK63" s="2700"/>
      <c r="AL63" s="2700"/>
      <c r="AM63" s="2700"/>
      <c r="AN63" s="2700"/>
      <c r="AO63" s="2700"/>
      <c r="AP63" s="2700"/>
      <c r="AQ63" s="2700"/>
      <c r="AR63" s="2701"/>
      <c r="AS63" s="1124" t="s">
        <v>342</v>
      </c>
      <c r="AT63" s="1125"/>
      <c r="AU63" s="1125"/>
      <c r="AV63" s="1125"/>
      <c r="AW63" s="1125"/>
      <c r="AX63" s="1125"/>
      <c r="AY63" s="1125"/>
      <c r="AZ63" s="1125"/>
      <c r="BA63" s="1125"/>
      <c r="BB63" s="1125"/>
      <c r="BC63" s="1125"/>
      <c r="BD63" s="1125"/>
      <c r="BE63" s="1125"/>
      <c r="BF63" s="1125"/>
      <c r="BG63" s="1125"/>
      <c r="BH63" s="1125"/>
      <c r="BI63" s="1125"/>
      <c r="BJ63" s="1125"/>
      <c r="BK63" s="1125"/>
      <c r="BL63" s="1125"/>
      <c r="BM63" s="1126"/>
      <c r="BN63" s="1127"/>
      <c r="BO63" s="1127"/>
      <c r="BP63" s="1127"/>
      <c r="BQ63" s="1127"/>
    </row>
    <row r="64" spans="1:69" s="1120" customFormat="1" ht="60" hidden="1" customHeight="1">
      <c r="A64" s="1128"/>
      <c r="B64" s="1129"/>
      <c r="C64" s="2702" t="s">
        <v>113</v>
      </c>
      <c r="D64" s="2694"/>
      <c r="E64" s="2695" t="s">
        <v>114</v>
      </c>
      <c r="F64" s="2703"/>
      <c r="G64" s="2702" t="s">
        <v>115</v>
      </c>
      <c r="H64" s="2694"/>
      <c r="I64" s="2704" t="s">
        <v>123</v>
      </c>
      <c r="J64" s="2703"/>
      <c r="K64" s="2702" t="s">
        <v>122</v>
      </c>
      <c r="L64" s="2694"/>
      <c r="M64" s="2695" t="s">
        <v>121</v>
      </c>
      <c r="N64" s="2694"/>
      <c r="O64" s="2693" t="s">
        <v>48</v>
      </c>
      <c r="P64" s="2703"/>
      <c r="Q64" s="2705" t="s">
        <v>49</v>
      </c>
      <c r="R64" s="2703"/>
      <c r="S64" s="2702" t="s">
        <v>124</v>
      </c>
      <c r="T64" s="2694"/>
      <c r="U64" s="2695" t="s">
        <v>343</v>
      </c>
      <c r="V64" s="2702"/>
      <c r="W64" s="2695" t="s">
        <v>125</v>
      </c>
      <c r="X64" s="2694"/>
      <c r="Y64" s="2695" t="s">
        <v>344</v>
      </c>
      <c r="Z64" s="2696"/>
      <c r="AA64" s="2695" t="s">
        <v>120</v>
      </c>
      <c r="AB64" s="2696"/>
      <c r="AC64" s="2698" t="s">
        <v>345</v>
      </c>
      <c r="AD64" s="2699"/>
      <c r="AE64" s="2695" t="s">
        <v>142</v>
      </c>
      <c r="AF64" s="2696"/>
      <c r="AG64" s="2695" t="s">
        <v>119</v>
      </c>
      <c r="AH64" s="2696"/>
      <c r="AI64" s="2695" t="s">
        <v>118</v>
      </c>
      <c r="AJ64" s="2696"/>
      <c r="AK64" s="2695" t="s">
        <v>117</v>
      </c>
      <c r="AL64" s="2696"/>
      <c r="AM64" s="2695" t="s">
        <v>116</v>
      </c>
      <c r="AN64" s="2696"/>
      <c r="AO64" s="2693" t="s">
        <v>2</v>
      </c>
      <c r="AP64" s="2694"/>
      <c r="AQ64" s="2706" t="s">
        <v>126</v>
      </c>
      <c r="AR64" s="2705"/>
      <c r="AS64" s="1130" t="s">
        <v>113</v>
      </c>
      <c r="AT64" s="1131" t="s">
        <v>346</v>
      </c>
      <c r="AU64" s="1131" t="s">
        <v>115</v>
      </c>
      <c r="AV64" s="1131" t="s">
        <v>347</v>
      </c>
      <c r="AW64" s="1131" t="s">
        <v>122</v>
      </c>
      <c r="AX64" s="1131" t="s">
        <v>225</v>
      </c>
      <c r="AY64" s="1131" t="s">
        <v>213</v>
      </c>
      <c r="AZ64" s="1131" t="s">
        <v>214</v>
      </c>
      <c r="BA64" s="1131" t="s">
        <v>124</v>
      </c>
      <c r="BB64" s="1131" t="s">
        <v>348</v>
      </c>
      <c r="BC64" s="1131" t="s">
        <v>215</v>
      </c>
      <c r="BD64" s="1131" t="s">
        <v>216</v>
      </c>
      <c r="BE64" s="1131" t="s">
        <v>217</v>
      </c>
      <c r="BF64" s="1132" t="s">
        <v>226</v>
      </c>
      <c r="BG64" s="1131" t="s">
        <v>142</v>
      </c>
      <c r="BH64" s="1131" t="s">
        <v>119</v>
      </c>
      <c r="BI64" s="1131" t="s">
        <v>118</v>
      </c>
      <c r="BJ64" s="1131" t="s">
        <v>117</v>
      </c>
      <c r="BK64" s="1133" t="s">
        <v>218</v>
      </c>
      <c r="BL64" s="1134" t="s">
        <v>2</v>
      </c>
      <c r="BM64" s="2697" t="s">
        <v>126</v>
      </c>
      <c r="BN64" s="1135"/>
      <c r="BO64" s="1135"/>
      <c r="BP64" s="1135"/>
      <c r="BQ64" s="1135"/>
    </row>
    <row r="65" spans="1:69" s="1120" customFormat="1" ht="24.95" hidden="1" customHeight="1">
      <c r="A65" s="1128"/>
      <c r="B65" s="1136" t="s">
        <v>127</v>
      </c>
      <c r="C65" s="1137" t="s">
        <v>42</v>
      </c>
      <c r="D65" s="1138" t="s">
        <v>31</v>
      </c>
      <c r="E65" s="1138" t="s">
        <v>42</v>
      </c>
      <c r="F65" s="1138" t="s">
        <v>31</v>
      </c>
      <c r="G65" s="1138" t="s">
        <v>42</v>
      </c>
      <c r="H65" s="1138" t="s">
        <v>31</v>
      </c>
      <c r="I65" s="1138" t="s">
        <v>42</v>
      </c>
      <c r="J65" s="1138" t="s">
        <v>31</v>
      </c>
      <c r="K65" s="1138" t="s">
        <v>42</v>
      </c>
      <c r="L65" s="1138" t="s">
        <v>31</v>
      </c>
      <c r="M65" s="1138" t="s">
        <v>42</v>
      </c>
      <c r="N65" s="1138" t="s">
        <v>31</v>
      </c>
      <c r="O65" s="1138" t="s">
        <v>42</v>
      </c>
      <c r="P65" s="1138" t="s">
        <v>31</v>
      </c>
      <c r="Q65" s="1138" t="s">
        <v>42</v>
      </c>
      <c r="R65" s="1138" t="s">
        <v>31</v>
      </c>
      <c r="S65" s="1138" t="s">
        <v>42</v>
      </c>
      <c r="T65" s="1138" t="s">
        <v>31</v>
      </c>
      <c r="U65" s="1138" t="s">
        <v>42</v>
      </c>
      <c r="V65" s="1138" t="s">
        <v>31</v>
      </c>
      <c r="W65" s="1138" t="s">
        <v>42</v>
      </c>
      <c r="X65" s="1138" t="s">
        <v>31</v>
      </c>
      <c r="Y65" s="1138" t="s">
        <v>42</v>
      </c>
      <c r="Z65" s="1138" t="s">
        <v>31</v>
      </c>
      <c r="AA65" s="1138" t="s">
        <v>42</v>
      </c>
      <c r="AB65" s="1138" t="s">
        <v>31</v>
      </c>
      <c r="AC65" s="1138" t="s">
        <v>42</v>
      </c>
      <c r="AD65" s="1138" t="s">
        <v>31</v>
      </c>
      <c r="AE65" s="1138" t="s">
        <v>42</v>
      </c>
      <c r="AF65" s="1138" t="s">
        <v>31</v>
      </c>
      <c r="AG65" s="1138" t="s">
        <v>42</v>
      </c>
      <c r="AH65" s="1138" t="s">
        <v>31</v>
      </c>
      <c r="AI65" s="1138" t="s">
        <v>42</v>
      </c>
      <c r="AJ65" s="1138" t="s">
        <v>31</v>
      </c>
      <c r="AK65" s="1138" t="s">
        <v>42</v>
      </c>
      <c r="AL65" s="1138" t="s">
        <v>31</v>
      </c>
      <c r="AM65" s="1138" t="s">
        <v>42</v>
      </c>
      <c r="AN65" s="1138" t="s">
        <v>31</v>
      </c>
      <c r="AO65" s="1138" t="s">
        <v>42</v>
      </c>
      <c r="AP65" s="1139" t="s">
        <v>31</v>
      </c>
      <c r="AQ65" s="1140" t="s">
        <v>42</v>
      </c>
      <c r="AR65" s="1141" t="s">
        <v>31</v>
      </c>
      <c r="AS65" s="1142"/>
      <c r="AT65" s="1143"/>
      <c r="AU65" s="1143"/>
      <c r="AV65" s="1143"/>
      <c r="AW65" s="1143"/>
      <c r="AX65" s="1143"/>
      <c r="AY65" s="1143"/>
      <c r="AZ65" s="1143"/>
      <c r="BA65" s="1143"/>
      <c r="BB65" s="1143"/>
      <c r="BC65" s="1143"/>
      <c r="BD65" s="1143"/>
      <c r="BE65" s="1143"/>
      <c r="BF65" s="1143"/>
      <c r="BG65" s="1143"/>
      <c r="BH65" s="1143"/>
      <c r="BI65" s="1143"/>
      <c r="BJ65" s="1143"/>
      <c r="BK65" s="1144"/>
      <c r="BL65" s="1145"/>
      <c r="BM65" s="2697"/>
      <c r="BN65" s="1146"/>
      <c r="BO65" s="1146"/>
      <c r="BP65" s="1146"/>
      <c r="BQ65" s="1146"/>
    </row>
    <row r="66" spans="1:69" s="1120" customFormat="1" ht="24.95" hidden="1" customHeight="1">
      <c r="A66" s="1147"/>
      <c r="B66" s="1148"/>
      <c r="C66" s="1137" t="s">
        <v>17</v>
      </c>
      <c r="D66" s="1149" t="s">
        <v>17</v>
      </c>
      <c r="E66" s="1150" t="s">
        <v>17</v>
      </c>
      <c r="F66" s="1149" t="s">
        <v>17</v>
      </c>
      <c r="G66" s="1150" t="s">
        <v>17</v>
      </c>
      <c r="H66" s="1151" t="s">
        <v>17</v>
      </c>
      <c r="I66" s="1151" t="s">
        <v>17</v>
      </c>
      <c r="J66" s="1151" t="s">
        <v>17</v>
      </c>
      <c r="K66" s="1151" t="s">
        <v>17</v>
      </c>
      <c r="L66" s="1151" t="s">
        <v>17</v>
      </c>
      <c r="M66" s="1151" t="s">
        <v>17</v>
      </c>
      <c r="N66" s="1151" t="s">
        <v>17</v>
      </c>
      <c r="O66" s="1151" t="s">
        <v>17</v>
      </c>
      <c r="P66" s="1150" t="s">
        <v>17</v>
      </c>
      <c r="Q66" s="1151" t="s">
        <v>17</v>
      </c>
      <c r="R66" s="1151" t="s">
        <v>17</v>
      </c>
      <c r="S66" s="1151" t="s">
        <v>17</v>
      </c>
      <c r="T66" s="1151" t="s">
        <v>17</v>
      </c>
      <c r="U66" s="1151" t="s">
        <v>17</v>
      </c>
      <c r="V66" s="1151" t="s">
        <v>17</v>
      </c>
      <c r="W66" s="1150" t="s">
        <v>17</v>
      </c>
      <c r="X66" s="1149" t="s">
        <v>17</v>
      </c>
      <c r="Y66" s="1150" t="s">
        <v>17</v>
      </c>
      <c r="Z66" s="1150" t="s">
        <v>17</v>
      </c>
      <c r="AA66" s="1150" t="s">
        <v>17</v>
      </c>
      <c r="AB66" s="1150" t="s">
        <v>17</v>
      </c>
      <c r="AC66" s="1150" t="s">
        <v>17</v>
      </c>
      <c r="AD66" s="1150" t="s">
        <v>17</v>
      </c>
      <c r="AE66" s="1150" t="s">
        <v>17</v>
      </c>
      <c r="AF66" s="1150" t="s">
        <v>17</v>
      </c>
      <c r="AG66" s="1151" t="s">
        <v>17</v>
      </c>
      <c r="AH66" s="1150" t="s">
        <v>17</v>
      </c>
      <c r="AI66" s="1150" t="s">
        <v>17</v>
      </c>
      <c r="AJ66" s="1150" t="s">
        <v>17</v>
      </c>
      <c r="AK66" s="1150" t="s">
        <v>17</v>
      </c>
      <c r="AL66" s="1150" t="s">
        <v>17</v>
      </c>
      <c r="AM66" s="1137" t="s">
        <v>17</v>
      </c>
      <c r="AN66" s="1150" t="s">
        <v>17</v>
      </c>
      <c r="AO66" s="1137" t="s">
        <v>17</v>
      </c>
      <c r="AP66" s="1149" t="s">
        <v>17</v>
      </c>
      <c r="AQ66" s="1152" t="s">
        <v>17</v>
      </c>
      <c r="AR66" s="1153" t="s">
        <v>17</v>
      </c>
      <c r="AS66" s="1152" t="s">
        <v>17</v>
      </c>
      <c r="AT66" s="1150" t="s">
        <v>17</v>
      </c>
      <c r="AU66" s="1150" t="s">
        <v>17</v>
      </c>
      <c r="AV66" s="1150" t="s">
        <v>17</v>
      </c>
      <c r="AW66" s="1150" t="s">
        <v>17</v>
      </c>
      <c r="AX66" s="1150" t="s">
        <v>17</v>
      </c>
      <c r="AY66" s="1150" t="s">
        <v>17</v>
      </c>
      <c r="AZ66" s="1150" t="s">
        <v>17</v>
      </c>
      <c r="BA66" s="1150" t="s">
        <v>17</v>
      </c>
      <c r="BB66" s="1150" t="s">
        <v>17</v>
      </c>
      <c r="BC66" s="1150" t="s">
        <v>17</v>
      </c>
      <c r="BD66" s="1150" t="s">
        <v>17</v>
      </c>
      <c r="BE66" s="1150" t="s">
        <v>17</v>
      </c>
      <c r="BF66" s="1150" t="s">
        <v>17</v>
      </c>
      <c r="BG66" s="1150" t="s">
        <v>17</v>
      </c>
      <c r="BH66" s="1150" t="s">
        <v>17</v>
      </c>
      <c r="BI66" s="1150" t="s">
        <v>17</v>
      </c>
      <c r="BJ66" s="1150" t="s">
        <v>17</v>
      </c>
      <c r="BK66" s="1149" t="s">
        <v>17</v>
      </c>
      <c r="BL66" s="1154" t="s">
        <v>17</v>
      </c>
      <c r="BM66" s="1154" t="s">
        <v>17</v>
      </c>
      <c r="BN66" s="1137"/>
      <c r="BO66" s="1137"/>
      <c r="BP66" s="1137"/>
      <c r="BQ66" s="1137"/>
    </row>
    <row r="67" spans="1:69" s="1120" customFormat="1" ht="24.95" hidden="1" customHeight="1">
      <c r="A67" s="1155">
        <v>1</v>
      </c>
      <c r="B67" s="1156">
        <v>2</v>
      </c>
      <c r="C67" s="1157">
        <v>3</v>
      </c>
      <c r="D67" s="1158">
        <v>4</v>
      </c>
      <c r="E67" s="1077">
        <v>5</v>
      </c>
      <c r="F67" s="1074">
        <v>6</v>
      </c>
      <c r="G67" s="1157">
        <v>7</v>
      </c>
      <c r="H67" s="1158">
        <v>8</v>
      </c>
      <c r="I67" s="1077">
        <v>9</v>
      </c>
      <c r="J67" s="1074">
        <v>10</v>
      </c>
      <c r="K67" s="1157">
        <v>11</v>
      </c>
      <c r="L67" s="1158">
        <v>12</v>
      </c>
      <c r="M67" s="1077">
        <v>13</v>
      </c>
      <c r="N67" s="1074">
        <v>14</v>
      </c>
      <c r="O67" s="1157">
        <v>15</v>
      </c>
      <c r="P67" s="1158">
        <v>16</v>
      </c>
      <c r="Q67" s="1077">
        <v>17</v>
      </c>
      <c r="R67" s="1074">
        <v>18</v>
      </c>
      <c r="S67" s="1157">
        <v>19</v>
      </c>
      <c r="T67" s="1158">
        <v>20</v>
      </c>
      <c r="U67" s="1077">
        <v>21</v>
      </c>
      <c r="V67" s="1074">
        <v>22</v>
      </c>
      <c r="W67" s="1157">
        <v>23</v>
      </c>
      <c r="X67" s="1158">
        <v>24</v>
      </c>
      <c r="Y67" s="1077">
        <v>25</v>
      </c>
      <c r="Z67" s="1074">
        <v>26</v>
      </c>
      <c r="AA67" s="1157">
        <v>27</v>
      </c>
      <c r="AB67" s="1158">
        <v>28</v>
      </c>
      <c r="AC67" s="1077">
        <v>29</v>
      </c>
      <c r="AD67" s="1074">
        <v>30</v>
      </c>
      <c r="AE67" s="1157">
        <v>31</v>
      </c>
      <c r="AF67" s="1158">
        <v>32</v>
      </c>
      <c r="AG67" s="1077">
        <v>33</v>
      </c>
      <c r="AH67" s="1074">
        <v>34</v>
      </c>
      <c r="AI67" s="1157">
        <v>35</v>
      </c>
      <c r="AJ67" s="1158">
        <v>36</v>
      </c>
      <c r="AK67" s="1077">
        <v>37</v>
      </c>
      <c r="AL67" s="1074">
        <v>38</v>
      </c>
      <c r="AM67" s="1157">
        <v>39</v>
      </c>
      <c r="AN67" s="1158">
        <v>40</v>
      </c>
      <c r="AO67" s="1077">
        <v>41</v>
      </c>
      <c r="AP67" s="1075">
        <v>42</v>
      </c>
      <c r="AQ67" s="1157">
        <v>43</v>
      </c>
      <c r="AR67" s="1158">
        <v>44</v>
      </c>
      <c r="AS67" s="1159">
        <v>45</v>
      </c>
      <c r="AT67" s="1074">
        <v>46</v>
      </c>
      <c r="AU67" s="1160">
        <v>47</v>
      </c>
      <c r="AV67" s="1074">
        <v>48</v>
      </c>
      <c r="AW67" s="1074">
        <v>49</v>
      </c>
      <c r="AX67" s="1074">
        <v>50</v>
      </c>
      <c r="AY67" s="1160">
        <v>51</v>
      </c>
      <c r="AZ67" s="1074">
        <v>52</v>
      </c>
      <c r="BA67" s="1074">
        <v>53</v>
      </c>
      <c r="BB67" s="1074">
        <v>54</v>
      </c>
      <c r="BC67" s="1160">
        <v>55</v>
      </c>
      <c r="BD67" s="1074">
        <v>56</v>
      </c>
      <c r="BE67" s="1074">
        <v>57</v>
      </c>
      <c r="BF67" s="1074">
        <v>58</v>
      </c>
      <c r="BG67" s="1160">
        <v>59</v>
      </c>
      <c r="BH67" s="1074">
        <v>60</v>
      </c>
      <c r="BI67" s="1074">
        <v>61</v>
      </c>
      <c r="BJ67" s="1074">
        <v>62</v>
      </c>
      <c r="BK67" s="1161">
        <v>63</v>
      </c>
      <c r="BL67" s="1162">
        <v>64</v>
      </c>
      <c r="BM67" s="1162">
        <v>65</v>
      </c>
      <c r="BN67" s="1163"/>
      <c r="BO67" s="1163"/>
      <c r="BP67" s="1163"/>
      <c r="BQ67" s="1163"/>
    </row>
    <row r="68" spans="1:69" s="1120" customFormat="1" ht="24.95" hidden="1" customHeight="1">
      <c r="A68" s="1164">
        <v>1</v>
      </c>
      <c r="B68" s="1165" t="s">
        <v>12</v>
      </c>
      <c r="C68" s="1166">
        <v>401.4</v>
      </c>
      <c r="D68" s="1167">
        <v>69.900000000000006</v>
      </c>
      <c r="E68" s="666">
        <v>42</v>
      </c>
      <c r="F68" s="666">
        <v>18.5</v>
      </c>
      <c r="G68" s="666">
        <v>238.03</v>
      </c>
      <c r="H68" s="666">
        <v>84.208719310994525</v>
      </c>
      <c r="I68" s="666">
        <v>84.7</v>
      </c>
      <c r="J68" s="666">
        <v>35</v>
      </c>
      <c r="K68" s="666">
        <v>1886</v>
      </c>
      <c r="L68" s="666">
        <v>288.2</v>
      </c>
      <c r="M68" s="666">
        <v>111.5</v>
      </c>
      <c r="N68" s="666">
        <v>82.36</v>
      </c>
      <c r="O68" s="666">
        <v>20</v>
      </c>
      <c r="P68" s="666">
        <v>8.4</v>
      </c>
      <c r="Q68" s="666">
        <v>1416</v>
      </c>
      <c r="R68" s="666">
        <v>221</v>
      </c>
      <c r="S68" s="666">
        <v>371.65</v>
      </c>
      <c r="T68" s="666">
        <v>20.3</v>
      </c>
      <c r="U68" s="666">
        <v>53</v>
      </c>
      <c r="V68" s="666">
        <v>13</v>
      </c>
      <c r="W68" s="666">
        <v>0</v>
      </c>
      <c r="X68" s="666">
        <v>0</v>
      </c>
      <c r="Y68" s="666">
        <v>37</v>
      </c>
      <c r="Z68" s="666">
        <v>32</v>
      </c>
      <c r="AA68" s="666">
        <v>34</v>
      </c>
      <c r="AB68" s="666">
        <v>39.6</v>
      </c>
      <c r="AC68" s="666">
        <v>4</v>
      </c>
      <c r="AD68" s="666">
        <v>16</v>
      </c>
      <c r="AE68" s="666">
        <v>43.02</v>
      </c>
      <c r="AF68" s="666">
        <v>0</v>
      </c>
      <c r="AG68" s="666">
        <v>569.5</v>
      </c>
      <c r="AH68" s="666">
        <v>38</v>
      </c>
      <c r="AI68" s="666">
        <v>209.63</v>
      </c>
      <c r="AJ68" s="666">
        <v>92.06</v>
      </c>
      <c r="AK68" s="666">
        <v>794.96</v>
      </c>
      <c r="AL68" s="666">
        <v>109.71</v>
      </c>
      <c r="AM68" s="666">
        <v>154</v>
      </c>
      <c r="AN68" s="666">
        <v>63</v>
      </c>
      <c r="AO68" s="1168">
        <f>SUM(C68,E68,G68,I68,K68,M68,O68,Q68,S68,U68,W68,Y68,AA68,AC68,AE68,AG68,AI68,AK68,AM68)</f>
        <v>6470.39</v>
      </c>
      <c r="AP68" s="1169">
        <f>SUM(D68,F68,H68,J68,L68,N68,P68,R68,T68,V68,X68,Z68,AB68,AD68,AF68,AH68,AJ68,AL68,AN68)</f>
        <v>1231.2387193109946</v>
      </c>
      <c r="AQ68" s="1166">
        <v>0</v>
      </c>
      <c r="AR68" s="1170">
        <v>0</v>
      </c>
      <c r="AS68" s="1171"/>
      <c r="AT68" s="1171"/>
      <c r="AU68" s="1171"/>
      <c r="AV68" s="1171"/>
      <c r="AW68" s="1171"/>
      <c r="AX68" s="1171"/>
      <c r="AY68" s="1171"/>
      <c r="AZ68" s="1171"/>
      <c r="BA68" s="1171"/>
      <c r="BB68" s="1171"/>
      <c r="BC68" s="1171"/>
      <c r="BD68" s="1171"/>
      <c r="BE68" s="1171"/>
      <c r="BF68" s="1171"/>
      <c r="BG68" s="1171"/>
      <c r="BH68" s="1171"/>
      <c r="BI68" s="1171"/>
      <c r="BJ68" s="1171"/>
      <c r="BK68" s="562"/>
      <c r="BL68" s="1172"/>
      <c r="BM68" s="1173"/>
      <c r="BN68" s="1119"/>
      <c r="BO68" s="1119"/>
      <c r="BP68" s="1119"/>
      <c r="BQ68" s="1119"/>
    </row>
    <row r="69" spans="1:69" s="1120" customFormat="1" ht="30" hidden="1" customHeight="1">
      <c r="A69" s="1164"/>
      <c r="B69" s="1174" t="s">
        <v>9</v>
      </c>
      <c r="C69" s="1175"/>
      <c r="D69" s="1176"/>
      <c r="E69" s="1177"/>
      <c r="F69" s="1177"/>
      <c r="G69" s="1177"/>
      <c r="H69" s="1177"/>
      <c r="I69" s="1177"/>
      <c r="J69" s="1177"/>
      <c r="K69" s="1177"/>
      <c r="L69" s="1177"/>
      <c r="M69" s="1177"/>
      <c r="N69" s="1177"/>
      <c r="O69" s="1177"/>
      <c r="P69" s="1177"/>
      <c r="Q69" s="1177"/>
      <c r="R69" s="1177"/>
      <c r="S69" s="1177"/>
      <c r="T69" s="1177"/>
      <c r="U69" s="1177"/>
      <c r="V69" s="1177"/>
      <c r="W69" s="1177"/>
      <c r="X69" s="1177"/>
      <c r="Y69" s="1177"/>
      <c r="Z69" s="1177"/>
      <c r="AA69" s="1177"/>
      <c r="AB69" s="1177"/>
      <c r="AC69" s="1177"/>
      <c r="AD69" s="1177"/>
      <c r="AE69" s="1177"/>
      <c r="AF69" s="1177"/>
      <c r="AG69" s="1177"/>
      <c r="AH69" s="1177"/>
      <c r="AI69" s="1177"/>
      <c r="AJ69" s="1177"/>
      <c r="AK69" s="1177"/>
      <c r="AL69" s="1177"/>
      <c r="AM69" s="1177"/>
      <c r="AN69" s="1177"/>
      <c r="AO69" s="1178"/>
      <c r="AP69" s="1179"/>
      <c r="AQ69" s="1175"/>
      <c r="AR69" s="1180"/>
      <c r="AS69" s="1171"/>
      <c r="AT69" s="1171"/>
      <c r="AU69" s="1171"/>
      <c r="AV69" s="1171"/>
      <c r="AW69" s="1171"/>
      <c r="AX69" s="1171"/>
      <c r="AY69" s="1171"/>
      <c r="AZ69" s="1171"/>
      <c r="BA69" s="1171"/>
      <c r="BB69" s="1171"/>
      <c r="BC69" s="1171"/>
      <c r="BD69" s="1171"/>
      <c r="BE69" s="1171"/>
      <c r="BF69" s="1171"/>
      <c r="BG69" s="1171"/>
      <c r="BH69" s="1171"/>
      <c r="BI69" s="1171"/>
      <c r="BJ69" s="1171"/>
      <c r="BK69" s="562"/>
      <c r="BL69" s="1181"/>
      <c r="BM69" s="1182"/>
      <c r="BN69" s="1119"/>
      <c r="BO69" s="1119"/>
      <c r="BP69" s="1119"/>
      <c r="BQ69" s="1119"/>
    </row>
    <row r="70" spans="1:69" s="1120" customFormat="1" ht="24.95" hidden="1" customHeight="1">
      <c r="A70" s="1164"/>
      <c r="B70" s="1183" t="s">
        <v>73</v>
      </c>
      <c r="C70" s="1184"/>
      <c r="D70" s="1185"/>
      <c r="E70" s="1186"/>
      <c r="F70" s="1186"/>
      <c r="G70" s="1186"/>
      <c r="H70" s="1186"/>
      <c r="I70" s="1186"/>
      <c r="J70" s="1186"/>
      <c r="K70" s="1186"/>
      <c r="L70" s="1186"/>
      <c r="M70" s="1186"/>
      <c r="N70" s="1186"/>
      <c r="O70" s="1186"/>
      <c r="P70" s="1186"/>
      <c r="Q70" s="1186"/>
      <c r="R70" s="1186"/>
      <c r="S70" s="1186"/>
      <c r="T70" s="1186"/>
      <c r="U70" s="1186"/>
      <c r="V70" s="1186"/>
      <c r="W70" s="1186"/>
      <c r="X70" s="1186"/>
      <c r="Y70" s="1186"/>
      <c r="Z70" s="1186"/>
      <c r="AA70" s="1186"/>
      <c r="AB70" s="1186"/>
      <c r="AC70" s="1186"/>
      <c r="AD70" s="1186"/>
      <c r="AE70" s="1186"/>
      <c r="AF70" s="1186"/>
      <c r="AG70" s="1186"/>
      <c r="AH70" s="1186"/>
      <c r="AI70" s="1186"/>
      <c r="AJ70" s="1186"/>
      <c r="AK70" s="1186"/>
      <c r="AL70" s="1186"/>
      <c r="AM70" s="1186"/>
      <c r="AN70" s="1186"/>
      <c r="AO70" s="1178"/>
      <c r="AP70" s="1179"/>
      <c r="AQ70" s="1184"/>
      <c r="AR70" s="1187"/>
      <c r="AS70" s="1171"/>
      <c r="AT70" s="1171"/>
      <c r="AU70" s="1171"/>
      <c r="AV70" s="1171"/>
      <c r="AW70" s="1171"/>
      <c r="AX70" s="1171"/>
      <c r="AY70" s="1171"/>
      <c r="AZ70" s="1171"/>
      <c r="BA70" s="1171"/>
      <c r="BB70" s="1171"/>
      <c r="BC70" s="1171"/>
      <c r="BD70" s="1171"/>
      <c r="BE70" s="1171"/>
      <c r="BF70" s="1171"/>
      <c r="BG70" s="1171"/>
      <c r="BH70" s="1171"/>
      <c r="BI70" s="1171"/>
      <c r="BJ70" s="1171"/>
      <c r="BK70" s="562"/>
      <c r="BL70" s="1181"/>
      <c r="BM70" s="1182"/>
      <c r="BN70" s="1119"/>
      <c r="BO70" s="1119"/>
      <c r="BP70" s="1119"/>
      <c r="BQ70" s="1119"/>
    </row>
    <row r="71" spans="1:69" s="1120" customFormat="1" ht="24.95" hidden="1" customHeight="1">
      <c r="A71" s="1188">
        <v>2</v>
      </c>
      <c r="B71" s="1189" t="s">
        <v>74</v>
      </c>
      <c r="C71" s="1190">
        <v>0</v>
      </c>
      <c r="D71" s="1191">
        <v>0</v>
      </c>
      <c r="E71" s="1192">
        <v>0</v>
      </c>
      <c r="F71" s="1192">
        <v>0</v>
      </c>
      <c r="G71" s="1192">
        <v>21</v>
      </c>
      <c r="H71" s="1192">
        <v>0</v>
      </c>
      <c r="I71" s="1192">
        <v>56</v>
      </c>
      <c r="J71" s="1192">
        <v>0</v>
      </c>
      <c r="K71" s="1192">
        <v>0</v>
      </c>
      <c r="L71" s="1192">
        <v>0</v>
      </c>
      <c r="M71" s="1192">
        <v>10</v>
      </c>
      <c r="N71" s="1192">
        <v>0</v>
      </c>
      <c r="O71" s="1192">
        <v>0</v>
      </c>
      <c r="P71" s="1192">
        <v>0</v>
      </c>
      <c r="Q71" s="1192">
        <v>0</v>
      </c>
      <c r="R71" s="1192">
        <v>0</v>
      </c>
      <c r="S71" s="1192">
        <v>0</v>
      </c>
      <c r="T71" s="1192">
        <v>0</v>
      </c>
      <c r="U71" s="1192">
        <v>0</v>
      </c>
      <c r="V71" s="1192">
        <v>0</v>
      </c>
      <c r="W71" s="1192">
        <v>0</v>
      </c>
      <c r="X71" s="1192">
        <v>0</v>
      </c>
      <c r="Y71" s="1192">
        <v>0</v>
      </c>
      <c r="Z71" s="1192">
        <v>0</v>
      </c>
      <c r="AA71" s="1192">
        <v>0</v>
      </c>
      <c r="AB71" s="1192">
        <v>0</v>
      </c>
      <c r="AC71" s="1192">
        <v>0</v>
      </c>
      <c r="AD71" s="1192">
        <v>0</v>
      </c>
      <c r="AE71" s="1192">
        <v>0</v>
      </c>
      <c r="AF71" s="1192">
        <v>0</v>
      </c>
      <c r="AG71" s="1192">
        <v>0</v>
      </c>
      <c r="AH71" s="1192">
        <v>0</v>
      </c>
      <c r="AI71" s="1192">
        <v>0</v>
      </c>
      <c r="AJ71" s="1192">
        <v>0</v>
      </c>
      <c r="AK71" s="1192">
        <v>0</v>
      </c>
      <c r="AL71" s="1192">
        <v>0</v>
      </c>
      <c r="AM71" s="1192">
        <v>106</v>
      </c>
      <c r="AN71" s="1192">
        <v>0</v>
      </c>
      <c r="AO71" s="1193">
        <f t="shared" ref="AO71:AP95" si="9">SUM(C71,E71,G71,I71,K71,M71,O71,Q71,S71,U71,W71,Y71,AA71,AC71,AE71,AG71,AI71,AK71,AM71)</f>
        <v>193</v>
      </c>
      <c r="AP71" s="1194">
        <f t="shared" si="9"/>
        <v>0</v>
      </c>
      <c r="AQ71" s="1190">
        <v>0</v>
      </c>
      <c r="AR71" s="1195">
        <v>0</v>
      </c>
      <c r="AS71" s="1196">
        <v>0</v>
      </c>
      <c r="AT71" s="1196">
        <v>0</v>
      </c>
      <c r="AU71" s="1196">
        <v>2</v>
      </c>
      <c r="AV71" s="1196">
        <v>2</v>
      </c>
      <c r="AW71" s="1196">
        <v>0</v>
      </c>
      <c r="AX71" s="1196">
        <v>0</v>
      </c>
      <c r="AY71" s="1196">
        <v>0</v>
      </c>
      <c r="AZ71" s="1196">
        <v>0</v>
      </c>
      <c r="BA71" s="1196">
        <v>0</v>
      </c>
      <c r="BB71" s="1196">
        <v>0</v>
      </c>
      <c r="BC71" s="1196">
        <v>0</v>
      </c>
      <c r="BD71" s="1196">
        <v>0</v>
      </c>
      <c r="BE71" s="1196">
        <v>0</v>
      </c>
      <c r="BF71" s="1196">
        <v>0</v>
      </c>
      <c r="BG71" s="1196">
        <v>0</v>
      </c>
      <c r="BH71" s="1196">
        <v>0</v>
      </c>
      <c r="BI71" s="1196">
        <v>0</v>
      </c>
      <c r="BJ71" s="1196">
        <v>0</v>
      </c>
      <c r="BK71" s="1197">
        <v>0</v>
      </c>
      <c r="BL71" s="1198">
        <f t="shared" ref="BL71:BL98" si="10">SUM(AS71:BK71)</f>
        <v>4</v>
      </c>
      <c r="BM71" s="1182"/>
      <c r="BN71" s="1119"/>
      <c r="BO71" s="1119"/>
      <c r="BP71" s="1119"/>
      <c r="BQ71" s="1119"/>
    </row>
    <row r="72" spans="1:69" s="1120" customFormat="1" ht="24.95" hidden="1" customHeight="1">
      <c r="A72" s="1188">
        <v>3</v>
      </c>
      <c r="B72" s="1183" t="s">
        <v>75</v>
      </c>
      <c r="C72" s="1190">
        <v>444.90000000000003</v>
      </c>
      <c r="D72" s="1191">
        <v>67.400000000000006</v>
      </c>
      <c r="E72" s="1192">
        <v>79</v>
      </c>
      <c r="F72" s="1192">
        <v>85.8</v>
      </c>
      <c r="G72" s="1192">
        <v>441.07401562322701</v>
      </c>
      <c r="H72" s="1192">
        <v>660.49495474267678</v>
      </c>
      <c r="I72" s="1192">
        <v>588.29999999999995</v>
      </c>
      <c r="J72" s="1192">
        <v>178.6</v>
      </c>
      <c r="K72" s="1192">
        <v>165</v>
      </c>
      <c r="L72" s="1192">
        <v>20.8</v>
      </c>
      <c r="M72" s="1192">
        <v>397</v>
      </c>
      <c r="N72" s="1192">
        <v>130.59</v>
      </c>
      <c r="O72" s="1192">
        <v>187.5</v>
      </c>
      <c r="P72" s="1192">
        <v>7</v>
      </c>
      <c r="Q72" s="1192">
        <v>1095</v>
      </c>
      <c r="R72" s="1192">
        <v>275.45999999999998</v>
      </c>
      <c r="S72" s="1192">
        <v>549.70000000000005</v>
      </c>
      <c r="T72" s="1192">
        <v>104.7</v>
      </c>
      <c r="U72" s="1192">
        <v>23</v>
      </c>
      <c r="V72" s="1192">
        <v>111.8</v>
      </c>
      <c r="W72" s="1192">
        <v>0</v>
      </c>
      <c r="X72" s="1192">
        <v>162</v>
      </c>
      <c r="Y72" s="1192">
        <v>204</v>
      </c>
      <c r="Z72" s="1192">
        <v>160.31</v>
      </c>
      <c r="AA72" s="1192">
        <v>148.83000000000001</v>
      </c>
      <c r="AB72" s="1192">
        <v>188.07</v>
      </c>
      <c r="AC72" s="1192">
        <v>107.33333333333333</v>
      </c>
      <c r="AD72" s="1192">
        <v>0</v>
      </c>
      <c r="AE72" s="1192">
        <v>42</v>
      </c>
      <c r="AF72" s="1192">
        <v>25.7</v>
      </c>
      <c r="AG72" s="1192">
        <v>386.5</v>
      </c>
      <c r="AH72" s="1192">
        <v>25.67</v>
      </c>
      <c r="AI72" s="1192">
        <v>473.95</v>
      </c>
      <c r="AJ72" s="1192">
        <v>206.5</v>
      </c>
      <c r="AK72" s="1192">
        <v>614.28</v>
      </c>
      <c r="AL72" s="1192">
        <v>252.5</v>
      </c>
      <c r="AM72" s="1192">
        <v>511</v>
      </c>
      <c r="AN72" s="1192">
        <v>231.50000000000006</v>
      </c>
      <c r="AO72" s="1193">
        <f t="shared" si="9"/>
        <v>6458.3673489565599</v>
      </c>
      <c r="AP72" s="1194">
        <f t="shared" si="9"/>
        <v>2894.8949547426769</v>
      </c>
      <c r="AQ72" s="1190">
        <v>0</v>
      </c>
      <c r="AR72" s="1195">
        <v>126</v>
      </c>
      <c r="AS72" s="1171"/>
      <c r="AT72" s="1171"/>
      <c r="AU72" s="1171"/>
      <c r="AV72" s="1171"/>
      <c r="AW72" s="1171"/>
      <c r="AX72" s="1171"/>
      <c r="AY72" s="1171"/>
      <c r="AZ72" s="1171"/>
      <c r="BA72" s="1171"/>
      <c r="BB72" s="1171"/>
      <c r="BC72" s="1171"/>
      <c r="BD72" s="1171"/>
      <c r="BE72" s="1171"/>
      <c r="BF72" s="1171"/>
      <c r="BG72" s="1171"/>
      <c r="BH72" s="1171"/>
      <c r="BI72" s="1171"/>
      <c r="BJ72" s="1171"/>
      <c r="BK72" s="562"/>
      <c r="BL72" s="1181"/>
      <c r="BM72" s="1182"/>
      <c r="BN72" s="1119"/>
      <c r="BO72" s="1119"/>
      <c r="BP72" s="1119"/>
      <c r="BQ72" s="1119"/>
    </row>
    <row r="73" spans="1:69" s="1120" customFormat="1" ht="24.95" hidden="1" customHeight="1">
      <c r="A73" s="1188"/>
      <c r="B73" s="1183" t="s">
        <v>2</v>
      </c>
      <c r="C73" s="1217">
        <f t="shared" ref="C73:AR73" si="11">SUM(C71:C72)</f>
        <v>444.90000000000003</v>
      </c>
      <c r="D73" s="1218">
        <f t="shared" si="11"/>
        <v>67.400000000000006</v>
      </c>
      <c r="E73" s="1219">
        <f t="shared" si="11"/>
        <v>79</v>
      </c>
      <c r="F73" s="1219">
        <f t="shared" si="11"/>
        <v>85.8</v>
      </c>
      <c r="G73" s="1219">
        <f t="shared" si="11"/>
        <v>462.07401562322701</v>
      </c>
      <c r="H73" s="1219">
        <f t="shared" si="11"/>
        <v>660.49495474267678</v>
      </c>
      <c r="I73" s="1219">
        <f t="shared" si="11"/>
        <v>644.29999999999995</v>
      </c>
      <c r="J73" s="1219">
        <f t="shared" si="11"/>
        <v>178.6</v>
      </c>
      <c r="K73" s="1219">
        <f t="shared" si="11"/>
        <v>165</v>
      </c>
      <c r="L73" s="1219">
        <f t="shared" si="11"/>
        <v>20.8</v>
      </c>
      <c r="M73" s="1219">
        <f t="shared" si="11"/>
        <v>407</v>
      </c>
      <c r="N73" s="1219">
        <f t="shared" si="11"/>
        <v>130.59</v>
      </c>
      <c r="O73" s="1219">
        <f t="shared" si="11"/>
        <v>187.5</v>
      </c>
      <c r="P73" s="1219">
        <f t="shared" si="11"/>
        <v>7</v>
      </c>
      <c r="Q73" s="1219">
        <f t="shared" si="11"/>
        <v>1095</v>
      </c>
      <c r="R73" s="1219">
        <f t="shared" si="11"/>
        <v>275.45999999999998</v>
      </c>
      <c r="S73" s="1219">
        <f t="shared" si="11"/>
        <v>549.70000000000005</v>
      </c>
      <c r="T73" s="1219">
        <f t="shared" si="11"/>
        <v>104.7</v>
      </c>
      <c r="U73" s="1219">
        <f t="shared" si="11"/>
        <v>23</v>
      </c>
      <c r="V73" s="1219">
        <f t="shared" si="11"/>
        <v>111.8</v>
      </c>
      <c r="W73" s="1219">
        <f t="shared" si="11"/>
        <v>0</v>
      </c>
      <c r="X73" s="1219">
        <f t="shared" si="11"/>
        <v>162</v>
      </c>
      <c r="Y73" s="1219">
        <f t="shared" si="11"/>
        <v>204</v>
      </c>
      <c r="Z73" s="1219">
        <f t="shared" si="11"/>
        <v>160.31</v>
      </c>
      <c r="AA73" s="1219">
        <f t="shared" si="11"/>
        <v>148.83000000000001</v>
      </c>
      <c r="AB73" s="1219">
        <f t="shared" si="11"/>
        <v>188.07</v>
      </c>
      <c r="AC73" s="1219">
        <f t="shared" si="11"/>
        <v>107.33333333333333</v>
      </c>
      <c r="AD73" s="1219">
        <f t="shared" si="11"/>
        <v>0</v>
      </c>
      <c r="AE73" s="1219">
        <f t="shared" si="11"/>
        <v>42</v>
      </c>
      <c r="AF73" s="1219">
        <f t="shared" si="11"/>
        <v>25.7</v>
      </c>
      <c r="AG73" s="1219">
        <f t="shared" si="11"/>
        <v>386.5</v>
      </c>
      <c r="AH73" s="1219">
        <f t="shared" si="11"/>
        <v>25.67</v>
      </c>
      <c r="AI73" s="1219">
        <f t="shared" si="11"/>
        <v>473.95</v>
      </c>
      <c r="AJ73" s="1219">
        <f t="shared" si="11"/>
        <v>206.5</v>
      </c>
      <c r="AK73" s="1219">
        <f t="shared" si="11"/>
        <v>614.28</v>
      </c>
      <c r="AL73" s="1219">
        <f t="shared" si="11"/>
        <v>252.5</v>
      </c>
      <c r="AM73" s="1219">
        <f t="shared" si="11"/>
        <v>617</v>
      </c>
      <c r="AN73" s="1219">
        <f t="shared" si="11"/>
        <v>231.50000000000006</v>
      </c>
      <c r="AO73" s="1193">
        <f t="shared" si="11"/>
        <v>6651.3673489565599</v>
      </c>
      <c r="AP73" s="1194">
        <f t="shared" si="11"/>
        <v>2894.8949547426769</v>
      </c>
      <c r="AQ73" s="1217">
        <f t="shared" si="11"/>
        <v>0</v>
      </c>
      <c r="AR73" s="1220">
        <f t="shared" si="11"/>
        <v>126</v>
      </c>
      <c r="AS73" s="1171"/>
      <c r="AT73" s="1171"/>
      <c r="AU73" s="1171"/>
      <c r="AV73" s="1171"/>
      <c r="AW73" s="1171"/>
      <c r="AX73" s="1171"/>
      <c r="AY73" s="1171"/>
      <c r="AZ73" s="1171"/>
      <c r="BA73" s="1171"/>
      <c r="BB73" s="1171"/>
      <c r="BC73" s="1171"/>
      <c r="BD73" s="1171"/>
      <c r="BE73" s="1171"/>
      <c r="BF73" s="1171"/>
      <c r="BG73" s="1171"/>
      <c r="BH73" s="1171"/>
      <c r="BI73" s="1171"/>
      <c r="BJ73" s="1171"/>
      <c r="BK73" s="562"/>
      <c r="BL73" s="1181"/>
      <c r="BM73" s="1182"/>
      <c r="BN73" s="1119"/>
      <c r="BO73" s="1119"/>
      <c r="BP73" s="1119"/>
      <c r="BQ73" s="1119"/>
    </row>
    <row r="74" spans="1:69" s="1120" customFormat="1" ht="24.95" hidden="1" customHeight="1">
      <c r="A74" s="1164"/>
      <c r="B74" s="1174" t="s">
        <v>10</v>
      </c>
      <c r="C74" s="1175"/>
      <c r="D74" s="1176"/>
      <c r="E74" s="1177"/>
      <c r="F74" s="1177"/>
      <c r="G74" s="1177"/>
      <c r="H74" s="1177"/>
      <c r="I74" s="1177"/>
      <c r="J74" s="1177"/>
      <c r="K74" s="1177"/>
      <c r="L74" s="1177"/>
      <c r="M74" s="1177"/>
      <c r="N74" s="1177"/>
      <c r="O74" s="1177"/>
      <c r="P74" s="1177"/>
      <c r="Q74" s="1177"/>
      <c r="R74" s="1177"/>
      <c r="S74" s="1177"/>
      <c r="T74" s="1177"/>
      <c r="U74" s="1177"/>
      <c r="V74" s="1177"/>
      <c r="W74" s="1177"/>
      <c r="X74" s="1177"/>
      <c r="Y74" s="1177"/>
      <c r="Z74" s="1177"/>
      <c r="AA74" s="1177"/>
      <c r="AB74" s="1177"/>
      <c r="AC74" s="1177"/>
      <c r="AD74" s="1177"/>
      <c r="AE74" s="1177"/>
      <c r="AF74" s="1177"/>
      <c r="AG74" s="1177"/>
      <c r="AH74" s="1177"/>
      <c r="AI74" s="1177"/>
      <c r="AJ74" s="1177"/>
      <c r="AK74" s="1177"/>
      <c r="AL74" s="1177"/>
      <c r="AM74" s="1177"/>
      <c r="AN74" s="1177"/>
      <c r="AO74" s="1177"/>
      <c r="AP74" s="1176"/>
      <c r="AQ74" s="1175"/>
      <c r="AR74" s="1180"/>
      <c r="AS74" s="1171"/>
      <c r="AT74" s="1171"/>
      <c r="AU74" s="1171"/>
      <c r="AV74" s="1171"/>
      <c r="AW74" s="1171"/>
      <c r="AX74" s="1171"/>
      <c r="AY74" s="1171"/>
      <c r="AZ74" s="1171"/>
      <c r="BA74" s="1171"/>
      <c r="BB74" s="1171"/>
      <c r="BC74" s="1171"/>
      <c r="BD74" s="1171"/>
      <c r="BE74" s="1171"/>
      <c r="BF74" s="1171"/>
      <c r="BG74" s="1171"/>
      <c r="BH74" s="1171"/>
      <c r="BI74" s="1171"/>
      <c r="BJ74" s="1171"/>
      <c r="BK74" s="562"/>
      <c r="BL74" s="1181"/>
      <c r="BM74" s="1182"/>
      <c r="BN74" s="1119"/>
      <c r="BO74" s="1119"/>
      <c r="BP74" s="1119"/>
      <c r="BQ74" s="1119"/>
    </row>
    <row r="75" spans="1:69" s="1120" customFormat="1" ht="24.95" hidden="1" customHeight="1">
      <c r="A75" s="1199"/>
      <c r="B75" s="1183" t="s">
        <v>73</v>
      </c>
      <c r="C75" s="1175"/>
      <c r="D75" s="1176"/>
      <c r="E75" s="1177"/>
      <c r="F75" s="1177"/>
      <c r="G75" s="1177"/>
      <c r="H75" s="1177"/>
      <c r="I75" s="1177"/>
      <c r="J75" s="1177"/>
      <c r="K75" s="1177"/>
      <c r="L75" s="1177"/>
      <c r="M75" s="1177"/>
      <c r="N75" s="1177"/>
      <c r="O75" s="1177"/>
      <c r="P75" s="1177"/>
      <c r="Q75" s="1177"/>
      <c r="R75" s="1177"/>
      <c r="S75" s="1177"/>
      <c r="T75" s="1177"/>
      <c r="U75" s="1177"/>
      <c r="V75" s="1177"/>
      <c r="W75" s="1177"/>
      <c r="X75" s="1177"/>
      <c r="Y75" s="1177"/>
      <c r="Z75" s="1177"/>
      <c r="AA75" s="1177"/>
      <c r="AB75" s="1177"/>
      <c r="AC75" s="1177"/>
      <c r="AD75" s="1177"/>
      <c r="AE75" s="1177"/>
      <c r="AF75" s="1177"/>
      <c r="AG75" s="1177"/>
      <c r="AH75" s="1177"/>
      <c r="AI75" s="1177"/>
      <c r="AJ75" s="1177"/>
      <c r="AK75" s="1177"/>
      <c r="AL75" s="1177"/>
      <c r="AM75" s="1177"/>
      <c r="AN75" s="1177"/>
      <c r="AO75" s="1177"/>
      <c r="AP75" s="1176"/>
      <c r="AQ75" s="1175"/>
      <c r="AR75" s="1180"/>
      <c r="AS75" s="1171"/>
      <c r="AT75" s="1171"/>
      <c r="AU75" s="1171"/>
      <c r="AV75" s="1171"/>
      <c r="AW75" s="1171"/>
      <c r="AX75" s="1171"/>
      <c r="AY75" s="1171"/>
      <c r="AZ75" s="1171"/>
      <c r="BA75" s="1171"/>
      <c r="BB75" s="1171"/>
      <c r="BC75" s="1171"/>
      <c r="BD75" s="1171"/>
      <c r="BE75" s="1171"/>
      <c r="BF75" s="1171"/>
      <c r="BG75" s="1171"/>
      <c r="BH75" s="1171"/>
      <c r="BI75" s="1171"/>
      <c r="BJ75" s="1171"/>
      <c r="BK75" s="562"/>
      <c r="BL75" s="1181"/>
      <c r="BM75" s="1182"/>
      <c r="BN75" s="1200"/>
      <c r="BO75" s="1200"/>
      <c r="BP75" s="1200"/>
      <c r="BQ75" s="1200"/>
    </row>
    <row r="76" spans="1:69" s="1120" customFormat="1" ht="24.95" hidden="1" customHeight="1">
      <c r="A76" s="1188">
        <v>4</v>
      </c>
      <c r="B76" s="1189" t="s">
        <v>76</v>
      </c>
      <c r="C76" s="1190">
        <v>166.9</v>
      </c>
      <c r="D76" s="1191">
        <v>0</v>
      </c>
      <c r="E76" s="1192">
        <v>0</v>
      </c>
      <c r="F76" s="1192">
        <v>0</v>
      </c>
      <c r="G76" s="1192">
        <v>150</v>
      </c>
      <c r="H76" s="1192">
        <v>15.190000000000001</v>
      </c>
      <c r="I76" s="1192">
        <v>0</v>
      </c>
      <c r="J76" s="1192">
        <v>0</v>
      </c>
      <c r="K76" s="1192">
        <v>120</v>
      </c>
      <c r="L76" s="1192">
        <v>0</v>
      </c>
      <c r="M76" s="1192">
        <v>0</v>
      </c>
      <c r="N76" s="1192">
        <v>0</v>
      </c>
      <c r="O76" s="1192">
        <v>0</v>
      </c>
      <c r="P76" s="1192">
        <v>0</v>
      </c>
      <c r="Q76" s="1192">
        <v>194</v>
      </c>
      <c r="R76" s="1192">
        <v>0</v>
      </c>
      <c r="S76" s="1192">
        <v>0</v>
      </c>
      <c r="T76" s="1192">
        <v>0</v>
      </c>
      <c r="U76" s="1192">
        <v>81</v>
      </c>
      <c r="V76" s="1192">
        <v>0</v>
      </c>
      <c r="W76" s="1192">
        <v>0</v>
      </c>
      <c r="X76" s="1192">
        <v>0</v>
      </c>
      <c r="Y76" s="1192">
        <v>0</v>
      </c>
      <c r="Z76" s="1192">
        <v>0</v>
      </c>
      <c r="AA76" s="1192">
        <v>0</v>
      </c>
      <c r="AB76" s="1192">
        <v>0</v>
      </c>
      <c r="AC76" s="1192">
        <v>0</v>
      </c>
      <c r="AD76" s="1192">
        <v>0</v>
      </c>
      <c r="AE76" s="1192">
        <v>0</v>
      </c>
      <c r="AF76" s="1192">
        <v>0</v>
      </c>
      <c r="AG76" s="1192">
        <v>0</v>
      </c>
      <c r="AH76" s="1192">
        <v>0</v>
      </c>
      <c r="AI76" s="1192">
        <v>0</v>
      </c>
      <c r="AJ76" s="1192">
        <v>0</v>
      </c>
      <c r="AK76" s="1192">
        <v>303</v>
      </c>
      <c r="AL76" s="1192">
        <v>0</v>
      </c>
      <c r="AM76" s="1192">
        <v>166</v>
      </c>
      <c r="AN76" s="1192">
        <v>3.833333333333333</v>
      </c>
      <c r="AO76" s="1193">
        <f t="shared" ref="AO76:AP80" si="12">SUM(C76,E76,G76,I76,K76,M76,O76,Q76,S76,U76,W76,Y76,AA76,AC76,AE76,AG76,AI76,AK76,AM76)</f>
        <v>1180.9000000000001</v>
      </c>
      <c r="AP76" s="1194">
        <f t="shared" si="12"/>
        <v>19.023333333333333</v>
      </c>
      <c r="AQ76" s="1190">
        <v>0</v>
      </c>
      <c r="AR76" s="1195">
        <v>0</v>
      </c>
      <c r="AS76" s="1196">
        <v>1</v>
      </c>
      <c r="AT76" s="1196">
        <v>0</v>
      </c>
      <c r="AU76" s="1196">
        <v>0</v>
      </c>
      <c r="AV76" s="1196">
        <v>0</v>
      </c>
      <c r="AW76" s="1196">
        <v>4</v>
      </c>
      <c r="AX76" s="1196">
        <v>0</v>
      </c>
      <c r="AY76" s="1196">
        <v>0</v>
      </c>
      <c r="AZ76" s="1196">
        <v>2</v>
      </c>
      <c r="BA76" s="1196">
        <v>0</v>
      </c>
      <c r="BB76" s="1196">
        <v>0</v>
      </c>
      <c r="BC76" s="1196">
        <v>0</v>
      </c>
      <c r="BD76" s="1196">
        <v>0</v>
      </c>
      <c r="BE76" s="1196">
        <v>0</v>
      </c>
      <c r="BF76" s="1196">
        <v>0</v>
      </c>
      <c r="BG76" s="1196">
        <v>0</v>
      </c>
      <c r="BH76" s="1196">
        <v>0</v>
      </c>
      <c r="BI76" s="1196">
        <v>0</v>
      </c>
      <c r="BJ76" s="1196">
        <v>12</v>
      </c>
      <c r="BK76" s="1197">
        <v>0</v>
      </c>
      <c r="BL76" s="1198">
        <f t="shared" si="10"/>
        <v>19</v>
      </c>
      <c r="BM76" s="1182"/>
      <c r="BN76" s="1119"/>
      <c r="BO76" s="1119"/>
      <c r="BP76" s="1119"/>
      <c r="BQ76" s="1119"/>
    </row>
    <row r="77" spans="1:69" s="1120" customFormat="1" ht="24.95" hidden="1" customHeight="1">
      <c r="A77" s="1188">
        <v>5</v>
      </c>
      <c r="B77" s="1189" t="s">
        <v>77</v>
      </c>
      <c r="C77" s="1190">
        <v>146.19999999999999</v>
      </c>
      <c r="D77" s="1191">
        <v>4.0999999999999996</v>
      </c>
      <c r="E77" s="1192">
        <v>0</v>
      </c>
      <c r="F77" s="1192">
        <v>0</v>
      </c>
      <c r="G77" s="1192">
        <v>42</v>
      </c>
      <c r="H77" s="1192">
        <v>0</v>
      </c>
      <c r="I77" s="1192">
        <v>0</v>
      </c>
      <c r="J77" s="1192">
        <v>0</v>
      </c>
      <c r="K77" s="1192">
        <v>183</v>
      </c>
      <c r="L77" s="1192">
        <v>0</v>
      </c>
      <c r="M77" s="1192">
        <v>0</v>
      </c>
      <c r="N77" s="1192">
        <v>0</v>
      </c>
      <c r="O77" s="1192">
        <v>0</v>
      </c>
      <c r="P77" s="1192">
        <v>0</v>
      </c>
      <c r="Q77" s="1192">
        <v>204</v>
      </c>
      <c r="R77" s="1192">
        <v>0.5</v>
      </c>
      <c r="S77" s="1192">
        <v>0</v>
      </c>
      <c r="T77" s="1192">
        <v>0</v>
      </c>
      <c r="U77" s="1192">
        <v>24</v>
      </c>
      <c r="V77" s="1192">
        <v>0</v>
      </c>
      <c r="W77" s="1192">
        <v>0</v>
      </c>
      <c r="X77" s="1192">
        <v>0</v>
      </c>
      <c r="Y77" s="1192">
        <v>0</v>
      </c>
      <c r="Z77" s="1192">
        <v>0</v>
      </c>
      <c r="AA77" s="1192">
        <v>0</v>
      </c>
      <c r="AB77" s="1192">
        <v>0</v>
      </c>
      <c r="AC77" s="1192">
        <v>0</v>
      </c>
      <c r="AD77" s="1192">
        <v>0</v>
      </c>
      <c r="AE77" s="1192">
        <v>0</v>
      </c>
      <c r="AF77" s="1192">
        <v>0</v>
      </c>
      <c r="AG77" s="1192">
        <v>0</v>
      </c>
      <c r="AH77" s="1192">
        <v>0</v>
      </c>
      <c r="AI77" s="1192">
        <v>0</v>
      </c>
      <c r="AJ77" s="1192">
        <v>0</v>
      </c>
      <c r="AK77" s="1192">
        <v>532</v>
      </c>
      <c r="AL77" s="1192">
        <v>8.8000000000000007</v>
      </c>
      <c r="AM77" s="1192">
        <v>79</v>
      </c>
      <c r="AN77" s="1192">
        <v>0</v>
      </c>
      <c r="AO77" s="1193">
        <f t="shared" si="12"/>
        <v>1210.2</v>
      </c>
      <c r="AP77" s="1194">
        <f t="shared" si="12"/>
        <v>13.4</v>
      </c>
      <c r="AQ77" s="1190">
        <v>0</v>
      </c>
      <c r="AR77" s="1195">
        <v>0</v>
      </c>
      <c r="AS77" s="1196">
        <v>0</v>
      </c>
      <c r="AT77" s="1196">
        <v>0</v>
      </c>
      <c r="AU77" s="1196">
        <v>0</v>
      </c>
      <c r="AV77" s="1196">
        <v>0</v>
      </c>
      <c r="AW77" s="1196">
        <v>9</v>
      </c>
      <c r="AX77" s="1196">
        <v>0</v>
      </c>
      <c r="AY77" s="1196">
        <v>0</v>
      </c>
      <c r="AZ77" s="1196">
        <v>6</v>
      </c>
      <c r="BA77" s="1196">
        <v>0</v>
      </c>
      <c r="BB77" s="1196">
        <v>0</v>
      </c>
      <c r="BC77" s="1196">
        <v>0</v>
      </c>
      <c r="BD77" s="1196">
        <v>0</v>
      </c>
      <c r="BE77" s="1196">
        <v>0</v>
      </c>
      <c r="BF77" s="1196">
        <v>0</v>
      </c>
      <c r="BG77" s="1196">
        <v>0</v>
      </c>
      <c r="BH77" s="1196">
        <v>0</v>
      </c>
      <c r="BI77" s="1196">
        <v>0</v>
      </c>
      <c r="BJ77" s="1196">
        <v>11</v>
      </c>
      <c r="BK77" s="1197">
        <v>1</v>
      </c>
      <c r="BL77" s="1198">
        <f t="shared" si="10"/>
        <v>27</v>
      </c>
      <c r="BM77" s="1182"/>
      <c r="BN77" s="1119"/>
      <c r="BO77" s="1119"/>
      <c r="BP77" s="1119"/>
      <c r="BQ77" s="1119"/>
    </row>
    <row r="78" spans="1:69" s="1120" customFormat="1" ht="24.95" hidden="1" customHeight="1">
      <c r="A78" s="1188">
        <v>6</v>
      </c>
      <c r="B78" s="1189" t="s">
        <v>281</v>
      </c>
      <c r="C78" s="1190">
        <v>0</v>
      </c>
      <c r="D78" s="1191">
        <v>43.2</v>
      </c>
      <c r="E78" s="1192">
        <v>0</v>
      </c>
      <c r="F78" s="1192">
        <v>0</v>
      </c>
      <c r="G78" s="1192">
        <v>0</v>
      </c>
      <c r="H78" s="1192">
        <v>30</v>
      </c>
      <c r="I78" s="1192">
        <v>0</v>
      </c>
      <c r="J78" s="1192">
        <v>0</v>
      </c>
      <c r="K78" s="1192">
        <v>26</v>
      </c>
      <c r="L78" s="1192">
        <v>0</v>
      </c>
      <c r="M78" s="1192">
        <v>0</v>
      </c>
      <c r="N78" s="1192">
        <v>0</v>
      </c>
      <c r="O78" s="1192">
        <v>0</v>
      </c>
      <c r="P78" s="1192">
        <v>0</v>
      </c>
      <c r="Q78" s="1192">
        <v>17</v>
      </c>
      <c r="R78" s="1192">
        <v>0</v>
      </c>
      <c r="S78" s="1192">
        <v>0</v>
      </c>
      <c r="T78" s="1192">
        <v>0</v>
      </c>
      <c r="U78" s="1192">
        <v>0</v>
      </c>
      <c r="V78" s="1192">
        <v>0</v>
      </c>
      <c r="W78" s="1192">
        <v>0</v>
      </c>
      <c r="X78" s="1192">
        <v>0</v>
      </c>
      <c r="Y78" s="1192">
        <v>0</v>
      </c>
      <c r="Z78" s="1192">
        <v>0</v>
      </c>
      <c r="AA78" s="1192">
        <v>0</v>
      </c>
      <c r="AB78" s="1192">
        <v>0</v>
      </c>
      <c r="AC78" s="1192">
        <v>0</v>
      </c>
      <c r="AD78" s="1192">
        <v>0</v>
      </c>
      <c r="AE78" s="1192">
        <v>0</v>
      </c>
      <c r="AF78" s="1192">
        <v>0</v>
      </c>
      <c r="AG78" s="1192">
        <v>0</v>
      </c>
      <c r="AH78" s="1192">
        <v>0</v>
      </c>
      <c r="AI78" s="1192">
        <v>0</v>
      </c>
      <c r="AJ78" s="1192">
        <v>0</v>
      </c>
      <c r="AK78" s="1192">
        <v>0</v>
      </c>
      <c r="AL78" s="1192">
        <v>0</v>
      </c>
      <c r="AM78" s="1192">
        <v>0</v>
      </c>
      <c r="AN78" s="1192">
        <v>0</v>
      </c>
      <c r="AO78" s="1193">
        <f t="shared" si="12"/>
        <v>43</v>
      </c>
      <c r="AP78" s="1194">
        <f t="shared" si="12"/>
        <v>73.2</v>
      </c>
      <c r="AQ78" s="1190">
        <v>0</v>
      </c>
      <c r="AR78" s="1195">
        <v>0</v>
      </c>
      <c r="AS78" s="1196">
        <v>0</v>
      </c>
      <c r="AT78" s="1196">
        <v>0</v>
      </c>
      <c r="AU78" s="1196">
        <v>0</v>
      </c>
      <c r="AV78" s="1196">
        <v>0</v>
      </c>
      <c r="AW78" s="1196">
        <v>0</v>
      </c>
      <c r="AX78" s="1196">
        <v>0</v>
      </c>
      <c r="AY78" s="1196">
        <v>0</v>
      </c>
      <c r="AZ78" s="1196">
        <v>0</v>
      </c>
      <c r="BA78" s="1196">
        <v>0</v>
      </c>
      <c r="BB78" s="1196">
        <v>0</v>
      </c>
      <c r="BC78" s="1196">
        <v>0</v>
      </c>
      <c r="BD78" s="1196">
        <v>0</v>
      </c>
      <c r="BE78" s="1196">
        <v>0</v>
      </c>
      <c r="BF78" s="1196">
        <v>0</v>
      </c>
      <c r="BG78" s="1196">
        <v>0</v>
      </c>
      <c r="BH78" s="1196">
        <v>0</v>
      </c>
      <c r="BI78" s="1196">
        <v>0</v>
      </c>
      <c r="BJ78" s="1196">
        <v>0</v>
      </c>
      <c r="BK78" s="1197">
        <v>0</v>
      </c>
      <c r="BL78" s="1198">
        <f t="shared" si="10"/>
        <v>0</v>
      </c>
      <c r="BM78" s="1182"/>
      <c r="BN78" s="1119"/>
      <c r="BO78" s="1119"/>
      <c r="BP78" s="1119"/>
      <c r="BQ78" s="1119"/>
    </row>
    <row r="79" spans="1:69" s="1120" customFormat="1" ht="24.95" hidden="1" customHeight="1">
      <c r="A79" s="1188">
        <v>7</v>
      </c>
      <c r="B79" s="1189" t="s">
        <v>282</v>
      </c>
      <c r="C79" s="1190">
        <v>0</v>
      </c>
      <c r="D79" s="1191">
        <v>0</v>
      </c>
      <c r="E79" s="1192">
        <v>0</v>
      </c>
      <c r="F79" s="1192">
        <v>0</v>
      </c>
      <c r="G79" s="1192">
        <v>15</v>
      </c>
      <c r="H79" s="1192">
        <v>0</v>
      </c>
      <c r="I79" s="1192">
        <v>0</v>
      </c>
      <c r="J79" s="1192">
        <v>0</v>
      </c>
      <c r="K79" s="1192">
        <v>2</v>
      </c>
      <c r="L79" s="1192">
        <v>0</v>
      </c>
      <c r="M79" s="1192">
        <v>0</v>
      </c>
      <c r="N79" s="1192">
        <v>0</v>
      </c>
      <c r="O79" s="1192">
        <v>0</v>
      </c>
      <c r="P79" s="1192">
        <v>0</v>
      </c>
      <c r="Q79" s="1192">
        <v>0</v>
      </c>
      <c r="R79" s="1192">
        <v>0</v>
      </c>
      <c r="S79" s="1192">
        <v>0</v>
      </c>
      <c r="T79" s="1192">
        <v>0</v>
      </c>
      <c r="U79" s="1192">
        <v>0</v>
      </c>
      <c r="V79" s="1192">
        <v>0</v>
      </c>
      <c r="W79" s="1192">
        <v>0</v>
      </c>
      <c r="X79" s="1192">
        <v>0</v>
      </c>
      <c r="Y79" s="1192">
        <v>0</v>
      </c>
      <c r="Z79" s="1192">
        <v>0</v>
      </c>
      <c r="AA79" s="1192">
        <v>0</v>
      </c>
      <c r="AB79" s="1192">
        <v>0</v>
      </c>
      <c r="AC79" s="1192">
        <v>0</v>
      </c>
      <c r="AD79" s="1192">
        <v>0</v>
      </c>
      <c r="AE79" s="1192">
        <v>0</v>
      </c>
      <c r="AF79" s="1192">
        <v>0</v>
      </c>
      <c r="AG79" s="1192">
        <v>0</v>
      </c>
      <c r="AH79" s="1192">
        <v>0</v>
      </c>
      <c r="AI79" s="1192">
        <v>0</v>
      </c>
      <c r="AJ79" s="1192">
        <v>0</v>
      </c>
      <c r="AK79" s="1192">
        <v>20</v>
      </c>
      <c r="AL79" s="1192">
        <v>0</v>
      </c>
      <c r="AM79" s="1192">
        <v>0</v>
      </c>
      <c r="AN79" s="1192">
        <v>0</v>
      </c>
      <c r="AO79" s="1193">
        <f t="shared" si="12"/>
        <v>37</v>
      </c>
      <c r="AP79" s="1194">
        <f t="shared" si="12"/>
        <v>0</v>
      </c>
      <c r="AQ79" s="1190">
        <v>0</v>
      </c>
      <c r="AR79" s="1195">
        <v>0</v>
      </c>
      <c r="AS79" s="1196">
        <v>0</v>
      </c>
      <c r="AT79" s="1196">
        <v>0</v>
      </c>
      <c r="AU79" s="1196">
        <v>0</v>
      </c>
      <c r="AV79" s="1196">
        <v>0</v>
      </c>
      <c r="AW79" s="1196">
        <v>0</v>
      </c>
      <c r="AX79" s="1196">
        <v>0</v>
      </c>
      <c r="AY79" s="1196">
        <v>0</v>
      </c>
      <c r="AZ79" s="1196">
        <v>0</v>
      </c>
      <c r="BA79" s="1196">
        <v>0</v>
      </c>
      <c r="BB79" s="1196">
        <v>0</v>
      </c>
      <c r="BC79" s="1196">
        <v>0</v>
      </c>
      <c r="BD79" s="1196">
        <v>0</v>
      </c>
      <c r="BE79" s="1196">
        <v>0</v>
      </c>
      <c r="BF79" s="1196">
        <v>0</v>
      </c>
      <c r="BG79" s="1196">
        <v>0</v>
      </c>
      <c r="BH79" s="1196">
        <v>0</v>
      </c>
      <c r="BI79" s="1196">
        <v>0</v>
      </c>
      <c r="BJ79" s="1196">
        <v>0</v>
      </c>
      <c r="BK79" s="1197">
        <v>0</v>
      </c>
      <c r="BL79" s="1198">
        <f t="shared" si="10"/>
        <v>0</v>
      </c>
      <c r="BM79" s="1182"/>
      <c r="BN79" s="1119"/>
      <c r="BO79" s="1119"/>
      <c r="BP79" s="1119"/>
      <c r="BQ79" s="1119"/>
    </row>
    <row r="80" spans="1:69" s="1120" customFormat="1" ht="25.15" hidden="1" customHeight="1">
      <c r="A80" s="1188">
        <v>8</v>
      </c>
      <c r="B80" s="1183" t="s">
        <v>75</v>
      </c>
      <c r="C80" s="1190">
        <v>0</v>
      </c>
      <c r="D80" s="1191">
        <v>114.8</v>
      </c>
      <c r="E80" s="1192">
        <v>0</v>
      </c>
      <c r="F80" s="1192">
        <v>0</v>
      </c>
      <c r="G80" s="1192">
        <v>60</v>
      </c>
      <c r="H80" s="1192">
        <v>95.990998393435348</v>
      </c>
      <c r="I80" s="1192">
        <v>0</v>
      </c>
      <c r="J80" s="1192">
        <v>0</v>
      </c>
      <c r="K80" s="1192">
        <v>78</v>
      </c>
      <c r="L80" s="1192">
        <v>0</v>
      </c>
      <c r="M80" s="1192">
        <v>0</v>
      </c>
      <c r="N80" s="1192">
        <v>0</v>
      </c>
      <c r="O80" s="1192">
        <v>66</v>
      </c>
      <c r="P80" s="1192">
        <v>7.4</v>
      </c>
      <c r="Q80" s="1192">
        <v>8</v>
      </c>
      <c r="R80" s="1192">
        <v>184.99</v>
      </c>
      <c r="S80" s="1192">
        <v>0</v>
      </c>
      <c r="T80" s="1192">
        <v>0</v>
      </c>
      <c r="U80" s="1192">
        <v>0</v>
      </c>
      <c r="V80" s="1192">
        <v>0</v>
      </c>
      <c r="W80" s="1192">
        <v>0</v>
      </c>
      <c r="X80" s="1192">
        <v>0</v>
      </c>
      <c r="Y80" s="1192">
        <v>0</v>
      </c>
      <c r="Z80" s="1192">
        <v>0</v>
      </c>
      <c r="AA80" s="1192">
        <v>33</v>
      </c>
      <c r="AB80" s="1192">
        <v>0</v>
      </c>
      <c r="AC80" s="1192">
        <v>0</v>
      </c>
      <c r="AD80" s="1192">
        <v>0</v>
      </c>
      <c r="AE80" s="1192">
        <v>0</v>
      </c>
      <c r="AF80" s="1192">
        <v>0</v>
      </c>
      <c r="AG80" s="1192">
        <v>0</v>
      </c>
      <c r="AH80" s="1192">
        <v>0</v>
      </c>
      <c r="AI80" s="1192">
        <v>14.25</v>
      </c>
      <c r="AJ80" s="1192">
        <v>15</v>
      </c>
      <c r="AK80" s="1192">
        <v>80</v>
      </c>
      <c r="AL80" s="1192">
        <v>5.2</v>
      </c>
      <c r="AM80" s="1192">
        <v>0</v>
      </c>
      <c r="AN80" s="1192">
        <v>78.333333333333314</v>
      </c>
      <c r="AO80" s="1193">
        <f t="shared" si="12"/>
        <v>339.25</v>
      </c>
      <c r="AP80" s="1194">
        <f t="shared" si="12"/>
        <v>501.71433172676871</v>
      </c>
      <c r="AQ80" s="1190">
        <v>0</v>
      </c>
      <c r="AR80" s="1195">
        <v>0</v>
      </c>
      <c r="AS80" s="1171"/>
      <c r="AT80" s="1171"/>
      <c r="AU80" s="1171"/>
      <c r="AV80" s="1171"/>
      <c r="AW80" s="1171"/>
      <c r="AX80" s="1171"/>
      <c r="AY80" s="1171"/>
      <c r="AZ80" s="1171"/>
      <c r="BA80" s="1171"/>
      <c r="BB80" s="1171"/>
      <c r="BC80" s="1171"/>
      <c r="BD80" s="1171"/>
      <c r="BE80" s="1171"/>
      <c r="BF80" s="1171"/>
      <c r="BG80" s="1171"/>
      <c r="BH80" s="1171"/>
      <c r="BI80" s="1171"/>
      <c r="BJ80" s="1171"/>
      <c r="BK80" s="562"/>
      <c r="BL80" s="1181"/>
      <c r="BM80" s="1182"/>
      <c r="BN80" s="1128"/>
      <c r="BO80" s="1119"/>
      <c r="BP80" s="1119"/>
      <c r="BQ80" s="1119"/>
    </row>
    <row r="81" spans="1:69" s="1120" customFormat="1" ht="24.95" hidden="1" customHeight="1">
      <c r="A81" s="1188"/>
      <c r="B81" s="1183" t="s">
        <v>2</v>
      </c>
      <c r="C81" s="1217">
        <f t="shared" ref="C81:AR81" si="13">SUM(C76:C80)</f>
        <v>313.10000000000002</v>
      </c>
      <c r="D81" s="1218">
        <f t="shared" si="13"/>
        <v>162.1</v>
      </c>
      <c r="E81" s="1219">
        <f t="shared" si="13"/>
        <v>0</v>
      </c>
      <c r="F81" s="1219">
        <f t="shared" si="13"/>
        <v>0</v>
      </c>
      <c r="G81" s="1219">
        <f t="shared" si="13"/>
        <v>267</v>
      </c>
      <c r="H81" s="1219">
        <f t="shared" si="13"/>
        <v>141.18099839343535</v>
      </c>
      <c r="I81" s="1219">
        <f t="shared" si="13"/>
        <v>0</v>
      </c>
      <c r="J81" s="1219">
        <f t="shared" si="13"/>
        <v>0</v>
      </c>
      <c r="K81" s="1219">
        <f t="shared" si="13"/>
        <v>409</v>
      </c>
      <c r="L81" s="1219">
        <f t="shared" si="13"/>
        <v>0</v>
      </c>
      <c r="M81" s="1219">
        <f t="shared" si="13"/>
        <v>0</v>
      </c>
      <c r="N81" s="1219">
        <f t="shared" si="13"/>
        <v>0</v>
      </c>
      <c r="O81" s="1219">
        <f t="shared" si="13"/>
        <v>66</v>
      </c>
      <c r="P81" s="1219">
        <f t="shared" si="13"/>
        <v>7.4</v>
      </c>
      <c r="Q81" s="1219">
        <f t="shared" si="13"/>
        <v>423</v>
      </c>
      <c r="R81" s="1219">
        <f t="shared" si="13"/>
        <v>185.49</v>
      </c>
      <c r="S81" s="1219">
        <f t="shared" si="13"/>
        <v>0</v>
      </c>
      <c r="T81" s="1219">
        <f t="shared" si="13"/>
        <v>0</v>
      </c>
      <c r="U81" s="1219">
        <f t="shared" si="13"/>
        <v>105</v>
      </c>
      <c r="V81" s="1219">
        <f t="shared" si="13"/>
        <v>0</v>
      </c>
      <c r="W81" s="1219">
        <f t="shared" si="13"/>
        <v>0</v>
      </c>
      <c r="X81" s="1219">
        <f t="shared" si="13"/>
        <v>0</v>
      </c>
      <c r="Y81" s="1219">
        <f t="shared" si="13"/>
        <v>0</v>
      </c>
      <c r="Z81" s="1219">
        <f t="shared" si="13"/>
        <v>0</v>
      </c>
      <c r="AA81" s="1219">
        <f t="shared" si="13"/>
        <v>33</v>
      </c>
      <c r="AB81" s="1219">
        <f t="shared" si="13"/>
        <v>0</v>
      </c>
      <c r="AC81" s="1219">
        <f t="shared" si="13"/>
        <v>0</v>
      </c>
      <c r="AD81" s="1219">
        <f t="shared" si="13"/>
        <v>0</v>
      </c>
      <c r="AE81" s="1219">
        <f t="shared" si="13"/>
        <v>0</v>
      </c>
      <c r="AF81" s="1219">
        <f t="shared" si="13"/>
        <v>0</v>
      </c>
      <c r="AG81" s="1219">
        <f t="shared" si="13"/>
        <v>0</v>
      </c>
      <c r="AH81" s="1219">
        <f t="shared" si="13"/>
        <v>0</v>
      </c>
      <c r="AI81" s="1219">
        <f t="shared" si="13"/>
        <v>14.25</v>
      </c>
      <c r="AJ81" s="1219">
        <f t="shared" si="13"/>
        <v>15</v>
      </c>
      <c r="AK81" s="1219">
        <f t="shared" si="13"/>
        <v>935</v>
      </c>
      <c r="AL81" s="1219">
        <f t="shared" si="13"/>
        <v>14</v>
      </c>
      <c r="AM81" s="1219">
        <f t="shared" si="13"/>
        <v>245</v>
      </c>
      <c r="AN81" s="1219">
        <f t="shared" si="13"/>
        <v>82.166666666666643</v>
      </c>
      <c r="AO81" s="1193">
        <f t="shared" si="13"/>
        <v>2810.3500000000004</v>
      </c>
      <c r="AP81" s="1194">
        <f t="shared" si="13"/>
        <v>607.33766506010204</v>
      </c>
      <c r="AQ81" s="1217">
        <f t="shared" si="13"/>
        <v>0</v>
      </c>
      <c r="AR81" s="1220">
        <f t="shared" si="13"/>
        <v>0</v>
      </c>
      <c r="AS81" s="1171"/>
      <c r="AT81" s="1171"/>
      <c r="AU81" s="1171"/>
      <c r="AV81" s="1171"/>
      <c r="AW81" s="1171"/>
      <c r="AX81" s="1171"/>
      <c r="AY81" s="1171"/>
      <c r="AZ81" s="1171"/>
      <c r="BA81" s="1171"/>
      <c r="BB81" s="1171"/>
      <c r="BC81" s="1171"/>
      <c r="BD81" s="1171"/>
      <c r="BE81" s="1171"/>
      <c r="BF81" s="1171"/>
      <c r="BG81" s="1171"/>
      <c r="BH81" s="1171"/>
      <c r="BI81" s="1171"/>
      <c r="BJ81" s="1171"/>
      <c r="BK81" s="562"/>
      <c r="BL81" s="1181"/>
      <c r="BM81" s="1182"/>
      <c r="BN81" s="1119"/>
      <c r="BO81" s="1119"/>
      <c r="BP81" s="1119"/>
      <c r="BQ81" s="1119"/>
    </row>
    <row r="82" spans="1:69" s="1120" customFormat="1" ht="24.95" hidden="1" customHeight="1">
      <c r="A82" s="1164"/>
      <c r="B82" s="1174" t="s">
        <v>11</v>
      </c>
      <c r="C82" s="1175"/>
      <c r="D82" s="1176"/>
      <c r="E82" s="1177"/>
      <c r="F82" s="1177"/>
      <c r="G82" s="1177"/>
      <c r="H82" s="1177"/>
      <c r="I82" s="1177"/>
      <c r="J82" s="1177"/>
      <c r="K82" s="1177"/>
      <c r="L82" s="1177"/>
      <c r="M82" s="1177"/>
      <c r="N82" s="1177"/>
      <c r="O82" s="1177"/>
      <c r="P82" s="1177"/>
      <c r="Q82" s="1177"/>
      <c r="R82" s="1177"/>
      <c r="S82" s="1177"/>
      <c r="T82" s="1177"/>
      <c r="U82" s="1177"/>
      <c r="V82" s="1177"/>
      <c r="W82" s="1177"/>
      <c r="X82" s="1177"/>
      <c r="Y82" s="1177"/>
      <c r="Z82" s="1177"/>
      <c r="AA82" s="1177"/>
      <c r="AB82" s="1177"/>
      <c r="AC82" s="1177"/>
      <c r="AD82" s="1177"/>
      <c r="AE82" s="1177"/>
      <c r="AF82" s="1177"/>
      <c r="AG82" s="1177"/>
      <c r="AH82" s="1177"/>
      <c r="AI82" s="1177"/>
      <c r="AJ82" s="1177"/>
      <c r="AK82" s="1177"/>
      <c r="AL82" s="1177"/>
      <c r="AM82" s="1177"/>
      <c r="AN82" s="1177"/>
      <c r="AO82" s="1177"/>
      <c r="AP82" s="1176"/>
      <c r="AQ82" s="1175"/>
      <c r="AR82" s="1180"/>
      <c r="AS82" s="1171"/>
      <c r="AT82" s="1171"/>
      <c r="AU82" s="1171"/>
      <c r="AV82" s="1171"/>
      <c r="AW82" s="1171"/>
      <c r="AX82" s="1171"/>
      <c r="AY82" s="1171"/>
      <c r="AZ82" s="1171"/>
      <c r="BA82" s="1171"/>
      <c r="BB82" s="1171"/>
      <c r="BC82" s="1171"/>
      <c r="BD82" s="1171"/>
      <c r="BE82" s="1171"/>
      <c r="BF82" s="1171"/>
      <c r="BG82" s="1171"/>
      <c r="BH82" s="1171"/>
      <c r="BI82" s="1171"/>
      <c r="BJ82" s="1171"/>
      <c r="BK82" s="562"/>
      <c r="BL82" s="1181"/>
      <c r="BM82" s="1182"/>
      <c r="BN82" s="1119"/>
      <c r="BO82" s="1119"/>
      <c r="BP82" s="1119"/>
      <c r="BQ82" s="1119"/>
    </row>
    <row r="83" spans="1:69" s="1120" customFormat="1" ht="24.95" hidden="1" customHeight="1">
      <c r="A83" s="1164"/>
      <c r="B83" s="1183" t="s">
        <v>73</v>
      </c>
      <c r="C83" s="1184"/>
      <c r="D83" s="1185"/>
      <c r="E83" s="1186"/>
      <c r="F83" s="1186"/>
      <c r="G83" s="1186"/>
      <c r="H83" s="1186"/>
      <c r="I83" s="1186"/>
      <c r="J83" s="1186"/>
      <c r="K83" s="1186"/>
      <c r="L83" s="1186"/>
      <c r="M83" s="1186"/>
      <c r="N83" s="1186"/>
      <c r="O83" s="1186"/>
      <c r="P83" s="1186"/>
      <c r="Q83" s="1186"/>
      <c r="R83" s="1186"/>
      <c r="S83" s="1186"/>
      <c r="T83" s="1186"/>
      <c r="U83" s="1186"/>
      <c r="V83" s="1186"/>
      <c r="W83" s="1186"/>
      <c r="X83" s="1186"/>
      <c r="Y83" s="1186"/>
      <c r="Z83" s="1186"/>
      <c r="AA83" s="1186"/>
      <c r="AB83" s="1186"/>
      <c r="AC83" s="1186"/>
      <c r="AD83" s="1186"/>
      <c r="AE83" s="1186"/>
      <c r="AF83" s="1186"/>
      <c r="AG83" s="1186"/>
      <c r="AH83" s="1186"/>
      <c r="AI83" s="1186"/>
      <c r="AJ83" s="1186"/>
      <c r="AK83" s="1186"/>
      <c r="AL83" s="1186"/>
      <c r="AM83" s="1186"/>
      <c r="AN83" s="1186"/>
      <c r="AO83" s="1186"/>
      <c r="AP83" s="1185"/>
      <c r="AQ83" s="1184"/>
      <c r="AR83" s="1187"/>
      <c r="AS83" s="1171"/>
      <c r="AT83" s="1171"/>
      <c r="AU83" s="1171"/>
      <c r="AV83" s="1171"/>
      <c r="AW83" s="1171"/>
      <c r="AX83" s="1171"/>
      <c r="AY83" s="1171"/>
      <c r="AZ83" s="1171"/>
      <c r="BA83" s="1171"/>
      <c r="BB83" s="1171"/>
      <c r="BC83" s="1171"/>
      <c r="BD83" s="1171"/>
      <c r="BE83" s="1171"/>
      <c r="BF83" s="1171"/>
      <c r="BG83" s="1171"/>
      <c r="BH83" s="1171"/>
      <c r="BI83" s="1171"/>
      <c r="BJ83" s="1171"/>
      <c r="BK83" s="562"/>
      <c r="BL83" s="1181"/>
      <c r="BM83" s="1182"/>
      <c r="BN83" s="1119"/>
      <c r="BO83" s="1119"/>
      <c r="BP83" s="1119"/>
      <c r="BQ83" s="1119"/>
    </row>
    <row r="84" spans="1:69" s="1120" customFormat="1" ht="24.95" hidden="1" customHeight="1">
      <c r="A84" s="1199"/>
      <c r="B84" s="1201" t="s">
        <v>79</v>
      </c>
      <c r="C84" s="1202"/>
      <c r="D84" s="1203"/>
      <c r="E84" s="1204"/>
      <c r="F84" s="1204"/>
      <c r="G84" s="1204"/>
      <c r="H84" s="1204"/>
      <c r="I84" s="1204"/>
      <c r="J84" s="1204"/>
      <c r="K84" s="1204"/>
      <c r="L84" s="1204"/>
      <c r="M84" s="1204"/>
      <c r="N84" s="1204"/>
      <c r="O84" s="1204"/>
      <c r="P84" s="1204"/>
      <c r="Q84" s="1204"/>
      <c r="R84" s="1204"/>
      <c r="S84" s="1204"/>
      <c r="T84" s="1204"/>
      <c r="U84" s="1204"/>
      <c r="V84" s="1204"/>
      <c r="W84" s="1204"/>
      <c r="X84" s="1204"/>
      <c r="Y84" s="1204"/>
      <c r="Z84" s="1204"/>
      <c r="AA84" s="1204"/>
      <c r="AB84" s="1204"/>
      <c r="AC84" s="1204"/>
      <c r="AD84" s="1204"/>
      <c r="AE84" s="1204"/>
      <c r="AF84" s="1204"/>
      <c r="AG84" s="1204"/>
      <c r="AH84" s="1204"/>
      <c r="AI84" s="1204"/>
      <c r="AJ84" s="1204"/>
      <c r="AK84" s="1204"/>
      <c r="AL84" s="1204"/>
      <c r="AM84" s="1204"/>
      <c r="AN84" s="1204"/>
      <c r="AO84" s="1204"/>
      <c r="AP84" s="1203"/>
      <c r="AQ84" s="1202"/>
      <c r="AR84" s="1205"/>
      <c r="AS84" s="1099"/>
      <c r="AT84" s="1099"/>
      <c r="AU84" s="1099"/>
      <c r="AV84" s="1099"/>
      <c r="AW84" s="1099"/>
      <c r="AX84" s="1099"/>
      <c r="AY84" s="1099"/>
      <c r="AZ84" s="1099"/>
      <c r="BA84" s="1099"/>
      <c r="BB84" s="1099"/>
      <c r="BC84" s="1099"/>
      <c r="BD84" s="1099"/>
      <c r="BE84" s="1099"/>
      <c r="BF84" s="1099"/>
      <c r="BG84" s="1099"/>
      <c r="BH84" s="1099"/>
      <c r="BI84" s="1099"/>
      <c r="BJ84" s="1099"/>
      <c r="BK84" s="1206"/>
      <c r="BL84" s="1181"/>
      <c r="BM84" s="1207"/>
      <c r="BN84" s="1200"/>
      <c r="BO84" s="1200"/>
      <c r="BP84" s="1200"/>
      <c r="BQ84" s="1200"/>
    </row>
    <row r="85" spans="1:69" s="1120" customFormat="1" ht="24.95" hidden="1" customHeight="1">
      <c r="A85" s="1188">
        <v>9</v>
      </c>
      <c r="B85" s="1208" t="s">
        <v>32</v>
      </c>
      <c r="C85" s="1190">
        <v>367</v>
      </c>
      <c r="D85" s="1191">
        <v>0</v>
      </c>
      <c r="E85" s="1192">
        <v>0</v>
      </c>
      <c r="F85" s="1192">
        <v>0</v>
      </c>
      <c r="G85" s="1192">
        <v>303</v>
      </c>
      <c r="H85" s="1192">
        <v>0</v>
      </c>
      <c r="I85" s="1192">
        <v>0</v>
      </c>
      <c r="J85" s="1192">
        <v>0</v>
      </c>
      <c r="K85" s="1192">
        <v>327</v>
      </c>
      <c r="L85" s="1192">
        <v>0</v>
      </c>
      <c r="M85" s="1192">
        <v>0</v>
      </c>
      <c r="N85" s="1192">
        <v>0</v>
      </c>
      <c r="O85" s="1192">
        <v>0</v>
      </c>
      <c r="P85" s="1192">
        <v>0</v>
      </c>
      <c r="Q85" s="1192">
        <v>530</v>
      </c>
      <c r="R85" s="1192">
        <v>0</v>
      </c>
      <c r="S85" s="1192">
        <v>0</v>
      </c>
      <c r="T85" s="1192">
        <v>0</v>
      </c>
      <c r="U85" s="1192">
        <v>0</v>
      </c>
      <c r="V85" s="1192">
        <v>0</v>
      </c>
      <c r="W85" s="1192">
        <v>0</v>
      </c>
      <c r="X85" s="1192">
        <v>0</v>
      </c>
      <c r="Y85" s="1192">
        <v>0</v>
      </c>
      <c r="Z85" s="1192">
        <v>0</v>
      </c>
      <c r="AA85" s="1192">
        <v>0</v>
      </c>
      <c r="AB85" s="1192">
        <v>0</v>
      </c>
      <c r="AC85" s="1192">
        <v>0</v>
      </c>
      <c r="AD85" s="1192">
        <v>0</v>
      </c>
      <c r="AE85" s="1192">
        <v>0</v>
      </c>
      <c r="AF85" s="1192">
        <v>0</v>
      </c>
      <c r="AG85" s="1192">
        <v>0</v>
      </c>
      <c r="AH85" s="1192">
        <v>0</v>
      </c>
      <c r="AI85" s="1192">
        <v>0</v>
      </c>
      <c r="AJ85" s="1192">
        <v>0</v>
      </c>
      <c r="AK85" s="1192">
        <v>0</v>
      </c>
      <c r="AL85" s="1192">
        <v>0</v>
      </c>
      <c r="AM85" s="1192">
        <v>0</v>
      </c>
      <c r="AN85" s="1192">
        <v>0</v>
      </c>
      <c r="AO85" s="1193">
        <f t="shared" ref="AO85:AP88" si="14">SUM(C85,E85,G85,I85,K85,M85,O85,Q85,S85,U85,W85,Y85,AA85,AC85,AE85,AG85,AI85,AK85,AM85)</f>
        <v>1527</v>
      </c>
      <c r="AP85" s="1194">
        <f t="shared" si="14"/>
        <v>0</v>
      </c>
      <c r="AQ85" s="1190">
        <v>0</v>
      </c>
      <c r="AR85" s="1195">
        <v>0</v>
      </c>
      <c r="AS85" s="1196">
        <v>99</v>
      </c>
      <c r="AT85" s="1196">
        <v>0</v>
      </c>
      <c r="AU85" s="1196">
        <v>87</v>
      </c>
      <c r="AV85" s="1196">
        <v>0</v>
      </c>
      <c r="AW85" s="1196">
        <v>235</v>
      </c>
      <c r="AX85" s="1196">
        <v>0</v>
      </c>
      <c r="AY85" s="1196">
        <v>0</v>
      </c>
      <c r="AZ85" s="1196">
        <v>173</v>
      </c>
      <c r="BA85" s="1196">
        <v>0</v>
      </c>
      <c r="BB85" s="1196">
        <v>0</v>
      </c>
      <c r="BC85" s="1196">
        <v>0</v>
      </c>
      <c r="BD85" s="1196">
        <v>0</v>
      </c>
      <c r="BE85" s="1196">
        <v>0</v>
      </c>
      <c r="BF85" s="1196">
        <v>0</v>
      </c>
      <c r="BG85" s="1196">
        <v>0</v>
      </c>
      <c r="BH85" s="1196">
        <v>0</v>
      </c>
      <c r="BI85" s="1196">
        <v>0</v>
      </c>
      <c r="BJ85" s="1196">
        <v>0</v>
      </c>
      <c r="BK85" s="1197">
        <v>0</v>
      </c>
      <c r="BL85" s="1198">
        <f t="shared" si="10"/>
        <v>594</v>
      </c>
      <c r="BM85" s="1182"/>
      <c r="BN85" s="1119"/>
      <c r="BO85" s="1119"/>
      <c r="BP85" s="1119"/>
      <c r="BQ85" s="1119"/>
    </row>
    <row r="86" spans="1:69" s="1120" customFormat="1" ht="24.95" hidden="1" customHeight="1">
      <c r="A86" s="1209">
        <v>10</v>
      </c>
      <c r="B86" s="1208" t="s">
        <v>33</v>
      </c>
      <c r="C86" s="1190">
        <v>62</v>
      </c>
      <c r="D86" s="1191">
        <v>0</v>
      </c>
      <c r="E86" s="1192">
        <v>0</v>
      </c>
      <c r="F86" s="1192">
        <v>0</v>
      </c>
      <c r="G86" s="1192">
        <v>135</v>
      </c>
      <c r="H86" s="1192">
        <v>0</v>
      </c>
      <c r="I86" s="1192">
        <v>0</v>
      </c>
      <c r="J86" s="1192">
        <v>0</v>
      </c>
      <c r="K86" s="1192">
        <v>0</v>
      </c>
      <c r="L86" s="1192">
        <v>0</v>
      </c>
      <c r="M86" s="1192">
        <v>0</v>
      </c>
      <c r="N86" s="1192">
        <v>0</v>
      </c>
      <c r="O86" s="1192">
        <v>0</v>
      </c>
      <c r="P86" s="1192">
        <v>0</v>
      </c>
      <c r="Q86" s="1192">
        <v>227</v>
      </c>
      <c r="R86" s="1192">
        <v>0</v>
      </c>
      <c r="S86" s="1192">
        <v>0</v>
      </c>
      <c r="T86" s="1192">
        <v>0</v>
      </c>
      <c r="U86" s="1192">
        <v>0</v>
      </c>
      <c r="V86" s="1192">
        <v>0</v>
      </c>
      <c r="W86" s="1192">
        <v>0</v>
      </c>
      <c r="X86" s="1192">
        <v>0</v>
      </c>
      <c r="Y86" s="1192">
        <v>0</v>
      </c>
      <c r="Z86" s="1192">
        <v>0</v>
      </c>
      <c r="AA86" s="1192">
        <v>0</v>
      </c>
      <c r="AB86" s="1192">
        <v>0</v>
      </c>
      <c r="AC86" s="1192">
        <v>0</v>
      </c>
      <c r="AD86" s="1192">
        <v>0</v>
      </c>
      <c r="AE86" s="1192">
        <v>0</v>
      </c>
      <c r="AF86" s="1192">
        <v>0</v>
      </c>
      <c r="AG86" s="1192">
        <v>0</v>
      </c>
      <c r="AH86" s="1192">
        <v>0</v>
      </c>
      <c r="AI86" s="1192">
        <v>0</v>
      </c>
      <c r="AJ86" s="1192">
        <v>0</v>
      </c>
      <c r="AK86" s="1192">
        <v>0</v>
      </c>
      <c r="AL86" s="1192">
        <v>0</v>
      </c>
      <c r="AM86" s="1192">
        <v>0</v>
      </c>
      <c r="AN86" s="1192">
        <v>0</v>
      </c>
      <c r="AO86" s="1193">
        <f t="shared" si="14"/>
        <v>424</v>
      </c>
      <c r="AP86" s="1194">
        <f t="shared" si="14"/>
        <v>0</v>
      </c>
      <c r="AQ86" s="1190">
        <v>0</v>
      </c>
      <c r="AR86" s="1195">
        <v>0</v>
      </c>
      <c r="AS86" s="1196">
        <v>17</v>
      </c>
      <c r="AT86" s="1196">
        <v>0</v>
      </c>
      <c r="AU86" s="1196">
        <v>67</v>
      </c>
      <c r="AV86" s="1196">
        <v>0</v>
      </c>
      <c r="AW86" s="1196">
        <v>0</v>
      </c>
      <c r="AX86" s="1196">
        <v>0</v>
      </c>
      <c r="AY86" s="1196">
        <v>0</v>
      </c>
      <c r="AZ86" s="1196">
        <v>58</v>
      </c>
      <c r="BA86" s="1196">
        <v>0</v>
      </c>
      <c r="BB86" s="1196">
        <v>0</v>
      </c>
      <c r="BC86" s="1196">
        <v>0</v>
      </c>
      <c r="BD86" s="1196">
        <v>0</v>
      </c>
      <c r="BE86" s="1196">
        <v>0</v>
      </c>
      <c r="BF86" s="1196">
        <v>0</v>
      </c>
      <c r="BG86" s="1196">
        <v>0</v>
      </c>
      <c r="BH86" s="1196">
        <v>0</v>
      </c>
      <c r="BI86" s="1196">
        <v>0</v>
      </c>
      <c r="BJ86" s="1196">
        <v>0</v>
      </c>
      <c r="BK86" s="1197">
        <v>0</v>
      </c>
      <c r="BL86" s="1198">
        <f t="shared" si="10"/>
        <v>142</v>
      </c>
      <c r="BM86" s="1182"/>
      <c r="BN86" s="1119"/>
      <c r="BO86" s="1119"/>
      <c r="BP86" s="1119"/>
      <c r="BQ86" s="1119"/>
    </row>
    <row r="87" spans="1:69" s="1120" customFormat="1" ht="24.95" hidden="1" customHeight="1">
      <c r="A87" s="1188">
        <v>11</v>
      </c>
      <c r="B87" s="1208" t="s">
        <v>5</v>
      </c>
      <c r="C87" s="1190">
        <v>269</v>
      </c>
      <c r="D87" s="1191">
        <v>0</v>
      </c>
      <c r="E87" s="1192">
        <v>0</v>
      </c>
      <c r="F87" s="1192">
        <v>0</v>
      </c>
      <c r="G87" s="1192">
        <v>258</v>
      </c>
      <c r="H87" s="1192">
        <v>0</v>
      </c>
      <c r="I87" s="1192">
        <v>0</v>
      </c>
      <c r="J87" s="1192">
        <v>0</v>
      </c>
      <c r="K87" s="1192">
        <v>225</v>
      </c>
      <c r="L87" s="1192">
        <v>0</v>
      </c>
      <c r="M87" s="1192">
        <v>0</v>
      </c>
      <c r="N87" s="1192">
        <v>0</v>
      </c>
      <c r="O87" s="1192">
        <v>0</v>
      </c>
      <c r="P87" s="1192">
        <v>0</v>
      </c>
      <c r="Q87" s="1192">
        <v>330</v>
      </c>
      <c r="R87" s="1192">
        <v>0</v>
      </c>
      <c r="S87" s="1192">
        <v>0</v>
      </c>
      <c r="T87" s="1192">
        <v>0</v>
      </c>
      <c r="U87" s="1192">
        <v>0</v>
      </c>
      <c r="V87" s="1192">
        <v>0</v>
      </c>
      <c r="W87" s="1192">
        <v>0</v>
      </c>
      <c r="X87" s="1192">
        <v>0</v>
      </c>
      <c r="Y87" s="1192">
        <v>0</v>
      </c>
      <c r="Z87" s="1192">
        <v>0</v>
      </c>
      <c r="AA87" s="1192">
        <v>0</v>
      </c>
      <c r="AB87" s="1192">
        <v>0</v>
      </c>
      <c r="AC87" s="1192">
        <v>0</v>
      </c>
      <c r="AD87" s="1192">
        <v>0</v>
      </c>
      <c r="AE87" s="1192">
        <v>0</v>
      </c>
      <c r="AF87" s="1192">
        <v>0</v>
      </c>
      <c r="AG87" s="1192">
        <v>183</v>
      </c>
      <c r="AH87" s="1192">
        <v>0</v>
      </c>
      <c r="AI87" s="1192">
        <v>0</v>
      </c>
      <c r="AJ87" s="1192">
        <v>0</v>
      </c>
      <c r="AK87" s="1192">
        <v>0</v>
      </c>
      <c r="AL87" s="1192">
        <v>0</v>
      </c>
      <c r="AM87" s="1192">
        <v>0</v>
      </c>
      <c r="AN87" s="1192">
        <v>0</v>
      </c>
      <c r="AO87" s="1193">
        <f t="shared" si="14"/>
        <v>1265</v>
      </c>
      <c r="AP87" s="1194">
        <f t="shared" si="14"/>
        <v>0</v>
      </c>
      <c r="AQ87" s="1190">
        <v>0</v>
      </c>
      <c r="AR87" s="1195">
        <v>0</v>
      </c>
      <c r="AS87" s="1196">
        <v>65</v>
      </c>
      <c r="AT87" s="1196">
        <v>0</v>
      </c>
      <c r="AU87" s="1196">
        <v>46</v>
      </c>
      <c r="AV87" s="1196">
        <v>0</v>
      </c>
      <c r="AW87" s="1196">
        <v>162.5</v>
      </c>
      <c r="AX87" s="1196">
        <v>0</v>
      </c>
      <c r="AY87" s="1196">
        <v>0</v>
      </c>
      <c r="AZ87" s="1196">
        <v>120</v>
      </c>
      <c r="BA87" s="1196">
        <v>0</v>
      </c>
      <c r="BB87" s="1196">
        <v>0</v>
      </c>
      <c r="BC87" s="1196">
        <v>0</v>
      </c>
      <c r="BD87" s="1196">
        <v>0</v>
      </c>
      <c r="BE87" s="1196">
        <v>0</v>
      </c>
      <c r="BF87" s="1196">
        <v>0</v>
      </c>
      <c r="BG87" s="1196">
        <v>0</v>
      </c>
      <c r="BH87" s="1196">
        <v>151</v>
      </c>
      <c r="BI87" s="1196">
        <v>0</v>
      </c>
      <c r="BJ87" s="1196">
        <v>0</v>
      </c>
      <c r="BK87" s="1197">
        <v>0</v>
      </c>
      <c r="BL87" s="1198">
        <f t="shared" si="10"/>
        <v>544.5</v>
      </c>
      <c r="BM87" s="1182"/>
      <c r="BN87" s="1119"/>
      <c r="BO87" s="1119"/>
      <c r="BP87" s="1119"/>
      <c r="BQ87" s="1119"/>
    </row>
    <row r="88" spans="1:69" s="1120" customFormat="1" ht="24.95" hidden="1" customHeight="1">
      <c r="A88" s="1209">
        <v>12</v>
      </c>
      <c r="B88" s="1208" t="s">
        <v>6</v>
      </c>
      <c r="C88" s="1190">
        <v>0</v>
      </c>
      <c r="D88" s="1191">
        <v>0</v>
      </c>
      <c r="E88" s="1192">
        <v>0</v>
      </c>
      <c r="F88" s="1192">
        <v>0</v>
      </c>
      <c r="G88" s="1192">
        <v>35.625152923905063</v>
      </c>
      <c r="H88" s="1192">
        <v>0</v>
      </c>
      <c r="I88" s="1192">
        <v>0</v>
      </c>
      <c r="J88" s="1192">
        <v>0</v>
      </c>
      <c r="K88" s="1192">
        <v>0</v>
      </c>
      <c r="L88" s="1192">
        <v>0</v>
      </c>
      <c r="M88" s="1192">
        <v>0</v>
      </c>
      <c r="N88" s="1192">
        <v>0</v>
      </c>
      <c r="O88" s="1192">
        <v>0</v>
      </c>
      <c r="P88" s="1192">
        <v>0</v>
      </c>
      <c r="Q88" s="1192">
        <v>53</v>
      </c>
      <c r="R88" s="1192">
        <v>0</v>
      </c>
      <c r="S88" s="1192">
        <v>0</v>
      </c>
      <c r="T88" s="1192">
        <v>0</v>
      </c>
      <c r="U88" s="1192">
        <v>0</v>
      </c>
      <c r="V88" s="1192">
        <v>0</v>
      </c>
      <c r="W88" s="1192">
        <v>0</v>
      </c>
      <c r="X88" s="1192">
        <v>0</v>
      </c>
      <c r="Y88" s="1192">
        <v>0</v>
      </c>
      <c r="Z88" s="1192">
        <v>0</v>
      </c>
      <c r="AA88" s="1192">
        <v>0</v>
      </c>
      <c r="AB88" s="1192">
        <v>0</v>
      </c>
      <c r="AC88" s="1192">
        <v>0</v>
      </c>
      <c r="AD88" s="1192">
        <v>0</v>
      </c>
      <c r="AE88" s="1192">
        <v>0</v>
      </c>
      <c r="AF88" s="1192">
        <v>0</v>
      </c>
      <c r="AG88" s="1192">
        <v>0</v>
      </c>
      <c r="AH88" s="1192">
        <v>0</v>
      </c>
      <c r="AI88" s="1192">
        <v>0</v>
      </c>
      <c r="AJ88" s="1192">
        <v>0</v>
      </c>
      <c r="AK88" s="1192">
        <v>0</v>
      </c>
      <c r="AL88" s="1192">
        <v>0</v>
      </c>
      <c r="AM88" s="1192">
        <v>0</v>
      </c>
      <c r="AN88" s="1192">
        <v>0</v>
      </c>
      <c r="AO88" s="1193">
        <f t="shared" si="14"/>
        <v>88.625152923905063</v>
      </c>
      <c r="AP88" s="1194">
        <f t="shared" si="14"/>
        <v>0</v>
      </c>
      <c r="AQ88" s="1190">
        <v>0</v>
      </c>
      <c r="AR88" s="1195">
        <v>0</v>
      </c>
      <c r="AS88" s="1196">
        <v>0</v>
      </c>
      <c r="AT88" s="1196">
        <v>0</v>
      </c>
      <c r="AU88" s="1196">
        <v>13</v>
      </c>
      <c r="AV88" s="1196">
        <v>0</v>
      </c>
      <c r="AW88" s="1196">
        <v>0</v>
      </c>
      <c r="AX88" s="1196">
        <v>0</v>
      </c>
      <c r="AY88" s="1196">
        <v>0</v>
      </c>
      <c r="AZ88" s="1196">
        <v>14</v>
      </c>
      <c r="BA88" s="1196">
        <v>0</v>
      </c>
      <c r="BB88" s="1196">
        <v>0</v>
      </c>
      <c r="BC88" s="1196">
        <v>0</v>
      </c>
      <c r="BD88" s="1196">
        <v>0</v>
      </c>
      <c r="BE88" s="1196">
        <v>0</v>
      </c>
      <c r="BF88" s="1196">
        <v>0</v>
      </c>
      <c r="BG88" s="1196">
        <v>0</v>
      </c>
      <c r="BH88" s="1196">
        <v>0</v>
      </c>
      <c r="BI88" s="1196">
        <v>0</v>
      </c>
      <c r="BJ88" s="1196">
        <v>0</v>
      </c>
      <c r="BK88" s="1197">
        <v>0</v>
      </c>
      <c r="BL88" s="1198">
        <f t="shared" si="10"/>
        <v>27</v>
      </c>
      <c r="BM88" s="1182"/>
      <c r="BN88" s="1119"/>
      <c r="BO88" s="1119"/>
      <c r="BP88" s="1119"/>
      <c r="BQ88" s="1119"/>
    </row>
    <row r="89" spans="1:69" s="1120" customFormat="1" ht="24.95" hidden="1" customHeight="1">
      <c r="A89" s="1164"/>
      <c r="B89" s="1201" t="s">
        <v>7</v>
      </c>
      <c r="C89" s="1210"/>
      <c r="D89" s="1211"/>
      <c r="E89" s="1212"/>
      <c r="F89" s="1212"/>
      <c r="G89" s="1212"/>
      <c r="H89" s="1212"/>
      <c r="I89" s="1212"/>
      <c r="J89" s="1212"/>
      <c r="K89" s="1212"/>
      <c r="L89" s="1212"/>
      <c r="M89" s="1212"/>
      <c r="N89" s="1212"/>
      <c r="O89" s="1212"/>
      <c r="P89" s="1212"/>
      <c r="Q89" s="1212"/>
      <c r="R89" s="1212"/>
      <c r="S89" s="1212"/>
      <c r="T89" s="1212"/>
      <c r="U89" s="1212"/>
      <c r="V89" s="1212"/>
      <c r="W89" s="1212"/>
      <c r="X89" s="1212"/>
      <c r="Y89" s="1212"/>
      <c r="Z89" s="1212"/>
      <c r="AA89" s="1212"/>
      <c r="AB89" s="1212"/>
      <c r="AC89" s="1212"/>
      <c r="AD89" s="1212"/>
      <c r="AE89" s="1212"/>
      <c r="AF89" s="1212"/>
      <c r="AG89" s="1212"/>
      <c r="AH89" s="1212"/>
      <c r="AI89" s="1212"/>
      <c r="AJ89" s="1212"/>
      <c r="AK89" s="1212"/>
      <c r="AL89" s="1212"/>
      <c r="AM89" s="1212"/>
      <c r="AN89" s="1212"/>
      <c r="AO89" s="1212"/>
      <c r="AP89" s="1211"/>
      <c r="AQ89" s="1210"/>
      <c r="AR89" s="1213"/>
      <c r="AS89" s="1171"/>
      <c r="AT89" s="1171"/>
      <c r="AU89" s="1171"/>
      <c r="AV89" s="1171"/>
      <c r="AW89" s="1171"/>
      <c r="AX89" s="1171"/>
      <c r="AY89" s="1171"/>
      <c r="AZ89" s="1171"/>
      <c r="BA89" s="1171"/>
      <c r="BB89" s="1171"/>
      <c r="BC89" s="1171"/>
      <c r="BD89" s="1171"/>
      <c r="BE89" s="1171"/>
      <c r="BF89" s="1171"/>
      <c r="BG89" s="1171"/>
      <c r="BH89" s="1171"/>
      <c r="BI89" s="1171"/>
      <c r="BJ89" s="1171"/>
      <c r="BK89" s="562"/>
      <c r="BL89" s="1181"/>
      <c r="BM89" s="1182"/>
      <c r="BN89" s="1119"/>
      <c r="BO89" s="1119"/>
      <c r="BP89" s="1119"/>
      <c r="BQ89" s="1119"/>
    </row>
    <row r="90" spans="1:69" s="1120" customFormat="1" ht="24.95" hidden="1" customHeight="1">
      <c r="A90" s="1188">
        <v>13</v>
      </c>
      <c r="B90" s="1208" t="s">
        <v>83</v>
      </c>
      <c r="C90" s="1190">
        <v>404.5</v>
      </c>
      <c r="D90" s="1191">
        <v>0</v>
      </c>
      <c r="E90" s="1192">
        <v>0</v>
      </c>
      <c r="F90" s="1192">
        <v>0</v>
      </c>
      <c r="G90" s="1192">
        <v>236.17787827397777</v>
      </c>
      <c r="H90" s="1192">
        <v>0.85</v>
      </c>
      <c r="I90" s="1192">
        <v>0</v>
      </c>
      <c r="J90" s="1192">
        <v>0</v>
      </c>
      <c r="K90" s="1192">
        <v>368</v>
      </c>
      <c r="L90" s="1192">
        <v>0</v>
      </c>
      <c r="M90" s="1192">
        <v>0</v>
      </c>
      <c r="N90" s="1192">
        <v>0</v>
      </c>
      <c r="O90" s="1192">
        <v>0</v>
      </c>
      <c r="P90" s="1192">
        <v>0</v>
      </c>
      <c r="Q90" s="1192">
        <v>510</v>
      </c>
      <c r="R90" s="1192">
        <v>3.2430000000000003</v>
      </c>
      <c r="S90" s="1192">
        <v>0</v>
      </c>
      <c r="T90" s="1192">
        <v>0</v>
      </c>
      <c r="U90" s="1192">
        <v>0</v>
      </c>
      <c r="V90" s="1192">
        <v>0</v>
      </c>
      <c r="W90" s="1192">
        <v>0</v>
      </c>
      <c r="X90" s="1192">
        <v>0</v>
      </c>
      <c r="Y90" s="1192">
        <v>0</v>
      </c>
      <c r="Z90" s="1192">
        <v>0</v>
      </c>
      <c r="AA90" s="1192">
        <v>0</v>
      </c>
      <c r="AB90" s="1192">
        <v>0</v>
      </c>
      <c r="AC90" s="1192">
        <v>0</v>
      </c>
      <c r="AD90" s="1192">
        <v>0</v>
      </c>
      <c r="AE90" s="1192">
        <v>0</v>
      </c>
      <c r="AF90" s="1192">
        <v>0</v>
      </c>
      <c r="AG90" s="1192">
        <v>0</v>
      </c>
      <c r="AH90" s="1192">
        <v>0</v>
      </c>
      <c r="AI90" s="1192">
        <v>165.5</v>
      </c>
      <c r="AJ90" s="1192">
        <v>0</v>
      </c>
      <c r="AK90" s="1192">
        <v>565.5</v>
      </c>
      <c r="AL90" s="1192">
        <v>0.6</v>
      </c>
      <c r="AM90" s="1192">
        <v>279</v>
      </c>
      <c r="AN90" s="1192">
        <v>0</v>
      </c>
      <c r="AO90" s="1193">
        <f t="shared" si="9"/>
        <v>2528.6778782739775</v>
      </c>
      <c r="AP90" s="1194">
        <f t="shared" si="9"/>
        <v>4.6929999999999996</v>
      </c>
      <c r="AQ90" s="1190">
        <v>0</v>
      </c>
      <c r="AR90" s="1195">
        <v>0</v>
      </c>
      <c r="AS90" s="1196">
        <v>12</v>
      </c>
      <c r="AT90" s="1196">
        <v>0</v>
      </c>
      <c r="AU90" s="1196">
        <v>21</v>
      </c>
      <c r="AV90" s="1196">
        <v>0</v>
      </c>
      <c r="AW90" s="1196">
        <v>0</v>
      </c>
      <c r="AX90" s="1196">
        <v>0</v>
      </c>
      <c r="AY90" s="1196">
        <v>0</v>
      </c>
      <c r="AZ90" s="1196">
        <v>8</v>
      </c>
      <c r="BA90" s="1196">
        <v>0</v>
      </c>
      <c r="BB90" s="1196">
        <v>0</v>
      </c>
      <c r="BC90" s="1196">
        <v>0</v>
      </c>
      <c r="BD90" s="1196">
        <v>0</v>
      </c>
      <c r="BE90" s="1196">
        <v>0</v>
      </c>
      <c r="BF90" s="1196">
        <v>0</v>
      </c>
      <c r="BG90" s="1196">
        <v>0</v>
      </c>
      <c r="BH90" s="1196">
        <v>0</v>
      </c>
      <c r="BI90" s="1196">
        <v>18</v>
      </c>
      <c r="BJ90" s="1196">
        <v>20</v>
      </c>
      <c r="BK90" s="1197">
        <v>0</v>
      </c>
      <c r="BL90" s="1198">
        <f t="shared" si="10"/>
        <v>79</v>
      </c>
      <c r="BM90" s="1182"/>
      <c r="BN90" s="1119"/>
      <c r="BO90" s="1119"/>
      <c r="BP90" s="1119"/>
      <c r="BQ90" s="1119"/>
    </row>
    <row r="91" spans="1:69" s="1120" customFormat="1" ht="24.95" hidden="1" customHeight="1">
      <c r="A91" s="1188">
        <v>14</v>
      </c>
      <c r="B91" s="1208" t="s">
        <v>20</v>
      </c>
      <c r="C91" s="1190">
        <v>59.6</v>
      </c>
      <c r="D91" s="1191">
        <v>0</v>
      </c>
      <c r="E91" s="1192">
        <v>0</v>
      </c>
      <c r="F91" s="1192">
        <v>0</v>
      </c>
      <c r="G91" s="1192">
        <v>0</v>
      </c>
      <c r="H91" s="1192">
        <v>0</v>
      </c>
      <c r="I91" s="1192">
        <v>0</v>
      </c>
      <c r="J91" s="1192">
        <v>0</v>
      </c>
      <c r="K91" s="1192">
        <v>0</v>
      </c>
      <c r="L91" s="1192">
        <v>0</v>
      </c>
      <c r="M91" s="1192">
        <v>0</v>
      </c>
      <c r="N91" s="1192">
        <v>0</v>
      </c>
      <c r="O91" s="1192">
        <v>0</v>
      </c>
      <c r="P91" s="1192">
        <v>0</v>
      </c>
      <c r="Q91" s="1192">
        <v>0</v>
      </c>
      <c r="R91" s="1192">
        <v>0</v>
      </c>
      <c r="S91" s="1192">
        <v>0</v>
      </c>
      <c r="T91" s="1192">
        <v>0</v>
      </c>
      <c r="U91" s="1192">
        <v>0</v>
      </c>
      <c r="V91" s="1192">
        <v>0</v>
      </c>
      <c r="W91" s="1192">
        <v>0</v>
      </c>
      <c r="X91" s="1192">
        <v>0</v>
      </c>
      <c r="Y91" s="1192">
        <v>0</v>
      </c>
      <c r="Z91" s="1192">
        <v>0</v>
      </c>
      <c r="AA91" s="1192">
        <v>0</v>
      </c>
      <c r="AB91" s="1192">
        <v>0</v>
      </c>
      <c r="AC91" s="1192">
        <v>105</v>
      </c>
      <c r="AD91" s="1192">
        <v>0</v>
      </c>
      <c r="AE91" s="1192">
        <v>0</v>
      </c>
      <c r="AF91" s="1192">
        <v>0</v>
      </c>
      <c r="AG91" s="1192">
        <v>0</v>
      </c>
      <c r="AH91" s="1192">
        <v>0</v>
      </c>
      <c r="AI91" s="1192">
        <v>0</v>
      </c>
      <c r="AJ91" s="1192">
        <v>0</v>
      </c>
      <c r="AK91" s="1192">
        <v>0</v>
      </c>
      <c r="AL91" s="1192">
        <v>0</v>
      </c>
      <c r="AM91" s="1192">
        <v>0</v>
      </c>
      <c r="AN91" s="1192">
        <v>0</v>
      </c>
      <c r="AO91" s="1214">
        <f t="shared" si="9"/>
        <v>164.6</v>
      </c>
      <c r="AP91" s="1194">
        <f t="shared" si="9"/>
        <v>0</v>
      </c>
      <c r="AQ91" s="1190">
        <v>0</v>
      </c>
      <c r="AR91" s="1195">
        <v>0</v>
      </c>
      <c r="AS91" s="1196">
        <v>1</v>
      </c>
      <c r="AT91" s="1196">
        <v>0</v>
      </c>
      <c r="AU91" s="1196">
        <v>0</v>
      </c>
      <c r="AV91" s="1196">
        <v>0</v>
      </c>
      <c r="AW91" s="1196">
        <v>0</v>
      </c>
      <c r="AX91" s="1196">
        <v>0</v>
      </c>
      <c r="AY91" s="1196">
        <v>0</v>
      </c>
      <c r="AZ91" s="1196">
        <v>0</v>
      </c>
      <c r="BA91" s="1196">
        <v>0</v>
      </c>
      <c r="BB91" s="1196">
        <v>0</v>
      </c>
      <c r="BC91" s="1196">
        <v>0</v>
      </c>
      <c r="BD91" s="1196">
        <v>0</v>
      </c>
      <c r="BE91" s="1196">
        <v>0</v>
      </c>
      <c r="BF91" s="1196">
        <v>2</v>
      </c>
      <c r="BG91" s="1196">
        <v>0</v>
      </c>
      <c r="BH91" s="1196">
        <v>0</v>
      </c>
      <c r="BI91" s="1196">
        <v>0</v>
      </c>
      <c r="BJ91" s="1196">
        <v>0</v>
      </c>
      <c r="BK91" s="1197">
        <v>0</v>
      </c>
      <c r="BL91" s="1198">
        <f t="shared" si="10"/>
        <v>3</v>
      </c>
      <c r="BM91" s="1182"/>
      <c r="BN91" s="1119"/>
      <c r="BO91" s="1119"/>
      <c r="BP91" s="1119"/>
      <c r="BQ91" s="1119"/>
    </row>
    <row r="92" spans="1:69" s="1120" customFormat="1" ht="24.95" hidden="1" customHeight="1">
      <c r="A92" s="1188">
        <v>15</v>
      </c>
      <c r="B92" s="1208" t="s">
        <v>21</v>
      </c>
      <c r="C92" s="1190">
        <v>0</v>
      </c>
      <c r="D92" s="1191">
        <v>0</v>
      </c>
      <c r="E92" s="1192">
        <v>0</v>
      </c>
      <c r="F92" s="1192">
        <v>0</v>
      </c>
      <c r="G92" s="1192">
        <v>0</v>
      </c>
      <c r="H92" s="1192">
        <v>0</v>
      </c>
      <c r="I92" s="1192">
        <v>0</v>
      </c>
      <c r="J92" s="1192">
        <v>0</v>
      </c>
      <c r="K92" s="1192">
        <v>379</v>
      </c>
      <c r="L92" s="1192">
        <v>0</v>
      </c>
      <c r="M92" s="1192">
        <v>0</v>
      </c>
      <c r="N92" s="1192">
        <v>0</v>
      </c>
      <c r="O92" s="1192">
        <v>0</v>
      </c>
      <c r="P92" s="1192">
        <v>0</v>
      </c>
      <c r="Q92" s="1192">
        <v>0</v>
      </c>
      <c r="R92" s="1192">
        <v>0</v>
      </c>
      <c r="S92" s="1192">
        <v>0</v>
      </c>
      <c r="T92" s="1192">
        <v>0</v>
      </c>
      <c r="U92" s="1192">
        <v>0</v>
      </c>
      <c r="V92" s="1192">
        <v>0</v>
      </c>
      <c r="W92" s="1192">
        <v>0</v>
      </c>
      <c r="X92" s="1192">
        <v>0</v>
      </c>
      <c r="Y92" s="1192">
        <v>0</v>
      </c>
      <c r="Z92" s="1192">
        <v>0</v>
      </c>
      <c r="AA92" s="1192">
        <v>0</v>
      </c>
      <c r="AB92" s="1192">
        <v>0</v>
      </c>
      <c r="AC92" s="1192">
        <v>0</v>
      </c>
      <c r="AD92" s="1192">
        <v>0</v>
      </c>
      <c r="AE92" s="1192">
        <v>0</v>
      </c>
      <c r="AF92" s="1192">
        <v>0</v>
      </c>
      <c r="AG92" s="1192">
        <v>0</v>
      </c>
      <c r="AH92" s="1192">
        <v>0</v>
      </c>
      <c r="AI92" s="1192">
        <v>0</v>
      </c>
      <c r="AJ92" s="1192">
        <v>0</v>
      </c>
      <c r="AK92" s="1192">
        <v>0</v>
      </c>
      <c r="AL92" s="1192">
        <v>0</v>
      </c>
      <c r="AM92" s="1192">
        <v>0</v>
      </c>
      <c r="AN92" s="1192">
        <v>0</v>
      </c>
      <c r="AO92" s="1193">
        <f t="shared" si="9"/>
        <v>379</v>
      </c>
      <c r="AP92" s="1194">
        <f t="shared" si="9"/>
        <v>0</v>
      </c>
      <c r="AQ92" s="1190">
        <v>0</v>
      </c>
      <c r="AR92" s="1195">
        <v>0</v>
      </c>
      <c r="AS92" s="1196">
        <v>0</v>
      </c>
      <c r="AT92" s="1196">
        <v>0</v>
      </c>
      <c r="AU92" s="1196">
        <v>0</v>
      </c>
      <c r="AV92" s="1196">
        <v>0</v>
      </c>
      <c r="AW92" s="1196">
        <v>3</v>
      </c>
      <c r="AX92" s="1196">
        <v>0</v>
      </c>
      <c r="AY92" s="1196">
        <v>0</v>
      </c>
      <c r="AZ92" s="1196">
        <v>0</v>
      </c>
      <c r="BA92" s="1196">
        <v>0</v>
      </c>
      <c r="BB92" s="1196">
        <v>0</v>
      </c>
      <c r="BC92" s="1196">
        <v>0</v>
      </c>
      <c r="BD92" s="1196">
        <v>0</v>
      </c>
      <c r="BE92" s="1196">
        <v>0</v>
      </c>
      <c r="BF92" s="1196">
        <v>0</v>
      </c>
      <c r="BG92" s="1196">
        <v>0</v>
      </c>
      <c r="BH92" s="1196">
        <v>0</v>
      </c>
      <c r="BI92" s="1196">
        <v>0</v>
      </c>
      <c r="BJ92" s="1196">
        <v>0</v>
      </c>
      <c r="BK92" s="1197">
        <v>0</v>
      </c>
      <c r="BL92" s="1198">
        <f t="shared" si="10"/>
        <v>3</v>
      </c>
      <c r="BM92" s="1182"/>
      <c r="BN92" s="1119"/>
      <c r="BO92" s="1119"/>
      <c r="BP92" s="1119"/>
      <c r="BQ92" s="1119"/>
    </row>
    <row r="93" spans="1:69" s="1120" customFormat="1" ht="24.95" hidden="1" customHeight="1">
      <c r="A93" s="1188">
        <v>16</v>
      </c>
      <c r="B93" s="1208" t="s">
        <v>22</v>
      </c>
      <c r="C93" s="1190">
        <v>0</v>
      </c>
      <c r="D93" s="1191">
        <v>0</v>
      </c>
      <c r="E93" s="1192">
        <v>0</v>
      </c>
      <c r="F93" s="1192">
        <v>0</v>
      </c>
      <c r="G93" s="1192">
        <v>0</v>
      </c>
      <c r="H93" s="1192">
        <v>0</v>
      </c>
      <c r="I93" s="1192">
        <v>0</v>
      </c>
      <c r="J93" s="1192">
        <v>0</v>
      </c>
      <c r="K93" s="1192">
        <v>0</v>
      </c>
      <c r="L93" s="1192">
        <v>0</v>
      </c>
      <c r="M93" s="1192">
        <v>0</v>
      </c>
      <c r="N93" s="1192">
        <v>0</v>
      </c>
      <c r="O93" s="1192">
        <v>0</v>
      </c>
      <c r="P93" s="1192">
        <v>0</v>
      </c>
      <c r="Q93" s="1192">
        <v>87</v>
      </c>
      <c r="R93" s="1192">
        <v>2.4</v>
      </c>
      <c r="S93" s="1192">
        <v>0</v>
      </c>
      <c r="T93" s="1192">
        <v>0</v>
      </c>
      <c r="U93" s="1192">
        <v>0</v>
      </c>
      <c r="V93" s="1192">
        <v>0</v>
      </c>
      <c r="W93" s="1192">
        <v>0</v>
      </c>
      <c r="X93" s="1192">
        <v>0</v>
      </c>
      <c r="Y93" s="1192">
        <v>0</v>
      </c>
      <c r="Z93" s="1192">
        <v>0</v>
      </c>
      <c r="AA93" s="1192">
        <v>0</v>
      </c>
      <c r="AB93" s="1192">
        <v>0</v>
      </c>
      <c r="AC93" s="1192">
        <v>0</v>
      </c>
      <c r="AD93" s="1192">
        <v>0</v>
      </c>
      <c r="AE93" s="1192">
        <v>0</v>
      </c>
      <c r="AF93" s="1192">
        <v>0</v>
      </c>
      <c r="AG93" s="1192">
        <v>0</v>
      </c>
      <c r="AH93" s="1192">
        <v>0</v>
      </c>
      <c r="AI93" s="1192">
        <v>0</v>
      </c>
      <c r="AJ93" s="1192">
        <v>0</v>
      </c>
      <c r="AK93" s="1192">
        <v>0</v>
      </c>
      <c r="AL93" s="1192">
        <v>0</v>
      </c>
      <c r="AM93" s="1192">
        <v>0</v>
      </c>
      <c r="AN93" s="1192">
        <v>0</v>
      </c>
      <c r="AO93" s="1214">
        <f t="shared" si="9"/>
        <v>87</v>
      </c>
      <c r="AP93" s="1194">
        <f t="shared" si="9"/>
        <v>2.4</v>
      </c>
      <c r="AQ93" s="1190">
        <v>0</v>
      </c>
      <c r="AR93" s="1195">
        <v>0</v>
      </c>
      <c r="AS93" s="1196">
        <v>0</v>
      </c>
      <c r="AT93" s="1196">
        <v>0</v>
      </c>
      <c r="AU93" s="1196">
        <v>0</v>
      </c>
      <c r="AV93" s="1196">
        <v>0</v>
      </c>
      <c r="AW93" s="1196">
        <v>0</v>
      </c>
      <c r="AX93" s="1196">
        <v>0</v>
      </c>
      <c r="AY93" s="1196">
        <v>0</v>
      </c>
      <c r="AZ93" s="1196">
        <v>0</v>
      </c>
      <c r="BA93" s="1196">
        <v>0</v>
      </c>
      <c r="BB93" s="1196">
        <v>0</v>
      </c>
      <c r="BC93" s="1196">
        <v>0</v>
      </c>
      <c r="BD93" s="1196">
        <v>0</v>
      </c>
      <c r="BE93" s="1196">
        <v>0</v>
      </c>
      <c r="BF93" s="1196">
        <v>0</v>
      </c>
      <c r="BG93" s="1196">
        <v>0</v>
      </c>
      <c r="BH93" s="1196">
        <v>0</v>
      </c>
      <c r="BI93" s="1196">
        <v>0</v>
      </c>
      <c r="BJ93" s="1196">
        <v>0</v>
      </c>
      <c r="BK93" s="1197">
        <v>0</v>
      </c>
      <c r="BL93" s="1198">
        <f t="shared" si="10"/>
        <v>0</v>
      </c>
      <c r="BM93" s="1182"/>
      <c r="BN93" s="1119"/>
      <c r="BO93" s="1119"/>
      <c r="BP93" s="1119"/>
      <c r="BQ93" s="1119"/>
    </row>
    <row r="94" spans="1:69" s="1120" customFormat="1" ht="24.95" hidden="1" customHeight="1">
      <c r="A94" s="1188">
        <v>17</v>
      </c>
      <c r="B94" s="1208" t="s">
        <v>281</v>
      </c>
      <c r="C94" s="1190">
        <v>0</v>
      </c>
      <c r="D94" s="1191">
        <v>0</v>
      </c>
      <c r="E94" s="1192">
        <v>0</v>
      </c>
      <c r="F94" s="1192">
        <v>0</v>
      </c>
      <c r="G94" s="1192">
        <v>0</v>
      </c>
      <c r="H94" s="1192">
        <v>0</v>
      </c>
      <c r="I94" s="1192">
        <v>0</v>
      </c>
      <c r="J94" s="1192">
        <v>0</v>
      </c>
      <c r="K94" s="1192">
        <v>0</v>
      </c>
      <c r="L94" s="1192">
        <v>0</v>
      </c>
      <c r="M94" s="1192">
        <v>0</v>
      </c>
      <c r="N94" s="1192">
        <v>0</v>
      </c>
      <c r="O94" s="1192">
        <v>0</v>
      </c>
      <c r="P94" s="1192">
        <v>0</v>
      </c>
      <c r="Q94" s="1192">
        <v>0</v>
      </c>
      <c r="R94" s="1192">
        <v>0</v>
      </c>
      <c r="S94" s="1192">
        <v>0</v>
      </c>
      <c r="T94" s="1192">
        <v>0</v>
      </c>
      <c r="U94" s="1192">
        <v>0</v>
      </c>
      <c r="V94" s="1192">
        <v>0</v>
      </c>
      <c r="W94" s="1192">
        <v>0</v>
      </c>
      <c r="X94" s="1192">
        <v>0</v>
      </c>
      <c r="Y94" s="1192">
        <v>0</v>
      </c>
      <c r="Z94" s="1192">
        <v>0</v>
      </c>
      <c r="AA94" s="1192">
        <v>0</v>
      </c>
      <c r="AB94" s="1192">
        <v>0</v>
      </c>
      <c r="AC94" s="1192">
        <v>0</v>
      </c>
      <c r="AD94" s="1192">
        <v>0</v>
      </c>
      <c r="AE94" s="1192">
        <v>0</v>
      </c>
      <c r="AF94" s="1192">
        <v>0</v>
      </c>
      <c r="AG94" s="1192">
        <v>0</v>
      </c>
      <c r="AH94" s="1192">
        <v>0</v>
      </c>
      <c r="AI94" s="1192">
        <v>34</v>
      </c>
      <c r="AJ94" s="1192">
        <v>0</v>
      </c>
      <c r="AK94" s="1192">
        <v>0</v>
      </c>
      <c r="AL94" s="1192">
        <v>0</v>
      </c>
      <c r="AM94" s="1192">
        <v>0</v>
      </c>
      <c r="AN94" s="1192">
        <v>0</v>
      </c>
      <c r="AO94" s="1214">
        <f t="shared" si="9"/>
        <v>34</v>
      </c>
      <c r="AP94" s="1194">
        <f t="shared" si="9"/>
        <v>0</v>
      </c>
      <c r="AQ94" s="1190">
        <v>0</v>
      </c>
      <c r="AR94" s="1195">
        <v>0</v>
      </c>
      <c r="AS94" s="1196">
        <v>0</v>
      </c>
      <c r="AT94" s="1196">
        <v>0</v>
      </c>
      <c r="AU94" s="1196">
        <v>0</v>
      </c>
      <c r="AV94" s="1196">
        <v>0</v>
      </c>
      <c r="AW94" s="1196">
        <v>0</v>
      </c>
      <c r="AX94" s="1196">
        <v>0</v>
      </c>
      <c r="AY94" s="1196">
        <v>0</v>
      </c>
      <c r="AZ94" s="1196">
        <v>0</v>
      </c>
      <c r="BA94" s="1196">
        <v>0</v>
      </c>
      <c r="BB94" s="1196">
        <v>0</v>
      </c>
      <c r="BC94" s="1196">
        <v>0</v>
      </c>
      <c r="BD94" s="1196">
        <v>0</v>
      </c>
      <c r="BE94" s="1196">
        <v>0</v>
      </c>
      <c r="BF94" s="1196">
        <v>0</v>
      </c>
      <c r="BG94" s="1196">
        <v>0</v>
      </c>
      <c r="BH94" s="1196">
        <v>0</v>
      </c>
      <c r="BI94" s="1196">
        <v>0</v>
      </c>
      <c r="BJ94" s="1196">
        <v>0</v>
      </c>
      <c r="BK94" s="1197">
        <v>0</v>
      </c>
      <c r="BL94" s="1198">
        <f t="shared" si="10"/>
        <v>0</v>
      </c>
      <c r="BM94" s="1182"/>
      <c r="BN94" s="1119"/>
      <c r="BO94" s="1119"/>
      <c r="BP94" s="1119"/>
      <c r="BQ94" s="1119"/>
    </row>
    <row r="95" spans="1:69" s="1120" customFormat="1" ht="24.95" hidden="1" customHeight="1">
      <c r="A95" s="1188">
        <v>18</v>
      </c>
      <c r="B95" s="1208" t="s">
        <v>281</v>
      </c>
      <c r="C95" s="1190">
        <v>0</v>
      </c>
      <c r="D95" s="1191">
        <v>0</v>
      </c>
      <c r="E95" s="1192">
        <v>0</v>
      </c>
      <c r="F95" s="1192">
        <v>0</v>
      </c>
      <c r="G95" s="1192">
        <v>0</v>
      </c>
      <c r="H95" s="1192">
        <v>0</v>
      </c>
      <c r="I95" s="1192">
        <v>0</v>
      </c>
      <c r="J95" s="1192">
        <v>0</v>
      </c>
      <c r="K95" s="1192">
        <v>0</v>
      </c>
      <c r="L95" s="1192">
        <v>0</v>
      </c>
      <c r="M95" s="1192">
        <v>0</v>
      </c>
      <c r="N95" s="1192">
        <v>0</v>
      </c>
      <c r="O95" s="1192">
        <v>0</v>
      </c>
      <c r="P95" s="1192">
        <v>0</v>
      </c>
      <c r="Q95" s="1192">
        <v>0</v>
      </c>
      <c r="R95" s="1192">
        <v>0</v>
      </c>
      <c r="S95" s="1192">
        <v>0</v>
      </c>
      <c r="T95" s="1192">
        <v>0</v>
      </c>
      <c r="U95" s="1192">
        <v>0</v>
      </c>
      <c r="V95" s="1192">
        <v>0</v>
      </c>
      <c r="W95" s="1192">
        <v>0</v>
      </c>
      <c r="X95" s="1192">
        <v>0</v>
      </c>
      <c r="Y95" s="1192">
        <v>0</v>
      </c>
      <c r="Z95" s="1192">
        <v>0</v>
      </c>
      <c r="AA95" s="1192">
        <v>0</v>
      </c>
      <c r="AB95" s="1192">
        <v>0</v>
      </c>
      <c r="AC95" s="1192">
        <v>0</v>
      </c>
      <c r="AD95" s="1192">
        <v>0</v>
      </c>
      <c r="AE95" s="1192">
        <v>0</v>
      </c>
      <c r="AF95" s="1192">
        <v>0</v>
      </c>
      <c r="AG95" s="1192">
        <v>0</v>
      </c>
      <c r="AH95" s="1192">
        <v>0</v>
      </c>
      <c r="AI95" s="1192">
        <v>18</v>
      </c>
      <c r="AJ95" s="1192">
        <v>0</v>
      </c>
      <c r="AK95" s="1192">
        <v>0</v>
      </c>
      <c r="AL95" s="1192">
        <v>0</v>
      </c>
      <c r="AM95" s="1192">
        <v>0</v>
      </c>
      <c r="AN95" s="1192">
        <v>0</v>
      </c>
      <c r="AO95" s="1214">
        <f t="shared" si="9"/>
        <v>18</v>
      </c>
      <c r="AP95" s="1194">
        <f t="shared" si="9"/>
        <v>0</v>
      </c>
      <c r="AQ95" s="1190">
        <v>0</v>
      </c>
      <c r="AR95" s="1195">
        <v>0</v>
      </c>
      <c r="AS95" s="1196">
        <v>0</v>
      </c>
      <c r="AT95" s="1196">
        <v>0</v>
      </c>
      <c r="AU95" s="1196">
        <v>0</v>
      </c>
      <c r="AV95" s="1196">
        <v>0</v>
      </c>
      <c r="AW95" s="1196">
        <v>0</v>
      </c>
      <c r="AX95" s="1196">
        <v>0</v>
      </c>
      <c r="AY95" s="1196">
        <v>0</v>
      </c>
      <c r="AZ95" s="1196">
        <v>0</v>
      </c>
      <c r="BA95" s="1196">
        <v>0</v>
      </c>
      <c r="BB95" s="1196">
        <v>0</v>
      </c>
      <c r="BC95" s="1196">
        <v>0</v>
      </c>
      <c r="BD95" s="1196">
        <v>0</v>
      </c>
      <c r="BE95" s="1196">
        <v>0</v>
      </c>
      <c r="BF95" s="1196">
        <v>0</v>
      </c>
      <c r="BG95" s="1196">
        <v>0</v>
      </c>
      <c r="BH95" s="1196">
        <v>0</v>
      </c>
      <c r="BI95" s="1196">
        <v>0</v>
      </c>
      <c r="BJ95" s="1196">
        <v>0</v>
      </c>
      <c r="BK95" s="1197">
        <v>0</v>
      </c>
      <c r="BL95" s="1198">
        <f t="shared" si="10"/>
        <v>0</v>
      </c>
      <c r="BM95" s="1182"/>
      <c r="BN95" s="1119"/>
      <c r="BO95" s="1119"/>
      <c r="BP95" s="1119"/>
      <c r="BQ95" s="1119"/>
    </row>
    <row r="96" spans="1:69" s="1120" customFormat="1" ht="24.95" hidden="1" customHeight="1">
      <c r="A96" s="1215"/>
      <c r="B96" s="1201" t="s">
        <v>74</v>
      </c>
      <c r="C96" s="1175"/>
      <c r="D96" s="1176"/>
      <c r="E96" s="1177"/>
      <c r="F96" s="1177"/>
      <c r="G96" s="1177"/>
      <c r="H96" s="1177"/>
      <c r="I96" s="1177"/>
      <c r="J96" s="1177"/>
      <c r="K96" s="1177"/>
      <c r="L96" s="1177"/>
      <c r="M96" s="1177"/>
      <c r="N96" s="1177"/>
      <c r="O96" s="1177"/>
      <c r="P96" s="1177"/>
      <c r="Q96" s="1177"/>
      <c r="R96" s="1177"/>
      <c r="S96" s="1177"/>
      <c r="T96" s="1177"/>
      <c r="U96" s="1177"/>
      <c r="V96" s="1177"/>
      <c r="W96" s="1177"/>
      <c r="X96" s="1177"/>
      <c r="Y96" s="1177"/>
      <c r="Z96" s="1177"/>
      <c r="AA96" s="1177"/>
      <c r="AB96" s="1177"/>
      <c r="AC96" s="1177"/>
      <c r="AD96" s="1177"/>
      <c r="AE96" s="1177"/>
      <c r="AF96" s="1177"/>
      <c r="AG96" s="1177"/>
      <c r="AH96" s="1177"/>
      <c r="AI96" s="1177"/>
      <c r="AJ96" s="1177"/>
      <c r="AK96" s="1177"/>
      <c r="AL96" s="1177"/>
      <c r="AM96" s="1177"/>
      <c r="AN96" s="1177"/>
      <c r="AO96" s="1177"/>
      <c r="AP96" s="1176"/>
      <c r="AQ96" s="1175"/>
      <c r="AR96" s="1180"/>
      <c r="AS96" s="1099"/>
      <c r="AT96" s="1099"/>
      <c r="AU96" s="1099"/>
      <c r="AV96" s="1099"/>
      <c r="AW96" s="1099"/>
      <c r="AX96" s="1099"/>
      <c r="AY96" s="1099"/>
      <c r="AZ96" s="1099"/>
      <c r="BA96" s="1099"/>
      <c r="BB96" s="1099"/>
      <c r="BC96" s="1099"/>
      <c r="BD96" s="1099"/>
      <c r="BE96" s="1099"/>
      <c r="BF96" s="1099"/>
      <c r="BG96" s="1099"/>
      <c r="BH96" s="1099"/>
      <c r="BI96" s="1099"/>
      <c r="BJ96" s="1099"/>
      <c r="BK96" s="1206"/>
      <c r="BL96" s="1181"/>
      <c r="BM96" s="1207"/>
      <c r="BN96" s="1119"/>
      <c r="BO96" s="1119"/>
      <c r="BP96" s="1119"/>
      <c r="BQ96" s="1119"/>
    </row>
    <row r="97" spans="1:240" s="1120" customFormat="1" ht="24.95" hidden="1" customHeight="1">
      <c r="A97" s="1188">
        <v>19</v>
      </c>
      <c r="B97" s="1208" t="s">
        <v>227</v>
      </c>
      <c r="C97" s="1190">
        <v>0</v>
      </c>
      <c r="D97" s="1191">
        <v>0</v>
      </c>
      <c r="E97" s="1192">
        <v>0</v>
      </c>
      <c r="F97" s="1192">
        <v>0</v>
      </c>
      <c r="G97" s="1192">
        <v>1147.8604339912938</v>
      </c>
      <c r="H97" s="1192">
        <v>0</v>
      </c>
      <c r="I97" s="1192">
        <v>1505</v>
      </c>
      <c r="J97" s="1192">
        <v>0</v>
      </c>
      <c r="K97" s="1192">
        <v>0</v>
      </c>
      <c r="L97" s="1192">
        <v>0</v>
      </c>
      <c r="M97" s="1192">
        <v>1533.66</v>
      </c>
      <c r="N97" s="1192">
        <v>13.98</v>
      </c>
      <c r="O97" s="1192">
        <v>0</v>
      </c>
      <c r="P97" s="1192">
        <v>0</v>
      </c>
      <c r="Q97" s="1192">
        <v>0</v>
      </c>
      <c r="R97" s="1192">
        <v>0</v>
      </c>
      <c r="S97" s="1192">
        <v>0</v>
      </c>
      <c r="T97" s="1192">
        <v>0</v>
      </c>
      <c r="U97" s="1192">
        <v>118.5</v>
      </c>
      <c r="V97" s="1192">
        <v>0</v>
      </c>
      <c r="W97" s="1192">
        <v>0</v>
      </c>
      <c r="X97" s="1192">
        <v>0</v>
      </c>
      <c r="Y97" s="1192">
        <v>0</v>
      </c>
      <c r="Z97" s="1192">
        <v>0</v>
      </c>
      <c r="AA97" s="1192">
        <v>913.5</v>
      </c>
      <c r="AB97" s="1192">
        <v>0</v>
      </c>
      <c r="AC97" s="1192">
        <v>0</v>
      </c>
      <c r="AD97" s="1192">
        <v>0</v>
      </c>
      <c r="AE97" s="1192">
        <v>0</v>
      </c>
      <c r="AF97" s="1192">
        <v>0</v>
      </c>
      <c r="AG97" s="1192">
        <v>0</v>
      </c>
      <c r="AH97" s="1192">
        <v>0</v>
      </c>
      <c r="AI97" s="1192">
        <v>788.32</v>
      </c>
      <c r="AJ97" s="1192">
        <v>0</v>
      </c>
      <c r="AK97" s="1192">
        <v>0</v>
      </c>
      <c r="AL97" s="1192">
        <v>0</v>
      </c>
      <c r="AM97" s="1192">
        <v>2062</v>
      </c>
      <c r="AN97" s="1192">
        <v>0</v>
      </c>
      <c r="AO97" s="1193">
        <f t="shared" ref="AO97:AP98" si="15">SUM(C97,E97,G97,I97,K97,M97,O97,Q97,S97,U97,W97,Y97,AA97,AC97,AE97,AG97,AI97,AK97,AM97)</f>
        <v>8068.8404339912931</v>
      </c>
      <c r="AP97" s="1194">
        <f t="shared" si="15"/>
        <v>13.98</v>
      </c>
      <c r="AQ97" s="1190">
        <v>0</v>
      </c>
      <c r="AR97" s="1195">
        <v>0</v>
      </c>
      <c r="AS97" s="1196">
        <v>0</v>
      </c>
      <c r="AT97" s="1196">
        <v>0</v>
      </c>
      <c r="AU97" s="1196">
        <v>55</v>
      </c>
      <c r="AV97" s="1196">
        <v>67</v>
      </c>
      <c r="AW97" s="1196">
        <v>0</v>
      </c>
      <c r="AX97" s="1196">
        <v>12</v>
      </c>
      <c r="AY97" s="1196">
        <v>0</v>
      </c>
      <c r="AZ97" s="1196">
        <v>0</v>
      </c>
      <c r="BA97" s="1196">
        <v>0</v>
      </c>
      <c r="BB97" s="1196">
        <v>1</v>
      </c>
      <c r="BC97" s="1196">
        <v>0</v>
      </c>
      <c r="BD97" s="1196">
        <v>0</v>
      </c>
      <c r="BE97" s="1196">
        <v>4</v>
      </c>
      <c r="BF97" s="1196">
        <v>0</v>
      </c>
      <c r="BG97" s="1196">
        <v>0</v>
      </c>
      <c r="BH97" s="1196">
        <v>0</v>
      </c>
      <c r="BI97" s="1196">
        <v>33</v>
      </c>
      <c r="BJ97" s="1196">
        <v>0</v>
      </c>
      <c r="BK97" s="1197">
        <v>16</v>
      </c>
      <c r="BL97" s="1198">
        <f t="shared" si="10"/>
        <v>188</v>
      </c>
      <c r="BM97" s="1182"/>
      <c r="BN97" s="1119"/>
      <c r="BO97" s="1119"/>
      <c r="BP97" s="1119"/>
      <c r="BQ97" s="1119"/>
    </row>
    <row r="98" spans="1:240" s="1120" customFormat="1" ht="24.95" hidden="1" customHeight="1">
      <c r="A98" s="1188">
        <v>20</v>
      </c>
      <c r="B98" s="1208" t="s">
        <v>238</v>
      </c>
      <c r="C98" s="1190">
        <v>0</v>
      </c>
      <c r="D98" s="1191">
        <v>0</v>
      </c>
      <c r="E98" s="1192">
        <v>117</v>
      </c>
      <c r="F98" s="1192">
        <v>2.2999999999999998</v>
      </c>
      <c r="G98" s="1192">
        <v>0</v>
      </c>
      <c r="H98" s="1192">
        <v>0</v>
      </c>
      <c r="I98" s="1192">
        <v>0</v>
      </c>
      <c r="J98" s="1192">
        <v>0</v>
      </c>
      <c r="K98" s="1192">
        <v>117</v>
      </c>
      <c r="L98" s="1192">
        <v>0</v>
      </c>
      <c r="M98" s="1192">
        <v>209.43</v>
      </c>
      <c r="N98" s="1192">
        <v>0.33</v>
      </c>
      <c r="O98" s="1192">
        <v>0</v>
      </c>
      <c r="P98" s="1192">
        <v>0</v>
      </c>
      <c r="Q98" s="1192">
        <v>162</v>
      </c>
      <c r="R98" s="1192">
        <v>0.75</v>
      </c>
      <c r="S98" s="1192">
        <v>0</v>
      </c>
      <c r="T98" s="1192">
        <v>0</v>
      </c>
      <c r="U98" s="1192">
        <v>0</v>
      </c>
      <c r="V98" s="1192">
        <v>0</v>
      </c>
      <c r="W98" s="1192">
        <v>0</v>
      </c>
      <c r="X98" s="1192">
        <v>0</v>
      </c>
      <c r="Y98" s="1192">
        <v>140</v>
      </c>
      <c r="Z98" s="1192">
        <v>0.64</v>
      </c>
      <c r="AA98" s="1192">
        <v>94</v>
      </c>
      <c r="AB98" s="1192">
        <v>0</v>
      </c>
      <c r="AC98" s="1192">
        <v>0</v>
      </c>
      <c r="AD98" s="1192">
        <v>0</v>
      </c>
      <c r="AE98" s="1192">
        <v>0</v>
      </c>
      <c r="AF98" s="1192">
        <v>0</v>
      </c>
      <c r="AG98" s="1192">
        <v>0</v>
      </c>
      <c r="AH98" s="1192">
        <v>0</v>
      </c>
      <c r="AI98" s="1192">
        <v>0</v>
      </c>
      <c r="AJ98" s="1192">
        <v>0</v>
      </c>
      <c r="AK98" s="1192">
        <v>0</v>
      </c>
      <c r="AL98" s="1192">
        <v>0</v>
      </c>
      <c r="AM98" s="1192">
        <v>0</v>
      </c>
      <c r="AN98" s="1192">
        <v>0</v>
      </c>
      <c r="AO98" s="1193">
        <f t="shared" si="15"/>
        <v>839.43000000000006</v>
      </c>
      <c r="AP98" s="1194">
        <f t="shared" si="15"/>
        <v>4.0199999999999996</v>
      </c>
      <c r="AQ98" s="1190">
        <v>0</v>
      </c>
      <c r="AR98" s="1195">
        <v>0</v>
      </c>
      <c r="AS98" s="1196">
        <v>0</v>
      </c>
      <c r="AT98" s="1196">
        <v>1</v>
      </c>
      <c r="AU98" s="1196">
        <v>0</v>
      </c>
      <c r="AV98" s="1196">
        <v>0</v>
      </c>
      <c r="AW98" s="1196">
        <v>10</v>
      </c>
      <c r="AX98" s="1196">
        <v>5</v>
      </c>
      <c r="AY98" s="1196">
        <v>0</v>
      </c>
      <c r="AZ98" s="1196">
        <v>3</v>
      </c>
      <c r="BA98" s="1196">
        <v>0</v>
      </c>
      <c r="BB98" s="1196">
        <v>0</v>
      </c>
      <c r="BC98" s="1196">
        <v>0</v>
      </c>
      <c r="BD98" s="1196">
        <v>5</v>
      </c>
      <c r="BE98" s="1196">
        <v>1</v>
      </c>
      <c r="BF98" s="1196">
        <v>0</v>
      </c>
      <c r="BG98" s="1196">
        <v>0</v>
      </c>
      <c r="BH98" s="1196">
        <v>0</v>
      </c>
      <c r="BI98" s="1196">
        <v>0</v>
      </c>
      <c r="BJ98" s="1196">
        <v>0</v>
      </c>
      <c r="BK98" s="1197">
        <v>0</v>
      </c>
      <c r="BL98" s="1198">
        <f t="shared" si="10"/>
        <v>25</v>
      </c>
      <c r="BM98" s="1182"/>
      <c r="BN98" s="1119"/>
      <c r="BO98" s="1119"/>
      <c r="BP98" s="1119"/>
      <c r="BQ98" s="1119"/>
    </row>
    <row r="99" spans="1:240" s="1120" customFormat="1" ht="24.95" hidden="1" customHeight="1">
      <c r="A99" s="1215"/>
      <c r="B99" s="1183" t="s">
        <v>75</v>
      </c>
      <c r="C99" s="2477"/>
      <c r="D99" s="2478"/>
      <c r="E99" s="2479"/>
      <c r="F99" s="2479"/>
      <c r="G99" s="2479"/>
      <c r="H99" s="2479"/>
      <c r="I99" s="2479"/>
      <c r="J99" s="2479"/>
      <c r="K99" s="2479"/>
      <c r="L99" s="2479"/>
      <c r="M99" s="2479"/>
      <c r="N99" s="2479"/>
      <c r="O99" s="2479"/>
      <c r="P99" s="2479"/>
      <c r="Q99" s="2479"/>
      <c r="R99" s="2479"/>
      <c r="S99" s="2479"/>
      <c r="T99" s="2479"/>
      <c r="U99" s="2479"/>
      <c r="V99" s="2479"/>
      <c r="W99" s="2479"/>
      <c r="X99" s="2479"/>
      <c r="Y99" s="2479"/>
      <c r="Z99" s="2479"/>
      <c r="AA99" s="2479"/>
      <c r="AB99" s="2479"/>
      <c r="AC99" s="2479"/>
      <c r="AD99" s="2479"/>
      <c r="AE99" s="2479"/>
      <c r="AF99" s="2479"/>
      <c r="AG99" s="2479"/>
      <c r="AH99" s="2479"/>
      <c r="AI99" s="2479"/>
      <c r="AJ99" s="2479"/>
      <c r="AK99" s="2479"/>
      <c r="AL99" s="2479"/>
      <c r="AM99" s="2479"/>
      <c r="AN99" s="2479"/>
      <c r="AO99" s="2479"/>
      <c r="AP99" s="2478"/>
      <c r="AQ99" s="2477"/>
      <c r="AR99" s="2480"/>
      <c r="AS99" s="1171"/>
      <c r="AT99" s="1171"/>
      <c r="AU99" s="1171"/>
      <c r="AV99" s="1171"/>
      <c r="AW99" s="1171"/>
      <c r="AX99" s="1171"/>
      <c r="AY99" s="1171"/>
      <c r="AZ99" s="1171"/>
      <c r="BA99" s="1171"/>
      <c r="BB99" s="1171"/>
      <c r="BC99" s="1171"/>
      <c r="BD99" s="1171"/>
      <c r="BE99" s="1171"/>
      <c r="BF99" s="1171"/>
      <c r="BG99" s="1171"/>
      <c r="BH99" s="1171"/>
      <c r="BI99" s="1171"/>
      <c r="BJ99" s="1171"/>
      <c r="BK99" s="562"/>
      <c r="BL99" s="1181"/>
      <c r="BM99" s="1182"/>
      <c r="BN99" s="1119"/>
      <c r="BO99" s="1119"/>
      <c r="BP99" s="1119"/>
      <c r="BQ99" s="1119"/>
    </row>
    <row r="100" spans="1:240" s="1043" customFormat="1" ht="24.95" hidden="1" customHeight="1">
      <c r="A100" s="1188">
        <v>21</v>
      </c>
      <c r="B100" s="1189" t="s">
        <v>271</v>
      </c>
      <c r="C100" s="1190">
        <v>21</v>
      </c>
      <c r="D100" s="1191">
        <v>0</v>
      </c>
      <c r="E100" s="1192">
        <v>0</v>
      </c>
      <c r="F100" s="1192">
        <v>0</v>
      </c>
      <c r="G100" s="1192">
        <v>10</v>
      </c>
      <c r="H100" s="1192">
        <v>0</v>
      </c>
      <c r="I100" s="1192">
        <v>0</v>
      </c>
      <c r="J100" s="1192">
        <v>0</v>
      </c>
      <c r="K100" s="1192">
        <v>0</v>
      </c>
      <c r="L100" s="1192">
        <v>0</v>
      </c>
      <c r="M100" s="1192">
        <v>0</v>
      </c>
      <c r="N100" s="1192">
        <v>0</v>
      </c>
      <c r="O100" s="1192">
        <v>0</v>
      </c>
      <c r="P100" s="1192">
        <v>0</v>
      </c>
      <c r="Q100" s="1192">
        <v>21</v>
      </c>
      <c r="R100" s="1192">
        <v>0</v>
      </c>
      <c r="S100" s="1192">
        <v>0</v>
      </c>
      <c r="T100" s="1192">
        <v>0</v>
      </c>
      <c r="U100" s="1192">
        <v>0</v>
      </c>
      <c r="V100" s="1192">
        <v>0</v>
      </c>
      <c r="W100" s="1192">
        <v>0</v>
      </c>
      <c r="X100" s="1192">
        <v>0</v>
      </c>
      <c r="Y100" s="1192">
        <v>0</v>
      </c>
      <c r="Z100" s="1192">
        <v>0</v>
      </c>
      <c r="AA100" s="1192">
        <v>0</v>
      </c>
      <c r="AB100" s="1192">
        <v>0</v>
      </c>
      <c r="AC100" s="1192">
        <v>0</v>
      </c>
      <c r="AD100" s="1192">
        <v>0</v>
      </c>
      <c r="AE100" s="1192">
        <v>0</v>
      </c>
      <c r="AF100" s="1192">
        <v>0</v>
      </c>
      <c r="AG100" s="1192">
        <v>0</v>
      </c>
      <c r="AH100" s="1192">
        <v>0</v>
      </c>
      <c r="AI100" s="1192">
        <v>0</v>
      </c>
      <c r="AJ100" s="1192">
        <v>0</v>
      </c>
      <c r="AK100" s="1192">
        <v>0</v>
      </c>
      <c r="AL100" s="1192">
        <v>0</v>
      </c>
      <c r="AM100" s="1192">
        <v>0</v>
      </c>
      <c r="AN100" s="1192">
        <v>0</v>
      </c>
      <c r="AO100" s="1193">
        <f t="shared" ref="AO100:AP102" si="16">SUM(C100,E100,G100,I100,K100,M100,O100,Q100,S100,U100,W100,Y100,AA100,AC100,AE100,AG100,AI100,AK100,AM100)</f>
        <v>52</v>
      </c>
      <c r="AP100" s="1194">
        <f t="shared" si="16"/>
        <v>0</v>
      </c>
      <c r="AQ100" s="1190">
        <v>0</v>
      </c>
      <c r="AR100" s="1195">
        <v>0</v>
      </c>
      <c r="AS100" s="1171"/>
      <c r="AT100" s="1171"/>
      <c r="AU100" s="1171"/>
      <c r="AV100" s="1171"/>
      <c r="AW100" s="1171"/>
      <c r="AX100" s="1171"/>
      <c r="AY100" s="1171"/>
      <c r="AZ100" s="1171"/>
      <c r="BA100" s="1171"/>
      <c r="BB100" s="1171"/>
      <c r="BC100" s="1171"/>
      <c r="BD100" s="1171"/>
      <c r="BE100" s="1171"/>
      <c r="BF100" s="1171"/>
      <c r="BG100" s="1171"/>
      <c r="BH100" s="1171"/>
      <c r="BI100" s="1171"/>
      <c r="BJ100" s="1171"/>
      <c r="BK100" s="562"/>
      <c r="BL100" s="1181"/>
      <c r="BM100" s="1182"/>
      <c r="BN100" s="1216"/>
      <c r="BO100" s="1216"/>
      <c r="BP100" s="2481"/>
      <c r="BQ100" s="2481"/>
    </row>
    <row r="101" spans="1:240" s="1120" customFormat="1" ht="24.95" hidden="1" customHeight="1">
      <c r="A101" s="1188">
        <v>22</v>
      </c>
      <c r="B101" s="1189" t="s">
        <v>80</v>
      </c>
      <c r="C101" s="1190">
        <v>2884.4</v>
      </c>
      <c r="D101" s="1191">
        <v>83.5</v>
      </c>
      <c r="E101" s="1192">
        <v>1816.5</v>
      </c>
      <c r="F101" s="1192">
        <v>50.5</v>
      </c>
      <c r="G101" s="1192">
        <v>2053.8958074712514</v>
      </c>
      <c r="H101" s="1192">
        <v>11.8</v>
      </c>
      <c r="I101" s="1192">
        <v>3067</v>
      </c>
      <c r="J101" s="1192">
        <v>103</v>
      </c>
      <c r="K101" s="1192">
        <v>3782.8399999999997</v>
      </c>
      <c r="L101" s="1192">
        <v>59.5</v>
      </c>
      <c r="M101" s="1192">
        <v>2984</v>
      </c>
      <c r="N101" s="1192">
        <v>368.57</v>
      </c>
      <c r="O101" s="1192">
        <v>129</v>
      </c>
      <c r="P101" s="1192">
        <v>0</v>
      </c>
      <c r="Q101" s="1192">
        <v>4942.1840000000002</v>
      </c>
      <c r="R101" s="1192">
        <v>10.92</v>
      </c>
      <c r="S101" s="1192">
        <v>2758.1</v>
      </c>
      <c r="T101" s="1192">
        <v>29.1</v>
      </c>
      <c r="U101" s="1192">
        <v>1529.5</v>
      </c>
      <c r="V101" s="1192">
        <v>335.1</v>
      </c>
      <c r="W101" s="1192">
        <v>0</v>
      </c>
      <c r="X101" s="1192">
        <v>3098</v>
      </c>
      <c r="Y101" s="1192">
        <v>357.5</v>
      </c>
      <c r="Z101" s="1192">
        <v>8.2899999999999991</v>
      </c>
      <c r="AA101" s="1192">
        <v>1410.75</v>
      </c>
      <c r="AB101" s="1192">
        <v>89.13</v>
      </c>
      <c r="AC101" s="1192">
        <v>0</v>
      </c>
      <c r="AD101" s="1192">
        <v>0</v>
      </c>
      <c r="AE101" s="1192">
        <v>975</v>
      </c>
      <c r="AF101" s="1192">
        <v>64.2</v>
      </c>
      <c r="AG101" s="1192">
        <v>1334.25</v>
      </c>
      <c r="AH101" s="1192">
        <v>2.29</v>
      </c>
      <c r="AI101" s="1192">
        <v>1974.8500000000001</v>
      </c>
      <c r="AJ101" s="1192">
        <v>23.86</v>
      </c>
      <c r="AK101" s="1192">
        <v>5585.52</v>
      </c>
      <c r="AL101" s="1192">
        <v>7.55</v>
      </c>
      <c r="AM101" s="1192">
        <v>3116</v>
      </c>
      <c r="AN101" s="1192">
        <v>89.166666666666671</v>
      </c>
      <c r="AO101" s="1193">
        <f t="shared" si="16"/>
        <v>40701.28980747125</v>
      </c>
      <c r="AP101" s="1194">
        <f t="shared" si="16"/>
        <v>4434.4766666666665</v>
      </c>
      <c r="AQ101" s="1190">
        <v>0</v>
      </c>
      <c r="AR101" s="1195">
        <v>2083</v>
      </c>
      <c r="AS101" s="1171"/>
      <c r="AT101" s="1171"/>
      <c r="AU101" s="1171"/>
      <c r="AV101" s="1171"/>
      <c r="AW101" s="1171"/>
      <c r="AX101" s="1171"/>
      <c r="AY101" s="1171"/>
      <c r="AZ101" s="1171"/>
      <c r="BA101" s="1171"/>
      <c r="BB101" s="1171"/>
      <c r="BC101" s="1171"/>
      <c r="BD101" s="1171"/>
      <c r="BE101" s="1171"/>
      <c r="BF101" s="1171"/>
      <c r="BG101" s="1171"/>
      <c r="BH101" s="1171"/>
      <c r="BI101" s="1171"/>
      <c r="BJ101" s="1171"/>
      <c r="BK101" s="562"/>
      <c r="BL101" s="1181"/>
      <c r="BM101" s="1182"/>
      <c r="BN101" s="1119"/>
      <c r="BO101" s="1119"/>
      <c r="BP101" s="1119"/>
      <c r="BQ101" s="1119"/>
    </row>
    <row r="102" spans="1:240" s="1120" customFormat="1" ht="24.95" hidden="1" customHeight="1">
      <c r="A102" s="1188">
        <v>23</v>
      </c>
      <c r="B102" s="1189" t="s">
        <v>78</v>
      </c>
      <c r="C102" s="1190">
        <v>3892.7</v>
      </c>
      <c r="D102" s="1191">
        <v>273.39999999999998</v>
      </c>
      <c r="E102" s="1192">
        <v>1255</v>
      </c>
      <c r="F102" s="1192">
        <v>59.8</v>
      </c>
      <c r="G102" s="1192">
        <v>3396.6309109454855</v>
      </c>
      <c r="H102" s="1192">
        <v>381.62763038115804</v>
      </c>
      <c r="I102" s="1192">
        <v>3728.1</v>
      </c>
      <c r="J102" s="1192">
        <v>395.4</v>
      </c>
      <c r="K102" s="1192">
        <v>4687.0999999999995</v>
      </c>
      <c r="L102" s="1192">
        <v>237.2</v>
      </c>
      <c r="M102" s="1192">
        <v>5532.9</v>
      </c>
      <c r="N102" s="1192">
        <v>419.2</v>
      </c>
      <c r="O102" s="1192">
        <v>919</v>
      </c>
      <c r="P102" s="1192">
        <v>6</v>
      </c>
      <c r="Q102" s="1192">
        <v>6290.7160000000003</v>
      </c>
      <c r="R102" s="1192">
        <v>217.011</v>
      </c>
      <c r="S102" s="1192">
        <v>1963.6</v>
      </c>
      <c r="T102" s="1192">
        <v>7.5</v>
      </c>
      <c r="U102" s="1192">
        <v>3502.6000000000004</v>
      </c>
      <c r="V102" s="1192">
        <v>646</v>
      </c>
      <c r="W102" s="1192">
        <v>0</v>
      </c>
      <c r="X102" s="1192">
        <v>4398</v>
      </c>
      <c r="Y102" s="1192">
        <v>2096.5</v>
      </c>
      <c r="Z102" s="1192">
        <v>57.46</v>
      </c>
      <c r="AA102" s="1192">
        <v>4800</v>
      </c>
      <c r="AB102" s="1192">
        <v>116.75999999999999</v>
      </c>
      <c r="AC102" s="1192">
        <v>493</v>
      </c>
      <c r="AD102" s="1192">
        <v>0</v>
      </c>
      <c r="AE102" s="1192">
        <v>216</v>
      </c>
      <c r="AF102" s="1192">
        <v>29.2</v>
      </c>
      <c r="AG102" s="1192">
        <v>1345.23</v>
      </c>
      <c r="AH102" s="1192">
        <v>4.17</v>
      </c>
      <c r="AI102" s="1192">
        <v>3249.55</v>
      </c>
      <c r="AJ102" s="1192">
        <v>108.65</v>
      </c>
      <c r="AK102" s="1192">
        <v>5338.48</v>
      </c>
      <c r="AL102" s="1192">
        <v>112.77999999999999</v>
      </c>
      <c r="AM102" s="1192">
        <v>5231.5</v>
      </c>
      <c r="AN102" s="1192">
        <v>182.1666666666666</v>
      </c>
      <c r="AO102" s="1193">
        <f t="shared" si="16"/>
        <v>57938.606910945484</v>
      </c>
      <c r="AP102" s="1194">
        <f t="shared" si="16"/>
        <v>7652.3252970478243</v>
      </c>
      <c r="AQ102" s="1190">
        <v>0</v>
      </c>
      <c r="AR102" s="1195">
        <v>3031</v>
      </c>
      <c r="AS102" s="1171"/>
      <c r="AT102" s="1171"/>
      <c r="AU102" s="1171"/>
      <c r="AV102" s="1171"/>
      <c r="AW102" s="1171"/>
      <c r="AX102" s="1171"/>
      <c r="AY102" s="1171"/>
      <c r="AZ102" s="1171"/>
      <c r="BA102" s="1171"/>
      <c r="BB102" s="1171"/>
      <c r="BC102" s="1171"/>
      <c r="BD102" s="1171"/>
      <c r="BE102" s="1171"/>
      <c r="BF102" s="1171"/>
      <c r="BG102" s="1171"/>
      <c r="BH102" s="1171"/>
      <c r="BI102" s="1171"/>
      <c r="BJ102" s="1171"/>
      <c r="BK102" s="562"/>
      <c r="BL102" s="1181"/>
      <c r="BM102" s="1182"/>
      <c r="BN102" s="1119"/>
      <c r="BO102" s="1119"/>
      <c r="BP102" s="1119"/>
      <c r="BQ102" s="1119"/>
    </row>
    <row r="103" spans="1:240" s="1120" customFormat="1" ht="30" hidden="1" customHeight="1">
      <c r="A103" s="1128"/>
      <c r="B103" s="1183" t="s">
        <v>2</v>
      </c>
      <c r="C103" s="1217">
        <f t="shared" ref="C103:AR103" si="17">SUM(C85:C102)</f>
        <v>7960.2</v>
      </c>
      <c r="D103" s="1218">
        <f t="shared" si="17"/>
        <v>356.9</v>
      </c>
      <c r="E103" s="1219">
        <f t="shared" si="17"/>
        <v>3188.5</v>
      </c>
      <c r="F103" s="1219">
        <f t="shared" si="17"/>
        <v>112.6</v>
      </c>
      <c r="G103" s="1219">
        <f t="shared" si="17"/>
        <v>7576.1901836059133</v>
      </c>
      <c r="H103" s="1219">
        <f t="shared" si="17"/>
        <v>394.27763038115802</v>
      </c>
      <c r="I103" s="1219">
        <f t="shared" si="17"/>
        <v>8300.1</v>
      </c>
      <c r="J103" s="1219">
        <f t="shared" si="17"/>
        <v>498.4</v>
      </c>
      <c r="K103" s="1219">
        <f t="shared" si="17"/>
        <v>9885.9399999999987</v>
      </c>
      <c r="L103" s="1219">
        <f t="shared" si="17"/>
        <v>296.7</v>
      </c>
      <c r="M103" s="1219">
        <f t="shared" si="17"/>
        <v>10259.99</v>
      </c>
      <c r="N103" s="1219">
        <f t="shared" si="17"/>
        <v>802.07999999999993</v>
      </c>
      <c r="O103" s="1219">
        <f t="shared" si="17"/>
        <v>1048</v>
      </c>
      <c r="P103" s="1219">
        <f t="shared" si="17"/>
        <v>6</v>
      </c>
      <c r="Q103" s="1219">
        <f t="shared" si="17"/>
        <v>13152.900000000001</v>
      </c>
      <c r="R103" s="1219">
        <f t="shared" si="17"/>
        <v>234.32400000000001</v>
      </c>
      <c r="S103" s="1219">
        <f t="shared" si="17"/>
        <v>4721.7</v>
      </c>
      <c r="T103" s="1219">
        <f t="shared" si="17"/>
        <v>36.6</v>
      </c>
      <c r="U103" s="1219">
        <f t="shared" si="17"/>
        <v>5150.6000000000004</v>
      </c>
      <c r="V103" s="1219">
        <f t="shared" si="17"/>
        <v>981.1</v>
      </c>
      <c r="W103" s="1219">
        <f t="shared" si="17"/>
        <v>0</v>
      </c>
      <c r="X103" s="1219">
        <f t="shared" si="17"/>
        <v>7496</v>
      </c>
      <c r="Y103" s="1219">
        <f t="shared" si="17"/>
        <v>2594</v>
      </c>
      <c r="Z103" s="1219">
        <f t="shared" si="17"/>
        <v>66.39</v>
      </c>
      <c r="AA103" s="1219">
        <f t="shared" si="17"/>
        <v>7218.25</v>
      </c>
      <c r="AB103" s="1219">
        <f t="shared" si="17"/>
        <v>205.89</v>
      </c>
      <c r="AC103" s="1219">
        <f t="shared" si="17"/>
        <v>598</v>
      </c>
      <c r="AD103" s="1219">
        <f t="shared" si="17"/>
        <v>0</v>
      </c>
      <c r="AE103" s="1219">
        <f t="shared" si="17"/>
        <v>1191</v>
      </c>
      <c r="AF103" s="1219">
        <f t="shared" si="17"/>
        <v>93.4</v>
      </c>
      <c r="AG103" s="1219">
        <f t="shared" si="17"/>
        <v>2862.48</v>
      </c>
      <c r="AH103" s="1219">
        <f t="shared" si="17"/>
        <v>6.46</v>
      </c>
      <c r="AI103" s="1219">
        <f t="shared" si="17"/>
        <v>6230.22</v>
      </c>
      <c r="AJ103" s="1219">
        <f t="shared" si="17"/>
        <v>132.51</v>
      </c>
      <c r="AK103" s="1219">
        <f t="shared" si="17"/>
        <v>11489.5</v>
      </c>
      <c r="AL103" s="1219">
        <f t="shared" si="17"/>
        <v>120.92999999999999</v>
      </c>
      <c r="AM103" s="1219">
        <f t="shared" si="17"/>
        <v>10688.5</v>
      </c>
      <c r="AN103" s="1219">
        <f t="shared" si="17"/>
        <v>271.33333333333326</v>
      </c>
      <c r="AO103" s="1219">
        <f t="shared" si="17"/>
        <v>114116.07018360592</v>
      </c>
      <c r="AP103" s="1218">
        <f t="shared" si="17"/>
        <v>12111.894963714491</v>
      </c>
      <c r="AQ103" s="1217">
        <f t="shared" si="17"/>
        <v>0</v>
      </c>
      <c r="AR103" s="1220">
        <f t="shared" si="17"/>
        <v>5114</v>
      </c>
      <c r="AS103" s="1171"/>
      <c r="AT103" s="1171"/>
      <c r="AU103" s="1171"/>
      <c r="AV103" s="1171"/>
      <c r="AW103" s="1171"/>
      <c r="AX103" s="1171"/>
      <c r="AY103" s="1171"/>
      <c r="AZ103" s="1171"/>
      <c r="BA103" s="1171"/>
      <c r="BB103" s="1171"/>
      <c r="BC103" s="1171"/>
      <c r="BD103" s="1171"/>
      <c r="BE103" s="1171"/>
      <c r="BF103" s="1171"/>
      <c r="BG103" s="1171"/>
      <c r="BH103" s="1171"/>
      <c r="BI103" s="1171"/>
      <c r="BJ103" s="1171"/>
      <c r="BK103" s="562"/>
      <c r="BL103" s="1181"/>
      <c r="BM103" s="1182"/>
      <c r="BN103" s="1119"/>
      <c r="BO103" s="1119"/>
      <c r="BP103" s="1119"/>
      <c r="BQ103" s="1119"/>
    </row>
    <row r="104" spans="1:240" s="1120" customFormat="1" ht="30" hidden="1" customHeight="1" thickBot="1">
      <c r="A104" s="1221">
        <v>24</v>
      </c>
      <c r="B104" s="1222" t="s">
        <v>81</v>
      </c>
      <c r="C104" s="1223">
        <f t="shared" ref="C104:AR104" si="18">SUM(C68,C73,C81,C103)</f>
        <v>9119.6</v>
      </c>
      <c r="D104" s="1224">
        <f t="shared" si="18"/>
        <v>656.3</v>
      </c>
      <c r="E104" s="1225">
        <f t="shared" si="18"/>
        <v>3309.5</v>
      </c>
      <c r="F104" s="1225">
        <f t="shared" si="18"/>
        <v>216.89999999999998</v>
      </c>
      <c r="G104" s="1225">
        <f t="shared" si="18"/>
        <v>8543.2941992291398</v>
      </c>
      <c r="H104" s="1225">
        <f t="shared" si="18"/>
        <v>1280.1623028282647</v>
      </c>
      <c r="I104" s="1225">
        <f t="shared" si="18"/>
        <v>9029.1</v>
      </c>
      <c r="J104" s="1225">
        <f t="shared" si="18"/>
        <v>712</v>
      </c>
      <c r="K104" s="1225">
        <f t="shared" si="18"/>
        <v>12345.939999999999</v>
      </c>
      <c r="L104" s="1225">
        <f t="shared" si="18"/>
        <v>605.70000000000005</v>
      </c>
      <c r="M104" s="1225">
        <f t="shared" si="18"/>
        <v>10778.49</v>
      </c>
      <c r="N104" s="1225">
        <f t="shared" si="18"/>
        <v>1015.03</v>
      </c>
      <c r="O104" s="1225">
        <f t="shared" si="18"/>
        <v>1321.5</v>
      </c>
      <c r="P104" s="1225">
        <f t="shared" si="18"/>
        <v>28.8</v>
      </c>
      <c r="Q104" s="1225">
        <f t="shared" si="18"/>
        <v>16086.900000000001</v>
      </c>
      <c r="R104" s="1225">
        <f t="shared" si="18"/>
        <v>916.27400000000011</v>
      </c>
      <c r="S104" s="1225">
        <f t="shared" si="18"/>
        <v>5643.05</v>
      </c>
      <c r="T104" s="1225">
        <f t="shared" si="18"/>
        <v>161.6</v>
      </c>
      <c r="U104" s="1225">
        <f t="shared" si="18"/>
        <v>5331.6</v>
      </c>
      <c r="V104" s="1225">
        <f t="shared" si="18"/>
        <v>1105.9000000000001</v>
      </c>
      <c r="W104" s="1225">
        <f t="shared" si="18"/>
        <v>0</v>
      </c>
      <c r="X104" s="1225">
        <f t="shared" si="18"/>
        <v>7658</v>
      </c>
      <c r="Y104" s="1225">
        <f t="shared" si="18"/>
        <v>2835</v>
      </c>
      <c r="Z104" s="1225">
        <f t="shared" si="18"/>
        <v>258.7</v>
      </c>
      <c r="AA104" s="1225">
        <f t="shared" si="18"/>
        <v>7434.08</v>
      </c>
      <c r="AB104" s="1225">
        <f t="shared" si="18"/>
        <v>433.55999999999995</v>
      </c>
      <c r="AC104" s="1225">
        <f t="shared" si="18"/>
        <v>709.33333333333337</v>
      </c>
      <c r="AD104" s="1225">
        <f t="shared" si="18"/>
        <v>16</v>
      </c>
      <c r="AE104" s="1225">
        <f t="shared" si="18"/>
        <v>1276.02</v>
      </c>
      <c r="AF104" s="1225">
        <f t="shared" si="18"/>
        <v>119.10000000000001</v>
      </c>
      <c r="AG104" s="1225">
        <f t="shared" si="18"/>
        <v>3818.48</v>
      </c>
      <c r="AH104" s="1225">
        <f t="shared" si="18"/>
        <v>70.13</v>
      </c>
      <c r="AI104" s="1225">
        <f t="shared" si="18"/>
        <v>6928.05</v>
      </c>
      <c r="AJ104" s="1225">
        <f t="shared" si="18"/>
        <v>446.07</v>
      </c>
      <c r="AK104" s="1225">
        <f t="shared" si="18"/>
        <v>13833.74</v>
      </c>
      <c r="AL104" s="1225">
        <f t="shared" si="18"/>
        <v>497.14</v>
      </c>
      <c r="AM104" s="1225">
        <f t="shared" si="18"/>
        <v>11704.5</v>
      </c>
      <c r="AN104" s="1225">
        <f t="shared" si="18"/>
        <v>648</v>
      </c>
      <c r="AO104" s="1225">
        <f t="shared" si="18"/>
        <v>130048.17753256248</v>
      </c>
      <c r="AP104" s="1224">
        <f t="shared" si="18"/>
        <v>16845.366302828264</v>
      </c>
      <c r="AQ104" s="1223">
        <f t="shared" si="18"/>
        <v>0</v>
      </c>
      <c r="AR104" s="1226">
        <f t="shared" si="18"/>
        <v>5240</v>
      </c>
      <c r="AS104" s="1231">
        <f>SUM(AS71,AS75:AS79,AS85:AS88,AS90:AS95,AS97:AS98)</f>
        <v>195</v>
      </c>
      <c r="AT104" s="1276">
        <f t="shared" ref="AT104:BM104" si="19">SUM(AT71,AT75:AT79,AT85:AT88,AT90:AT95,AT97:AT98)</f>
        <v>1</v>
      </c>
      <c r="AU104" s="1276">
        <f t="shared" si="19"/>
        <v>291</v>
      </c>
      <c r="AV104" s="1276">
        <f t="shared" si="19"/>
        <v>69</v>
      </c>
      <c r="AW104" s="1276">
        <f t="shared" si="19"/>
        <v>423.5</v>
      </c>
      <c r="AX104" s="1276">
        <f t="shared" si="19"/>
        <v>17</v>
      </c>
      <c r="AY104" s="1276">
        <f t="shared" si="19"/>
        <v>0</v>
      </c>
      <c r="AZ104" s="1276">
        <f t="shared" si="19"/>
        <v>384</v>
      </c>
      <c r="BA104" s="1276">
        <f t="shared" si="19"/>
        <v>0</v>
      </c>
      <c r="BB104" s="1276">
        <f t="shared" si="19"/>
        <v>1</v>
      </c>
      <c r="BC104" s="1276">
        <f t="shared" si="19"/>
        <v>0</v>
      </c>
      <c r="BD104" s="1276">
        <f t="shared" si="19"/>
        <v>5</v>
      </c>
      <c r="BE104" s="1276">
        <f t="shared" si="19"/>
        <v>5</v>
      </c>
      <c r="BF104" s="1276">
        <f t="shared" si="19"/>
        <v>2</v>
      </c>
      <c r="BG104" s="1276">
        <f t="shared" si="19"/>
        <v>0</v>
      </c>
      <c r="BH104" s="1276">
        <f t="shared" si="19"/>
        <v>151</v>
      </c>
      <c r="BI104" s="1276">
        <f t="shared" si="19"/>
        <v>51</v>
      </c>
      <c r="BJ104" s="1276">
        <f t="shared" si="19"/>
        <v>43</v>
      </c>
      <c r="BK104" s="1277">
        <f t="shared" si="19"/>
        <v>17</v>
      </c>
      <c r="BL104" s="1278">
        <f t="shared" si="19"/>
        <v>1655.5</v>
      </c>
      <c r="BM104" s="1275">
        <f t="shared" si="19"/>
        <v>0</v>
      </c>
      <c r="BN104" s="1119"/>
      <c r="BO104" s="1119"/>
      <c r="BP104" s="1119"/>
      <c r="BQ104" s="1119"/>
    </row>
    <row r="105" spans="1:240" s="1120" customFormat="1" ht="15" hidden="1" customHeight="1">
      <c r="C105" s="1227"/>
      <c r="D105" s="1227"/>
      <c r="E105" s="1227"/>
      <c r="F105" s="1227"/>
      <c r="G105" s="1227"/>
      <c r="H105" s="1227"/>
      <c r="I105" s="1227"/>
      <c r="J105" s="1227"/>
      <c r="K105" s="1227"/>
      <c r="L105" s="1227"/>
      <c r="M105" s="1227"/>
      <c r="N105" s="1227"/>
      <c r="O105" s="1227"/>
      <c r="P105" s="1227"/>
      <c r="Q105" s="1227"/>
      <c r="R105" s="1227"/>
      <c r="S105" s="1227"/>
      <c r="T105" s="1227"/>
      <c r="U105" s="1227"/>
      <c r="V105" s="1227"/>
      <c r="W105" s="1227"/>
      <c r="X105" s="1227"/>
      <c r="Y105" s="1227"/>
      <c r="Z105" s="1227"/>
      <c r="AA105" s="1227"/>
      <c r="AB105" s="1227"/>
      <c r="AC105" s="1227"/>
      <c r="AD105" s="1227"/>
      <c r="AE105" s="1227"/>
      <c r="AF105" s="1227"/>
      <c r="AG105" s="1227"/>
      <c r="AH105" s="1227"/>
      <c r="AI105" s="1227"/>
      <c r="AJ105" s="1227"/>
      <c r="AK105" s="1227"/>
      <c r="AL105" s="1227"/>
      <c r="AM105" s="1227"/>
      <c r="AN105" s="1227"/>
      <c r="AO105" s="1227"/>
      <c r="AP105" s="1227"/>
      <c r="AQ105" s="1227"/>
      <c r="AR105" s="1227"/>
      <c r="BN105" s="1228"/>
      <c r="BO105" s="1228"/>
      <c r="BP105" s="1228"/>
      <c r="BQ105" s="1228"/>
      <c r="BR105" s="1228"/>
      <c r="BS105" s="1228"/>
      <c r="BT105" s="1228"/>
      <c r="BU105" s="1228"/>
      <c r="BV105" s="1228"/>
      <c r="BW105" s="1228"/>
      <c r="BX105" s="1228"/>
      <c r="BY105" s="1228"/>
      <c r="BZ105" s="1228"/>
      <c r="CA105" s="1228"/>
      <c r="CB105" s="1228"/>
      <c r="CC105" s="1228"/>
      <c r="CD105" s="1228"/>
      <c r="CE105" s="1228"/>
      <c r="CF105" s="1228"/>
      <c r="CG105" s="1228"/>
      <c r="CH105" s="1228"/>
      <c r="CI105" s="1228"/>
      <c r="CJ105" s="1228"/>
      <c r="CK105" s="1228"/>
      <c r="CL105" s="1228"/>
      <c r="CM105" s="1228"/>
      <c r="CN105" s="1228"/>
      <c r="CO105" s="1228"/>
      <c r="CP105" s="1228"/>
      <c r="CQ105" s="1228"/>
      <c r="CR105" s="1228"/>
      <c r="CS105" s="1228"/>
      <c r="CT105" s="1228"/>
      <c r="CU105" s="1228"/>
      <c r="CV105" s="1228"/>
      <c r="CW105" s="1228"/>
      <c r="CX105" s="1228"/>
      <c r="CY105" s="1228"/>
      <c r="CZ105" s="1228"/>
      <c r="DA105" s="1228"/>
      <c r="DB105" s="1228"/>
      <c r="DC105" s="1228"/>
      <c r="DD105" s="1228"/>
      <c r="DE105" s="1228"/>
      <c r="DF105" s="1228"/>
      <c r="DG105" s="1228"/>
      <c r="DH105" s="1228"/>
      <c r="DI105" s="1228"/>
      <c r="DJ105" s="1228"/>
      <c r="DK105" s="1228"/>
      <c r="DL105" s="1228"/>
      <c r="DM105" s="1228"/>
      <c r="DN105" s="1228"/>
      <c r="DO105" s="1228"/>
      <c r="DP105" s="1228"/>
      <c r="DQ105" s="1228"/>
      <c r="DR105" s="1228"/>
      <c r="DS105" s="1228"/>
      <c r="DT105" s="1228"/>
      <c r="DU105" s="1228"/>
      <c r="DV105" s="1228"/>
      <c r="DW105" s="1228"/>
      <c r="DX105" s="1228"/>
      <c r="DY105" s="1228"/>
      <c r="DZ105" s="1228"/>
      <c r="EA105" s="1228"/>
      <c r="EB105" s="1228"/>
      <c r="EC105" s="1228"/>
      <c r="ED105" s="1228"/>
      <c r="EE105" s="1228"/>
      <c r="EF105" s="1228"/>
      <c r="EG105" s="1228"/>
      <c r="EH105" s="1228"/>
      <c r="EI105" s="1228"/>
      <c r="EJ105" s="1228"/>
      <c r="EK105" s="1228"/>
      <c r="EL105" s="1228"/>
      <c r="EM105" s="1228"/>
      <c r="EN105" s="1228"/>
      <c r="EO105" s="1228"/>
      <c r="EP105" s="1228"/>
      <c r="EQ105" s="1228"/>
      <c r="ER105" s="1228"/>
      <c r="ES105" s="1228"/>
      <c r="ET105" s="1228"/>
      <c r="EU105" s="1228"/>
      <c r="EV105" s="1228"/>
      <c r="EW105" s="1228"/>
      <c r="EX105" s="1228"/>
      <c r="EY105" s="1228"/>
      <c r="EZ105" s="1228"/>
      <c r="FA105" s="1228"/>
      <c r="FB105" s="1228"/>
      <c r="FC105" s="1228"/>
      <c r="FD105" s="1228"/>
      <c r="FE105" s="1228"/>
      <c r="FF105" s="1228"/>
      <c r="FG105" s="1228"/>
      <c r="FH105" s="1228"/>
      <c r="FI105" s="1228"/>
      <c r="FJ105" s="1228"/>
      <c r="FK105" s="1228"/>
      <c r="FL105" s="1228"/>
      <c r="FM105" s="1228"/>
      <c r="FN105" s="1228"/>
      <c r="FO105" s="1228"/>
      <c r="FP105" s="1228"/>
      <c r="FQ105" s="1228"/>
      <c r="FR105" s="1228"/>
      <c r="FS105" s="1228"/>
      <c r="FT105" s="1228"/>
      <c r="FU105" s="1228"/>
      <c r="FV105" s="1228"/>
      <c r="FW105" s="1228"/>
      <c r="FX105" s="1228"/>
      <c r="FY105" s="1228"/>
      <c r="FZ105" s="1228"/>
      <c r="GA105" s="1228"/>
      <c r="GB105" s="1228"/>
      <c r="GC105" s="1228"/>
      <c r="GD105" s="1228"/>
      <c r="GE105" s="1228"/>
      <c r="GF105" s="1228"/>
      <c r="GG105" s="1228"/>
      <c r="GH105" s="1228"/>
      <c r="GI105" s="1228"/>
      <c r="GJ105" s="1228"/>
      <c r="GK105" s="1228"/>
      <c r="GL105" s="1228"/>
      <c r="GM105" s="1228"/>
      <c r="GN105" s="1228"/>
      <c r="GO105" s="1228"/>
      <c r="GP105" s="1228"/>
      <c r="GQ105" s="1228"/>
      <c r="GR105" s="1228"/>
      <c r="GS105" s="1228"/>
      <c r="GT105" s="1228"/>
      <c r="GU105" s="1228"/>
      <c r="GV105" s="1228"/>
      <c r="GW105" s="1228"/>
      <c r="GX105" s="1228"/>
      <c r="GY105" s="1228"/>
      <c r="GZ105" s="1228"/>
      <c r="HA105" s="1228"/>
      <c r="HB105" s="1228"/>
      <c r="HC105" s="1228"/>
      <c r="HD105" s="1228"/>
      <c r="HE105" s="1228"/>
      <c r="HF105" s="1228"/>
      <c r="HG105" s="1228"/>
      <c r="HH105" s="1228"/>
      <c r="HI105" s="1228"/>
      <c r="HJ105" s="1228"/>
      <c r="HK105" s="1228"/>
      <c r="HL105" s="1228"/>
      <c r="HM105" s="1228"/>
      <c r="HN105" s="1228"/>
      <c r="HO105" s="1228"/>
      <c r="HP105" s="1228"/>
      <c r="HQ105" s="1228"/>
      <c r="HR105" s="1228"/>
      <c r="HS105" s="1228"/>
      <c r="HT105" s="1228"/>
      <c r="HU105" s="1228"/>
      <c r="HV105" s="1228"/>
      <c r="HW105" s="1228"/>
      <c r="HX105" s="1228"/>
      <c r="HY105" s="1228"/>
      <c r="HZ105" s="1228"/>
      <c r="IA105" s="1228"/>
      <c r="IB105" s="1228"/>
      <c r="IC105" s="1228"/>
      <c r="ID105" s="1228"/>
      <c r="IE105" s="1228"/>
      <c r="IF105" s="1228"/>
    </row>
    <row r="106" spans="1:240" s="1120" customFormat="1" ht="15" hidden="1" customHeight="1">
      <c r="C106" s="1227"/>
      <c r="D106" s="1227"/>
      <c r="E106" s="1227"/>
      <c r="F106" s="1227"/>
      <c r="G106" s="1227"/>
      <c r="H106" s="1227"/>
      <c r="I106" s="1227"/>
      <c r="J106" s="1227"/>
      <c r="K106" s="1227"/>
      <c r="L106" s="1227"/>
      <c r="M106" s="1227"/>
      <c r="N106" s="1227"/>
      <c r="O106" s="1227"/>
      <c r="P106" s="1227"/>
      <c r="Q106" s="1227"/>
      <c r="R106" s="1227"/>
      <c r="S106" s="1227"/>
      <c r="T106" s="1227"/>
      <c r="U106" s="1227"/>
      <c r="V106" s="1227"/>
      <c r="W106" s="1227"/>
      <c r="X106" s="1227"/>
      <c r="Y106" s="1227"/>
      <c r="Z106" s="1227"/>
      <c r="AA106" s="1227"/>
      <c r="AB106" s="1227"/>
      <c r="AC106" s="1227"/>
      <c r="AD106" s="1227"/>
      <c r="AE106" s="1227"/>
      <c r="AF106" s="1227"/>
      <c r="AG106" s="1227"/>
      <c r="AH106" s="1227"/>
      <c r="AI106" s="1227"/>
      <c r="AJ106" s="1227"/>
      <c r="AK106" s="1227"/>
      <c r="AL106" s="1227"/>
      <c r="AM106" s="1227"/>
      <c r="AN106" s="1227"/>
      <c r="AO106" s="1227"/>
      <c r="AP106" s="1227"/>
      <c r="AQ106" s="1227"/>
      <c r="AR106" s="1227"/>
      <c r="BN106" s="1228"/>
      <c r="BO106" s="1228"/>
      <c r="BP106" s="1228"/>
      <c r="BQ106" s="1228"/>
      <c r="BR106" s="1228"/>
      <c r="BS106" s="1228"/>
      <c r="BT106" s="1228"/>
      <c r="BU106" s="1228"/>
      <c r="BV106" s="1228"/>
      <c r="BW106" s="1228"/>
      <c r="BX106" s="1228"/>
      <c r="BY106" s="1228"/>
      <c r="BZ106" s="1228"/>
      <c r="CA106" s="1228"/>
      <c r="CB106" s="1228"/>
      <c r="CC106" s="1228"/>
      <c r="CD106" s="1228"/>
      <c r="CE106" s="1228"/>
      <c r="CF106" s="1228"/>
      <c r="CG106" s="1228"/>
      <c r="CH106" s="1228"/>
      <c r="CI106" s="1228"/>
      <c r="CJ106" s="1228"/>
      <c r="CK106" s="1228"/>
      <c r="CL106" s="1228"/>
      <c r="CM106" s="1228"/>
      <c r="CN106" s="1228"/>
      <c r="CO106" s="1228"/>
      <c r="CP106" s="1228"/>
      <c r="CQ106" s="1228"/>
      <c r="CR106" s="1228"/>
      <c r="CS106" s="1228"/>
      <c r="CT106" s="1228"/>
      <c r="CU106" s="1228"/>
      <c r="CV106" s="1228"/>
      <c r="CW106" s="1228"/>
      <c r="CX106" s="1228"/>
      <c r="CY106" s="1228"/>
      <c r="CZ106" s="1228"/>
      <c r="DA106" s="1228"/>
      <c r="DB106" s="1228"/>
      <c r="DC106" s="1228"/>
      <c r="DD106" s="1228"/>
      <c r="DE106" s="1228"/>
      <c r="DF106" s="1228"/>
      <c r="DG106" s="1228"/>
      <c r="DH106" s="1228"/>
      <c r="DI106" s="1228"/>
      <c r="DJ106" s="1228"/>
      <c r="DK106" s="1228"/>
      <c r="DL106" s="1228"/>
      <c r="DM106" s="1228"/>
      <c r="DN106" s="1228"/>
      <c r="DO106" s="1228"/>
      <c r="DP106" s="1228"/>
      <c r="DQ106" s="1228"/>
      <c r="DR106" s="1228"/>
      <c r="DS106" s="1228"/>
      <c r="DT106" s="1228"/>
      <c r="DU106" s="1228"/>
      <c r="DV106" s="1228"/>
      <c r="DW106" s="1228"/>
      <c r="DX106" s="1228"/>
      <c r="DY106" s="1228"/>
      <c r="DZ106" s="1228"/>
      <c r="EA106" s="1228"/>
      <c r="EB106" s="1228"/>
      <c r="EC106" s="1228"/>
      <c r="ED106" s="1228"/>
      <c r="EE106" s="1228"/>
      <c r="EF106" s="1228"/>
      <c r="EG106" s="1228"/>
      <c r="EH106" s="1228"/>
      <c r="EI106" s="1228"/>
      <c r="EJ106" s="1228"/>
      <c r="EK106" s="1228"/>
      <c r="EL106" s="1228"/>
      <c r="EM106" s="1228"/>
      <c r="EN106" s="1228"/>
      <c r="EO106" s="1228"/>
      <c r="EP106" s="1228"/>
      <c r="EQ106" s="1228"/>
      <c r="ER106" s="1228"/>
      <c r="ES106" s="1228"/>
      <c r="ET106" s="1228"/>
      <c r="EU106" s="1228"/>
      <c r="EV106" s="1228"/>
      <c r="EW106" s="1228"/>
      <c r="EX106" s="1228"/>
      <c r="EY106" s="1228"/>
      <c r="EZ106" s="1228"/>
      <c r="FA106" s="1228"/>
      <c r="FB106" s="1228"/>
      <c r="FC106" s="1228"/>
      <c r="FD106" s="1228"/>
      <c r="FE106" s="1228"/>
      <c r="FF106" s="1228"/>
      <c r="FG106" s="1228"/>
      <c r="FH106" s="1228"/>
      <c r="FI106" s="1228"/>
      <c r="FJ106" s="1228"/>
      <c r="FK106" s="1228"/>
      <c r="FL106" s="1228"/>
      <c r="FM106" s="1228"/>
      <c r="FN106" s="1228"/>
      <c r="FO106" s="1228"/>
      <c r="FP106" s="1228"/>
      <c r="FQ106" s="1228"/>
      <c r="FR106" s="1228"/>
      <c r="FS106" s="1228"/>
      <c r="FT106" s="1228"/>
      <c r="FU106" s="1228"/>
      <c r="FV106" s="1228"/>
      <c r="FW106" s="1228"/>
      <c r="FX106" s="1228"/>
      <c r="FY106" s="1228"/>
      <c r="FZ106" s="1228"/>
      <c r="GA106" s="1228"/>
      <c r="GB106" s="1228"/>
      <c r="GC106" s="1228"/>
      <c r="GD106" s="1228"/>
      <c r="GE106" s="1228"/>
      <c r="GF106" s="1228"/>
      <c r="GG106" s="1228"/>
      <c r="GH106" s="1228"/>
      <c r="GI106" s="1228"/>
      <c r="GJ106" s="1228"/>
      <c r="GK106" s="1228"/>
      <c r="GL106" s="1228"/>
      <c r="GM106" s="1228"/>
      <c r="GN106" s="1228"/>
      <c r="GO106" s="1228"/>
      <c r="GP106" s="1228"/>
      <c r="GQ106" s="1228"/>
      <c r="GR106" s="1228"/>
      <c r="GS106" s="1228"/>
      <c r="GT106" s="1228"/>
      <c r="GU106" s="1228"/>
      <c r="GV106" s="1228"/>
      <c r="GW106" s="1228"/>
      <c r="GX106" s="1228"/>
      <c r="GY106" s="1228"/>
      <c r="GZ106" s="1228"/>
      <c r="HA106" s="1228"/>
      <c r="HB106" s="1228"/>
      <c r="HC106" s="1228"/>
      <c r="HD106" s="1228"/>
      <c r="HE106" s="1228"/>
      <c r="HF106" s="1228"/>
      <c r="HG106" s="1228"/>
      <c r="HH106" s="1228"/>
      <c r="HI106" s="1228"/>
      <c r="HJ106" s="1228"/>
      <c r="HK106" s="1228"/>
      <c r="HL106" s="1228"/>
      <c r="HM106" s="1228"/>
      <c r="HN106" s="1228"/>
      <c r="HO106" s="1228"/>
      <c r="HP106" s="1228"/>
      <c r="HQ106" s="1228"/>
      <c r="HR106" s="1228"/>
      <c r="HS106" s="1228"/>
      <c r="HT106" s="1228"/>
      <c r="HU106" s="1228"/>
      <c r="HV106" s="1228"/>
      <c r="HW106" s="1228"/>
      <c r="HX106" s="1228"/>
      <c r="HY106" s="1228"/>
      <c r="HZ106" s="1228"/>
      <c r="IA106" s="1228"/>
      <c r="IB106" s="1228"/>
      <c r="IC106" s="1228"/>
      <c r="ID106" s="1228"/>
      <c r="IE106" s="1228"/>
      <c r="IF106" s="1228"/>
    </row>
    <row r="107" spans="1:240" s="1121" customFormat="1" ht="20.100000000000001" hidden="1" customHeight="1">
      <c r="A107" s="257" t="s">
        <v>317</v>
      </c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</row>
    <row r="108" spans="1:240" s="1120" customFormat="1" ht="9.9499999999999993" hidden="1" customHeight="1" thickBot="1">
      <c r="A108" s="1119"/>
      <c r="B108" s="1119"/>
      <c r="C108" s="1119"/>
      <c r="D108" s="1119"/>
      <c r="E108" s="1119"/>
      <c r="F108" s="1119"/>
      <c r="G108" s="1119"/>
      <c r="H108" s="1119"/>
      <c r="I108" s="1119"/>
      <c r="J108" s="1119"/>
      <c r="K108" s="1119"/>
      <c r="L108" s="1119"/>
      <c r="M108" s="1119"/>
      <c r="N108" s="1119"/>
      <c r="O108" s="1119"/>
      <c r="P108" s="1119"/>
      <c r="Q108" s="1119"/>
      <c r="R108" s="1119"/>
      <c r="S108" s="1119"/>
      <c r="T108" s="1119"/>
      <c r="U108" s="1119"/>
      <c r="V108" s="1119"/>
      <c r="W108" s="1119"/>
      <c r="X108" s="1119"/>
      <c r="Y108" s="1119"/>
      <c r="Z108" s="1119"/>
      <c r="AA108" s="1119"/>
      <c r="AB108" s="1119"/>
      <c r="AC108" s="1119"/>
      <c r="AD108" s="1119"/>
      <c r="AE108" s="1119"/>
      <c r="AF108" s="1119"/>
      <c r="AG108" s="1119"/>
      <c r="AH108" s="1119"/>
      <c r="AI108" s="1119"/>
      <c r="AJ108" s="1119"/>
      <c r="AK108" s="1119"/>
      <c r="AL108" s="1119"/>
      <c r="AM108" s="1119"/>
      <c r="AN108" s="1119"/>
      <c r="AO108" s="1119"/>
      <c r="AP108" s="1119"/>
      <c r="AQ108" s="1119"/>
      <c r="AR108" s="1119"/>
      <c r="AS108" s="1119"/>
      <c r="AT108" s="1119"/>
      <c r="AU108" s="1119"/>
      <c r="AV108" s="1119"/>
      <c r="AW108" s="1119"/>
      <c r="AX108" s="1119"/>
      <c r="AY108" s="1119"/>
      <c r="AZ108" s="1119"/>
      <c r="BA108" s="1119"/>
      <c r="BB108" s="1119"/>
      <c r="BC108" s="1119"/>
      <c r="BD108" s="1119"/>
      <c r="BE108" s="1119"/>
      <c r="BF108" s="1119"/>
      <c r="BG108" s="1119"/>
      <c r="BH108" s="1119"/>
      <c r="BI108" s="1119"/>
      <c r="BJ108" s="1119"/>
      <c r="BK108" s="1119"/>
      <c r="BL108" s="1119"/>
      <c r="BM108" s="1119"/>
      <c r="BN108" s="1119"/>
      <c r="BO108" s="1119"/>
      <c r="BP108" s="1119"/>
      <c r="BQ108" s="1119"/>
    </row>
    <row r="109" spans="1:240" s="1120" customFormat="1" ht="39.950000000000003" hidden="1" customHeight="1">
      <c r="A109" s="1122"/>
      <c r="B109" s="1123"/>
      <c r="C109" s="2700" t="s">
        <v>69</v>
      </c>
      <c r="D109" s="2700"/>
      <c r="E109" s="2700"/>
      <c r="F109" s="2700"/>
      <c r="G109" s="2700"/>
      <c r="H109" s="2700"/>
      <c r="I109" s="2700"/>
      <c r="J109" s="2700"/>
      <c r="K109" s="2700"/>
      <c r="L109" s="2700"/>
      <c r="M109" s="2700"/>
      <c r="N109" s="2700"/>
      <c r="O109" s="2700"/>
      <c r="P109" s="2700"/>
      <c r="Q109" s="2700"/>
      <c r="R109" s="2700"/>
      <c r="S109" s="2700"/>
      <c r="T109" s="2700"/>
      <c r="U109" s="2700"/>
      <c r="V109" s="2700"/>
      <c r="W109" s="2700"/>
      <c r="X109" s="2700"/>
      <c r="Y109" s="2700"/>
      <c r="Z109" s="2700"/>
      <c r="AA109" s="2700"/>
      <c r="AB109" s="2700"/>
      <c r="AC109" s="2700"/>
      <c r="AD109" s="2700"/>
      <c r="AE109" s="2700"/>
      <c r="AF109" s="2700"/>
      <c r="AG109" s="2700"/>
      <c r="AH109" s="2700"/>
      <c r="AI109" s="2700"/>
      <c r="AJ109" s="2700"/>
      <c r="AK109" s="2700"/>
      <c r="AL109" s="2700"/>
      <c r="AM109" s="2700"/>
      <c r="AN109" s="2700"/>
      <c r="AO109" s="2700"/>
      <c r="AP109" s="2700"/>
      <c r="AQ109" s="2700"/>
      <c r="AR109" s="2701"/>
      <c r="AS109" s="1124" t="s">
        <v>342</v>
      </c>
      <c r="AT109" s="1125"/>
      <c r="AU109" s="1125"/>
      <c r="AV109" s="1125"/>
      <c r="AW109" s="1125"/>
      <c r="AX109" s="1125"/>
      <c r="AY109" s="1125"/>
      <c r="AZ109" s="1125"/>
      <c r="BA109" s="1125"/>
      <c r="BB109" s="1125"/>
      <c r="BC109" s="1125"/>
      <c r="BD109" s="1125"/>
      <c r="BE109" s="1125"/>
      <c r="BF109" s="1125"/>
      <c r="BG109" s="1125"/>
      <c r="BH109" s="1125"/>
      <c r="BI109" s="1125"/>
      <c r="BJ109" s="1125"/>
      <c r="BK109" s="1125"/>
      <c r="BL109" s="1125"/>
      <c r="BM109" s="1126"/>
      <c r="BN109" s="1127"/>
      <c r="BO109" s="1127"/>
      <c r="BP109" s="1127"/>
      <c r="BQ109" s="1127"/>
    </row>
    <row r="110" spans="1:240" s="1120" customFormat="1" ht="60" hidden="1" customHeight="1">
      <c r="A110" s="1128"/>
      <c r="B110" s="1129"/>
      <c r="C110" s="2702" t="s">
        <v>113</v>
      </c>
      <c r="D110" s="2694"/>
      <c r="E110" s="2695" t="s">
        <v>114</v>
      </c>
      <c r="F110" s="2703"/>
      <c r="G110" s="2702" t="s">
        <v>115</v>
      </c>
      <c r="H110" s="2694"/>
      <c r="I110" s="2704" t="s">
        <v>123</v>
      </c>
      <c r="J110" s="2703"/>
      <c r="K110" s="2702" t="s">
        <v>122</v>
      </c>
      <c r="L110" s="2694"/>
      <c r="M110" s="2695" t="s">
        <v>121</v>
      </c>
      <c r="N110" s="2694"/>
      <c r="O110" s="2693" t="s">
        <v>48</v>
      </c>
      <c r="P110" s="2703"/>
      <c r="Q110" s="2705" t="s">
        <v>49</v>
      </c>
      <c r="R110" s="2703"/>
      <c r="S110" s="2702" t="s">
        <v>124</v>
      </c>
      <c r="T110" s="2694"/>
      <c r="U110" s="2695" t="s">
        <v>343</v>
      </c>
      <c r="V110" s="2702"/>
      <c r="W110" s="2695" t="s">
        <v>125</v>
      </c>
      <c r="X110" s="2694"/>
      <c r="Y110" s="2695" t="s">
        <v>344</v>
      </c>
      <c r="Z110" s="2696"/>
      <c r="AA110" s="2695" t="s">
        <v>120</v>
      </c>
      <c r="AB110" s="2696"/>
      <c r="AC110" s="2698" t="s">
        <v>345</v>
      </c>
      <c r="AD110" s="2699"/>
      <c r="AE110" s="2695" t="s">
        <v>142</v>
      </c>
      <c r="AF110" s="2696"/>
      <c r="AG110" s="2695" t="s">
        <v>119</v>
      </c>
      <c r="AH110" s="2696"/>
      <c r="AI110" s="2695" t="s">
        <v>118</v>
      </c>
      <c r="AJ110" s="2696"/>
      <c r="AK110" s="2695" t="s">
        <v>117</v>
      </c>
      <c r="AL110" s="2696"/>
      <c r="AM110" s="2695" t="s">
        <v>116</v>
      </c>
      <c r="AN110" s="2696"/>
      <c r="AO110" s="2693" t="s">
        <v>2</v>
      </c>
      <c r="AP110" s="2694"/>
      <c r="AQ110" s="2706" t="s">
        <v>126</v>
      </c>
      <c r="AR110" s="2705"/>
      <c r="AS110" s="1130" t="s">
        <v>113</v>
      </c>
      <c r="AT110" s="1131" t="s">
        <v>346</v>
      </c>
      <c r="AU110" s="1131" t="s">
        <v>115</v>
      </c>
      <c r="AV110" s="1131" t="s">
        <v>347</v>
      </c>
      <c r="AW110" s="1131" t="s">
        <v>122</v>
      </c>
      <c r="AX110" s="1131" t="s">
        <v>225</v>
      </c>
      <c r="AY110" s="1131" t="s">
        <v>213</v>
      </c>
      <c r="AZ110" s="1131" t="s">
        <v>214</v>
      </c>
      <c r="BA110" s="1131" t="s">
        <v>124</v>
      </c>
      <c r="BB110" s="1131" t="s">
        <v>348</v>
      </c>
      <c r="BC110" s="1131" t="s">
        <v>215</v>
      </c>
      <c r="BD110" s="1131" t="s">
        <v>216</v>
      </c>
      <c r="BE110" s="1131" t="s">
        <v>217</v>
      </c>
      <c r="BF110" s="1132" t="s">
        <v>226</v>
      </c>
      <c r="BG110" s="1131" t="s">
        <v>142</v>
      </c>
      <c r="BH110" s="1131" t="s">
        <v>119</v>
      </c>
      <c r="BI110" s="1131" t="s">
        <v>118</v>
      </c>
      <c r="BJ110" s="1131" t="s">
        <v>117</v>
      </c>
      <c r="BK110" s="1133" t="s">
        <v>218</v>
      </c>
      <c r="BL110" s="1134" t="s">
        <v>2</v>
      </c>
      <c r="BM110" s="2697" t="s">
        <v>126</v>
      </c>
      <c r="BN110" s="1135"/>
      <c r="BO110" s="1135"/>
      <c r="BP110" s="1135"/>
      <c r="BQ110" s="1135"/>
    </row>
    <row r="111" spans="1:240" s="1120" customFormat="1" ht="24.95" hidden="1" customHeight="1">
      <c r="A111" s="1128"/>
      <c r="B111" s="1136" t="s">
        <v>127</v>
      </c>
      <c r="C111" s="1137" t="s">
        <v>42</v>
      </c>
      <c r="D111" s="1138" t="s">
        <v>31</v>
      </c>
      <c r="E111" s="1138" t="s">
        <v>42</v>
      </c>
      <c r="F111" s="1138" t="s">
        <v>31</v>
      </c>
      <c r="G111" s="1138" t="s">
        <v>42</v>
      </c>
      <c r="H111" s="1138" t="s">
        <v>31</v>
      </c>
      <c r="I111" s="1138" t="s">
        <v>42</v>
      </c>
      <c r="J111" s="1138" t="s">
        <v>31</v>
      </c>
      <c r="K111" s="1138" t="s">
        <v>42</v>
      </c>
      <c r="L111" s="1138" t="s">
        <v>31</v>
      </c>
      <c r="M111" s="1138" t="s">
        <v>42</v>
      </c>
      <c r="N111" s="1138" t="s">
        <v>31</v>
      </c>
      <c r="O111" s="1138" t="s">
        <v>42</v>
      </c>
      <c r="P111" s="1138" t="s">
        <v>31</v>
      </c>
      <c r="Q111" s="1138" t="s">
        <v>42</v>
      </c>
      <c r="R111" s="1138" t="s">
        <v>31</v>
      </c>
      <c r="S111" s="1138" t="s">
        <v>42</v>
      </c>
      <c r="T111" s="1138" t="s">
        <v>31</v>
      </c>
      <c r="U111" s="1138" t="s">
        <v>42</v>
      </c>
      <c r="V111" s="1138" t="s">
        <v>31</v>
      </c>
      <c r="W111" s="1138" t="s">
        <v>42</v>
      </c>
      <c r="X111" s="1138" t="s">
        <v>31</v>
      </c>
      <c r="Y111" s="1138" t="s">
        <v>42</v>
      </c>
      <c r="Z111" s="1138" t="s">
        <v>31</v>
      </c>
      <c r="AA111" s="1138" t="s">
        <v>42</v>
      </c>
      <c r="AB111" s="1138" t="s">
        <v>31</v>
      </c>
      <c r="AC111" s="1138" t="s">
        <v>42</v>
      </c>
      <c r="AD111" s="1138" t="s">
        <v>31</v>
      </c>
      <c r="AE111" s="1138" t="s">
        <v>42</v>
      </c>
      <c r="AF111" s="1138" t="s">
        <v>31</v>
      </c>
      <c r="AG111" s="1138" t="s">
        <v>42</v>
      </c>
      <c r="AH111" s="1138" t="s">
        <v>31</v>
      </c>
      <c r="AI111" s="1138" t="s">
        <v>42</v>
      </c>
      <c r="AJ111" s="1138" t="s">
        <v>31</v>
      </c>
      <c r="AK111" s="1138" t="s">
        <v>42</v>
      </c>
      <c r="AL111" s="1138" t="s">
        <v>31</v>
      </c>
      <c r="AM111" s="1138" t="s">
        <v>42</v>
      </c>
      <c r="AN111" s="1138" t="s">
        <v>31</v>
      </c>
      <c r="AO111" s="1138" t="s">
        <v>42</v>
      </c>
      <c r="AP111" s="1139" t="s">
        <v>31</v>
      </c>
      <c r="AQ111" s="1140" t="s">
        <v>42</v>
      </c>
      <c r="AR111" s="1141" t="s">
        <v>31</v>
      </c>
      <c r="AS111" s="1142"/>
      <c r="AT111" s="1143"/>
      <c r="AU111" s="1143"/>
      <c r="AV111" s="1143"/>
      <c r="AW111" s="1143"/>
      <c r="AX111" s="1143"/>
      <c r="AY111" s="1143"/>
      <c r="AZ111" s="1143"/>
      <c r="BA111" s="1143"/>
      <c r="BB111" s="1143"/>
      <c r="BC111" s="1143"/>
      <c r="BD111" s="1143"/>
      <c r="BE111" s="1143"/>
      <c r="BF111" s="1143"/>
      <c r="BG111" s="1143"/>
      <c r="BH111" s="1143"/>
      <c r="BI111" s="1143"/>
      <c r="BJ111" s="1143"/>
      <c r="BK111" s="1144"/>
      <c r="BL111" s="1145"/>
      <c r="BM111" s="2697"/>
      <c r="BN111" s="1146"/>
      <c r="BO111" s="1146"/>
      <c r="BP111" s="1146"/>
      <c r="BQ111" s="1146"/>
    </row>
    <row r="112" spans="1:240" s="1120" customFormat="1" ht="24.95" hidden="1" customHeight="1">
      <c r="A112" s="1147"/>
      <c r="B112" s="1148"/>
      <c r="C112" s="1137" t="s">
        <v>17</v>
      </c>
      <c r="D112" s="1149" t="s">
        <v>17</v>
      </c>
      <c r="E112" s="1150" t="s">
        <v>17</v>
      </c>
      <c r="F112" s="1149" t="s">
        <v>17</v>
      </c>
      <c r="G112" s="1150" t="s">
        <v>17</v>
      </c>
      <c r="H112" s="1151" t="s">
        <v>17</v>
      </c>
      <c r="I112" s="1151" t="s">
        <v>17</v>
      </c>
      <c r="J112" s="1151" t="s">
        <v>17</v>
      </c>
      <c r="K112" s="1151" t="s">
        <v>17</v>
      </c>
      <c r="L112" s="1151" t="s">
        <v>17</v>
      </c>
      <c r="M112" s="1151" t="s">
        <v>17</v>
      </c>
      <c r="N112" s="1151" t="s">
        <v>17</v>
      </c>
      <c r="O112" s="1151" t="s">
        <v>17</v>
      </c>
      <c r="P112" s="1150" t="s">
        <v>17</v>
      </c>
      <c r="Q112" s="1151" t="s">
        <v>17</v>
      </c>
      <c r="R112" s="1151" t="s">
        <v>17</v>
      </c>
      <c r="S112" s="1151" t="s">
        <v>17</v>
      </c>
      <c r="T112" s="1151" t="s">
        <v>17</v>
      </c>
      <c r="U112" s="1151" t="s">
        <v>17</v>
      </c>
      <c r="V112" s="1151" t="s">
        <v>17</v>
      </c>
      <c r="W112" s="1150" t="s">
        <v>17</v>
      </c>
      <c r="X112" s="1149" t="s">
        <v>17</v>
      </c>
      <c r="Y112" s="1150" t="s">
        <v>17</v>
      </c>
      <c r="Z112" s="1150" t="s">
        <v>17</v>
      </c>
      <c r="AA112" s="1150" t="s">
        <v>17</v>
      </c>
      <c r="AB112" s="1150" t="s">
        <v>17</v>
      </c>
      <c r="AC112" s="1150" t="s">
        <v>17</v>
      </c>
      <c r="AD112" s="1150" t="s">
        <v>17</v>
      </c>
      <c r="AE112" s="1150" t="s">
        <v>17</v>
      </c>
      <c r="AF112" s="1150" t="s">
        <v>17</v>
      </c>
      <c r="AG112" s="1151" t="s">
        <v>17</v>
      </c>
      <c r="AH112" s="1150" t="s">
        <v>17</v>
      </c>
      <c r="AI112" s="1150" t="s">
        <v>17</v>
      </c>
      <c r="AJ112" s="1150" t="s">
        <v>17</v>
      </c>
      <c r="AK112" s="1150" t="s">
        <v>17</v>
      </c>
      <c r="AL112" s="1150" t="s">
        <v>17</v>
      </c>
      <c r="AM112" s="1137" t="s">
        <v>17</v>
      </c>
      <c r="AN112" s="1150" t="s">
        <v>17</v>
      </c>
      <c r="AO112" s="1137" t="s">
        <v>17</v>
      </c>
      <c r="AP112" s="1149" t="s">
        <v>17</v>
      </c>
      <c r="AQ112" s="1152" t="s">
        <v>17</v>
      </c>
      <c r="AR112" s="1153" t="s">
        <v>17</v>
      </c>
      <c r="AS112" s="1152" t="s">
        <v>17</v>
      </c>
      <c r="AT112" s="1150" t="s">
        <v>17</v>
      </c>
      <c r="AU112" s="1150" t="s">
        <v>17</v>
      </c>
      <c r="AV112" s="1150" t="s">
        <v>17</v>
      </c>
      <c r="AW112" s="1150" t="s">
        <v>17</v>
      </c>
      <c r="AX112" s="1150" t="s">
        <v>17</v>
      </c>
      <c r="AY112" s="1150" t="s">
        <v>17</v>
      </c>
      <c r="AZ112" s="1150" t="s">
        <v>17</v>
      </c>
      <c r="BA112" s="1150" t="s">
        <v>17</v>
      </c>
      <c r="BB112" s="1150" t="s">
        <v>17</v>
      </c>
      <c r="BC112" s="1150" t="s">
        <v>17</v>
      </c>
      <c r="BD112" s="1150" t="s">
        <v>17</v>
      </c>
      <c r="BE112" s="1150" t="s">
        <v>17</v>
      </c>
      <c r="BF112" s="1150" t="s">
        <v>17</v>
      </c>
      <c r="BG112" s="1150" t="s">
        <v>17</v>
      </c>
      <c r="BH112" s="1150" t="s">
        <v>17</v>
      </c>
      <c r="BI112" s="1150" t="s">
        <v>17</v>
      </c>
      <c r="BJ112" s="1150" t="s">
        <v>17</v>
      </c>
      <c r="BK112" s="1149" t="s">
        <v>17</v>
      </c>
      <c r="BL112" s="1154" t="s">
        <v>17</v>
      </c>
      <c r="BM112" s="1154" t="s">
        <v>17</v>
      </c>
      <c r="BN112" s="1137"/>
      <c r="BO112" s="1137"/>
      <c r="BP112" s="1137"/>
      <c r="BQ112" s="1137"/>
    </row>
    <row r="113" spans="1:69" s="1120" customFormat="1" ht="24.95" hidden="1" customHeight="1">
      <c r="A113" s="1155">
        <v>1</v>
      </c>
      <c r="B113" s="1156">
        <v>2</v>
      </c>
      <c r="C113" s="1157">
        <v>3</v>
      </c>
      <c r="D113" s="1158">
        <v>4</v>
      </c>
      <c r="E113" s="1077">
        <v>5</v>
      </c>
      <c r="F113" s="1074">
        <v>6</v>
      </c>
      <c r="G113" s="1157">
        <v>7</v>
      </c>
      <c r="H113" s="1158">
        <v>8</v>
      </c>
      <c r="I113" s="1077">
        <v>9</v>
      </c>
      <c r="J113" s="1074">
        <v>10</v>
      </c>
      <c r="K113" s="1157">
        <v>11</v>
      </c>
      <c r="L113" s="1158">
        <v>12</v>
      </c>
      <c r="M113" s="1077">
        <v>13</v>
      </c>
      <c r="N113" s="1074">
        <v>14</v>
      </c>
      <c r="O113" s="1157">
        <v>15</v>
      </c>
      <c r="P113" s="1158">
        <v>16</v>
      </c>
      <c r="Q113" s="1077">
        <v>17</v>
      </c>
      <c r="R113" s="1074">
        <v>18</v>
      </c>
      <c r="S113" s="1157">
        <v>19</v>
      </c>
      <c r="T113" s="1158">
        <v>20</v>
      </c>
      <c r="U113" s="1077">
        <v>21</v>
      </c>
      <c r="V113" s="1074">
        <v>22</v>
      </c>
      <c r="W113" s="1157">
        <v>23</v>
      </c>
      <c r="X113" s="1158">
        <v>24</v>
      </c>
      <c r="Y113" s="1077">
        <v>25</v>
      </c>
      <c r="Z113" s="1074">
        <v>26</v>
      </c>
      <c r="AA113" s="1157">
        <v>27</v>
      </c>
      <c r="AB113" s="1158">
        <v>28</v>
      </c>
      <c r="AC113" s="1077">
        <v>29</v>
      </c>
      <c r="AD113" s="1074">
        <v>30</v>
      </c>
      <c r="AE113" s="1157">
        <v>31</v>
      </c>
      <c r="AF113" s="1158">
        <v>32</v>
      </c>
      <c r="AG113" s="1077">
        <v>33</v>
      </c>
      <c r="AH113" s="1074">
        <v>34</v>
      </c>
      <c r="AI113" s="1157">
        <v>35</v>
      </c>
      <c r="AJ113" s="1158">
        <v>36</v>
      </c>
      <c r="AK113" s="1077">
        <v>37</v>
      </c>
      <c r="AL113" s="1074">
        <v>38</v>
      </c>
      <c r="AM113" s="1157">
        <v>39</v>
      </c>
      <c r="AN113" s="1158">
        <v>40</v>
      </c>
      <c r="AO113" s="1077">
        <v>41</v>
      </c>
      <c r="AP113" s="1075">
        <v>42</v>
      </c>
      <c r="AQ113" s="1157">
        <v>43</v>
      </c>
      <c r="AR113" s="1158">
        <v>44</v>
      </c>
      <c r="AS113" s="1159">
        <v>45</v>
      </c>
      <c r="AT113" s="1074">
        <v>46</v>
      </c>
      <c r="AU113" s="1160">
        <v>47</v>
      </c>
      <c r="AV113" s="1074">
        <v>48</v>
      </c>
      <c r="AW113" s="1074">
        <v>49</v>
      </c>
      <c r="AX113" s="1074">
        <v>50</v>
      </c>
      <c r="AY113" s="1160">
        <v>51</v>
      </c>
      <c r="AZ113" s="1074">
        <v>52</v>
      </c>
      <c r="BA113" s="1074">
        <v>53</v>
      </c>
      <c r="BB113" s="1074">
        <v>54</v>
      </c>
      <c r="BC113" s="1160">
        <v>55</v>
      </c>
      <c r="BD113" s="1074">
        <v>56</v>
      </c>
      <c r="BE113" s="1074">
        <v>57</v>
      </c>
      <c r="BF113" s="1074">
        <v>58</v>
      </c>
      <c r="BG113" s="1160">
        <v>59</v>
      </c>
      <c r="BH113" s="1074">
        <v>60</v>
      </c>
      <c r="BI113" s="1074">
        <v>61</v>
      </c>
      <c r="BJ113" s="1074">
        <v>62</v>
      </c>
      <c r="BK113" s="1161">
        <v>63</v>
      </c>
      <c r="BL113" s="1162">
        <v>64</v>
      </c>
      <c r="BM113" s="1162">
        <v>65</v>
      </c>
      <c r="BN113" s="1163"/>
      <c r="BO113" s="1163"/>
      <c r="BP113" s="1163"/>
      <c r="BQ113" s="1163"/>
    </row>
    <row r="114" spans="1:69" s="1120" customFormat="1" ht="24.95" hidden="1" customHeight="1">
      <c r="A114" s="1164">
        <v>1</v>
      </c>
      <c r="B114" s="1165" t="s">
        <v>12</v>
      </c>
      <c r="C114" s="1166">
        <v>412.9</v>
      </c>
      <c r="D114" s="1167">
        <v>71</v>
      </c>
      <c r="E114" s="666">
        <v>34.6</v>
      </c>
      <c r="F114" s="666">
        <v>21.1</v>
      </c>
      <c r="G114" s="666">
        <v>236.4</v>
      </c>
      <c r="H114" s="666">
        <v>79.900000000000006</v>
      </c>
      <c r="I114" s="666">
        <v>81</v>
      </c>
      <c r="J114" s="666">
        <v>31.5</v>
      </c>
      <c r="K114" s="666">
        <v>1882.7399999999727</v>
      </c>
      <c r="L114" s="666">
        <v>295.52000000000021</v>
      </c>
      <c r="M114" s="666">
        <v>93.49</v>
      </c>
      <c r="N114" s="666">
        <v>83.07</v>
      </c>
      <c r="O114" s="666">
        <v>17</v>
      </c>
      <c r="P114" s="666">
        <v>10.199999999999999</v>
      </c>
      <c r="Q114" s="666">
        <v>1412</v>
      </c>
      <c r="R114" s="666">
        <v>245.69999999999851</v>
      </c>
      <c r="S114" s="666">
        <v>364.75</v>
      </c>
      <c r="T114" s="666">
        <v>20.100000000000001</v>
      </c>
      <c r="U114" s="666">
        <v>80.900000000000006</v>
      </c>
      <c r="V114" s="666">
        <v>19.2</v>
      </c>
      <c r="W114" s="666">
        <v>0</v>
      </c>
      <c r="X114" s="666">
        <v>0</v>
      </c>
      <c r="Y114" s="666">
        <v>35</v>
      </c>
      <c r="Z114" s="666">
        <v>30.5</v>
      </c>
      <c r="AA114" s="666">
        <v>30</v>
      </c>
      <c r="AB114" s="666">
        <v>42</v>
      </c>
      <c r="AC114" s="666">
        <v>3</v>
      </c>
      <c r="AD114" s="666">
        <v>17</v>
      </c>
      <c r="AE114" s="666">
        <v>43</v>
      </c>
      <c r="AF114" s="666">
        <v>0</v>
      </c>
      <c r="AG114" s="666">
        <v>554.70000000000005</v>
      </c>
      <c r="AH114" s="666">
        <v>29.2</v>
      </c>
      <c r="AI114" s="666">
        <v>208.6</v>
      </c>
      <c r="AJ114" s="666">
        <v>96.7</v>
      </c>
      <c r="AK114" s="666">
        <v>778.93100000000004</v>
      </c>
      <c r="AL114" s="666">
        <v>101.55</v>
      </c>
      <c r="AM114" s="666">
        <v>158</v>
      </c>
      <c r="AN114" s="666">
        <v>49.5</v>
      </c>
      <c r="AO114" s="1168">
        <v>6427.0109999999713</v>
      </c>
      <c r="AP114" s="1169">
        <v>1243.7399999999986</v>
      </c>
      <c r="AQ114" s="1166">
        <v>0</v>
      </c>
      <c r="AR114" s="1170">
        <v>0</v>
      </c>
      <c r="AS114" s="1229"/>
      <c r="AT114" s="1171"/>
      <c r="AU114" s="1171"/>
      <c r="AV114" s="1171"/>
      <c r="AW114" s="1171"/>
      <c r="AX114" s="1171"/>
      <c r="AY114" s="1171"/>
      <c r="AZ114" s="1171"/>
      <c r="BA114" s="1171"/>
      <c r="BB114" s="1171"/>
      <c r="BC114" s="1171"/>
      <c r="BD114" s="1171"/>
      <c r="BE114" s="1171"/>
      <c r="BF114" s="1171"/>
      <c r="BG114" s="1171"/>
      <c r="BH114" s="1171"/>
      <c r="BI114" s="1171"/>
      <c r="BJ114" s="1171"/>
      <c r="BK114" s="562"/>
      <c r="BL114" s="1172"/>
      <c r="BM114" s="1173"/>
      <c r="BN114" s="1119"/>
      <c r="BO114" s="1119"/>
      <c r="BP114" s="1119"/>
      <c r="BQ114" s="1119"/>
    </row>
    <row r="115" spans="1:69" s="1120" customFormat="1" ht="30" hidden="1" customHeight="1">
      <c r="A115" s="1164"/>
      <c r="B115" s="1174" t="s">
        <v>9</v>
      </c>
      <c r="C115" s="1175"/>
      <c r="D115" s="1176"/>
      <c r="E115" s="1177"/>
      <c r="F115" s="1177"/>
      <c r="G115" s="1177"/>
      <c r="H115" s="1177"/>
      <c r="I115" s="1177"/>
      <c r="J115" s="1177"/>
      <c r="K115" s="1177"/>
      <c r="L115" s="1177"/>
      <c r="M115" s="1177"/>
      <c r="N115" s="1177"/>
      <c r="O115" s="1177"/>
      <c r="P115" s="1177"/>
      <c r="Q115" s="1177"/>
      <c r="R115" s="1177"/>
      <c r="S115" s="1177"/>
      <c r="T115" s="1177"/>
      <c r="U115" s="1177"/>
      <c r="V115" s="1177"/>
      <c r="W115" s="1177"/>
      <c r="X115" s="1177"/>
      <c r="Y115" s="1177"/>
      <c r="Z115" s="1177"/>
      <c r="AA115" s="1177"/>
      <c r="AB115" s="1177"/>
      <c r="AC115" s="1177"/>
      <c r="AD115" s="1177"/>
      <c r="AE115" s="1177"/>
      <c r="AF115" s="1177"/>
      <c r="AG115" s="1177"/>
      <c r="AH115" s="1177"/>
      <c r="AI115" s="1177"/>
      <c r="AJ115" s="1177"/>
      <c r="AK115" s="1177"/>
      <c r="AL115" s="1177"/>
      <c r="AM115" s="1177"/>
      <c r="AN115" s="1177"/>
      <c r="AO115" s="1178"/>
      <c r="AP115" s="1179"/>
      <c r="AQ115" s="1175"/>
      <c r="AR115" s="1180"/>
      <c r="AS115" s="1171"/>
      <c r="AT115" s="1171"/>
      <c r="AU115" s="1171"/>
      <c r="AV115" s="1171"/>
      <c r="AW115" s="1171"/>
      <c r="AX115" s="1171"/>
      <c r="AY115" s="1171"/>
      <c r="AZ115" s="1171"/>
      <c r="BA115" s="1171"/>
      <c r="BB115" s="1171"/>
      <c r="BC115" s="1171"/>
      <c r="BD115" s="1171"/>
      <c r="BE115" s="1171"/>
      <c r="BF115" s="1171"/>
      <c r="BG115" s="1171"/>
      <c r="BH115" s="1171"/>
      <c r="BI115" s="1171"/>
      <c r="BJ115" s="1171"/>
      <c r="BK115" s="562"/>
      <c r="BL115" s="1181"/>
      <c r="BM115" s="1182"/>
      <c r="BN115" s="1119"/>
      <c r="BO115" s="1119"/>
      <c r="BP115" s="1119"/>
      <c r="BQ115" s="1119"/>
    </row>
    <row r="116" spans="1:69" s="1120" customFormat="1" ht="24.95" hidden="1" customHeight="1">
      <c r="A116" s="1164"/>
      <c r="B116" s="1183" t="s">
        <v>73</v>
      </c>
      <c r="C116" s="1184"/>
      <c r="D116" s="1185"/>
      <c r="E116" s="1186"/>
      <c r="F116" s="1186"/>
      <c r="G116" s="1186"/>
      <c r="H116" s="1186"/>
      <c r="I116" s="1186"/>
      <c r="J116" s="1186"/>
      <c r="K116" s="1186"/>
      <c r="L116" s="1186"/>
      <c r="M116" s="1186"/>
      <c r="N116" s="1186"/>
      <c r="O116" s="1186"/>
      <c r="P116" s="1186"/>
      <c r="Q116" s="1186"/>
      <c r="R116" s="1186"/>
      <c r="S116" s="1186"/>
      <c r="T116" s="1186"/>
      <c r="U116" s="1186"/>
      <c r="V116" s="1186"/>
      <c r="W116" s="1186"/>
      <c r="X116" s="1186"/>
      <c r="Y116" s="1186"/>
      <c r="Z116" s="1186"/>
      <c r="AA116" s="1186"/>
      <c r="AB116" s="1186"/>
      <c r="AC116" s="1186"/>
      <c r="AD116" s="1186"/>
      <c r="AE116" s="1186"/>
      <c r="AF116" s="1186"/>
      <c r="AG116" s="1186"/>
      <c r="AH116" s="1186"/>
      <c r="AI116" s="1186"/>
      <c r="AJ116" s="1186"/>
      <c r="AK116" s="1186"/>
      <c r="AL116" s="1186"/>
      <c r="AM116" s="1186"/>
      <c r="AN116" s="1186"/>
      <c r="AO116" s="1178"/>
      <c r="AP116" s="1179"/>
      <c r="AQ116" s="1184"/>
      <c r="AR116" s="1187"/>
      <c r="AS116" s="1171"/>
      <c r="AT116" s="1171"/>
      <c r="AU116" s="1171"/>
      <c r="AV116" s="1171"/>
      <c r="AW116" s="1171"/>
      <c r="AX116" s="1171"/>
      <c r="AY116" s="1171"/>
      <c r="AZ116" s="1171"/>
      <c r="BA116" s="1171"/>
      <c r="BB116" s="1171"/>
      <c r="BC116" s="1171"/>
      <c r="BD116" s="1171"/>
      <c r="BE116" s="1171"/>
      <c r="BF116" s="1171"/>
      <c r="BG116" s="1171"/>
      <c r="BH116" s="1171"/>
      <c r="BI116" s="1171"/>
      <c r="BJ116" s="1171"/>
      <c r="BK116" s="562"/>
      <c r="BL116" s="1181"/>
      <c r="BM116" s="1182"/>
      <c r="BN116" s="1119"/>
      <c r="BO116" s="1119"/>
      <c r="BP116" s="1119"/>
      <c r="BQ116" s="1119"/>
    </row>
    <row r="117" spans="1:69" s="1120" customFormat="1" ht="24.95" hidden="1" customHeight="1">
      <c r="A117" s="1188">
        <v>2</v>
      </c>
      <c r="B117" s="1189" t="s">
        <v>74</v>
      </c>
      <c r="C117" s="1190">
        <v>0</v>
      </c>
      <c r="D117" s="1191">
        <v>0</v>
      </c>
      <c r="E117" s="1192">
        <v>0</v>
      </c>
      <c r="F117" s="1192">
        <v>0</v>
      </c>
      <c r="G117" s="1192">
        <v>33</v>
      </c>
      <c r="H117" s="1192">
        <v>0</v>
      </c>
      <c r="I117" s="1192">
        <v>53</v>
      </c>
      <c r="J117" s="1192">
        <v>0</v>
      </c>
      <c r="K117" s="1192">
        <v>0</v>
      </c>
      <c r="L117" s="1192">
        <v>0</v>
      </c>
      <c r="M117" s="1192">
        <v>9.48</v>
      </c>
      <c r="N117" s="1192">
        <v>0</v>
      </c>
      <c r="O117" s="1192">
        <v>0</v>
      </c>
      <c r="P117" s="1192">
        <v>0</v>
      </c>
      <c r="Q117" s="1192">
        <v>0</v>
      </c>
      <c r="R117" s="1192">
        <v>0</v>
      </c>
      <c r="S117" s="1192">
        <v>0</v>
      </c>
      <c r="T117" s="1192">
        <v>0</v>
      </c>
      <c r="U117" s="1192">
        <v>0</v>
      </c>
      <c r="V117" s="1192">
        <v>0</v>
      </c>
      <c r="W117" s="1192">
        <v>0</v>
      </c>
      <c r="X117" s="1192">
        <v>0</v>
      </c>
      <c r="Y117" s="1192">
        <v>0</v>
      </c>
      <c r="Z117" s="1192">
        <v>0</v>
      </c>
      <c r="AA117" s="1192">
        <v>0</v>
      </c>
      <c r="AB117" s="1192">
        <v>0</v>
      </c>
      <c r="AC117" s="1192">
        <v>0</v>
      </c>
      <c r="AD117" s="1192">
        <v>0</v>
      </c>
      <c r="AE117" s="1192">
        <v>0</v>
      </c>
      <c r="AF117" s="1192">
        <v>0</v>
      </c>
      <c r="AG117" s="1192">
        <v>0</v>
      </c>
      <c r="AH117" s="1192">
        <v>0</v>
      </c>
      <c r="AI117" s="1192">
        <v>0</v>
      </c>
      <c r="AJ117" s="1192">
        <v>0</v>
      </c>
      <c r="AK117" s="1192">
        <v>0</v>
      </c>
      <c r="AL117" s="1192">
        <v>0</v>
      </c>
      <c r="AM117" s="1192">
        <v>109</v>
      </c>
      <c r="AN117" s="1192">
        <v>0</v>
      </c>
      <c r="AO117" s="1193">
        <v>204.48000000000002</v>
      </c>
      <c r="AP117" s="1194">
        <v>0</v>
      </c>
      <c r="AQ117" s="1190">
        <v>0</v>
      </c>
      <c r="AR117" s="1195">
        <v>0</v>
      </c>
      <c r="AS117" s="1196">
        <v>0</v>
      </c>
      <c r="AT117" s="1196">
        <v>0</v>
      </c>
      <c r="AU117" s="1196">
        <v>2</v>
      </c>
      <c r="AV117" s="1196">
        <v>2</v>
      </c>
      <c r="AW117" s="1196">
        <v>0</v>
      </c>
      <c r="AX117" s="1196">
        <v>0</v>
      </c>
      <c r="AY117" s="1196">
        <v>0</v>
      </c>
      <c r="AZ117" s="1196">
        <v>0</v>
      </c>
      <c r="BA117" s="1196">
        <v>0</v>
      </c>
      <c r="BB117" s="1196">
        <v>0</v>
      </c>
      <c r="BC117" s="1196">
        <v>0</v>
      </c>
      <c r="BD117" s="1196">
        <v>0</v>
      </c>
      <c r="BE117" s="1196">
        <v>0</v>
      </c>
      <c r="BF117" s="1196">
        <v>0</v>
      </c>
      <c r="BG117" s="1196">
        <v>0</v>
      </c>
      <c r="BH117" s="1196">
        <v>0</v>
      </c>
      <c r="BI117" s="1196">
        <v>0</v>
      </c>
      <c r="BJ117" s="1196">
        <v>0</v>
      </c>
      <c r="BK117" s="1197">
        <v>1</v>
      </c>
      <c r="BL117" s="1198">
        <v>5</v>
      </c>
      <c r="BM117" s="1182">
        <v>0</v>
      </c>
      <c r="BN117" s="1119"/>
      <c r="BO117" s="1119"/>
      <c r="BP117" s="1119"/>
      <c r="BQ117" s="1119"/>
    </row>
    <row r="118" spans="1:69" s="1120" customFormat="1" ht="24.95" hidden="1" customHeight="1">
      <c r="A118" s="1188">
        <v>3</v>
      </c>
      <c r="B118" s="1183" t="s">
        <v>75</v>
      </c>
      <c r="C118" s="1190">
        <v>450.2</v>
      </c>
      <c r="D118" s="1191">
        <v>87.8</v>
      </c>
      <c r="E118" s="1192">
        <v>72</v>
      </c>
      <c r="F118" s="1192">
        <v>81.099999999999994</v>
      </c>
      <c r="G118" s="1192">
        <v>458</v>
      </c>
      <c r="H118" s="1192">
        <v>671.2249999999998</v>
      </c>
      <c r="I118" s="1192">
        <v>609</v>
      </c>
      <c r="J118" s="1192">
        <v>212.6</v>
      </c>
      <c r="K118" s="1192">
        <v>245</v>
      </c>
      <c r="L118" s="1192">
        <v>20.3</v>
      </c>
      <c r="M118" s="1192">
        <v>445.86</v>
      </c>
      <c r="N118" s="1192">
        <v>136.15</v>
      </c>
      <c r="O118" s="1192">
        <v>192.5</v>
      </c>
      <c r="P118" s="1192">
        <v>7.5</v>
      </c>
      <c r="Q118" s="1192">
        <v>1074</v>
      </c>
      <c r="R118" s="1192">
        <v>243.15800000000002</v>
      </c>
      <c r="S118" s="1192">
        <v>547.29999999999995</v>
      </c>
      <c r="T118" s="1192">
        <v>96.4</v>
      </c>
      <c r="U118" s="1192">
        <v>45</v>
      </c>
      <c r="V118" s="1192">
        <v>131.83000000000001</v>
      </c>
      <c r="W118" s="1192">
        <v>0</v>
      </c>
      <c r="X118" s="1192">
        <v>177.8</v>
      </c>
      <c r="Y118" s="1192">
        <v>262</v>
      </c>
      <c r="Z118" s="1192">
        <v>190.69</v>
      </c>
      <c r="AA118" s="1192">
        <v>141.83000000000001</v>
      </c>
      <c r="AB118" s="1192">
        <v>193.16</v>
      </c>
      <c r="AC118" s="1192">
        <v>107.3</v>
      </c>
      <c r="AD118" s="1192">
        <v>0</v>
      </c>
      <c r="AE118" s="1192">
        <v>40</v>
      </c>
      <c r="AF118" s="1192">
        <v>23.5</v>
      </c>
      <c r="AG118" s="1192">
        <v>395.3</v>
      </c>
      <c r="AH118" s="1192">
        <v>36.299999999999997</v>
      </c>
      <c r="AI118" s="1192">
        <v>476.8</v>
      </c>
      <c r="AJ118" s="1192">
        <v>254.3</v>
      </c>
      <c r="AK118" s="1192">
        <v>587</v>
      </c>
      <c r="AL118" s="1192">
        <v>241.76</v>
      </c>
      <c r="AM118" s="1192">
        <v>584</v>
      </c>
      <c r="AN118" s="1192">
        <v>248.66666666666674</v>
      </c>
      <c r="AO118" s="1193">
        <v>6733.09</v>
      </c>
      <c r="AP118" s="1194">
        <v>3054.2396666666664</v>
      </c>
      <c r="AQ118" s="1190">
        <v>0</v>
      </c>
      <c r="AR118" s="1195">
        <v>133.4</v>
      </c>
      <c r="AS118" s="1229"/>
      <c r="AT118" s="1171"/>
      <c r="AU118" s="1171"/>
      <c r="AV118" s="1171"/>
      <c r="AW118" s="1171"/>
      <c r="AX118" s="1171"/>
      <c r="AY118" s="1171"/>
      <c r="AZ118" s="1171"/>
      <c r="BA118" s="1171"/>
      <c r="BB118" s="1171"/>
      <c r="BC118" s="1171"/>
      <c r="BD118" s="1171"/>
      <c r="BE118" s="1171"/>
      <c r="BF118" s="1171"/>
      <c r="BG118" s="1171"/>
      <c r="BH118" s="1171"/>
      <c r="BI118" s="1171"/>
      <c r="BJ118" s="1171"/>
      <c r="BK118" s="562"/>
      <c r="BL118" s="1181"/>
      <c r="BM118" s="1182"/>
      <c r="BN118" s="1119"/>
      <c r="BO118" s="1119"/>
      <c r="BP118" s="1119"/>
      <c r="BQ118" s="1119"/>
    </row>
    <row r="119" spans="1:69" s="1120" customFormat="1" ht="24.95" hidden="1" customHeight="1">
      <c r="A119" s="1188"/>
      <c r="B119" s="1183" t="s">
        <v>2</v>
      </c>
      <c r="C119" s="1217">
        <v>450.2</v>
      </c>
      <c r="D119" s="1218">
        <v>87.8</v>
      </c>
      <c r="E119" s="1219">
        <v>72</v>
      </c>
      <c r="F119" s="1219">
        <v>81.099999999999994</v>
      </c>
      <c r="G119" s="1219">
        <v>491</v>
      </c>
      <c r="H119" s="1219">
        <v>671.2249999999998</v>
      </c>
      <c r="I119" s="1219">
        <v>662</v>
      </c>
      <c r="J119" s="1219">
        <v>212.6</v>
      </c>
      <c r="K119" s="1219">
        <v>245</v>
      </c>
      <c r="L119" s="1219">
        <v>20.3</v>
      </c>
      <c r="M119" s="1219">
        <v>455.34000000000003</v>
      </c>
      <c r="N119" s="1219">
        <v>136.15</v>
      </c>
      <c r="O119" s="1219">
        <v>192.5</v>
      </c>
      <c r="P119" s="1219">
        <v>7.5</v>
      </c>
      <c r="Q119" s="1219">
        <v>1074</v>
      </c>
      <c r="R119" s="1219">
        <v>243.15800000000002</v>
      </c>
      <c r="S119" s="1219">
        <v>547.29999999999995</v>
      </c>
      <c r="T119" s="1219">
        <v>96.4</v>
      </c>
      <c r="U119" s="1219">
        <v>45</v>
      </c>
      <c r="V119" s="1219">
        <v>131.83000000000001</v>
      </c>
      <c r="W119" s="1219">
        <v>0</v>
      </c>
      <c r="X119" s="1219">
        <v>177.8</v>
      </c>
      <c r="Y119" s="1219">
        <v>262</v>
      </c>
      <c r="Z119" s="1219">
        <v>190.69</v>
      </c>
      <c r="AA119" s="1219">
        <v>141.83000000000001</v>
      </c>
      <c r="AB119" s="1219">
        <v>193.16</v>
      </c>
      <c r="AC119" s="1219">
        <v>107.3</v>
      </c>
      <c r="AD119" s="1219">
        <v>0</v>
      </c>
      <c r="AE119" s="1219">
        <v>40</v>
      </c>
      <c r="AF119" s="1219">
        <v>23.5</v>
      </c>
      <c r="AG119" s="1219">
        <v>395.3</v>
      </c>
      <c r="AH119" s="1219">
        <v>36.299999999999997</v>
      </c>
      <c r="AI119" s="1219">
        <v>476.8</v>
      </c>
      <c r="AJ119" s="1219">
        <v>254.3</v>
      </c>
      <c r="AK119" s="1219">
        <v>587</v>
      </c>
      <c r="AL119" s="1219">
        <v>241.76</v>
      </c>
      <c r="AM119" s="1219">
        <v>693</v>
      </c>
      <c r="AN119" s="1219">
        <v>248.66666666666674</v>
      </c>
      <c r="AO119" s="1193">
        <v>6937.57</v>
      </c>
      <c r="AP119" s="1194">
        <v>3054.2396666666664</v>
      </c>
      <c r="AQ119" s="1217">
        <v>0</v>
      </c>
      <c r="AR119" s="1220">
        <v>133.4</v>
      </c>
      <c r="AS119" s="1229"/>
      <c r="AT119" s="1171"/>
      <c r="AU119" s="1171"/>
      <c r="AV119" s="1171"/>
      <c r="AW119" s="1171"/>
      <c r="AX119" s="1171"/>
      <c r="AY119" s="1171"/>
      <c r="AZ119" s="1171"/>
      <c r="BA119" s="1171"/>
      <c r="BB119" s="1171"/>
      <c r="BC119" s="1171"/>
      <c r="BD119" s="1171"/>
      <c r="BE119" s="1171"/>
      <c r="BF119" s="1171"/>
      <c r="BG119" s="1171"/>
      <c r="BH119" s="1171"/>
      <c r="BI119" s="1171"/>
      <c r="BJ119" s="1171"/>
      <c r="BK119" s="562"/>
      <c r="BL119" s="1181"/>
      <c r="BM119" s="1182"/>
      <c r="BN119" s="1119"/>
      <c r="BO119" s="1119"/>
      <c r="BP119" s="1119"/>
      <c r="BQ119" s="1119"/>
    </row>
    <row r="120" spans="1:69" s="1120" customFormat="1" ht="24.95" hidden="1" customHeight="1">
      <c r="A120" s="1164"/>
      <c r="B120" s="1174" t="s">
        <v>10</v>
      </c>
      <c r="C120" s="1175"/>
      <c r="D120" s="1176"/>
      <c r="E120" s="1177"/>
      <c r="F120" s="1177"/>
      <c r="G120" s="1177"/>
      <c r="H120" s="1177"/>
      <c r="I120" s="1177"/>
      <c r="J120" s="1177"/>
      <c r="K120" s="1177"/>
      <c r="L120" s="1177"/>
      <c r="M120" s="1177"/>
      <c r="N120" s="1177"/>
      <c r="O120" s="1177"/>
      <c r="P120" s="1177"/>
      <c r="Q120" s="1177"/>
      <c r="R120" s="1177"/>
      <c r="S120" s="1177"/>
      <c r="T120" s="1177"/>
      <c r="U120" s="1177"/>
      <c r="V120" s="1177"/>
      <c r="W120" s="1177"/>
      <c r="X120" s="1177"/>
      <c r="Y120" s="1177"/>
      <c r="Z120" s="1177"/>
      <c r="AA120" s="1177"/>
      <c r="AB120" s="1177"/>
      <c r="AC120" s="1177"/>
      <c r="AD120" s="1177"/>
      <c r="AE120" s="1177"/>
      <c r="AF120" s="1177"/>
      <c r="AG120" s="1177"/>
      <c r="AH120" s="1177"/>
      <c r="AI120" s="1177"/>
      <c r="AJ120" s="1177"/>
      <c r="AK120" s="1177"/>
      <c r="AL120" s="1177"/>
      <c r="AM120" s="1177"/>
      <c r="AN120" s="1177"/>
      <c r="AO120" s="1177"/>
      <c r="AP120" s="1176"/>
      <c r="AQ120" s="1175"/>
      <c r="AR120" s="1180"/>
      <c r="AS120" s="1171"/>
      <c r="AT120" s="1171"/>
      <c r="AU120" s="1171"/>
      <c r="AV120" s="1171"/>
      <c r="AW120" s="1171"/>
      <c r="AX120" s="1171"/>
      <c r="AY120" s="1171"/>
      <c r="AZ120" s="1171"/>
      <c r="BA120" s="1171"/>
      <c r="BB120" s="1171"/>
      <c r="BC120" s="1171"/>
      <c r="BD120" s="1171"/>
      <c r="BE120" s="1171"/>
      <c r="BF120" s="1171"/>
      <c r="BG120" s="1171"/>
      <c r="BH120" s="1171"/>
      <c r="BI120" s="1171"/>
      <c r="BJ120" s="1171"/>
      <c r="BK120" s="562"/>
      <c r="BL120" s="1181"/>
      <c r="BM120" s="1182"/>
      <c r="BN120" s="1119"/>
      <c r="BO120" s="1119"/>
      <c r="BP120" s="1119"/>
      <c r="BQ120" s="1119"/>
    </row>
    <row r="121" spans="1:69" s="1120" customFormat="1" ht="24.95" hidden="1" customHeight="1">
      <c r="A121" s="1199"/>
      <c r="B121" s="1183" t="s">
        <v>73</v>
      </c>
      <c r="C121" s="1175"/>
      <c r="D121" s="1176"/>
      <c r="E121" s="1177"/>
      <c r="F121" s="1177"/>
      <c r="G121" s="1177"/>
      <c r="H121" s="1177"/>
      <c r="I121" s="1177"/>
      <c r="J121" s="1177"/>
      <c r="K121" s="1177"/>
      <c r="L121" s="1177"/>
      <c r="M121" s="1177"/>
      <c r="N121" s="1177"/>
      <c r="O121" s="1177"/>
      <c r="P121" s="1177"/>
      <c r="Q121" s="1177"/>
      <c r="R121" s="1177"/>
      <c r="S121" s="1177"/>
      <c r="T121" s="1177"/>
      <c r="U121" s="1177"/>
      <c r="V121" s="1177"/>
      <c r="W121" s="1177"/>
      <c r="X121" s="1177"/>
      <c r="Y121" s="1177"/>
      <c r="Z121" s="1177"/>
      <c r="AA121" s="1177"/>
      <c r="AB121" s="1177"/>
      <c r="AC121" s="1177"/>
      <c r="AD121" s="1177"/>
      <c r="AE121" s="1177"/>
      <c r="AF121" s="1177"/>
      <c r="AG121" s="1177"/>
      <c r="AH121" s="1177"/>
      <c r="AI121" s="1177"/>
      <c r="AJ121" s="1177"/>
      <c r="AK121" s="1177"/>
      <c r="AL121" s="1177"/>
      <c r="AM121" s="1177"/>
      <c r="AN121" s="1177"/>
      <c r="AO121" s="1177"/>
      <c r="AP121" s="1176"/>
      <c r="AQ121" s="1175"/>
      <c r="AR121" s="1180"/>
      <c r="AS121" s="1171"/>
      <c r="AT121" s="1171"/>
      <c r="AU121" s="1171"/>
      <c r="AV121" s="1171"/>
      <c r="AW121" s="1171"/>
      <c r="AX121" s="1171"/>
      <c r="AY121" s="1171"/>
      <c r="AZ121" s="1171"/>
      <c r="BA121" s="1171"/>
      <c r="BB121" s="1171"/>
      <c r="BC121" s="1171"/>
      <c r="BD121" s="1171"/>
      <c r="BE121" s="1171"/>
      <c r="BF121" s="1171"/>
      <c r="BG121" s="1171"/>
      <c r="BH121" s="1171"/>
      <c r="BI121" s="1171"/>
      <c r="BJ121" s="1171"/>
      <c r="BK121" s="562"/>
      <c r="BL121" s="1181"/>
      <c r="BM121" s="1182"/>
      <c r="BN121" s="1200"/>
      <c r="BO121" s="1200"/>
      <c r="BP121" s="1200"/>
      <c r="BQ121" s="1200"/>
    </row>
    <row r="122" spans="1:69" s="1120" customFormat="1" ht="24.95" hidden="1" customHeight="1">
      <c r="A122" s="1188">
        <v>4</v>
      </c>
      <c r="B122" s="1189" t="s">
        <v>76</v>
      </c>
      <c r="C122" s="1190">
        <v>163.58000000000001</v>
      </c>
      <c r="D122" s="1191">
        <v>0</v>
      </c>
      <c r="E122" s="1192">
        <v>0</v>
      </c>
      <c r="F122" s="1192">
        <v>0</v>
      </c>
      <c r="G122" s="1192">
        <v>151</v>
      </c>
      <c r="H122" s="1192">
        <v>9.6</v>
      </c>
      <c r="I122" s="1192">
        <v>0</v>
      </c>
      <c r="J122" s="1192">
        <v>0</v>
      </c>
      <c r="K122" s="1192">
        <v>120</v>
      </c>
      <c r="L122" s="1192">
        <v>0</v>
      </c>
      <c r="M122" s="1192">
        <v>0</v>
      </c>
      <c r="N122" s="1192">
        <v>0</v>
      </c>
      <c r="O122" s="1192">
        <v>0</v>
      </c>
      <c r="P122" s="1192">
        <v>0</v>
      </c>
      <c r="Q122" s="1192">
        <v>203</v>
      </c>
      <c r="R122" s="1192">
        <v>0</v>
      </c>
      <c r="S122" s="1192">
        <v>0</v>
      </c>
      <c r="T122" s="1192">
        <v>0</v>
      </c>
      <c r="U122" s="1192">
        <v>80.3</v>
      </c>
      <c r="V122" s="1192">
        <v>0</v>
      </c>
      <c r="W122" s="1192">
        <v>0</v>
      </c>
      <c r="X122" s="1192">
        <v>0</v>
      </c>
      <c r="Y122" s="1192">
        <v>0</v>
      </c>
      <c r="Z122" s="1192">
        <v>0</v>
      </c>
      <c r="AA122" s="1192">
        <v>0</v>
      </c>
      <c r="AB122" s="1192">
        <v>0</v>
      </c>
      <c r="AC122" s="1192">
        <v>0</v>
      </c>
      <c r="AD122" s="1192">
        <v>0</v>
      </c>
      <c r="AE122" s="1192">
        <v>0</v>
      </c>
      <c r="AF122" s="1192">
        <v>0</v>
      </c>
      <c r="AG122" s="1192">
        <v>0</v>
      </c>
      <c r="AH122" s="1192">
        <v>0</v>
      </c>
      <c r="AI122" s="1192">
        <v>0</v>
      </c>
      <c r="AJ122" s="1192">
        <v>0</v>
      </c>
      <c r="AK122" s="1192">
        <v>310</v>
      </c>
      <c r="AL122" s="1192">
        <v>0</v>
      </c>
      <c r="AM122" s="1192">
        <v>169</v>
      </c>
      <c r="AN122" s="1192">
        <v>1.5</v>
      </c>
      <c r="AO122" s="1193">
        <v>1196.8800000000001</v>
      </c>
      <c r="AP122" s="1194">
        <v>11.1</v>
      </c>
      <c r="AQ122" s="1190">
        <v>0</v>
      </c>
      <c r="AR122" s="1195">
        <v>0</v>
      </c>
      <c r="AS122" s="1196">
        <v>1</v>
      </c>
      <c r="AT122" s="1196">
        <v>0</v>
      </c>
      <c r="AU122" s="1196">
        <v>0</v>
      </c>
      <c r="AV122" s="1196">
        <v>0</v>
      </c>
      <c r="AW122" s="1196">
        <v>4</v>
      </c>
      <c r="AX122" s="1196">
        <v>0</v>
      </c>
      <c r="AY122" s="1196">
        <v>0</v>
      </c>
      <c r="AZ122" s="1196">
        <v>0</v>
      </c>
      <c r="BA122" s="1196">
        <v>0</v>
      </c>
      <c r="BB122" s="1196">
        <v>0</v>
      </c>
      <c r="BC122" s="1196">
        <v>0</v>
      </c>
      <c r="BD122" s="1196">
        <v>0</v>
      </c>
      <c r="BE122" s="1196">
        <v>0</v>
      </c>
      <c r="BF122" s="1196">
        <v>0</v>
      </c>
      <c r="BG122" s="1196">
        <v>0</v>
      </c>
      <c r="BH122" s="1196">
        <v>0</v>
      </c>
      <c r="BI122" s="1196">
        <v>0</v>
      </c>
      <c r="BJ122" s="1196">
        <v>14</v>
      </c>
      <c r="BK122" s="1197">
        <v>0</v>
      </c>
      <c r="BL122" s="1198">
        <v>19</v>
      </c>
      <c r="BM122" s="1182">
        <v>0</v>
      </c>
      <c r="BN122" s="1119"/>
      <c r="BO122" s="1119"/>
      <c r="BP122" s="1119"/>
      <c r="BQ122" s="1119"/>
    </row>
    <row r="123" spans="1:69" s="1120" customFormat="1" ht="24.95" hidden="1" customHeight="1">
      <c r="A123" s="1188">
        <v>5</v>
      </c>
      <c r="B123" s="1189" t="s">
        <v>77</v>
      </c>
      <c r="C123" s="1190">
        <v>141.6</v>
      </c>
      <c r="D123" s="1191">
        <v>0</v>
      </c>
      <c r="E123" s="1192">
        <v>0</v>
      </c>
      <c r="F123" s="1192">
        <v>0</v>
      </c>
      <c r="G123" s="1192">
        <v>38</v>
      </c>
      <c r="H123" s="1192">
        <v>0.6</v>
      </c>
      <c r="I123" s="1192">
        <v>0</v>
      </c>
      <c r="J123" s="1192">
        <v>0</v>
      </c>
      <c r="K123" s="1192">
        <v>183</v>
      </c>
      <c r="L123" s="1192">
        <v>0</v>
      </c>
      <c r="M123" s="1192">
        <v>0</v>
      </c>
      <c r="N123" s="1192">
        <v>0</v>
      </c>
      <c r="O123" s="1192">
        <v>0</v>
      </c>
      <c r="P123" s="1192">
        <v>0</v>
      </c>
      <c r="Q123" s="1192">
        <v>205</v>
      </c>
      <c r="R123" s="1192">
        <v>0.5</v>
      </c>
      <c r="S123" s="1192">
        <v>0</v>
      </c>
      <c r="T123" s="1192">
        <v>0</v>
      </c>
      <c r="U123" s="1192">
        <v>24</v>
      </c>
      <c r="V123" s="1192">
        <v>0</v>
      </c>
      <c r="W123" s="1192">
        <v>0</v>
      </c>
      <c r="X123" s="1192">
        <v>0</v>
      </c>
      <c r="Y123" s="1192">
        <v>0</v>
      </c>
      <c r="Z123" s="1192">
        <v>0</v>
      </c>
      <c r="AA123" s="1192">
        <v>0</v>
      </c>
      <c r="AB123" s="1192">
        <v>0</v>
      </c>
      <c r="AC123" s="1192">
        <v>0</v>
      </c>
      <c r="AD123" s="1192">
        <v>0</v>
      </c>
      <c r="AE123" s="1192">
        <v>0</v>
      </c>
      <c r="AF123" s="1192">
        <v>0</v>
      </c>
      <c r="AG123" s="1192">
        <v>0</v>
      </c>
      <c r="AH123" s="1192">
        <v>0</v>
      </c>
      <c r="AI123" s="1192">
        <v>0</v>
      </c>
      <c r="AJ123" s="1192">
        <v>0</v>
      </c>
      <c r="AK123" s="1192">
        <v>530</v>
      </c>
      <c r="AL123" s="1192">
        <v>9</v>
      </c>
      <c r="AM123" s="1192">
        <v>75</v>
      </c>
      <c r="AN123" s="1192">
        <v>0</v>
      </c>
      <c r="AO123" s="1193">
        <v>1196.5999999999999</v>
      </c>
      <c r="AP123" s="1194">
        <v>10.1</v>
      </c>
      <c r="AQ123" s="1190">
        <v>0</v>
      </c>
      <c r="AR123" s="1195">
        <v>0</v>
      </c>
      <c r="AS123" s="1196">
        <v>0</v>
      </c>
      <c r="AT123" s="1196">
        <v>0</v>
      </c>
      <c r="AU123" s="1196">
        <v>0</v>
      </c>
      <c r="AV123" s="1196">
        <v>0</v>
      </c>
      <c r="AW123" s="1196">
        <v>9</v>
      </c>
      <c r="AX123" s="1196">
        <v>0</v>
      </c>
      <c r="AY123" s="1196">
        <v>0</v>
      </c>
      <c r="AZ123" s="1196">
        <v>4</v>
      </c>
      <c r="BA123" s="1196">
        <v>0</v>
      </c>
      <c r="BB123" s="1196">
        <v>0</v>
      </c>
      <c r="BC123" s="1196">
        <v>0</v>
      </c>
      <c r="BD123" s="1196">
        <v>0</v>
      </c>
      <c r="BE123" s="1196">
        <v>0</v>
      </c>
      <c r="BF123" s="1196">
        <v>0</v>
      </c>
      <c r="BG123" s="1196">
        <v>0</v>
      </c>
      <c r="BH123" s="1196">
        <v>0</v>
      </c>
      <c r="BI123" s="1196">
        <v>0</v>
      </c>
      <c r="BJ123" s="1196">
        <v>11</v>
      </c>
      <c r="BK123" s="1197">
        <v>2</v>
      </c>
      <c r="BL123" s="1198">
        <v>26</v>
      </c>
      <c r="BM123" s="1182">
        <v>0</v>
      </c>
      <c r="BN123" s="1119"/>
      <c r="BO123" s="1119"/>
      <c r="BP123" s="1119"/>
      <c r="BQ123" s="1119"/>
    </row>
    <row r="124" spans="1:69" s="1120" customFormat="1" ht="24.95" hidden="1" customHeight="1">
      <c r="A124" s="1188">
        <v>6</v>
      </c>
      <c r="B124" s="1189" t="s">
        <v>281</v>
      </c>
      <c r="C124" s="1190">
        <v>0</v>
      </c>
      <c r="D124" s="1191">
        <v>47.7</v>
      </c>
      <c r="E124" s="1192">
        <v>0</v>
      </c>
      <c r="F124" s="1192">
        <v>0</v>
      </c>
      <c r="G124" s="1192">
        <v>0</v>
      </c>
      <c r="H124" s="1192">
        <v>30</v>
      </c>
      <c r="I124" s="1192">
        <v>0</v>
      </c>
      <c r="J124" s="1192">
        <v>0</v>
      </c>
      <c r="K124" s="1192">
        <v>26</v>
      </c>
      <c r="L124" s="1192">
        <v>0</v>
      </c>
      <c r="M124" s="1192">
        <v>0</v>
      </c>
      <c r="N124" s="1192">
        <v>0</v>
      </c>
      <c r="O124" s="1192">
        <v>0</v>
      </c>
      <c r="P124" s="1192">
        <v>0</v>
      </c>
      <c r="Q124" s="1192">
        <v>8</v>
      </c>
      <c r="R124" s="1192">
        <v>0</v>
      </c>
      <c r="S124" s="1192">
        <v>0</v>
      </c>
      <c r="T124" s="1192">
        <v>0</v>
      </c>
      <c r="U124" s="1192">
        <v>0</v>
      </c>
      <c r="V124" s="1192">
        <v>0</v>
      </c>
      <c r="W124" s="1192">
        <v>0</v>
      </c>
      <c r="X124" s="1192">
        <v>0</v>
      </c>
      <c r="Y124" s="1192">
        <v>0</v>
      </c>
      <c r="Z124" s="1192">
        <v>0</v>
      </c>
      <c r="AA124" s="1192">
        <v>0</v>
      </c>
      <c r="AB124" s="1192">
        <v>0</v>
      </c>
      <c r="AC124" s="1192">
        <v>0</v>
      </c>
      <c r="AD124" s="1192">
        <v>0</v>
      </c>
      <c r="AE124" s="1192">
        <v>0</v>
      </c>
      <c r="AF124" s="1192">
        <v>0</v>
      </c>
      <c r="AG124" s="1192">
        <v>0</v>
      </c>
      <c r="AH124" s="1192">
        <v>0</v>
      </c>
      <c r="AI124" s="1192">
        <v>0</v>
      </c>
      <c r="AJ124" s="1192">
        <v>0</v>
      </c>
      <c r="AK124" s="1192">
        <v>0</v>
      </c>
      <c r="AL124" s="1192">
        <v>0</v>
      </c>
      <c r="AM124" s="1192">
        <v>0</v>
      </c>
      <c r="AN124" s="1192">
        <v>0</v>
      </c>
      <c r="AO124" s="1193">
        <v>34</v>
      </c>
      <c r="AP124" s="1194">
        <v>77.7</v>
      </c>
      <c r="AQ124" s="1190">
        <v>0</v>
      </c>
      <c r="AR124" s="1195">
        <v>0</v>
      </c>
      <c r="AS124" s="1196">
        <v>0</v>
      </c>
      <c r="AT124" s="1196">
        <v>0</v>
      </c>
      <c r="AU124" s="1196">
        <v>0</v>
      </c>
      <c r="AV124" s="1196">
        <v>0</v>
      </c>
      <c r="AW124" s="1196">
        <v>0</v>
      </c>
      <c r="AX124" s="1196">
        <v>0</v>
      </c>
      <c r="AY124" s="1196">
        <v>0</v>
      </c>
      <c r="AZ124" s="1196">
        <v>0</v>
      </c>
      <c r="BA124" s="1196">
        <v>0</v>
      </c>
      <c r="BB124" s="1196">
        <v>0</v>
      </c>
      <c r="BC124" s="1196">
        <v>0</v>
      </c>
      <c r="BD124" s="1196">
        <v>0</v>
      </c>
      <c r="BE124" s="1196">
        <v>0</v>
      </c>
      <c r="BF124" s="1196">
        <v>0</v>
      </c>
      <c r="BG124" s="1196">
        <v>0</v>
      </c>
      <c r="BH124" s="1196">
        <v>0</v>
      </c>
      <c r="BI124" s="1196">
        <v>0</v>
      </c>
      <c r="BJ124" s="1196">
        <v>0</v>
      </c>
      <c r="BK124" s="1197">
        <v>0</v>
      </c>
      <c r="BL124" s="1198">
        <v>0</v>
      </c>
      <c r="BM124" s="1182">
        <v>0</v>
      </c>
      <c r="BN124" s="1119"/>
      <c r="BO124" s="1119"/>
      <c r="BP124" s="1119"/>
      <c r="BQ124" s="1119"/>
    </row>
    <row r="125" spans="1:69" s="1120" customFormat="1" ht="24.95" hidden="1" customHeight="1">
      <c r="A125" s="1188">
        <v>7</v>
      </c>
      <c r="B125" s="1189" t="s">
        <v>282</v>
      </c>
      <c r="C125" s="1190">
        <v>0</v>
      </c>
      <c r="D125" s="1191">
        <v>3.8</v>
      </c>
      <c r="E125" s="1192">
        <v>0</v>
      </c>
      <c r="F125" s="1192">
        <v>0</v>
      </c>
      <c r="G125" s="1192">
        <v>15</v>
      </c>
      <c r="H125" s="1192">
        <v>0</v>
      </c>
      <c r="I125" s="1192">
        <v>0</v>
      </c>
      <c r="J125" s="1192">
        <v>0</v>
      </c>
      <c r="K125" s="1192">
        <v>2</v>
      </c>
      <c r="L125" s="1192">
        <v>0</v>
      </c>
      <c r="M125" s="1192">
        <v>0</v>
      </c>
      <c r="N125" s="1192">
        <v>0</v>
      </c>
      <c r="O125" s="1192">
        <v>0</v>
      </c>
      <c r="P125" s="1192">
        <v>0</v>
      </c>
      <c r="Q125" s="1192">
        <v>0</v>
      </c>
      <c r="R125" s="1192">
        <v>0</v>
      </c>
      <c r="S125" s="1192">
        <v>0</v>
      </c>
      <c r="T125" s="1192">
        <v>0</v>
      </c>
      <c r="U125" s="1192">
        <v>0</v>
      </c>
      <c r="V125" s="1192">
        <v>0</v>
      </c>
      <c r="W125" s="1192">
        <v>0</v>
      </c>
      <c r="X125" s="1192">
        <v>0</v>
      </c>
      <c r="Y125" s="1192">
        <v>0</v>
      </c>
      <c r="Z125" s="1192">
        <v>0</v>
      </c>
      <c r="AA125" s="1192">
        <v>0</v>
      </c>
      <c r="AB125" s="1192">
        <v>0</v>
      </c>
      <c r="AC125" s="1192">
        <v>0</v>
      </c>
      <c r="AD125" s="1192">
        <v>0</v>
      </c>
      <c r="AE125" s="1192">
        <v>0</v>
      </c>
      <c r="AF125" s="1192">
        <v>0</v>
      </c>
      <c r="AG125" s="1192">
        <v>0</v>
      </c>
      <c r="AH125" s="1192">
        <v>0</v>
      </c>
      <c r="AI125" s="1192">
        <v>0</v>
      </c>
      <c r="AJ125" s="1192">
        <v>0</v>
      </c>
      <c r="AK125" s="1192">
        <v>18</v>
      </c>
      <c r="AL125" s="1192">
        <v>0</v>
      </c>
      <c r="AM125" s="1192">
        <v>0</v>
      </c>
      <c r="AN125" s="1192">
        <v>0</v>
      </c>
      <c r="AO125" s="1193">
        <v>35</v>
      </c>
      <c r="AP125" s="1194">
        <v>3.8</v>
      </c>
      <c r="AQ125" s="1190">
        <v>0</v>
      </c>
      <c r="AR125" s="1195">
        <v>0</v>
      </c>
      <c r="AS125" s="1196">
        <v>0</v>
      </c>
      <c r="AT125" s="1196">
        <v>0</v>
      </c>
      <c r="AU125" s="1196">
        <v>0</v>
      </c>
      <c r="AV125" s="1196">
        <v>0</v>
      </c>
      <c r="AW125" s="1196">
        <v>0</v>
      </c>
      <c r="AX125" s="1196">
        <v>0</v>
      </c>
      <c r="AY125" s="1196">
        <v>0</v>
      </c>
      <c r="AZ125" s="1196">
        <v>0</v>
      </c>
      <c r="BA125" s="1196">
        <v>0</v>
      </c>
      <c r="BB125" s="1196">
        <v>0</v>
      </c>
      <c r="BC125" s="1196">
        <v>0</v>
      </c>
      <c r="BD125" s="1196">
        <v>0</v>
      </c>
      <c r="BE125" s="1196">
        <v>0</v>
      </c>
      <c r="BF125" s="1196">
        <v>0</v>
      </c>
      <c r="BG125" s="1196">
        <v>0</v>
      </c>
      <c r="BH125" s="1196">
        <v>0</v>
      </c>
      <c r="BI125" s="1196">
        <v>0</v>
      </c>
      <c r="BJ125" s="1196">
        <v>0</v>
      </c>
      <c r="BK125" s="1197">
        <v>0</v>
      </c>
      <c r="BL125" s="1198">
        <v>0</v>
      </c>
      <c r="BM125" s="1182">
        <v>0</v>
      </c>
      <c r="BN125" s="1119"/>
      <c r="BO125" s="1119"/>
      <c r="BP125" s="1119"/>
      <c r="BQ125" s="1119"/>
    </row>
    <row r="126" spans="1:69" s="1120" customFormat="1" ht="25.15" hidden="1" customHeight="1">
      <c r="A126" s="1188">
        <v>8</v>
      </c>
      <c r="B126" s="1183" t="s">
        <v>75</v>
      </c>
      <c r="C126" s="1190">
        <v>0</v>
      </c>
      <c r="D126" s="1191">
        <v>116.5</v>
      </c>
      <c r="E126" s="1192">
        <v>0</v>
      </c>
      <c r="F126" s="1192">
        <v>0</v>
      </c>
      <c r="G126" s="1192">
        <v>63</v>
      </c>
      <c r="H126" s="1192">
        <v>92.5</v>
      </c>
      <c r="I126" s="1192">
        <v>0</v>
      </c>
      <c r="J126" s="1192">
        <v>0</v>
      </c>
      <c r="K126" s="1192">
        <v>51</v>
      </c>
      <c r="L126" s="1192">
        <v>0</v>
      </c>
      <c r="M126" s="1192">
        <v>0</v>
      </c>
      <c r="N126" s="1192">
        <v>0</v>
      </c>
      <c r="O126" s="1192">
        <v>68</v>
      </c>
      <c r="P126" s="1192">
        <v>10.7</v>
      </c>
      <c r="Q126" s="1192">
        <v>7</v>
      </c>
      <c r="R126" s="1192">
        <v>206.11810900000006</v>
      </c>
      <c r="S126" s="1192">
        <v>0</v>
      </c>
      <c r="T126" s="1192">
        <v>0</v>
      </c>
      <c r="U126" s="1192">
        <v>0</v>
      </c>
      <c r="V126" s="1192">
        <v>0</v>
      </c>
      <c r="W126" s="1192">
        <v>0</v>
      </c>
      <c r="X126" s="1192">
        <v>0</v>
      </c>
      <c r="Y126" s="1192">
        <v>0</v>
      </c>
      <c r="Z126" s="1192">
        <v>0</v>
      </c>
      <c r="AA126" s="1192">
        <v>33</v>
      </c>
      <c r="AB126" s="1192">
        <v>0</v>
      </c>
      <c r="AC126" s="1192">
        <v>0</v>
      </c>
      <c r="AD126" s="1192">
        <v>0</v>
      </c>
      <c r="AE126" s="1192">
        <v>0</v>
      </c>
      <c r="AF126" s="1192">
        <v>0</v>
      </c>
      <c r="AG126" s="1192">
        <v>0</v>
      </c>
      <c r="AH126" s="1192">
        <v>0</v>
      </c>
      <c r="AI126" s="1192">
        <v>14.3</v>
      </c>
      <c r="AJ126" s="1192">
        <v>15</v>
      </c>
      <c r="AK126" s="1192">
        <v>80</v>
      </c>
      <c r="AL126" s="1192">
        <v>5.38</v>
      </c>
      <c r="AM126" s="1192">
        <v>0</v>
      </c>
      <c r="AN126" s="1192">
        <v>75.5</v>
      </c>
      <c r="AO126" s="1193">
        <v>316.3</v>
      </c>
      <c r="AP126" s="1194">
        <v>521.69810900000004</v>
      </c>
      <c r="AQ126" s="1190">
        <v>0</v>
      </c>
      <c r="AR126" s="1195">
        <v>0</v>
      </c>
      <c r="AS126" s="1229"/>
      <c r="AT126" s="1171"/>
      <c r="AU126" s="1171"/>
      <c r="AV126" s="1171"/>
      <c r="AW126" s="1171"/>
      <c r="AX126" s="1171"/>
      <c r="AY126" s="1171"/>
      <c r="AZ126" s="1171"/>
      <c r="BA126" s="1171"/>
      <c r="BB126" s="1171"/>
      <c r="BC126" s="1171"/>
      <c r="BD126" s="1171"/>
      <c r="BE126" s="1171"/>
      <c r="BF126" s="1171"/>
      <c r="BG126" s="1171"/>
      <c r="BH126" s="1171"/>
      <c r="BI126" s="1171"/>
      <c r="BJ126" s="1171"/>
      <c r="BK126" s="562"/>
      <c r="BL126" s="1181"/>
      <c r="BM126" s="1182"/>
      <c r="BN126" s="1128"/>
      <c r="BO126" s="1119"/>
      <c r="BP126" s="1119"/>
      <c r="BQ126" s="1119"/>
    </row>
    <row r="127" spans="1:69" s="1120" customFormat="1" ht="24.95" hidden="1" customHeight="1">
      <c r="A127" s="1188"/>
      <c r="B127" s="1183" t="s">
        <v>2</v>
      </c>
      <c r="C127" s="1217">
        <v>305.18</v>
      </c>
      <c r="D127" s="1218">
        <v>168</v>
      </c>
      <c r="E127" s="1219">
        <v>0</v>
      </c>
      <c r="F127" s="1219">
        <v>0</v>
      </c>
      <c r="G127" s="1219">
        <v>267</v>
      </c>
      <c r="H127" s="1219">
        <v>132.69999999999999</v>
      </c>
      <c r="I127" s="1219">
        <v>0</v>
      </c>
      <c r="J127" s="1219">
        <v>0</v>
      </c>
      <c r="K127" s="1219">
        <v>382</v>
      </c>
      <c r="L127" s="1219">
        <v>0</v>
      </c>
      <c r="M127" s="1219">
        <v>0</v>
      </c>
      <c r="N127" s="1219">
        <v>0</v>
      </c>
      <c r="O127" s="1219">
        <v>68</v>
      </c>
      <c r="P127" s="1219">
        <v>10.7</v>
      </c>
      <c r="Q127" s="1219">
        <v>423</v>
      </c>
      <c r="R127" s="1219">
        <v>206.61810900000006</v>
      </c>
      <c r="S127" s="1219">
        <v>0</v>
      </c>
      <c r="T127" s="1219">
        <v>0</v>
      </c>
      <c r="U127" s="1219">
        <v>104.3</v>
      </c>
      <c r="V127" s="1219">
        <v>0</v>
      </c>
      <c r="W127" s="1219">
        <v>0</v>
      </c>
      <c r="X127" s="1219">
        <v>0</v>
      </c>
      <c r="Y127" s="1219">
        <v>0</v>
      </c>
      <c r="Z127" s="1219">
        <v>0</v>
      </c>
      <c r="AA127" s="1219">
        <v>33</v>
      </c>
      <c r="AB127" s="1219">
        <v>0</v>
      </c>
      <c r="AC127" s="1219">
        <v>0</v>
      </c>
      <c r="AD127" s="1219">
        <v>0</v>
      </c>
      <c r="AE127" s="1219">
        <v>0</v>
      </c>
      <c r="AF127" s="1219">
        <v>0</v>
      </c>
      <c r="AG127" s="1219">
        <v>0</v>
      </c>
      <c r="AH127" s="1219">
        <v>0</v>
      </c>
      <c r="AI127" s="1219">
        <v>14.3</v>
      </c>
      <c r="AJ127" s="1219">
        <v>15</v>
      </c>
      <c r="AK127" s="1219">
        <v>938</v>
      </c>
      <c r="AL127" s="1219">
        <v>14.379999999999999</v>
      </c>
      <c r="AM127" s="1219">
        <v>244</v>
      </c>
      <c r="AN127" s="1219">
        <v>77</v>
      </c>
      <c r="AO127" s="1193">
        <v>2778.78</v>
      </c>
      <c r="AP127" s="1194">
        <v>624.39810900000009</v>
      </c>
      <c r="AQ127" s="1217">
        <v>0</v>
      </c>
      <c r="AR127" s="1220">
        <v>0</v>
      </c>
      <c r="AS127" s="1229"/>
      <c r="AT127" s="1171"/>
      <c r="AU127" s="1171"/>
      <c r="AV127" s="1171"/>
      <c r="AW127" s="1171"/>
      <c r="AX127" s="1171"/>
      <c r="AY127" s="1171"/>
      <c r="AZ127" s="1171"/>
      <c r="BA127" s="1171"/>
      <c r="BB127" s="1171"/>
      <c r="BC127" s="1171"/>
      <c r="BD127" s="1171"/>
      <c r="BE127" s="1171"/>
      <c r="BF127" s="1171"/>
      <c r="BG127" s="1171"/>
      <c r="BH127" s="1171"/>
      <c r="BI127" s="1171"/>
      <c r="BJ127" s="1171"/>
      <c r="BK127" s="562"/>
      <c r="BL127" s="1181"/>
      <c r="BM127" s="1182"/>
      <c r="BN127" s="1119"/>
      <c r="BO127" s="1119"/>
      <c r="BP127" s="1119"/>
      <c r="BQ127" s="1119"/>
    </row>
    <row r="128" spans="1:69" s="1120" customFormat="1" ht="24.95" hidden="1" customHeight="1">
      <c r="A128" s="1164"/>
      <c r="B128" s="1174" t="s">
        <v>11</v>
      </c>
      <c r="C128" s="1175"/>
      <c r="D128" s="1176"/>
      <c r="E128" s="1177"/>
      <c r="F128" s="1177"/>
      <c r="G128" s="1177"/>
      <c r="H128" s="1177"/>
      <c r="I128" s="1177"/>
      <c r="J128" s="1177"/>
      <c r="K128" s="1177"/>
      <c r="L128" s="1177"/>
      <c r="M128" s="1177"/>
      <c r="N128" s="1177"/>
      <c r="O128" s="1177"/>
      <c r="P128" s="1177"/>
      <c r="Q128" s="1177"/>
      <c r="R128" s="1177"/>
      <c r="S128" s="1177"/>
      <c r="T128" s="1177"/>
      <c r="U128" s="1177"/>
      <c r="V128" s="1177"/>
      <c r="W128" s="1177"/>
      <c r="X128" s="1177"/>
      <c r="Y128" s="1177"/>
      <c r="Z128" s="1177"/>
      <c r="AA128" s="1177"/>
      <c r="AB128" s="1177"/>
      <c r="AC128" s="1177"/>
      <c r="AD128" s="1177"/>
      <c r="AE128" s="1177"/>
      <c r="AF128" s="1177"/>
      <c r="AG128" s="1177"/>
      <c r="AH128" s="1177"/>
      <c r="AI128" s="1177"/>
      <c r="AJ128" s="1177"/>
      <c r="AK128" s="1177"/>
      <c r="AL128" s="1177"/>
      <c r="AM128" s="1177"/>
      <c r="AN128" s="1177"/>
      <c r="AO128" s="1177"/>
      <c r="AP128" s="1176"/>
      <c r="AQ128" s="1175"/>
      <c r="AR128" s="1180"/>
      <c r="AS128" s="1229"/>
      <c r="AT128" s="1171"/>
      <c r="AU128" s="1171"/>
      <c r="AV128" s="1171"/>
      <c r="AW128" s="1171"/>
      <c r="AX128" s="1171"/>
      <c r="AY128" s="1171"/>
      <c r="AZ128" s="1171"/>
      <c r="BA128" s="1171"/>
      <c r="BB128" s="1171"/>
      <c r="BC128" s="1171"/>
      <c r="BD128" s="1171"/>
      <c r="BE128" s="1171"/>
      <c r="BF128" s="1171"/>
      <c r="BG128" s="1171"/>
      <c r="BH128" s="1171"/>
      <c r="BI128" s="1171"/>
      <c r="BJ128" s="1171"/>
      <c r="BK128" s="562"/>
      <c r="BL128" s="1181"/>
      <c r="BM128" s="1182"/>
      <c r="BN128" s="1119"/>
      <c r="BO128" s="1119"/>
      <c r="BP128" s="1119"/>
      <c r="BQ128" s="1119"/>
    </row>
    <row r="129" spans="1:69" s="1120" customFormat="1" ht="24.95" hidden="1" customHeight="1">
      <c r="A129" s="1164"/>
      <c r="B129" s="1183" t="s">
        <v>73</v>
      </c>
      <c r="C129" s="1184"/>
      <c r="D129" s="1185"/>
      <c r="E129" s="1186"/>
      <c r="F129" s="1186"/>
      <c r="G129" s="1186"/>
      <c r="H129" s="1186"/>
      <c r="I129" s="1186"/>
      <c r="J129" s="1186"/>
      <c r="K129" s="1186"/>
      <c r="L129" s="1186"/>
      <c r="M129" s="1186"/>
      <c r="N129" s="1186"/>
      <c r="O129" s="1186"/>
      <c r="P129" s="1186"/>
      <c r="Q129" s="1186"/>
      <c r="R129" s="1186"/>
      <c r="S129" s="1186"/>
      <c r="T129" s="1186"/>
      <c r="U129" s="1186"/>
      <c r="V129" s="1186"/>
      <c r="W129" s="1186"/>
      <c r="X129" s="1186"/>
      <c r="Y129" s="1186"/>
      <c r="Z129" s="1186"/>
      <c r="AA129" s="1186"/>
      <c r="AB129" s="1186"/>
      <c r="AC129" s="1186"/>
      <c r="AD129" s="1186"/>
      <c r="AE129" s="1186"/>
      <c r="AF129" s="1186"/>
      <c r="AG129" s="1186"/>
      <c r="AH129" s="1186"/>
      <c r="AI129" s="1186"/>
      <c r="AJ129" s="1186"/>
      <c r="AK129" s="1186"/>
      <c r="AL129" s="1186"/>
      <c r="AM129" s="1186"/>
      <c r="AN129" s="1186"/>
      <c r="AO129" s="1186"/>
      <c r="AP129" s="1185"/>
      <c r="AQ129" s="1184"/>
      <c r="AR129" s="1187"/>
      <c r="AS129" s="1229"/>
      <c r="AT129" s="1171"/>
      <c r="AU129" s="1171"/>
      <c r="AV129" s="1171"/>
      <c r="AW129" s="1171"/>
      <c r="AX129" s="1171"/>
      <c r="AY129" s="1171"/>
      <c r="AZ129" s="1171"/>
      <c r="BA129" s="1171"/>
      <c r="BB129" s="1171"/>
      <c r="BC129" s="1171"/>
      <c r="BD129" s="1171"/>
      <c r="BE129" s="1171"/>
      <c r="BF129" s="1171"/>
      <c r="BG129" s="1171"/>
      <c r="BH129" s="1171"/>
      <c r="BI129" s="1171"/>
      <c r="BJ129" s="1171"/>
      <c r="BK129" s="562"/>
      <c r="BL129" s="1181"/>
      <c r="BM129" s="1182"/>
      <c r="BN129" s="1119"/>
      <c r="BO129" s="1119"/>
      <c r="BP129" s="1119"/>
      <c r="BQ129" s="1119"/>
    </row>
    <row r="130" spans="1:69" s="1120" customFormat="1" ht="24.95" hidden="1" customHeight="1">
      <c r="A130" s="1199"/>
      <c r="B130" s="1201" t="s">
        <v>79</v>
      </c>
      <c r="C130" s="1202"/>
      <c r="D130" s="1203"/>
      <c r="E130" s="1204"/>
      <c r="F130" s="1204"/>
      <c r="G130" s="1204"/>
      <c r="H130" s="1204"/>
      <c r="I130" s="1204"/>
      <c r="J130" s="1204"/>
      <c r="K130" s="1204"/>
      <c r="L130" s="1204"/>
      <c r="M130" s="1204"/>
      <c r="N130" s="1204"/>
      <c r="O130" s="1204"/>
      <c r="P130" s="1204"/>
      <c r="Q130" s="1204"/>
      <c r="R130" s="1204"/>
      <c r="S130" s="1204"/>
      <c r="T130" s="1204"/>
      <c r="U130" s="1204"/>
      <c r="V130" s="1204"/>
      <c r="W130" s="1204"/>
      <c r="X130" s="1204"/>
      <c r="Y130" s="1204"/>
      <c r="Z130" s="1204"/>
      <c r="AA130" s="1204"/>
      <c r="AB130" s="1204"/>
      <c r="AC130" s="1204"/>
      <c r="AD130" s="1204"/>
      <c r="AE130" s="1204"/>
      <c r="AF130" s="1204"/>
      <c r="AG130" s="1204"/>
      <c r="AH130" s="1204"/>
      <c r="AI130" s="1204"/>
      <c r="AJ130" s="1204"/>
      <c r="AK130" s="1204"/>
      <c r="AL130" s="1204"/>
      <c r="AM130" s="1204"/>
      <c r="AN130" s="1204"/>
      <c r="AO130" s="1204"/>
      <c r="AP130" s="1203"/>
      <c r="AQ130" s="1202"/>
      <c r="AR130" s="1205"/>
      <c r="AS130" s="1230"/>
      <c r="AT130" s="1099"/>
      <c r="AU130" s="1099"/>
      <c r="AV130" s="1099"/>
      <c r="AW130" s="1099"/>
      <c r="AX130" s="1099"/>
      <c r="AY130" s="1099"/>
      <c r="AZ130" s="1099"/>
      <c r="BA130" s="1099"/>
      <c r="BB130" s="1099"/>
      <c r="BC130" s="1099"/>
      <c r="BD130" s="1099"/>
      <c r="BE130" s="1099"/>
      <c r="BF130" s="1099"/>
      <c r="BG130" s="1099"/>
      <c r="BH130" s="1099"/>
      <c r="BI130" s="1099"/>
      <c r="BJ130" s="1099"/>
      <c r="BK130" s="1206"/>
      <c r="BL130" s="1181"/>
      <c r="BM130" s="1207"/>
      <c r="BN130" s="1200"/>
      <c r="BO130" s="1200"/>
      <c r="BP130" s="1200"/>
      <c r="BQ130" s="1200"/>
    </row>
    <row r="131" spans="1:69" s="1120" customFormat="1" ht="24.95" hidden="1" customHeight="1">
      <c r="A131" s="1188">
        <v>9</v>
      </c>
      <c r="B131" s="1208" t="s">
        <v>32</v>
      </c>
      <c r="C131" s="1190">
        <v>364.59999999999997</v>
      </c>
      <c r="D131" s="1191">
        <v>1</v>
      </c>
      <c r="E131" s="1192">
        <v>0</v>
      </c>
      <c r="F131" s="1192">
        <v>0</v>
      </c>
      <c r="G131" s="1192">
        <v>303</v>
      </c>
      <c r="H131" s="1192">
        <v>0</v>
      </c>
      <c r="I131" s="1192">
        <v>0</v>
      </c>
      <c r="J131" s="1192">
        <v>0</v>
      </c>
      <c r="K131" s="1192">
        <v>329</v>
      </c>
      <c r="L131" s="1192">
        <v>0</v>
      </c>
      <c r="M131" s="1192">
        <v>0</v>
      </c>
      <c r="N131" s="1192">
        <v>0</v>
      </c>
      <c r="O131" s="1192">
        <v>0</v>
      </c>
      <c r="P131" s="1192">
        <v>0</v>
      </c>
      <c r="Q131" s="1192">
        <v>529</v>
      </c>
      <c r="R131" s="1192">
        <v>0</v>
      </c>
      <c r="S131" s="1192">
        <v>0</v>
      </c>
      <c r="T131" s="1192">
        <v>0</v>
      </c>
      <c r="U131" s="1192">
        <v>0</v>
      </c>
      <c r="V131" s="1192">
        <v>0</v>
      </c>
      <c r="W131" s="1192">
        <v>0</v>
      </c>
      <c r="X131" s="1192">
        <v>0</v>
      </c>
      <c r="Y131" s="1192">
        <v>0</v>
      </c>
      <c r="Z131" s="1192">
        <v>0</v>
      </c>
      <c r="AA131" s="1192">
        <v>0</v>
      </c>
      <c r="AB131" s="1192">
        <v>0</v>
      </c>
      <c r="AC131" s="1192">
        <v>0</v>
      </c>
      <c r="AD131" s="1192">
        <v>0</v>
      </c>
      <c r="AE131" s="1192">
        <v>0</v>
      </c>
      <c r="AF131" s="1192">
        <v>0</v>
      </c>
      <c r="AG131" s="1192">
        <v>0</v>
      </c>
      <c r="AH131" s="1192">
        <v>0</v>
      </c>
      <c r="AI131" s="1192">
        <v>0</v>
      </c>
      <c r="AJ131" s="1192">
        <v>0</v>
      </c>
      <c r="AK131" s="1192">
        <v>0</v>
      </c>
      <c r="AL131" s="1192">
        <v>0</v>
      </c>
      <c r="AM131" s="1192">
        <v>0</v>
      </c>
      <c r="AN131" s="1192">
        <v>0</v>
      </c>
      <c r="AO131" s="1193">
        <v>1525.6</v>
      </c>
      <c r="AP131" s="1194">
        <v>1</v>
      </c>
      <c r="AQ131" s="1190">
        <v>0</v>
      </c>
      <c r="AR131" s="1195">
        <v>0</v>
      </c>
      <c r="AS131" s="1196">
        <v>97</v>
      </c>
      <c r="AT131" s="1196">
        <v>0</v>
      </c>
      <c r="AU131" s="1196">
        <v>87</v>
      </c>
      <c r="AV131" s="1196">
        <v>0</v>
      </c>
      <c r="AW131" s="1196">
        <v>237</v>
      </c>
      <c r="AX131" s="1196">
        <v>0</v>
      </c>
      <c r="AY131" s="1196">
        <v>0</v>
      </c>
      <c r="AZ131" s="1196">
        <v>170</v>
      </c>
      <c r="BA131" s="1196">
        <v>0</v>
      </c>
      <c r="BB131" s="1196">
        <v>0</v>
      </c>
      <c r="BC131" s="1196">
        <v>0</v>
      </c>
      <c r="BD131" s="1196">
        <v>0</v>
      </c>
      <c r="BE131" s="1196">
        <v>0</v>
      </c>
      <c r="BF131" s="1196">
        <v>0</v>
      </c>
      <c r="BG131" s="1196">
        <v>0</v>
      </c>
      <c r="BH131" s="1196">
        <v>0</v>
      </c>
      <c r="BI131" s="1196">
        <v>0</v>
      </c>
      <c r="BJ131" s="1196">
        <v>0</v>
      </c>
      <c r="BK131" s="1197">
        <v>0</v>
      </c>
      <c r="BL131" s="1198">
        <v>591</v>
      </c>
      <c r="BM131" s="1182">
        <v>0</v>
      </c>
      <c r="BN131" s="1119"/>
      <c r="BO131" s="1119"/>
      <c r="BP131" s="1119"/>
      <c r="BQ131" s="1119"/>
    </row>
    <row r="132" spans="1:69" s="1120" customFormat="1" ht="24.95" hidden="1" customHeight="1">
      <c r="A132" s="1209">
        <v>10</v>
      </c>
      <c r="B132" s="1208" t="s">
        <v>33</v>
      </c>
      <c r="C132" s="1190">
        <v>62</v>
      </c>
      <c r="D132" s="1191">
        <v>0</v>
      </c>
      <c r="E132" s="1192">
        <v>0</v>
      </c>
      <c r="F132" s="1192">
        <v>0</v>
      </c>
      <c r="G132" s="1192">
        <v>135</v>
      </c>
      <c r="H132" s="1192">
        <v>0</v>
      </c>
      <c r="I132" s="1192">
        <v>0</v>
      </c>
      <c r="J132" s="1192">
        <v>0</v>
      </c>
      <c r="K132" s="1192">
        <v>0</v>
      </c>
      <c r="L132" s="1192">
        <v>0</v>
      </c>
      <c r="M132" s="1192">
        <v>0</v>
      </c>
      <c r="N132" s="1192">
        <v>0</v>
      </c>
      <c r="O132" s="1192">
        <v>0</v>
      </c>
      <c r="P132" s="1192">
        <v>0</v>
      </c>
      <c r="Q132" s="1192">
        <v>226</v>
      </c>
      <c r="R132" s="1192">
        <v>0</v>
      </c>
      <c r="S132" s="1192">
        <v>0</v>
      </c>
      <c r="T132" s="1192">
        <v>0</v>
      </c>
      <c r="U132" s="1192">
        <v>0</v>
      </c>
      <c r="V132" s="1192">
        <v>0</v>
      </c>
      <c r="W132" s="1192">
        <v>0</v>
      </c>
      <c r="X132" s="1192">
        <v>0</v>
      </c>
      <c r="Y132" s="1192">
        <v>0</v>
      </c>
      <c r="Z132" s="1192">
        <v>0</v>
      </c>
      <c r="AA132" s="1192">
        <v>0</v>
      </c>
      <c r="AB132" s="1192">
        <v>0</v>
      </c>
      <c r="AC132" s="1192">
        <v>0</v>
      </c>
      <c r="AD132" s="1192">
        <v>0</v>
      </c>
      <c r="AE132" s="1192">
        <v>0</v>
      </c>
      <c r="AF132" s="1192">
        <v>0</v>
      </c>
      <c r="AG132" s="1192">
        <v>0</v>
      </c>
      <c r="AH132" s="1192">
        <v>0</v>
      </c>
      <c r="AI132" s="1192">
        <v>0</v>
      </c>
      <c r="AJ132" s="1192">
        <v>0</v>
      </c>
      <c r="AK132" s="1192">
        <v>0</v>
      </c>
      <c r="AL132" s="1192">
        <v>0</v>
      </c>
      <c r="AM132" s="1192">
        <v>0</v>
      </c>
      <c r="AN132" s="1192">
        <v>0</v>
      </c>
      <c r="AO132" s="1193">
        <v>423</v>
      </c>
      <c r="AP132" s="1194">
        <v>0</v>
      </c>
      <c r="AQ132" s="1190">
        <v>0</v>
      </c>
      <c r="AR132" s="1195">
        <v>0</v>
      </c>
      <c r="AS132" s="1196">
        <v>17</v>
      </c>
      <c r="AT132" s="1196">
        <v>0</v>
      </c>
      <c r="AU132" s="1196">
        <v>67</v>
      </c>
      <c r="AV132" s="1196">
        <v>0</v>
      </c>
      <c r="AW132" s="1196">
        <v>0</v>
      </c>
      <c r="AX132" s="1196">
        <v>0</v>
      </c>
      <c r="AY132" s="1196">
        <v>0</v>
      </c>
      <c r="AZ132" s="1196">
        <v>58</v>
      </c>
      <c r="BA132" s="1196">
        <v>0</v>
      </c>
      <c r="BB132" s="1196">
        <v>0</v>
      </c>
      <c r="BC132" s="1196">
        <v>0</v>
      </c>
      <c r="BD132" s="1196">
        <v>0</v>
      </c>
      <c r="BE132" s="1196">
        <v>0</v>
      </c>
      <c r="BF132" s="1196">
        <v>0</v>
      </c>
      <c r="BG132" s="1196">
        <v>0</v>
      </c>
      <c r="BH132" s="1196">
        <v>0</v>
      </c>
      <c r="BI132" s="1196">
        <v>0</v>
      </c>
      <c r="BJ132" s="1196">
        <v>0</v>
      </c>
      <c r="BK132" s="1197">
        <v>0</v>
      </c>
      <c r="BL132" s="1198">
        <v>142</v>
      </c>
      <c r="BM132" s="1182">
        <v>0</v>
      </c>
      <c r="BN132" s="1119"/>
      <c r="BO132" s="1119"/>
      <c r="BP132" s="1119"/>
      <c r="BQ132" s="1119"/>
    </row>
    <row r="133" spans="1:69" s="1120" customFormat="1" ht="24.95" hidden="1" customHeight="1">
      <c r="A133" s="1188">
        <v>11</v>
      </c>
      <c r="B133" s="1208" t="s">
        <v>5</v>
      </c>
      <c r="C133" s="1190">
        <v>269.3</v>
      </c>
      <c r="D133" s="1191">
        <v>0</v>
      </c>
      <c r="E133" s="1192">
        <v>0</v>
      </c>
      <c r="F133" s="1192">
        <v>0</v>
      </c>
      <c r="G133" s="1192">
        <v>258</v>
      </c>
      <c r="H133" s="1192">
        <v>0</v>
      </c>
      <c r="I133" s="1192">
        <v>0</v>
      </c>
      <c r="J133" s="1192">
        <v>0</v>
      </c>
      <c r="K133" s="1192">
        <v>226</v>
      </c>
      <c r="L133" s="1192">
        <v>0</v>
      </c>
      <c r="M133" s="1192">
        <v>0</v>
      </c>
      <c r="N133" s="1192">
        <v>0</v>
      </c>
      <c r="O133" s="1192">
        <v>0</v>
      </c>
      <c r="P133" s="1192">
        <v>0</v>
      </c>
      <c r="Q133" s="1192">
        <v>330</v>
      </c>
      <c r="R133" s="1192">
        <v>0</v>
      </c>
      <c r="S133" s="1192">
        <v>0</v>
      </c>
      <c r="T133" s="1192">
        <v>0</v>
      </c>
      <c r="U133" s="1192">
        <v>0</v>
      </c>
      <c r="V133" s="1192">
        <v>0</v>
      </c>
      <c r="W133" s="1192">
        <v>0</v>
      </c>
      <c r="X133" s="1192">
        <v>0</v>
      </c>
      <c r="Y133" s="1192">
        <v>0</v>
      </c>
      <c r="Z133" s="1192">
        <v>0</v>
      </c>
      <c r="AA133" s="1192">
        <v>0</v>
      </c>
      <c r="AB133" s="1192">
        <v>0</v>
      </c>
      <c r="AC133" s="1192">
        <v>0</v>
      </c>
      <c r="AD133" s="1192">
        <v>0</v>
      </c>
      <c r="AE133" s="1192">
        <v>0</v>
      </c>
      <c r="AF133" s="1192">
        <v>0</v>
      </c>
      <c r="AG133" s="1192">
        <v>183.5</v>
      </c>
      <c r="AH133" s="1192">
        <v>0</v>
      </c>
      <c r="AI133" s="1192">
        <v>0</v>
      </c>
      <c r="AJ133" s="1192">
        <v>0</v>
      </c>
      <c r="AK133" s="1192">
        <v>0</v>
      </c>
      <c r="AL133" s="1192">
        <v>0</v>
      </c>
      <c r="AM133" s="1192">
        <v>0</v>
      </c>
      <c r="AN133" s="1192">
        <v>0</v>
      </c>
      <c r="AO133" s="1193">
        <v>1266.8</v>
      </c>
      <c r="AP133" s="1194">
        <v>0</v>
      </c>
      <c r="AQ133" s="1190">
        <v>0</v>
      </c>
      <c r="AR133" s="1195">
        <v>0</v>
      </c>
      <c r="AS133" s="1196">
        <v>65</v>
      </c>
      <c r="AT133" s="1196">
        <v>0</v>
      </c>
      <c r="AU133" s="1196">
        <v>46</v>
      </c>
      <c r="AV133" s="1196">
        <v>0</v>
      </c>
      <c r="AW133" s="1196">
        <v>162</v>
      </c>
      <c r="AX133" s="1196">
        <v>0</v>
      </c>
      <c r="AY133" s="1196">
        <v>0</v>
      </c>
      <c r="AZ133" s="1196">
        <v>115</v>
      </c>
      <c r="BA133" s="1196">
        <v>0</v>
      </c>
      <c r="BB133" s="1196">
        <v>0</v>
      </c>
      <c r="BC133" s="1196">
        <v>0</v>
      </c>
      <c r="BD133" s="1196">
        <v>0</v>
      </c>
      <c r="BE133" s="1196">
        <v>0</v>
      </c>
      <c r="BF133" s="1196">
        <v>0</v>
      </c>
      <c r="BG133" s="1196">
        <v>0</v>
      </c>
      <c r="BH133" s="1196">
        <v>151</v>
      </c>
      <c r="BI133" s="1196">
        <v>0</v>
      </c>
      <c r="BJ133" s="1196">
        <v>0</v>
      </c>
      <c r="BK133" s="1197">
        <v>0</v>
      </c>
      <c r="BL133" s="1198">
        <v>539</v>
      </c>
      <c r="BM133" s="1182">
        <v>0</v>
      </c>
      <c r="BN133" s="1119"/>
      <c r="BO133" s="1119"/>
      <c r="BP133" s="1119"/>
      <c r="BQ133" s="1119"/>
    </row>
    <row r="134" spans="1:69" s="1120" customFormat="1" ht="24.95" hidden="1" customHeight="1">
      <c r="A134" s="1209">
        <v>12</v>
      </c>
      <c r="B134" s="1208" t="s">
        <v>6</v>
      </c>
      <c r="C134" s="1190">
        <v>0</v>
      </c>
      <c r="D134" s="1191">
        <v>0</v>
      </c>
      <c r="E134" s="1192">
        <v>0</v>
      </c>
      <c r="F134" s="1192">
        <v>0</v>
      </c>
      <c r="G134" s="1192">
        <v>35</v>
      </c>
      <c r="H134" s="1192">
        <v>0</v>
      </c>
      <c r="I134" s="1192">
        <v>0</v>
      </c>
      <c r="J134" s="1192">
        <v>0</v>
      </c>
      <c r="K134" s="1192">
        <v>0</v>
      </c>
      <c r="L134" s="1192">
        <v>0</v>
      </c>
      <c r="M134" s="1192">
        <v>0</v>
      </c>
      <c r="N134" s="1192">
        <v>0</v>
      </c>
      <c r="O134" s="1192">
        <v>0</v>
      </c>
      <c r="P134" s="1192">
        <v>0</v>
      </c>
      <c r="Q134" s="1192">
        <v>53</v>
      </c>
      <c r="R134" s="1192">
        <v>0</v>
      </c>
      <c r="S134" s="1192">
        <v>0</v>
      </c>
      <c r="T134" s="1192">
        <v>0</v>
      </c>
      <c r="U134" s="1192">
        <v>0</v>
      </c>
      <c r="V134" s="1192">
        <v>0</v>
      </c>
      <c r="W134" s="1192">
        <v>0</v>
      </c>
      <c r="X134" s="1192">
        <v>0</v>
      </c>
      <c r="Y134" s="1192">
        <v>0</v>
      </c>
      <c r="Z134" s="1192">
        <v>0</v>
      </c>
      <c r="AA134" s="1192">
        <v>0</v>
      </c>
      <c r="AB134" s="1192">
        <v>0</v>
      </c>
      <c r="AC134" s="1192">
        <v>0</v>
      </c>
      <c r="AD134" s="1192">
        <v>0</v>
      </c>
      <c r="AE134" s="1192">
        <v>0</v>
      </c>
      <c r="AF134" s="1192">
        <v>0</v>
      </c>
      <c r="AG134" s="1192">
        <v>0</v>
      </c>
      <c r="AH134" s="1192">
        <v>0</v>
      </c>
      <c r="AI134" s="1192">
        <v>0</v>
      </c>
      <c r="AJ134" s="1192">
        <v>0</v>
      </c>
      <c r="AK134" s="1192">
        <v>0</v>
      </c>
      <c r="AL134" s="1192">
        <v>0</v>
      </c>
      <c r="AM134" s="1192">
        <v>0</v>
      </c>
      <c r="AN134" s="1192">
        <v>0</v>
      </c>
      <c r="AO134" s="1193">
        <v>88</v>
      </c>
      <c r="AP134" s="1194">
        <v>0</v>
      </c>
      <c r="AQ134" s="1190">
        <v>0</v>
      </c>
      <c r="AR134" s="1195">
        <v>0</v>
      </c>
      <c r="AS134" s="1196">
        <v>0</v>
      </c>
      <c r="AT134" s="1196">
        <v>0</v>
      </c>
      <c r="AU134" s="1196">
        <v>13</v>
      </c>
      <c r="AV134" s="1196">
        <v>0</v>
      </c>
      <c r="AW134" s="1196">
        <v>0</v>
      </c>
      <c r="AX134" s="1196">
        <v>0</v>
      </c>
      <c r="AY134" s="1196">
        <v>0</v>
      </c>
      <c r="AZ134" s="1196">
        <v>14</v>
      </c>
      <c r="BA134" s="1196">
        <v>0</v>
      </c>
      <c r="BB134" s="1196">
        <v>0</v>
      </c>
      <c r="BC134" s="1196">
        <v>0</v>
      </c>
      <c r="BD134" s="1196">
        <v>0</v>
      </c>
      <c r="BE134" s="1196">
        <v>0</v>
      </c>
      <c r="BF134" s="1196">
        <v>0</v>
      </c>
      <c r="BG134" s="1196">
        <v>0</v>
      </c>
      <c r="BH134" s="1196">
        <v>0</v>
      </c>
      <c r="BI134" s="1196">
        <v>0</v>
      </c>
      <c r="BJ134" s="1196">
        <v>0</v>
      </c>
      <c r="BK134" s="1197">
        <v>0</v>
      </c>
      <c r="BL134" s="1198">
        <v>27</v>
      </c>
      <c r="BM134" s="1182">
        <v>0</v>
      </c>
      <c r="BN134" s="1119"/>
      <c r="BO134" s="1119"/>
      <c r="BP134" s="1119"/>
      <c r="BQ134" s="1119"/>
    </row>
    <row r="135" spans="1:69" s="1120" customFormat="1" ht="24.95" hidden="1" customHeight="1">
      <c r="A135" s="1164"/>
      <c r="B135" s="1201" t="s">
        <v>7</v>
      </c>
      <c r="C135" s="1210"/>
      <c r="D135" s="1211"/>
      <c r="E135" s="1212"/>
      <c r="F135" s="1212"/>
      <c r="G135" s="1212"/>
      <c r="H135" s="1212"/>
      <c r="I135" s="1212"/>
      <c r="J135" s="1212"/>
      <c r="K135" s="1212"/>
      <c r="L135" s="1212"/>
      <c r="M135" s="1212"/>
      <c r="N135" s="1212"/>
      <c r="O135" s="1212"/>
      <c r="P135" s="1212"/>
      <c r="Q135" s="1212"/>
      <c r="R135" s="1212"/>
      <c r="S135" s="1212"/>
      <c r="T135" s="1212"/>
      <c r="U135" s="1212"/>
      <c r="V135" s="1212"/>
      <c r="W135" s="1212"/>
      <c r="X135" s="1212"/>
      <c r="Y135" s="1212"/>
      <c r="Z135" s="1212"/>
      <c r="AA135" s="1212"/>
      <c r="AB135" s="1212"/>
      <c r="AC135" s="1212"/>
      <c r="AD135" s="1212"/>
      <c r="AE135" s="1212"/>
      <c r="AF135" s="1212"/>
      <c r="AG135" s="1212"/>
      <c r="AH135" s="1212"/>
      <c r="AI135" s="1212"/>
      <c r="AJ135" s="1212"/>
      <c r="AK135" s="1212"/>
      <c r="AL135" s="1212"/>
      <c r="AM135" s="1212"/>
      <c r="AN135" s="1212"/>
      <c r="AO135" s="1212"/>
      <c r="AP135" s="1211"/>
      <c r="AQ135" s="1210"/>
      <c r="AR135" s="1213"/>
      <c r="AS135" s="1171"/>
      <c r="AT135" s="1171"/>
      <c r="AU135" s="1171"/>
      <c r="AV135" s="1171"/>
      <c r="AW135" s="1171"/>
      <c r="AX135" s="1171"/>
      <c r="AY135" s="1171"/>
      <c r="AZ135" s="1171"/>
      <c r="BA135" s="1171"/>
      <c r="BB135" s="1171"/>
      <c r="BC135" s="1171"/>
      <c r="BD135" s="1171"/>
      <c r="BE135" s="1171"/>
      <c r="BF135" s="1171"/>
      <c r="BG135" s="1171"/>
      <c r="BH135" s="1171"/>
      <c r="BI135" s="1171"/>
      <c r="BJ135" s="1171"/>
      <c r="BK135" s="562"/>
      <c r="BL135" s="1181"/>
      <c r="BM135" s="1182"/>
      <c r="BN135" s="1119"/>
      <c r="BO135" s="1119"/>
      <c r="BP135" s="1119"/>
      <c r="BQ135" s="1119"/>
    </row>
    <row r="136" spans="1:69" s="1120" customFormat="1" ht="24.95" hidden="1" customHeight="1">
      <c r="A136" s="1188">
        <v>13</v>
      </c>
      <c r="B136" s="1208" t="s">
        <v>83</v>
      </c>
      <c r="C136" s="1190">
        <v>401.2</v>
      </c>
      <c r="D136" s="1191">
        <v>0</v>
      </c>
      <c r="E136" s="1192">
        <v>0</v>
      </c>
      <c r="F136" s="1192">
        <v>0</v>
      </c>
      <c r="G136" s="1192">
        <v>235</v>
      </c>
      <c r="H136" s="1192">
        <v>0.7</v>
      </c>
      <c r="I136" s="1192">
        <v>0</v>
      </c>
      <c r="J136" s="1192">
        <v>0</v>
      </c>
      <c r="K136" s="1192">
        <v>371</v>
      </c>
      <c r="L136" s="1192">
        <v>0</v>
      </c>
      <c r="M136" s="1192">
        <v>0</v>
      </c>
      <c r="N136" s="1192">
        <v>0</v>
      </c>
      <c r="O136" s="1192">
        <v>0</v>
      </c>
      <c r="P136" s="1192">
        <v>0</v>
      </c>
      <c r="Q136" s="1192">
        <v>503</v>
      </c>
      <c r="R136" s="1192">
        <v>3.2130000000000001</v>
      </c>
      <c r="S136" s="1192">
        <v>0</v>
      </c>
      <c r="T136" s="1192">
        <v>0</v>
      </c>
      <c r="U136" s="1192">
        <v>0</v>
      </c>
      <c r="V136" s="1192">
        <v>0</v>
      </c>
      <c r="W136" s="1192">
        <v>0</v>
      </c>
      <c r="X136" s="1192">
        <v>0</v>
      </c>
      <c r="Y136" s="1192">
        <v>0</v>
      </c>
      <c r="Z136" s="1192">
        <v>0</v>
      </c>
      <c r="AA136" s="1192">
        <v>0</v>
      </c>
      <c r="AB136" s="1192">
        <v>0</v>
      </c>
      <c r="AC136" s="1192">
        <v>0</v>
      </c>
      <c r="AD136" s="1192">
        <v>0</v>
      </c>
      <c r="AE136" s="1192">
        <v>0</v>
      </c>
      <c r="AF136" s="1192">
        <v>0</v>
      </c>
      <c r="AG136" s="1192">
        <v>0</v>
      </c>
      <c r="AH136" s="1192">
        <v>0</v>
      </c>
      <c r="AI136" s="1192">
        <v>163.5</v>
      </c>
      <c r="AJ136" s="1192">
        <v>1</v>
      </c>
      <c r="AK136" s="1192">
        <v>556.5</v>
      </c>
      <c r="AL136" s="1192">
        <v>0.9</v>
      </c>
      <c r="AM136" s="1192">
        <v>276</v>
      </c>
      <c r="AN136" s="1192">
        <v>0</v>
      </c>
      <c r="AO136" s="1193">
        <v>2506.1999999999998</v>
      </c>
      <c r="AP136" s="1194">
        <v>5.8130000000000006</v>
      </c>
      <c r="AQ136" s="1190">
        <v>0</v>
      </c>
      <c r="AR136" s="1195">
        <v>0</v>
      </c>
      <c r="AS136" s="1196">
        <v>12</v>
      </c>
      <c r="AT136" s="1196">
        <v>0</v>
      </c>
      <c r="AU136" s="1196">
        <v>21</v>
      </c>
      <c r="AV136" s="1196">
        <v>0</v>
      </c>
      <c r="AW136" s="1196">
        <v>0</v>
      </c>
      <c r="AX136" s="1196">
        <v>0</v>
      </c>
      <c r="AY136" s="1196">
        <v>0</v>
      </c>
      <c r="AZ136" s="1196">
        <v>8</v>
      </c>
      <c r="BA136" s="1196">
        <v>0</v>
      </c>
      <c r="BB136" s="1196">
        <v>0</v>
      </c>
      <c r="BC136" s="1196">
        <v>0</v>
      </c>
      <c r="BD136" s="1196">
        <v>0</v>
      </c>
      <c r="BE136" s="1196">
        <v>0</v>
      </c>
      <c r="BF136" s="1196">
        <v>0</v>
      </c>
      <c r="BG136" s="1196">
        <v>0</v>
      </c>
      <c r="BH136" s="1196">
        <v>0</v>
      </c>
      <c r="BI136" s="1196">
        <v>18</v>
      </c>
      <c r="BJ136" s="1196">
        <v>19</v>
      </c>
      <c r="BK136" s="1197">
        <v>0</v>
      </c>
      <c r="BL136" s="1198">
        <v>78</v>
      </c>
      <c r="BM136" s="1182">
        <v>0</v>
      </c>
      <c r="BN136" s="1119"/>
      <c r="BO136" s="1119"/>
      <c r="BP136" s="1119"/>
      <c r="BQ136" s="1119"/>
    </row>
    <row r="137" spans="1:69" s="1120" customFormat="1" ht="24.95" hidden="1" customHeight="1">
      <c r="A137" s="1188">
        <v>14</v>
      </c>
      <c r="B137" s="1208" t="s">
        <v>20</v>
      </c>
      <c r="C137" s="1190">
        <v>58.1</v>
      </c>
      <c r="D137" s="1191">
        <v>0</v>
      </c>
      <c r="E137" s="1192">
        <v>0</v>
      </c>
      <c r="F137" s="1192">
        <v>0</v>
      </c>
      <c r="G137" s="1192">
        <v>0</v>
      </c>
      <c r="H137" s="1192">
        <v>0</v>
      </c>
      <c r="I137" s="1192">
        <v>0</v>
      </c>
      <c r="J137" s="1192">
        <v>0</v>
      </c>
      <c r="K137" s="1192">
        <v>0</v>
      </c>
      <c r="L137" s="1192">
        <v>0</v>
      </c>
      <c r="M137" s="1192">
        <v>0</v>
      </c>
      <c r="N137" s="1192">
        <v>0</v>
      </c>
      <c r="O137" s="1192">
        <v>0</v>
      </c>
      <c r="P137" s="1192">
        <v>0</v>
      </c>
      <c r="Q137" s="1192">
        <v>0</v>
      </c>
      <c r="R137" s="1192">
        <v>0</v>
      </c>
      <c r="S137" s="1192">
        <v>0</v>
      </c>
      <c r="T137" s="1192">
        <v>0</v>
      </c>
      <c r="U137" s="1192">
        <v>0</v>
      </c>
      <c r="V137" s="1192">
        <v>0</v>
      </c>
      <c r="W137" s="1192">
        <v>0</v>
      </c>
      <c r="X137" s="1192">
        <v>0</v>
      </c>
      <c r="Y137" s="1192">
        <v>0</v>
      </c>
      <c r="Z137" s="1192">
        <v>0</v>
      </c>
      <c r="AA137" s="1192">
        <v>0</v>
      </c>
      <c r="AB137" s="1192">
        <v>0</v>
      </c>
      <c r="AC137" s="1192">
        <v>105</v>
      </c>
      <c r="AD137" s="1192">
        <v>0</v>
      </c>
      <c r="AE137" s="1192">
        <v>0</v>
      </c>
      <c r="AF137" s="1192">
        <v>0</v>
      </c>
      <c r="AG137" s="1192">
        <v>0</v>
      </c>
      <c r="AH137" s="1192">
        <v>0</v>
      </c>
      <c r="AI137" s="1192">
        <v>0</v>
      </c>
      <c r="AJ137" s="1192">
        <v>0</v>
      </c>
      <c r="AK137" s="1192">
        <v>0</v>
      </c>
      <c r="AL137" s="1192">
        <v>0</v>
      </c>
      <c r="AM137" s="1192">
        <v>0</v>
      </c>
      <c r="AN137" s="1192">
        <v>0</v>
      </c>
      <c r="AO137" s="1214">
        <v>163.1</v>
      </c>
      <c r="AP137" s="1194">
        <v>0</v>
      </c>
      <c r="AQ137" s="1190">
        <v>0</v>
      </c>
      <c r="AR137" s="1195">
        <v>0</v>
      </c>
      <c r="AS137" s="1196">
        <v>1</v>
      </c>
      <c r="AT137" s="1196">
        <v>0</v>
      </c>
      <c r="AU137" s="1196">
        <v>0</v>
      </c>
      <c r="AV137" s="1196">
        <v>0</v>
      </c>
      <c r="AW137" s="1196">
        <v>0</v>
      </c>
      <c r="AX137" s="1196">
        <v>0</v>
      </c>
      <c r="AY137" s="1196">
        <v>0</v>
      </c>
      <c r="AZ137" s="1196">
        <v>0</v>
      </c>
      <c r="BA137" s="1196">
        <v>0</v>
      </c>
      <c r="BB137" s="1196">
        <v>0</v>
      </c>
      <c r="BC137" s="1196">
        <v>0</v>
      </c>
      <c r="BD137" s="1196">
        <v>0</v>
      </c>
      <c r="BE137" s="1196">
        <v>0</v>
      </c>
      <c r="BF137" s="1196">
        <v>2</v>
      </c>
      <c r="BG137" s="1196">
        <v>0</v>
      </c>
      <c r="BH137" s="1196">
        <v>0</v>
      </c>
      <c r="BI137" s="1196">
        <v>0</v>
      </c>
      <c r="BJ137" s="1196">
        <v>0</v>
      </c>
      <c r="BK137" s="1197">
        <v>0</v>
      </c>
      <c r="BL137" s="1198">
        <v>3</v>
      </c>
      <c r="BM137" s="1182">
        <v>0</v>
      </c>
      <c r="BN137" s="1119"/>
      <c r="BO137" s="1119"/>
      <c r="BP137" s="1119"/>
      <c r="BQ137" s="1119"/>
    </row>
    <row r="138" spans="1:69" s="1120" customFormat="1" ht="24.95" hidden="1" customHeight="1">
      <c r="A138" s="1188">
        <v>15</v>
      </c>
      <c r="B138" s="1208" t="s">
        <v>21</v>
      </c>
      <c r="C138" s="1190">
        <v>0</v>
      </c>
      <c r="D138" s="1191">
        <v>0</v>
      </c>
      <c r="E138" s="1192">
        <v>0</v>
      </c>
      <c r="F138" s="1192">
        <v>0</v>
      </c>
      <c r="G138" s="1192">
        <v>0</v>
      </c>
      <c r="H138" s="1192">
        <v>0</v>
      </c>
      <c r="I138" s="1192">
        <v>0</v>
      </c>
      <c r="J138" s="1192">
        <v>0</v>
      </c>
      <c r="K138" s="1192">
        <v>379</v>
      </c>
      <c r="L138" s="1192">
        <v>0</v>
      </c>
      <c r="M138" s="1192">
        <v>0</v>
      </c>
      <c r="N138" s="1192">
        <v>0</v>
      </c>
      <c r="O138" s="1192">
        <v>0</v>
      </c>
      <c r="P138" s="1192">
        <v>0</v>
      </c>
      <c r="Q138" s="1192">
        <v>0</v>
      </c>
      <c r="R138" s="1192">
        <v>0</v>
      </c>
      <c r="S138" s="1192">
        <v>0</v>
      </c>
      <c r="T138" s="1192">
        <v>0</v>
      </c>
      <c r="U138" s="1192">
        <v>0</v>
      </c>
      <c r="V138" s="1192">
        <v>0</v>
      </c>
      <c r="W138" s="1192">
        <v>0</v>
      </c>
      <c r="X138" s="1192">
        <v>0</v>
      </c>
      <c r="Y138" s="1192">
        <v>0</v>
      </c>
      <c r="Z138" s="1192">
        <v>0</v>
      </c>
      <c r="AA138" s="1192">
        <v>0</v>
      </c>
      <c r="AB138" s="1192">
        <v>0</v>
      </c>
      <c r="AC138" s="1192">
        <v>0</v>
      </c>
      <c r="AD138" s="1192">
        <v>0</v>
      </c>
      <c r="AE138" s="1192">
        <v>0</v>
      </c>
      <c r="AF138" s="1192">
        <v>0</v>
      </c>
      <c r="AG138" s="1192">
        <v>0</v>
      </c>
      <c r="AH138" s="1192">
        <v>0</v>
      </c>
      <c r="AI138" s="1192">
        <v>0</v>
      </c>
      <c r="AJ138" s="1192">
        <v>0</v>
      </c>
      <c r="AK138" s="1192">
        <v>0</v>
      </c>
      <c r="AL138" s="1192">
        <v>0</v>
      </c>
      <c r="AM138" s="1192">
        <v>0</v>
      </c>
      <c r="AN138" s="1192">
        <v>0</v>
      </c>
      <c r="AO138" s="1193">
        <v>379</v>
      </c>
      <c r="AP138" s="1194">
        <v>0</v>
      </c>
      <c r="AQ138" s="1190">
        <v>0</v>
      </c>
      <c r="AR138" s="1195">
        <v>0</v>
      </c>
      <c r="AS138" s="1196">
        <v>0</v>
      </c>
      <c r="AT138" s="1196">
        <v>0</v>
      </c>
      <c r="AU138" s="1196">
        <v>0</v>
      </c>
      <c r="AV138" s="1196">
        <v>0</v>
      </c>
      <c r="AW138" s="1196">
        <v>3</v>
      </c>
      <c r="AX138" s="1196">
        <v>0</v>
      </c>
      <c r="AY138" s="1196">
        <v>0</v>
      </c>
      <c r="AZ138" s="1196">
        <v>0</v>
      </c>
      <c r="BA138" s="1196">
        <v>0</v>
      </c>
      <c r="BB138" s="1196">
        <v>0</v>
      </c>
      <c r="BC138" s="1196">
        <v>0</v>
      </c>
      <c r="BD138" s="1196">
        <v>0</v>
      </c>
      <c r="BE138" s="1196">
        <v>0</v>
      </c>
      <c r="BF138" s="1196">
        <v>0</v>
      </c>
      <c r="BG138" s="1196">
        <v>0</v>
      </c>
      <c r="BH138" s="1196">
        <v>0</v>
      </c>
      <c r="BI138" s="1196">
        <v>0</v>
      </c>
      <c r="BJ138" s="1196">
        <v>0</v>
      </c>
      <c r="BK138" s="1197">
        <v>0</v>
      </c>
      <c r="BL138" s="1198">
        <v>3</v>
      </c>
      <c r="BM138" s="1182">
        <v>0</v>
      </c>
      <c r="BN138" s="1119"/>
      <c r="BO138" s="1119"/>
      <c r="BP138" s="1119"/>
      <c r="BQ138" s="1119"/>
    </row>
    <row r="139" spans="1:69" s="1120" customFormat="1" ht="24.95" hidden="1" customHeight="1">
      <c r="A139" s="1188">
        <v>16</v>
      </c>
      <c r="B139" s="1208" t="s">
        <v>22</v>
      </c>
      <c r="C139" s="1190">
        <v>0</v>
      </c>
      <c r="D139" s="1191">
        <v>0</v>
      </c>
      <c r="E139" s="1192">
        <v>0</v>
      </c>
      <c r="F139" s="1192">
        <v>0</v>
      </c>
      <c r="G139" s="1192">
        <v>0</v>
      </c>
      <c r="H139" s="1192">
        <v>0</v>
      </c>
      <c r="I139" s="1192">
        <v>0</v>
      </c>
      <c r="J139" s="1192">
        <v>0</v>
      </c>
      <c r="K139" s="1192">
        <v>0</v>
      </c>
      <c r="L139" s="1192">
        <v>0</v>
      </c>
      <c r="M139" s="1192">
        <v>0</v>
      </c>
      <c r="N139" s="1192">
        <v>0</v>
      </c>
      <c r="O139" s="1192">
        <v>0</v>
      </c>
      <c r="P139" s="1192">
        <v>0</v>
      </c>
      <c r="Q139" s="1192">
        <v>87</v>
      </c>
      <c r="R139" s="1192">
        <v>0</v>
      </c>
      <c r="S139" s="1192">
        <v>0</v>
      </c>
      <c r="T139" s="1192">
        <v>0</v>
      </c>
      <c r="U139" s="1192">
        <v>0</v>
      </c>
      <c r="V139" s="1192">
        <v>0</v>
      </c>
      <c r="W139" s="1192">
        <v>0</v>
      </c>
      <c r="X139" s="1192">
        <v>0</v>
      </c>
      <c r="Y139" s="1192">
        <v>0</v>
      </c>
      <c r="Z139" s="1192">
        <v>0</v>
      </c>
      <c r="AA139" s="1192">
        <v>0</v>
      </c>
      <c r="AB139" s="1192">
        <v>0</v>
      </c>
      <c r="AC139" s="1192">
        <v>0</v>
      </c>
      <c r="AD139" s="1192">
        <v>0</v>
      </c>
      <c r="AE139" s="1192">
        <v>0</v>
      </c>
      <c r="AF139" s="1192">
        <v>0</v>
      </c>
      <c r="AG139" s="1192">
        <v>0</v>
      </c>
      <c r="AH139" s="1192">
        <v>0</v>
      </c>
      <c r="AI139" s="1192">
        <v>0</v>
      </c>
      <c r="AJ139" s="1192">
        <v>0</v>
      </c>
      <c r="AK139" s="1192">
        <v>0</v>
      </c>
      <c r="AL139" s="1192">
        <v>0</v>
      </c>
      <c r="AM139" s="1192">
        <v>0</v>
      </c>
      <c r="AN139" s="1192">
        <v>0</v>
      </c>
      <c r="AO139" s="1214">
        <v>87</v>
      </c>
      <c r="AP139" s="1194">
        <v>0</v>
      </c>
      <c r="AQ139" s="1190">
        <v>0</v>
      </c>
      <c r="AR139" s="1195">
        <v>0</v>
      </c>
      <c r="AS139" s="1196">
        <v>0</v>
      </c>
      <c r="AT139" s="1196">
        <v>0</v>
      </c>
      <c r="AU139" s="1196">
        <v>0</v>
      </c>
      <c r="AV139" s="1196">
        <v>0</v>
      </c>
      <c r="AW139" s="1196">
        <v>0</v>
      </c>
      <c r="AX139" s="1196">
        <v>0</v>
      </c>
      <c r="AY139" s="1196">
        <v>0</v>
      </c>
      <c r="AZ139" s="1196">
        <v>0</v>
      </c>
      <c r="BA139" s="1196">
        <v>0</v>
      </c>
      <c r="BB139" s="1196">
        <v>0</v>
      </c>
      <c r="BC139" s="1196">
        <v>0</v>
      </c>
      <c r="BD139" s="1196">
        <v>0</v>
      </c>
      <c r="BE139" s="1196">
        <v>0</v>
      </c>
      <c r="BF139" s="1196">
        <v>0</v>
      </c>
      <c r="BG139" s="1196">
        <v>0</v>
      </c>
      <c r="BH139" s="1196">
        <v>0</v>
      </c>
      <c r="BI139" s="1196">
        <v>0</v>
      </c>
      <c r="BJ139" s="1196">
        <v>0</v>
      </c>
      <c r="BK139" s="1197">
        <v>0</v>
      </c>
      <c r="BL139" s="1198">
        <v>0</v>
      </c>
      <c r="BM139" s="1182">
        <v>0</v>
      </c>
      <c r="BN139" s="1119"/>
      <c r="BO139" s="1119"/>
      <c r="BP139" s="1119"/>
      <c r="BQ139" s="1119"/>
    </row>
    <row r="140" spans="1:69" s="1120" customFormat="1" ht="24.95" hidden="1" customHeight="1">
      <c r="A140" s="1188">
        <v>17</v>
      </c>
      <c r="B140" s="1208" t="s">
        <v>281</v>
      </c>
      <c r="C140" s="1190">
        <v>0</v>
      </c>
      <c r="D140" s="1191">
        <v>0</v>
      </c>
      <c r="E140" s="1192">
        <v>0</v>
      </c>
      <c r="F140" s="1192">
        <v>0</v>
      </c>
      <c r="G140" s="1192">
        <v>0</v>
      </c>
      <c r="H140" s="1192">
        <v>0</v>
      </c>
      <c r="I140" s="1192">
        <v>0</v>
      </c>
      <c r="J140" s="1192">
        <v>0</v>
      </c>
      <c r="K140" s="1192">
        <v>0</v>
      </c>
      <c r="L140" s="1192">
        <v>0</v>
      </c>
      <c r="M140" s="1192">
        <v>0</v>
      </c>
      <c r="N140" s="1192">
        <v>0</v>
      </c>
      <c r="O140" s="1192">
        <v>0</v>
      </c>
      <c r="P140" s="1192">
        <v>0</v>
      </c>
      <c r="Q140" s="1192">
        <v>0</v>
      </c>
      <c r="R140" s="1192">
        <v>0</v>
      </c>
      <c r="S140" s="1192">
        <v>0</v>
      </c>
      <c r="T140" s="1192">
        <v>0</v>
      </c>
      <c r="U140" s="1192">
        <v>4</v>
      </c>
      <c r="V140" s="1192">
        <v>3.5</v>
      </c>
      <c r="W140" s="1192">
        <v>0</v>
      </c>
      <c r="X140" s="1192">
        <v>0</v>
      </c>
      <c r="Y140" s="1192">
        <v>0</v>
      </c>
      <c r="Z140" s="1192">
        <v>0</v>
      </c>
      <c r="AA140" s="1192">
        <v>0</v>
      </c>
      <c r="AB140" s="1192">
        <v>0</v>
      </c>
      <c r="AC140" s="1192">
        <v>0</v>
      </c>
      <c r="AD140" s="1192">
        <v>0</v>
      </c>
      <c r="AE140" s="1192">
        <v>0</v>
      </c>
      <c r="AF140" s="1192">
        <v>0</v>
      </c>
      <c r="AG140" s="1192">
        <v>0</v>
      </c>
      <c r="AH140" s="1192">
        <v>0</v>
      </c>
      <c r="AI140" s="1192">
        <v>34</v>
      </c>
      <c r="AJ140" s="1192">
        <v>0</v>
      </c>
      <c r="AK140" s="1192">
        <v>0</v>
      </c>
      <c r="AL140" s="1192">
        <v>0</v>
      </c>
      <c r="AM140" s="1192">
        <v>0</v>
      </c>
      <c r="AN140" s="1192">
        <v>0</v>
      </c>
      <c r="AO140" s="1214">
        <v>38</v>
      </c>
      <c r="AP140" s="1194">
        <v>3.5</v>
      </c>
      <c r="AQ140" s="1190">
        <v>0</v>
      </c>
      <c r="AR140" s="1195">
        <v>0</v>
      </c>
      <c r="AS140" s="1196">
        <v>0</v>
      </c>
      <c r="AT140" s="1196">
        <v>0</v>
      </c>
      <c r="AU140" s="1196">
        <v>0</v>
      </c>
      <c r="AV140" s="1196">
        <v>0</v>
      </c>
      <c r="AW140" s="1196">
        <v>0</v>
      </c>
      <c r="AX140" s="1196">
        <v>0</v>
      </c>
      <c r="AY140" s="1196">
        <v>0</v>
      </c>
      <c r="AZ140" s="1196">
        <v>0</v>
      </c>
      <c r="BA140" s="1196">
        <v>0</v>
      </c>
      <c r="BB140" s="1196">
        <v>0</v>
      </c>
      <c r="BC140" s="1196">
        <v>0</v>
      </c>
      <c r="BD140" s="1196">
        <v>0</v>
      </c>
      <c r="BE140" s="1196">
        <v>0</v>
      </c>
      <c r="BF140" s="1196">
        <v>0</v>
      </c>
      <c r="BG140" s="1196">
        <v>0</v>
      </c>
      <c r="BH140" s="1196">
        <v>0</v>
      </c>
      <c r="BI140" s="1196">
        <v>0</v>
      </c>
      <c r="BJ140" s="1196">
        <v>0</v>
      </c>
      <c r="BK140" s="1197">
        <v>0</v>
      </c>
      <c r="BL140" s="1198">
        <v>0</v>
      </c>
      <c r="BM140" s="1182">
        <v>0</v>
      </c>
      <c r="BN140" s="1119"/>
      <c r="BO140" s="1119"/>
      <c r="BP140" s="1119"/>
      <c r="BQ140" s="1119"/>
    </row>
    <row r="141" spans="1:69" s="1120" customFormat="1" ht="24.95" hidden="1" customHeight="1">
      <c r="A141" s="1188">
        <v>18</v>
      </c>
      <c r="B141" s="1208" t="s">
        <v>281</v>
      </c>
      <c r="C141" s="1190">
        <v>0</v>
      </c>
      <c r="D141" s="1191">
        <v>0</v>
      </c>
      <c r="E141" s="1192">
        <v>0</v>
      </c>
      <c r="F141" s="1192">
        <v>0</v>
      </c>
      <c r="G141" s="1192">
        <v>0</v>
      </c>
      <c r="H141" s="1192">
        <v>0</v>
      </c>
      <c r="I141" s="1192">
        <v>0</v>
      </c>
      <c r="J141" s="1192">
        <v>0</v>
      </c>
      <c r="K141" s="1192">
        <v>0</v>
      </c>
      <c r="L141" s="1192">
        <v>0</v>
      </c>
      <c r="M141" s="1192">
        <v>0</v>
      </c>
      <c r="N141" s="1192">
        <v>0</v>
      </c>
      <c r="O141" s="1192">
        <v>0</v>
      </c>
      <c r="P141" s="1192">
        <v>0</v>
      </c>
      <c r="Q141" s="1192">
        <v>0</v>
      </c>
      <c r="R141" s="1192">
        <v>0</v>
      </c>
      <c r="S141" s="1192">
        <v>0</v>
      </c>
      <c r="T141" s="1192">
        <v>0</v>
      </c>
      <c r="U141" s="1192">
        <v>3</v>
      </c>
      <c r="V141" s="1192">
        <v>0</v>
      </c>
      <c r="W141" s="1192">
        <v>0</v>
      </c>
      <c r="X141" s="1192">
        <v>0</v>
      </c>
      <c r="Y141" s="1192">
        <v>0</v>
      </c>
      <c r="Z141" s="1192">
        <v>0</v>
      </c>
      <c r="AA141" s="1192">
        <v>0</v>
      </c>
      <c r="AB141" s="1192">
        <v>0</v>
      </c>
      <c r="AC141" s="1192">
        <v>0</v>
      </c>
      <c r="AD141" s="1192">
        <v>0</v>
      </c>
      <c r="AE141" s="1192">
        <v>0</v>
      </c>
      <c r="AF141" s="1192">
        <v>0</v>
      </c>
      <c r="AG141" s="1192">
        <v>0</v>
      </c>
      <c r="AH141" s="1192">
        <v>0</v>
      </c>
      <c r="AI141" s="1192">
        <v>18.5</v>
      </c>
      <c r="AJ141" s="1192">
        <v>0</v>
      </c>
      <c r="AK141" s="1192">
        <v>0</v>
      </c>
      <c r="AL141" s="1192">
        <v>0</v>
      </c>
      <c r="AM141" s="1192">
        <v>0</v>
      </c>
      <c r="AN141" s="1192">
        <v>0</v>
      </c>
      <c r="AO141" s="1214">
        <v>21.5</v>
      </c>
      <c r="AP141" s="1194">
        <v>0</v>
      </c>
      <c r="AQ141" s="1190">
        <v>0</v>
      </c>
      <c r="AR141" s="1195">
        <v>0</v>
      </c>
      <c r="AS141" s="1196">
        <v>0</v>
      </c>
      <c r="AT141" s="1196">
        <v>0</v>
      </c>
      <c r="AU141" s="1196">
        <v>0</v>
      </c>
      <c r="AV141" s="1196">
        <v>0</v>
      </c>
      <c r="AW141" s="1196">
        <v>0</v>
      </c>
      <c r="AX141" s="1196">
        <v>0</v>
      </c>
      <c r="AY141" s="1196">
        <v>0</v>
      </c>
      <c r="AZ141" s="1196">
        <v>0</v>
      </c>
      <c r="BA141" s="1196">
        <v>0</v>
      </c>
      <c r="BB141" s="1196">
        <v>0</v>
      </c>
      <c r="BC141" s="1196">
        <v>0</v>
      </c>
      <c r="BD141" s="1196">
        <v>0</v>
      </c>
      <c r="BE141" s="1196">
        <v>0</v>
      </c>
      <c r="BF141" s="1196">
        <v>0</v>
      </c>
      <c r="BG141" s="1196">
        <v>0</v>
      </c>
      <c r="BH141" s="1196">
        <v>0</v>
      </c>
      <c r="BI141" s="1196">
        <v>0</v>
      </c>
      <c r="BJ141" s="1196">
        <v>0</v>
      </c>
      <c r="BK141" s="1197">
        <v>0</v>
      </c>
      <c r="BL141" s="1198">
        <v>0</v>
      </c>
      <c r="BM141" s="1182">
        <v>0</v>
      </c>
      <c r="BN141" s="1119"/>
      <c r="BO141" s="1119"/>
      <c r="BP141" s="1119"/>
      <c r="BQ141" s="1119"/>
    </row>
    <row r="142" spans="1:69" s="1120" customFormat="1" ht="24.95" hidden="1" customHeight="1">
      <c r="A142" s="1215"/>
      <c r="B142" s="1201" t="s">
        <v>74</v>
      </c>
      <c r="C142" s="1175"/>
      <c r="D142" s="1176"/>
      <c r="E142" s="1177"/>
      <c r="F142" s="1177"/>
      <c r="G142" s="1177"/>
      <c r="H142" s="1177"/>
      <c r="I142" s="1177"/>
      <c r="J142" s="1177"/>
      <c r="K142" s="1177"/>
      <c r="L142" s="1177"/>
      <c r="M142" s="1177"/>
      <c r="N142" s="1177"/>
      <c r="O142" s="1177"/>
      <c r="P142" s="1177"/>
      <c r="Q142" s="1177"/>
      <c r="R142" s="1177"/>
      <c r="S142" s="1177"/>
      <c r="T142" s="1177"/>
      <c r="U142" s="1177"/>
      <c r="V142" s="1177"/>
      <c r="W142" s="1177"/>
      <c r="X142" s="1177"/>
      <c r="Y142" s="1177"/>
      <c r="Z142" s="1177"/>
      <c r="AA142" s="1177"/>
      <c r="AB142" s="1177"/>
      <c r="AC142" s="1177"/>
      <c r="AD142" s="1177"/>
      <c r="AE142" s="1177"/>
      <c r="AF142" s="1177"/>
      <c r="AG142" s="1177"/>
      <c r="AH142" s="1177"/>
      <c r="AI142" s="1177"/>
      <c r="AJ142" s="1177"/>
      <c r="AK142" s="1177"/>
      <c r="AL142" s="1177"/>
      <c r="AM142" s="1177"/>
      <c r="AN142" s="1177"/>
      <c r="AO142" s="1177"/>
      <c r="AP142" s="1176"/>
      <c r="AQ142" s="1175"/>
      <c r="AR142" s="1180"/>
      <c r="AS142" s="1099"/>
      <c r="AT142" s="1099"/>
      <c r="AU142" s="1099"/>
      <c r="AV142" s="1099"/>
      <c r="AW142" s="1099"/>
      <c r="AX142" s="1099"/>
      <c r="AY142" s="1099"/>
      <c r="AZ142" s="1099"/>
      <c r="BA142" s="1099"/>
      <c r="BB142" s="1099"/>
      <c r="BC142" s="1099"/>
      <c r="BD142" s="1099"/>
      <c r="BE142" s="1099"/>
      <c r="BF142" s="1099"/>
      <c r="BG142" s="1099"/>
      <c r="BH142" s="1099"/>
      <c r="BI142" s="1099"/>
      <c r="BJ142" s="1099"/>
      <c r="BK142" s="1206"/>
      <c r="BL142" s="1181"/>
      <c r="BM142" s="1207"/>
      <c r="BN142" s="1119"/>
      <c r="BO142" s="1119"/>
      <c r="BP142" s="1119"/>
      <c r="BQ142" s="1119"/>
    </row>
    <row r="143" spans="1:69" s="1120" customFormat="1" ht="24.95" hidden="1" customHeight="1">
      <c r="A143" s="1188">
        <v>19</v>
      </c>
      <c r="B143" s="1208" t="s">
        <v>227</v>
      </c>
      <c r="C143" s="1190">
        <v>0</v>
      </c>
      <c r="D143" s="1191">
        <v>0</v>
      </c>
      <c r="E143" s="1192">
        <v>0</v>
      </c>
      <c r="F143" s="1192">
        <v>0</v>
      </c>
      <c r="G143" s="1192">
        <v>1149.5</v>
      </c>
      <c r="H143" s="1192">
        <v>0</v>
      </c>
      <c r="I143" s="1192">
        <v>1523</v>
      </c>
      <c r="J143" s="1192">
        <v>0</v>
      </c>
      <c r="K143" s="1192">
        <v>0</v>
      </c>
      <c r="L143" s="1192">
        <v>0</v>
      </c>
      <c r="M143" s="1192">
        <v>1523.07</v>
      </c>
      <c r="N143" s="1192">
        <v>7.35</v>
      </c>
      <c r="O143" s="1192">
        <v>0</v>
      </c>
      <c r="P143" s="1192">
        <v>0</v>
      </c>
      <c r="Q143" s="1192">
        <v>0</v>
      </c>
      <c r="R143" s="1192">
        <v>0</v>
      </c>
      <c r="S143" s="1192">
        <v>0</v>
      </c>
      <c r="T143" s="1192">
        <v>0</v>
      </c>
      <c r="U143" s="1192">
        <v>122</v>
      </c>
      <c r="V143" s="1192">
        <v>0</v>
      </c>
      <c r="W143" s="1192">
        <v>0</v>
      </c>
      <c r="X143" s="1192">
        <v>0</v>
      </c>
      <c r="Y143" s="1192">
        <v>0</v>
      </c>
      <c r="Z143" s="1192">
        <v>0</v>
      </c>
      <c r="AA143" s="1192">
        <v>898</v>
      </c>
      <c r="AB143" s="1192">
        <v>0</v>
      </c>
      <c r="AC143" s="1192">
        <v>0</v>
      </c>
      <c r="AD143" s="1192">
        <v>0</v>
      </c>
      <c r="AE143" s="1192">
        <v>0</v>
      </c>
      <c r="AF143" s="1192">
        <v>0</v>
      </c>
      <c r="AG143" s="1192">
        <v>0</v>
      </c>
      <c r="AH143" s="1192">
        <v>0</v>
      </c>
      <c r="AI143" s="1192">
        <v>774.6</v>
      </c>
      <c r="AJ143" s="1192">
        <v>0</v>
      </c>
      <c r="AK143" s="1192">
        <v>0</v>
      </c>
      <c r="AL143" s="1192">
        <v>0</v>
      </c>
      <c r="AM143" s="1192">
        <v>2034</v>
      </c>
      <c r="AN143" s="1192">
        <v>0</v>
      </c>
      <c r="AO143" s="1193">
        <v>8024.17</v>
      </c>
      <c r="AP143" s="1194">
        <v>7.35</v>
      </c>
      <c r="AQ143" s="1190">
        <v>0</v>
      </c>
      <c r="AR143" s="1195">
        <v>0</v>
      </c>
      <c r="AS143" s="1196">
        <v>0</v>
      </c>
      <c r="AT143" s="1196">
        <v>0</v>
      </c>
      <c r="AU143" s="1196">
        <v>55</v>
      </c>
      <c r="AV143" s="1196">
        <v>64</v>
      </c>
      <c r="AW143" s="1196">
        <v>0</v>
      </c>
      <c r="AX143" s="1196">
        <v>10.25</v>
      </c>
      <c r="AY143" s="1196">
        <v>0</v>
      </c>
      <c r="AZ143" s="1196">
        <v>0</v>
      </c>
      <c r="BA143" s="1196">
        <v>0</v>
      </c>
      <c r="BB143" s="1196">
        <v>1</v>
      </c>
      <c r="BC143" s="1196">
        <v>0</v>
      </c>
      <c r="BD143" s="1196">
        <v>0</v>
      </c>
      <c r="BE143" s="1196">
        <v>4</v>
      </c>
      <c r="BF143" s="1196">
        <v>0</v>
      </c>
      <c r="BG143" s="1196">
        <v>0</v>
      </c>
      <c r="BH143" s="1196">
        <v>0</v>
      </c>
      <c r="BI143" s="1196">
        <v>29.5</v>
      </c>
      <c r="BJ143" s="1196">
        <v>0</v>
      </c>
      <c r="BK143" s="1197">
        <v>15</v>
      </c>
      <c r="BL143" s="1198">
        <v>178.75</v>
      </c>
      <c r="BM143" s="1182">
        <v>0</v>
      </c>
      <c r="BN143" s="1119"/>
      <c r="BO143" s="1119"/>
      <c r="BP143" s="1119"/>
      <c r="BQ143" s="1119"/>
    </row>
    <row r="144" spans="1:69" s="1120" customFormat="1" ht="24.95" hidden="1" customHeight="1">
      <c r="A144" s="1188">
        <v>20</v>
      </c>
      <c r="B144" s="1208" t="s">
        <v>238</v>
      </c>
      <c r="C144" s="1190">
        <v>0</v>
      </c>
      <c r="D144" s="1191">
        <v>0</v>
      </c>
      <c r="E144" s="1192">
        <v>117</v>
      </c>
      <c r="F144" s="1192">
        <v>2.2999999999999998</v>
      </c>
      <c r="G144" s="1192">
        <v>0</v>
      </c>
      <c r="H144" s="1192">
        <v>0</v>
      </c>
      <c r="I144" s="1192">
        <v>0</v>
      </c>
      <c r="J144" s="1192">
        <v>0</v>
      </c>
      <c r="K144" s="1192">
        <v>117</v>
      </c>
      <c r="L144" s="1192">
        <v>0</v>
      </c>
      <c r="M144" s="1192">
        <v>204.12</v>
      </c>
      <c r="N144" s="1192">
        <v>0</v>
      </c>
      <c r="O144" s="1192">
        <v>0</v>
      </c>
      <c r="P144" s="1192">
        <v>0</v>
      </c>
      <c r="Q144" s="1192">
        <v>162</v>
      </c>
      <c r="R144" s="1192">
        <v>0.75</v>
      </c>
      <c r="S144" s="1192">
        <v>0</v>
      </c>
      <c r="T144" s="1192">
        <v>0</v>
      </c>
      <c r="U144" s="1192">
        <v>0</v>
      </c>
      <c r="V144" s="1192">
        <v>0</v>
      </c>
      <c r="W144" s="1192">
        <v>0</v>
      </c>
      <c r="X144" s="1192">
        <v>0</v>
      </c>
      <c r="Y144" s="1192">
        <v>140</v>
      </c>
      <c r="Z144" s="1192">
        <v>0.64</v>
      </c>
      <c r="AA144" s="1192">
        <v>91</v>
      </c>
      <c r="AB144" s="1192">
        <v>0</v>
      </c>
      <c r="AC144" s="1192">
        <v>0</v>
      </c>
      <c r="AD144" s="1192">
        <v>0</v>
      </c>
      <c r="AE144" s="1192">
        <v>0</v>
      </c>
      <c r="AF144" s="1192">
        <v>0</v>
      </c>
      <c r="AG144" s="1192">
        <v>0</v>
      </c>
      <c r="AH144" s="1192">
        <v>0</v>
      </c>
      <c r="AI144" s="1192">
        <v>0</v>
      </c>
      <c r="AJ144" s="1192">
        <v>0</v>
      </c>
      <c r="AK144" s="1192">
        <v>0</v>
      </c>
      <c r="AL144" s="1192">
        <v>0</v>
      </c>
      <c r="AM144" s="1192">
        <v>0</v>
      </c>
      <c r="AN144" s="1192">
        <v>0</v>
      </c>
      <c r="AO144" s="1193">
        <v>831.12</v>
      </c>
      <c r="AP144" s="1194">
        <v>3.69</v>
      </c>
      <c r="AQ144" s="1190">
        <v>0</v>
      </c>
      <c r="AR144" s="1195">
        <v>0</v>
      </c>
      <c r="AS144" s="1196">
        <v>0</v>
      </c>
      <c r="AT144" s="1196">
        <v>1</v>
      </c>
      <c r="AU144" s="1196">
        <v>0</v>
      </c>
      <c r="AV144" s="1196">
        <v>0</v>
      </c>
      <c r="AW144" s="1196">
        <v>10</v>
      </c>
      <c r="AX144" s="1196">
        <v>4.5199999999999996</v>
      </c>
      <c r="AY144" s="1196">
        <v>0</v>
      </c>
      <c r="AZ144" s="1196">
        <v>3</v>
      </c>
      <c r="BA144" s="1196">
        <v>0</v>
      </c>
      <c r="BB144" s="1196">
        <v>0</v>
      </c>
      <c r="BC144" s="1196">
        <v>0</v>
      </c>
      <c r="BD144" s="1196">
        <v>5</v>
      </c>
      <c r="BE144" s="1196">
        <v>1</v>
      </c>
      <c r="BF144" s="1196">
        <v>0</v>
      </c>
      <c r="BG144" s="1196">
        <v>0</v>
      </c>
      <c r="BH144" s="1196">
        <v>0</v>
      </c>
      <c r="BI144" s="1196">
        <v>0</v>
      </c>
      <c r="BJ144" s="1196">
        <v>0</v>
      </c>
      <c r="BK144" s="1197">
        <v>0</v>
      </c>
      <c r="BL144" s="1198">
        <v>24.52</v>
      </c>
      <c r="BM144" s="1182">
        <v>0</v>
      </c>
      <c r="BN144" s="1119"/>
      <c r="BO144" s="1119"/>
      <c r="BP144" s="1119"/>
      <c r="BQ144" s="1119"/>
    </row>
    <row r="145" spans="1:240" s="1120" customFormat="1" ht="24.95" hidden="1" customHeight="1">
      <c r="A145" s="1215"/>
      <c r="B145" s="1183" t="s">
        <v>75</v>
      </c>
      <c r="C145" s="2477"/>
      <c r="D145" s="2478"/>
      <c r="E145" s="2479"/>
      <c r="F145" s="2479"/>
      <c r="G145" s="2479"/>
      <c r="H145" s="2479"/>
      <c r="I145" s="2479"/>
      <c r="J145" s="2479"/>
      <c r="K145" s="2479"/>
      <c r="L145" s="2479"/>
      <c r="M145" s="2479"/>
      <c r="N145" s="2479"/>
      <c r="O145" s="2479"/>
      <c r="P145" s="2479"/>
      <c r="Q145" s="2479"/>
      <c r="R145" s="2479"/>
      <c r="S145" s="2479"/>
      <c r="T145" s="2479"/>
      <c r="U145" s="2479"/>
      <c r="V145" s="2479"/>
      <c r="W145" s="2479"/>
      <c r="X145" s="2479"/>
      <c r="Y145" s="2479"/>
      <c r="Z145" s="2479"/>
      <c r="AA145" s="2479"/>
      <c r="AB145" s="2479"/>
      <c r="AC145" s="2479"/>
      <c r="AD145" s="2479"/>
      <c r="AE145" s="2479"/>
      <c r="AF145" s="2479"/>
      <c r="AG145" s="2479"/>
      <c r="AH145" s="2479"/>
      <c r="AI145" s="2479"/>
      <c r="AJ145" s="2479"/>
      <c r="AK145" s="2479"/>
      <c r="AL145" s="2479"/>
      <c r="AM145" s="2479"/>
      <c r="AN145" s="2479"/>
      <c r="AO145" s="2479"/>
      <c r="AP145" s="2478"/>
      <c r="AQ145" s="2477"/>
      <c r="AR145" s="2480"/>
      <c r="AS145" s="1229"/>
      <c r="AT145" s="1171"/>
      <c r="AU145" s="1171"/>
      <c r="AV145" s="1171"/>
      <c r="AW145" s="1171"/>
      <c r="AX145" s="1171"/>
      <c r="AY145" s="1171"/>
      <c r="AZ145" s="1171"/>
      <c r="BA145" s="1171"/>
      <c r="BB145" s="1171"/>
      <c r="BC145" s="1171"/>
      <c r="BD145" s="1171"/>
      <c r="BE145" s="1171"/>
      <c r="BF145" s="1171"/>
      <c r="BG145" s="1171"/>
      <c r="BH145" s="1171"/>
      <c r="BI145" s="1171"/>
      <c r="BJ145" s="1171"/>
      <c r="BK145" s="562"/>
      <c r="BL145" s="1181"/>
      <c r="BM145" s="1182"/>
      <c r="BN145" s="1119"/>
      <c r="BO145" s="1119"/>
      <c r="BP145" s="1119"/>
      <c r="BQ145" s="1119"/>
    </row>
    <row r="146" spans="1:240" s="1043" customFormat="1" ht="24.95" hidden="1" customHeight="1">
      <c r="A146" s="1188">
        <v>21</v>
      </c>
      <c r="B146" s="1189" t="s">
        <v>271</v>
      </c>
      <c r="C146" s="1190">
        <v>21</v>
      </c>
      <c r="D146" s="1191">
        <v>0</v>
      </c>
      <c r="E146" s="1192">
        <v>0</v>
      </c>
      <c r="F146" s="1192">
        <v>0</v>
      </c>
      <c r="G146" s="1192">
        <v>10</v>
      </c>
      <c r="H146" s="1192">
        <v>0</v>
      </c>
      <c r="I146" s="1192">
        <v>0</v>
      </c>
      <c r="J146" s="1192">
        <v>0</v>
      </c>
      <c r="K146" s="1192">
        <v>0</v>
      </c>
      <c r="L146" s="1192">
        <v>0</v>
      </c>
      <c r="M146" s="1192">
        <v>0</v>
      </c>
      <c r="N146" s="1192">
        <v>0</v>
      </c>
      <c r="O146" s="1192">
        <v>0</v>
      </c>
      <c r="P146" s="1192">
        <v>0</v>
      </c>
      <c r="Q146" s="1192">
        <v>21</v>
      </c>
      <c r="R146" s="1192">
        <v>0</v>
      </c>
      <c r="S146" s="1192">
        <v>0</v>
      </c>
      <c r="T146" s="1192">
        <v>0</v>
      </c>
      <c r="U146" s="1192">
        <v>0</v>
      </c>
      <c r="V146" s="1192">
        <v>0</v>
      </c>
      <c r="W146" s="1192">
        <v>0</v>
      </c>
      <c r="X146" s="1192">
        <v>0</v>
      </c>
      <c r="Y146" s="1192">
        <v>0</v>
      </c>
      <c r="Z146" s="1192">
        <v>0</v>
      </c>
      <c r="AA146" s="1192">
        <v>0</v>
      </c>
      <c r="AB146" s="1192">
        <v>0</v>
      </c>
      <c r="AC146" s="1192">
        <v>0</v>
      </c>
      <c r="AD146" s="1192">
        <v>0</v>
      </c>
      <c r="AE146" s="1192">
        <v>0</v>
      </c>
      <c r="AF146" s="1192">
        <v>0</v>
      </c>
      <c r="AG146" s="1192">
        <v>0</v>
      </c>
      <c r="AH146" s="1192">
        <v>0</v>
      </c>
      <c r="AI146" s="1192">
        <v>0</v>
      </c>
      <c r="AJ146" s="1192">
        <v>0</v>
      </c>
      <c r="AK146" s="1192">
        <v>0</v>
      </c>
      <c r="AL146" s="1192">
        <v>0</v>
      </c>
      <c r="AM146" s="1192">
        <v>0</v>
      </c>
      <c r="AN146" s="1192">
        <v>0</v>
      </c>
      <c r="AO146" s="1193">
        <v>52</v>
      </c>
      <c r="AP146" s="1194">
        <v>0</v>
      </c>
      <c r="AQ146" s="1190">
        <v>0</v>
      </c>
      <c r="AR146" s="1195">
        <v>0</v>
      </c>
      <c r="AS146" s="1229"/>
      <c r="AT146" s="1171"/>
      <c r="AU146" s="1171"/>
      <c r="AV146" s="1171"/>
      <c r="AW146" s="1171"/>
      <c r="AX146" s="1171"/>
      <c r="AY146" s="1171"/>
      <c r="AZ146" s="1171"/>
      <c r="BA146" s="1171"/>
      <c r="BB146" s="1171"/>
      <c r="BC146" s="1171"/>
      <c r="BD146" s="1171"/>
      <c r="BE146" s="1171"/>
      <c r="BF146" s="1171"/>
      <c r="BG146" s="1171"/>
      <c r="BH146" s="1171"/>
      <c r="BI146" s="1171"/>
      <c r="BJ146" s="1171"/>
      <c r="BK146" s="562"/>
      <c r="BL146" s="1181"/>
      <c r="BM146" s="1182"/>
      <c r="BN146" s="1216"/>
      <c r="BO146" s="1216"/>
      <c r="BP146" s="2481"/>
      <c r="BQ146" s="2481"/>
    </row>
    <row r="147" spans="1:240" s="1120" customFormat="1" ht="24.95" hidden="1" customHeight="1">
      <c r="A147" s="1188">
        <v>22</v>
      </c>
      <c r="B147" s="1189" t="s">
        <v>80</v>
      </c>
      <c r="C147" s="1190">
        <v>2855.3</v>
      </c>
      <c r="D147" s="1191">
        <v>83.9</v>
      </c>
      <c r="E147" s="1192">
        <v>1806.8</v>
      </c>
      <c r="F147" s="1192">
        <v>60.7</v>
      </c>
      <c r="G147" s="1192">
        <v>2057.3889999999992</v>
      </c>
      <c r="H147" s="1192">
        <v>11.025</v>
      </c>
      <c r="I147" s="1192">
        <v>2982.4</v>
      </c>
      <c r="J147" s="1192">
        <v>99.4</v>
      </c>
      <c r="K147" s="1192">
        <v>3784.9475000000034</v>
      </c>
      <c r="L147" s="1192">
        <v>59.999999999999922</v>
      </c>
      <c r="M147" s="1192">
        <v>2909.27</v>
      </c>
      <c r="N147" s="1192">
        <v>334.55</v>
      </c>
      <c r="O147" s="1192">
        <v>129</v>
      </c>
      <c r="P147" s="1192">
        <v>0</v>
      </c>
      <c r="Q147" s="1192">
        <v>4890.0880000000107</v>
      </c>
      <c r="R147" s="1192">
        <v>10.566500000000003</v>
      </c>
      <c r="S147" s="1192">
        <v>2737.79</v>
      </c>
      <c r="T147" s="1192">
        <v>17.649999999999999</v>
      </c>
      <c r="U147" s="1192">
        <v>1614.2</v>
      </c>
      <c r="V147" s="1192">
        <v>352.39</v>
      </c>
      <c r="W147" s="1192">
        <v>0</v>
      </c>
      <c r="X147" s="1192">
        <v>3216.6</v>
      </c>
      <c r="Y147" s="1192">
        <v>362</v>
      </c>
      <c r="Z147" s="1192">
        <v>7.74</v>
      </c>
      <c r="AA147" s="1192">
        <v>1415</v>
      </c>
      <c r="AB147" s="1192">
        <v>86.74</v>
      </c>
      <c r="AC147" s="1192">
        <v>0</v>
      </c>
      <c r="AD147" s="1192">
        <v>0</v>
      </c>
      <c r="AE147" s="1192">
        <v>985</v>
      </c>
      <c r="AF147" s="1192">
        <v>109.1</v>
      </c>
      <c r="AG147" s="1192">
        <v>1380</v>
      </c>
      <c r="AH147" s="1192">
        <v>3.3</v>
      </c>
      <c r="AI147" s="1192">
        <v>1923.9</v>
      </c>
      <c r="AJ147" s="1192">
        <v>39.6</v>
      </c>
      <c r="AK147" s="1192">
        <v>5506.2875000000004</v>
      </c>
      <c r="AL147" s="1192">
        <v>9.1839999999999993</v>
      </c>
      <c r="AM147" s="1192">
        <v>3117.33</v>
      </c>
      <c r="AN147" s="1192">
        <v>79.583333333333329</v>
      </c>
      <c r="AO147" s="1193">
        <v>40456.702000000019</v>
      </c>
      <c r="AP147" s="1194">
        <v>4582.0288333333338</v>
      </c>
      <c r="AQ147" s="1190">
        <v>0</v>
      </c>
      <c r="AR147" s="1195">
        <v>2197.3000000000002</v>
      </c>
      <c r="AS147" s="1229"/>
      <c r="AT147" s="1171"/>
      <c r="AU147" s="1171"/>
      <c r="AV147" s="1171"/>
      <c r="AW147" s="1171"/>
      <c r="AX147" s="1171"/>
      <c r="AY147" s="1171"/>
      <c r="AZ147" s="1171"/>
      <c r="BA147" s="1171"/>
      <c r="BB147" s="1171"/>
      <c r="BC147" s="1171"/>
      <c r="BD147" s="1171"/>
      <c r="BE147" s="1171"/>
      <c r="BF147" s="1171"/>
      <c r="BG147" s="1171"/>
      <c r="BH147" s="1171"/>
      <c r="BI147" s="1171"/>
      <c r="BJ147" s="1171"/>
      <c r="BK147" s="562"/>
      <c r="BL147" s="1181"/>
      <c r="BM147" s="1182"/>
      <c r="BN147" s="1119"/>
      <c r="BO147" s="1119"/>
      <c r="BP147" s="1119"/>
      <c r="BQ147" s="1119"/>
    </row>
    <row r="148" spans="1:240" s="1120" customFormat="1" ht="24.95" hidden="1" customHeight="1">
      <c r="A148" s="1188">
        <v>23</v>
      </c>
      <c r="B148" s="1189" t="s">
        <v>78</v>
      </c>
      <c r="C148" s="1190">
        <v>3854</v>
      </c>
      <c r="D148" s="1191">
        <v>273.2</v>
      </c>
      <c r="E148" s="1192">
        <v>1252.8</v>
      </c>
      <c r="F148" s="1192">
        <v>54.8</v>
      </c>
      <c r="G148" s="1192">
        <v>3388.2910000000034</v>
      </c>
      <c r="H148" s="1192">
        <v>370.54400000000049</v>
      </c>
      <c r="I148" s="1192">
        <v>3680.3</v>
      </c>
      <c r="J148" s="1192">
        <v>462.3</v>
      </c>
      <c r="K148" s="1192">
        <v>4672.1891666666634</v>
      </c>
      <c r="L148" s="1192">
        <v>314.2366666666652</v>
      </c>
      <c r="M148" s="1192">
        <v>5468.08</v>
      </c>
      <c r="N148" s="1192">
        <v>412.16</v>
      </c>
      <c r="O148" s="1192">
        <v>919</v>
      </c>
      <c r="P148" s="1192">
        <v>5.2</v>
      </c>
      <c r="Q148" s="1192">
        <v>6280.3119999999954</v>
      </c>
      <c r="R148" s="1192">
        <v>227.69750000000025</v>
      </c>
      <c r="S148" s="1192">
        <v>1959.62</v>
      </c>
      <c r="T148" s="1192">
        <v>6.65</v>
      </c>
      <c r="U148" s="1192">
        <v>3533.87</v>
      </c>
      <c r="V148" s="1192">
        <v>723.19</v>
      </c>
      <c r="W148" s="1192">
        <v>0</v>
      </c>
      <c r="X148" s="1192">
        <v>4441.7</v>
      </c>
      <c r="Y148" s="1192">
        <v>2089</v>
      </c>
      <c r="Z148" s="1192">
        <v>74.84</v>
      </c>
      <c r="AA148" s="1192">
        <v>4723.25</v>
      </c>
      <c r="AB148" s="1192">
        <v>126.55</v>
      </c>
      <c r="AC148" s="1192">
        <v>493</v>
      </c>
      <c r="AD148" s="1192">
        <v>0</v>
      </c>
      <c r="AE148" s="1192">
        <v>202</v>
      </c>
      <c r="AF148" s="1192">
        <v>33.28</v>
      </c>
      <c r="AG148" s="1192">
        <v>1307</v>
      </c>
      <c r="AH148" s="1192">
        <v>6.9</v>
      </c>
      <c r="AI148" s="1192">
        <v>3221.7</v>
      </c>
      <c r="AJ148" s="1192">
        <v>152.30000000000001</v>
      </c>
      <c r="AK148" s="1192">
        <v>5198.21</v>
      </c>
      <c r="AL148" s="1192">
        <v>111.41800000000001</v>
      </c>
      <c r="AM148" s="1192">
        <v>5419.5</v>
      </c>
      <c r="AN148" s="1192">
        <v>185.41666666666671</v>
      </c>
      <c r="AO148" s="1193">
        <v>57662.122166666661</v>
      </c>
      <c r="AP148" s="1194">
        <v>7982.3828333333331</v>
      </c>
      <c r="AQ148" s="1190">
        <v>0</v>
      </c>
      <c r="AR148" s="1195">
        <v>3046.1</v>
      </c>
      <c r="AS148" s="1229"/>
      <c r="AT148" s="1171"/>
      <c r="AU148" s="1171"/>
      <c r="AV148" s="1171"/>
      <c r="AW148" s="1171"/>
      <c r="AX148" s="1171"/>
      <c r="AY148" s="1171"/>
      <c r="AZ148" s="1171"/>
      <c r="BA148" s="1171"/>
      <c r="BB148" s="1171"/>
      <c r="BC148" s="1171"/>
      <c r="BD148" s="1171"/>
      <c r="BE148" s="1171"/>
      <c r="BF148" s="1171"/>
      <c r="BG148" s="1171"/>
      <c r="BH148" s="1171"/>
      <c r="BI148" s="1171"/>
      <c r="BJ148" s="1171"/>
      <c r="BK148" s="562"/>
      <c r="BL148" s="1181"/>
      <c r="BM148" s="1182"/>
      <c r="BN148" s="1119"/>
      <c r="BO148" s="1119"/>
      <c r="BP148" s="1119"/>
      <c r="BQ148" s="1119"/>
    </row>
    <row r="149" spans="1:240" s="1120" customFormat="1" ht="30" hidden="1" customHeight="1">
      <c r="A149" s="1128"/>
      <c r="B149" s="1183" t="s">
        <v>2</v>
      </c>
      <c r="C149" s="1217">
        <v>7885.5</v>
      </c>
      <c r="D149" s="1218">
        <v>358.1</v>
      </c>
      <c r="E149" s="1219">
        <v>3176.6</v>
      </c>
      <c r="F149" s="1219">
        <v>117.8</v>
      </c>
      <c r="G149" s="1219">
        <v>7571.1800000000021</v>
      </c>
      <c r="H149" s="1219">
        <v>382.26900000000052</v>
      </c>
      <c r="I149" s="1219">
        <v>8185.7</v>
      </c>
      <c r="J149" s="1219">
        <v>561.70000000000005</v>
      </c>
      <c r="K149" s="1219">
        <v>9879.1366666666672</v>
      </c>
      <c r="L149" s="1219">
        <v>374.23666666666514</v>
      </c>
      <c r="M149" s="1219">
        <v>10104.540000000001</v>
      </c>
      <c r="N149" s="1219">
        <v>754.06000000000006</v>
      </c>
      <c r="O149" s="1219">
        <v>1048</v>
      </c>
      <c r="P149" s="1219">
        <v>5.2</v>
      </c>
      <c r="Q149" s="1219">
        <v>13081.400000000005</v>
      </c>
      <c r="R149" s="1219">
        <v>242.22700000000026</v>
      </c>
      <c r="S149" s="1219">
        <v>4697.41</v>
      </c>
      <c r="T149" s="1219">
        <v>24.299999999999997</v>
      </c>
      <c r="U149" s="1219">
        <v>5277.07</v>
      </c>
      <c r="V149" s="1219">
        <v>1079.08</v>
      </c>
      <c r="W149" s="1219">
        <v>0</v>
      </c>
      <c r="X149" s="1219">
        <v>7658.2999999999993</v>
      </c>
      <c r="Y149" s="1219">
        <v>2591</v>
      </c>
      <c r="Z149" s="1219">
        <v>83.22</v>
      </c>
      <c r="AA149" s="1219">
        <v>7127.25</v>
      </c>
      <c r="AB149" s="1219">
        <v>213.29</v>
      </c>
      <c r="AC149" s="1219">
        <v>598</v>
      </c>
      <c r="AD149" s="1219">
        <v>0</v>
      </c>
      <c r="AE149" s="1219">
        <v>1187</v>
      </c>
      <c r="AF149" s="1219">
        <v>142.38</v>
      </c>
      <c r="AG149" s="1219">
        <v>2870.5</v>
      </c>
      <c r="AH149" s="1219">
        <v>10.199999999999999</v>
      </c>
      <c r="AI149" s="1219">
        <v>6136.2</v>
      </c>
      <c r="AJ149" s="1219">
        <v>192.9</v>
      </c>
      <c r="AK149" s="1219">
        <v>11260.997500000001</v>
      </c>
      <c r="AL149" s="1219">
        <v>121.50200000000001</v>
      </c>
      <c r="AM149" s="1219">
        <v>10846.83</v>
      </c>
      <c r="AN149" s="1219">
        <v>265.00000000000006</v>
      </c>
      <c r="AO149" s="1219">
        <v>113524.31416666668</v>
      </c>
      <c r="AP149" s="1218">
        <v>12585.764666666666</v>
      </c>
      <c r="AQ149" s="1217">
        <v>0</v>
      </c>
      <c r="AR149" s="1220">
        <v>5243.4</v>
      </c>
      <c r="AS149" s="1229"/>
      <c r="AT149" s="1171"/>
      <c r="AU149" s="1171"/>
      <c r="AV149" s="1171"/>
      <c r="AW149" s="1171"/>
      <c r="AX149" s="1171"/>
      <c r="AY149" s="1171"/>
      <c r="AZ149" s="1171"/>
      <c r="BA149" s="1171"/>
      <c r="BB149" s="1171"/>
      <c r="BC149" s="1171"/>
      <c r="BD149" s="1171"/>
      <c r="BE149" s="1171"/>
      <c r="BF149" s="1171"/>
      <c r="BG149" s="1171"/>
      <c r="BH149" s="1171"/>
      <c r="BI149" s="1171"/>
      <c r="BJ149" s="1171"/>
      <c r="BK149" s="562"/>
      <c r="BL149" s="1181"/>
      <c r="BM149" s="1182"/>
      <c r="BN149" s="1119"/>
      <c r="BO149" s="1119"/>
      <c r="BP149" s="1119"/>
      <c r="BQ149" s="1119"/>
    </row>
    <row r="150" spans="1:240" s="1120" customFormat="1" ht="30" hidden="1" customHeight="1" thickBot="1">
      <c r="A150" s="1221">
        <v>24</v>
      </c>
      <c r="B150" s="1222" t="s">
        <v>81</v>
      </c>
      <c r="C150" s="1223">
        <v>9053.7800000000007</v>
      </c>
      <c r="D150" s="1224">
        <v>684.90000000000009</v>
      </c>
      <c r="E150" s="1225">
        <v>3283.2</v>
      </c>
      <c r="F150" s="1225">
        <v>220</v>
      </c>
      <c r="G150" s="1225">
        <v>8565.5800000000017</v>
      </c>
      <c r="H150" s="1225">
        <v>1266.0940000000003</v>
      </c>
      <c r="I150" s="1225">
        <v>8928.7000000000007</v>
      </c>
      <c r="J150" s="1225">
        <v>805.80000000000007</v>
      </c>
      <c r="K150" s="1225">
        <v>12388.87666666664</v>
      </c>
      <c r="L150" s="1225">
        <v>690.05666666666536</v>
      </c>
      <c r="M150" s="1225">
        <v>10653.37</v>
      </c>
      <c r="N150" s="1225">
        <v>973.28000000000009</v>
      </c>
      <c r="O150" s="1225">
        <v>1325.5</v>
      </c>
      <c r="P150" s="1225">
        <v>33.6</v>
      </c>
      <c r="Q150" s="1225">
        <v>15990.400000000005</v>
      </c>
      <c r="R150" s="1225">
        <v>937.7031089999989</v>
      </c>
      <c r="S150" s="1225">
        <v>5609.46</v>
      </c>
      <c r="T150" s="1225">
        <v>140.80000000000001</v>
      </c>
      <c r="U150" s="1225">
        <v>5507.2699999999995</v>
      </c>
      <c r="V150" s="1225">
        <v>1230.1099999999999</v>
      </c>
      <c r="W150" s="1225">
        <v>0</v>
      </c>
      <c r="X150" s="1225">
        <v>7836.0999999999995</v>
      </c>
      <c r="Y150" s="1225">
        <v>2888</v>
      </c>
      <c r="Z150" s="1225">
        <v>304.40999999999997</v>
      </c>
      <c r="AA150" s="1225">
        <v>7332.08</v>
      </c>
      <c r="AB150" s="1225">
        <v>448.45</v>
      </c>
      <c r="AC150" s="1225">
        <v>708.3</v>
      </c>
      <c r="AD150" s="1225">
        <v>17</v>
      </c>
      <c r="AE150" s="1225">
        <v>1270</v>
      </c>
      <c r="AF150" s="1225">
        <v>165.88</v>
      </c>
      <c r="AG150" s="1225">
        <v>3820.5</v>
      </c>
      <c r="AH150" s="1225">
        <v>75.7</v>
      </c>
      <c r="AI150" s="1225">
        <v>6835.9</v>
      </c>
      <c r="AJ150" s="1225">
        <v>558.9</v>
      </c>
      <c r="AK150" s="1225">
        <v>13564.928500000002</v>
      </c>
      <c r="AL150" s="1225">
        <v>479.19200000000001</v>
      </c>
      <c r="AM150" s="1225">
        <v>11941.83</v>
      </c>
      <c r="AN150" s="1225">
        <v>640.16666666666674</v>
      </c>
      <c r="AO150" s="1225">
        <v>129667.67516666665</v>
      </c>
      <c r="AP150" s="1224">
        <v>17508.14244233333</v>
      </c>
      <c r="AQ150" s="1223">
        <v>0</v>
      </c>
      <c r="AR150" s="1226">
        <v>5376.7999999999993</v>
      </c>
      <c r="AS150" s="1231">
        <v>193</v>
      </c>
      <c r="AT150" s="1276">
        <v>1</v>
      </c>
      <c r="AU150" s="1276">
        <v>289</v>
      </c>
      <c r="AV150" s="1276">
        <v>64</v>
      </c>
      <c r="AW150" s="1276">
        <v>425</v>
      </c>
      <c r="AX150" s="1276">
        <v>14.77</v>
      </c>
      <c r="AY150" s="1276">
        <v>0</v>
      </c>
      <c r="AZ150" s="1276">
        <v>372</v>
      </c>
      <c r="BA150" s="1276">
        <v>0</v>
      </c>
      <c r="BB150" s="1276">
        <v>1</v>
      </c>
      <c r="BC150" s="1276">
        <v>0</v>
      </c>
      <c r="BD150" s="1276">
        <v>5</v>
      </c>
      <c r="BE150" s="1276">
        <v>5</v>
      </c>
      <c r="BF150" s="1276">
        <v>2</v>
      </c>
      <c r="BG150" s="1276">
        <v>0</v>
      </c>
      <c r="BH150" s="1276">
        <v>151</v>
      </c>
      <c r="BI150" s="1276">
        <v>47.5</v>
      </c>
      <c r="BJ150" s="1276">
        <v>44</v>
      </c>
      <c r="BK150" s="1277">
        <v>17</v>
      </c>
      <c r="BL150" s="1278">
        <v>1631.27</v>
      </c>
      <c r="BM150" s="1275">
        <v>0</v>
      </c>
      <c r="BN150" s="1119"/>
      <c r="BO150" s="1119"/>
      <c r="BP150" s="1119"/>
      <c r="BQ150" s="1119"/>
    </row>
    <row r="151" spans="1:240" s="1120" customFormat="1" ht="15" hidden="1" customHeight="1">
      <c r="C151" s="1227"/>
      <c r="D151" s="1227"/>
      <c r="E151" s="1227"/>
      <c r="F151" s="1227"/>
      <c r="G151" s="1227"/>
      <c r="H151" s="1227"/>
      <c r="I151" s="1227"/>
      <c r="J151" s="1227"/>
      <c r="K151" s="1227"/>
      <c r="L151" s="1227"/>
      <c r="M151" s="1227"/>
      <c r="N151" s="1227"/>
      <c r="O151" s="1227"/>
      <c r="P151" s="1227"/>
      <c r="Q151" s="1227"/>
      <c r="R151" s="1227"/>
      <c r="S151" s="1227"/>
      <c r="T151" s="1227"/>
      <c r="U151" s="1227"/>
      <c r="V151" s="1227"/>
      <c r="W151" s="1227"/>
      <c r="X151" s="1227"/>
      <c r="Y151" s="1227"/>
      <c r="Z151" s="1227"/>
      <c r="AA151" s="1227"/>
      <c r="AB151" s="1227"/>
      <c r="AC151" s="1227"/>
      <c r="AD151" s="1227"/>
      <c r="AE151" s="1227"/>
      <c r="AF151" s="1227"/>
      <c r="AG151" s="1227"/>
      <c r="AH151" s="1227"/>
      <c r="AI151" s="1227"/>
      <c r="AJ151" s="1227"/>
      <c r="AK151" s="1227"/>
      <c r="AL151" s="1227"/>
      <c r="AM151" s="1227"/>
      <c r="AN151" s="1227"/>
      <c r="AO151" s="1227"/>
      <c r="AP151" s="1227"/>
      <c r="AQ151" s="1227"/>
      <c r="AR151" s="1227"/>
      <c r="BN151" s="1228"/>
      <c r="BO151" s="1228"/>
      <c r="BP151" s="1228"/>
      <c r="BQ151" s="1228"/>
      <c r="BR151" s="1228"/>
      <c r="BS151" s="1228"/>
      <c r="BT151" s="1228"/>
      <c r="BU151" s="1228"/>
      <c r="BV151" s="1228"/>
      <c r="BW151" s="1228"/>
      <c r="BX151" s="1228"/>
      <c r="BY151" s="1228"/>
      <c r="BZ151" s="1228"/>
      <c r="CA151" s="1228"/>
      <c r="CB151" s="1228"/>
      <c r="CC151" s="1228"/>
      <c r="CD151" s="1228"/>
      <c r="CE151" s="1228"/>
      <c r="CF151" s="1228"/>
      <c r="CG151" s="1228"/>
      <c r="CH151" s="1228"/>
      <c r="CI151" s="1228"/>
      <c r="CJ151" s="1228"/>
      <c r="CK151" s="1228"/>
      <c r="CL151" s="1228"/>
      <c r="CM151" s="1228"/>
      <c r="CN151" s="1228"/>
      <c r="CO151" s="1228"/>
      <c r="CP151" s="1228"/>
      <c r="CQ151" s="1228"/>
      <c r="CR151" s="1228"/>
      <c r="CS151" s="1228"/>
      <c r="CT151" s="1228"/>
      <c r="CU151" s="1228"/>
      <c r="CV151" s="1228"/>
      <c r="CW151" s="1228"/>
      <c r="CX151" s="1228"/>
      <c r="CY151" s="1228"/>
      <c r="CZ151" s="1228"/>
      <c r="DA151" s="1228"/>
      <c r="DB151" s="1228"/>
      <c r="DC151" s="1228"/>
      <c r="DD151" s="1228"/>
      <c r="DE151" s="1228"/>
      <c r="DF151" s="1228"/>
      <c r="DG151" s="1228"/>
      <c r="DH151" s="1228"/>
      <c r="DI151" s="1228"/>
      <c r="DJ151" s="1228"/>
      <c r="DK151" s="1228"/>
      <c r="DL151" s="1228"/>
      <c r="DM151" s="1228"/>
      <c r="DN151" s="1228"/>
      <c r="DO151" s="1228"/>
      <c r="DP151" s="1228"/>
      <c r="DQ151" s="1228"/>
      <c r="DR151" s="1228"/>
      <c r="DS151" s="1228"/>
      <c r="DT151" s="1228"/>
      <c r="DU151" s="1228"/>
      <c r="DV151" s="1228"/>
      <c r="DW151" s="1228"/>
      <c r="DX151" s="1228"/>
      <c r="DY151" s="1228"/>
      <c r="DZ151" s="1228"/>
      <c r="EA151" s="1228"/>
      <c r="EB151" s="1228"/>
      <c r="EC151" s="1228"/>
      <c r="ED151" s="1228"/>
      <c r="EE151" s="1228"/>
      <c r="EF151" s="1228"/>
      <c r="EG151" s="1228"/>
      <c r="EH151" s="1228"/>
      <c r="EI151" s="1228"/>
      <c r="EJ151" s="1228"/>
      <c r="EK151" s="1228"/>
      <c r="EL151" s="1228"/>
      <c r="EM151" s="1228"/>
      <c r="EN151" s="1228"/>
      <c r="EO151" s="1228"/>
      <c r="EP151" s="1228"/>
      <c r="EQ151" s="1228"/>
      <c r="ER151" s="1228"/>
      <c r="ES151" s="1228"/>
      <c r="ET151" s="1228"/>
      <c r="EU151" s="1228"/>
      <c r="EV151" s="1228"/>
      <c r="EW151" s="1228"/>
      <c r="EX151" s="1228"/>
      <c r="EY151" s="1228"/>
      <c r="EZ151" s="1228"/>
      <c r="FA151" s="1228"/>
      <c r="FB151" s="1228"/>
      <c r="FC151" s="1228"/>
      <c r="FD151" s="1228"/>
      <c r="FE151" s="1228"/>
      <c r="FF151" s="1228"/>
      <c r="FG151" s="1228"/>
      <c r="FH151" s="1228"/>
      <c r="FI151" s="1228"/>
      <c r="FJ151" s="1228"/>
      <c r="FK151" s="1228"/>
      <c r="FL151" s="1228"/>
      <c r="FM151" s="1228"/>
      <c r="FN151" s="1228"/>
      <c r="FO151" s="1228"/>
      <c r="FP151" s="1228"/>
      <c r="FQ151" s="1228"/>
      <c r="FR151" s="1228"/>
      <c r="FS151" s="1228"/>
      <c r="FT151" s="1228"/>
      <c r="FU151" s="1228"/>
      <c r="FV151" s="1228"/>
      <c r="FW151" s="1228"/>
      <c r="FX151" s="1228"/>
      <c r="FY151" s="1228"/>
      <c r="FZ151" s="1228"/>
      <c r="GA151" s="1228"/>
      <c r="GB151" s="1228"/>
      <c r="GC151" s="1228"/>
      <c r="GD151" s="1228"/>
      <c r="GE151" s="1228"/>
      <c r="GF151" s="1228"/>
      <c r="GG151" s="1228"/>
      <c r="GH151" s="1228"/>
      <c r="GI151" s="1228"/>
      <c r="GJ151" s="1228"/>
      <c r="GK151" s="1228"/>
      <c r="GL151" s="1228"/>
      <c r="GM151" s="1228"/>
      <c r="GN151" s="1228"/>
      <c r="GO151" s="1228"/>
      <c r="GP151" s="1228"/>
      <c r="GQ151" s="1228"/>
      <c r="GR151" s="1228"/>
      <c r="GS151" s="1228"/>
      <c r="GT151" s="1228"/>
      <c r="GU151" s="1228"/>
      <c r="GV151" s="1228"/>
      <c r="GW151" s="1228"/>
      <c r="GX151" s="1228"/>
      <c r="GY151" s="1228"/>
      <c r="GZ151" s="1228"/>
      <c r="HA151" s="1228"/>
      <c r="HB151" s="1228"/>
      <c r="HC151" s="1228"/>
      <c r="HD151" s="1228"/>
      <c r="HE151" s="1228"/>
      <c r="HF151" s="1228"/>
      <c r="HG151" s="1228"/>
      <c r="HH151" s="1228"/>
      <c r="HI151" s="1228"/>
      <c r="HJ151" s="1228"/>
      <c r="HK151" s="1228"/>
      <c r="HL151" s="1228"/>
      <c r="HM151" s="1228"/>
      <c r="HN151" s="1228"/>
      <c r="HO151" s="1228"/>
      <c r="HP151" s="1228"/>
      <c r="HQ151" s="1228"/>
      <c r="HR151" s="1228"/>
      <c r="HS151" s="1228"/>
      <c r="HT151" s="1228"/>
      <c r="HU151" s="1228"/>
      <c r="HV151" s="1228"/>
      <c r="HW151" s="1228"/>
      <c r="HX151" s="1228"/>
      <c r="HY151" s="1228"/>
      <c r="HZ151" s="1228"/>
      <c r="IA151" s="1228"/>
      <c r="IB151" s="1228"/>
      <c r="IC151" s="1228"/>
      <c r="ID151" s="1228"/>
      <c r="IE151" s="1228"/>
      <c r="IF151" s="1228"/>
    </row>
    <row r="152" spans="1:240" s="1120" customFormat="1" ht="15" hidden="1" customHeight="1">
      <c r="C152" s="1227"/>
      <c r="D152" s="1227"/>
      <c r="E152" s="1227"/>
      <c r="F152" s="1227"/>
      <c r="G152" s="1227"/>
      <c r="H152" s="1227"/>
      <c r="I152" s="1227"/>
      <c r="J152" s="1227"/>
      <c r="K152" s="1227"/>
      <c r="L152" s="1227"/>
      <c r="M152" s="1227"/>
      <c r="N152" s="1227"/>
      <c r="O152" s="1227"/>
      <c r="P152" s="1227"/>
      <c r="Q152" s="1227"/>
      <c r="R152" s="1227"/>
      <c r="S152" s="1227"/>
      <c r="T152" s="1227"/>
      <c r="U152" s="1227"/>
      <c r="V152" s="1227"/>
      <c r="W152" s="1227"/>
      <c r="X152" s="1227"/>
      <c r="Y152" s="1227"/>
      <c r="Z152" s="1227"/>
      <c r="AA152" s="1227"/>
      <c r="AB152" s="1227"/>
      <c r="AC152" s="1227"/>
      <c r="AD152" s="1227"/>
      <c r="AE152" s="1227"/>
      <c r="AF152" s="1227"/>
      <c r="AG152" s="1227"/>
      <c r="AH152" s="1227"/>
      <c r="AI152" s="1227"/>
      <c r="AJ152" s="1227"/>
      <c r="AK152" s="1227"/>
      <c r="AL152" s="1227"/>
      <c r="AM152" s="1227"/>
      <c r="AN152" s="1227"/>
      <c r="AO152" s="1227"/>
      <c r="AP152" s="1227"/>
      <c r="AQ152" s="1227"/>
      <c r="AR152" s="1227"/>
      <c r="BN152" s="1228"/>
      <c r="BO152" s="1228"/>
      <c r="BP152" s="1228"/>
      <c r="BQ152" s="1228"/>
      <c r="BR152" s="1228"/>
      <c r="BS152" s="1228"/>
      <c r="BT152" s="1228"/>
      <c r="BU152" s="1228"/>
      <c r="BV152" s="1228"/>
      <c r="BW152" s="1228"/>
      <c r="BX152" s="1228"/>
      <c r="BY152" s="1228"/>
      <c r="BZ152" s="1228"/>
      <c r="CA152" s="1228"/>
      <c r="CB152" s="1228"/>
      <c r="CC152" s="1228"/>
      <c r="CD152" s="1228"/>
      <c r="CE152" s="1228"/>
      <c r="CF152" s="1228"/>
      <c r="CG152" s="1228"/>
      <c r="CH152" s="1228"/>
      <c r="CI152" s="1228"/>
      <c r="CJ152" s="1228"/>
      <c r="CK152" s="1228"/>
      <c r="CL152" s="1228"/>
      <c r="CM152" s="1228"/>
      <c r="CN152" s="1228"/>
      <c r="CO152" s="1228"/>
      <c r="CP152" s="1228"/>
      <c r="CQ152" s="1228"/>
      <c r="CR152" s="1228"/>
      <c r="CS152" s="1228"/>
      <c r="CT152" s="1228"/>
      <c r="CU152" s="1228"/>
      <c r="CV152" s="1228"/>
      <c r="CW152" s="1228"/>
      <c r="CX152" s="1228"/>
      <c r="CY152" s="1228"/>
      <c r="CZ152" s="1228"/>
      <c r="DA152" s="1228"/>
      <c r="DB152" s="1228"/>
      <c r="DC152" s="1228"/>
      <c r="DD152" s="1228"/>
      <c r="DE152" s="1228"/>
      <c r="DF152" s="1228"/>
      <c r="DG152" s="1228"/>
      <c r="DH152" s="1228"/>
      <c r="DI152" s="1228"/>
      <c r="DJ152" s="1228"/>
      <c r="DK152" s="1228"/>
      <c r="DL152" s="1228"/>
      <c r="DM152" s="1228"/>
      <c r="DN152" s="1228"/>
      <c r="DO152" s="1228"/>
      <c r="DP152" s="1228"/>
      <c r="DQ152" s="1228"/>
      <c r="DR152" s="1228"/>
      <c r="DS152" s="1228"/>
      <c r="DT152" s="1228"/>
      <c r="DU152" s="1228"/>
      <c r="DV152" s="1228"/>
      <c r="DW152" s="1228"/>
      <c r="DX152" s="1228"/>
      <c r="DY152" s="1228"/>
      <c r="DZ152" s="1228"/>
      <c r="EA152" s="1228"/>
      <c r="EB152" s="1228"/>
      <c r="EC152" s="1228"/>
      <c r="ED152" s="1228"/>
      <c r="EE152" s="1228"/>
      <c r="EF152" s="1228"/>
      <c r="EG152" s="1228"/>
      <c r="EH152" s="1228"/>
      <c r="EI152" s="1228"/>
      <c r="EJ152" s="1228"/>
      <c r="EK152" s="1228"/>
      <c r="EL152" s="1228"/>
      <c r="EM152" s="1228"/>
      <c r="EN152" s="1228"/>
      <c r="EO152" s="1228"/>
      <c r="EP152" s="1228"/>
      <c r="EQ152" s="1228"/>
      <c r="ER152" s="1228"/>
      <c r="ES152" s="1228"/>
      <c r="ET152" s="1228"/>
      <c r="EU152" s="1228"/>
      <c r="EV152" s="1228"/>
      <c r="EW152" s="1228"/>
      <c r="EX152" s="1228"/>
      <c r="EY152" s="1228"/>
      <c r="EZ152" s="1228"/>
      <c r="FA152" s="1228"/>
      <c r="FB152" s="1228"/>
      <c r="FC152" s="1228"/>
      <c r="FD152" s="1228"/>
      <c r="FE152" s="1228"/>
      <c r="FF152" s="1228"/>
      <c r="FG152" s="1228"/>
      <c r="FH152" s="1228"/>
      <c r="FI152" s="1228"/>
      <c r="FJ152" s="1228"/>
      <c r="FK152" s="1228"/>
      <c r="FL152" s="1228"/>
      <c r="FM152" s="1228"/>
      <c r="FN152" s="1228"/>
      <c r="FO152" s="1228"/>
      <c r="FP152" s="1228"/>
      <c r="FQ152" s="1228"/>
      <c r="FR152" s="1228"/>
      <c r="FS152" s="1228"/>
      <c r="FT152" s="1228"/>
      <c r="FU152" s="1228"/>
      <c r="FV152" s="1228"/>
      <c r="FW152" s="1228"/>
      <c r="FX152" s="1228"/>
      <c r="FY152" s="1228"/>
      <c r="FZ152" s="1228"/>
      <c r="GA152" s="1228"/>
      <c r="GB152" s="1228"/>
      <c r="GC152" s="1228"/>
      <c r="GD152" s="1228"/>
      <c r="GE152" s="1228"/>
      <c r="GF152" s="1228"/>
      <c r="GG152" s="1228"/>
      <c r="GH152" s="1228"/>
      <c r="GI152" s="1228"/>
      <c r="GJ152" s="1228"/>
      <c r="GK152" s="1228"/>
      <c r="GL152" s="1228"/>
      <c r="GM152" s="1228"/>
      <c r="GN152" s="1228"/>
      <c r="GO152" s="1228"/>
      <c r="GP152" s="1228"/>
      <c r="GQ152" s="1228"/>
      <c r="GR152" s="1228"/>
      <c r="GS152" s="1228"/>
      <c r="GT152" s="1228"/>
      <c r="GU152" s="1228"/>
      <c r="GV152" s="1228"/>
      <c r="GW152" s="1228"/>
      <c r="GX152" s="1228"/>
      <c r="GY152" s="1228"/>
      <c r="GZ152" s="1228"/>
      <c r="HA152" s="1228"/>
      <c r="HB152" s="1228"/>
      <c r="HC152" s="1228"/>
      <c r="HD152" s="1228"/>
      <c r="HE152" s="1228"/>
      <c r="HF152" s="1228"/>
      <c r="HG152" s="1228"/>
      <c r="HH152" s="1228"/>
      <c r="HI152" s="1228"/>
      <c r="HJ152" s="1228"/>
      <c r="HK152" s="1228"/>
      <c r="HL152" s="1228"/>
      <c r="HM152" s="1228"/>
      <c r="HN152" s="1228"/>
      <c r="HO152" s="1228"/>
      <c r="HP152" s="1228"/>
      <c r="HQ152" s="1228"/>
      <c r="HR152" s="1228"/>
      <c r="HS152" s="1228"/>
      <c r="HT152" s="1228"/>
      <c r="HU152" s="1228"/>
      <c r="HV152" s="1228"/>
      <c r="HW152" s="1228"/>
      <c r="HX152" s="1228"/>
      <c r="HY152" s="1228"/>
      <c r="HZ152" s="1228"/>
      <c r="IA152" s="1228"/>
      <c r="IB152" s="1228"/>
      <c r="IC152" s="1228"/>
      <c r="ID152" s="1228"/>
      <c r="IE152" s="1228"/>
      <c r="IF152" s="1228"/>
    </row>
    <row r="153" spans="1:240" s="1120" customFormat="1" ht="20.100000000000001" hidden="1" customHeight="1">
      <c r="C153" s="1227"/>
      <c r="D153" s="1227"/>
      <c r="E153" s="1227"/>
      <c r="F153" s="1227"/>
      <c r="G153" s="1227"/>
      <c r="H153" s="1227"/>
      <c r="I153" s="1227"/>
      <c r="J153" s="1227"/>
      <c r="K153" s="1227"/>
      <c r="L153" s="1227"/>
      <c r="M153" s="1227"/>
      <c r="N153" s="1227"/>
      <c r="O153" s="1227"/>
      <c r="P153" s="1227"/>
      <c r="Q153" s="1227"/>
      <c r="R153" s="1227"/>
      <c r="S153" s="1227"/>
      <c r="T153" s="1227"/>
      <c r="U153" s="1227"/>
      <c r="V153" s="1227"/>
      <c r="W153" s="1227"/>
      <c r="X153" s="1227"/>
      <c r="Y153" s="1227"/>
      <c r="Z153" s="1227"/>
      <c r="AA153" s="1227"/>
      <c r="AB153" s="1227"/>
      <c r="AC153" s="1227"/>
      <c r="AD153" s="1227"/>
      <c r="AE153" s="1227"/>
      <c r="AF153" s="1227"/>
      <c r="AG153" s="1227"/>
      <c r="AH153" s="1227"/>
      <c r="AI153" s="1227"/>
      <c r="AJ153" s="1227"/>
      <c r="AK153" s="1227"/>
      <c r="AL153" s="1227"/>
      <c r="AM153" s="1227"/>
      <c r="AN153" s="1227"/>
      <c r="AO153" s="1227"/>
      <c r="AP153" s="1227"/>
      <c r="AQ153" s="1227"/>
      <c r="AR153" s="1227"/>
      <c r="BN153" s="1228"/>
      <c r="BO153" s="1232" t="s">
        <v>349</v>
      </c>
      <c r="BP153" s="1228"/>
      <c r="BQ153" s="1228"/>
      <c r="BR153" s="1228"/>
      <c r="BS153" s="1228"/>
      <c r="BT153" s="1228"/>
      <c r="BU153" s="1228"/>
      <c r="BV153" s="1228"/>
      <c r="BW153" s="1228"/>
      <c r="BX153" s="1228"/>
      <c r="BY153" s="1228"/>
      <c r="BZ153" s="1228"/>
      <c r="CA153" s="1228"/>
      <c r="CB153" s="1228"/>
      <c r="CC153" s="1228"/>
      <c r="CD153" s="1228"/>
      <c r="CE153" s="1228"/>
      <c r="CF153" s="1228"/>
      <c r="CG153" s="1228"/>
      <c r="CH153" s="1228"/>
      <c r="CI153" s="1228"/>
      <c r="CJ153" s="1228"/>
      <c r="CK153" s="1228"/>
      <c r="CL153" s="1228"/>
      <c r="CM153" s="1228"/>
      <c r="CN153" s="1228"/>
      <c r="CO153" s="1228"/>
      <c r="CP153" s="1228"/>
      <c r="CQ153" s="1228"/>
      <c r="CR153" s="1228"/>
      <c r="CS153" s="1228"/>
      <c r="CT153" s="1228"/>
      <c r="CU153" s="1228"/>
      <c r="CV153" s="1228"/>
      <c r="CW153" s="1228"/>
      <c r="CX153" s="1228"/>
      <c r="CY153" s="1228"/>
      <c r="CZ153" s="1228"/>
      <c r="DA153" s="1228"/>
      <c r="DB153" s="1228"/>
      <c r="DC153" s="1228"/>
      <c r="DD153" s="1228"/>
      <c r="DE153" s="1228"/>
      <c r="DF153" s="1228"/>
      <c r="DG153" s="1228"/>
      <c r="DH153" s="1228"/>
      <c r="DI153" s="1228"/>
      <c r="DJ153" s="1228"/>
      <c r="DK153" s="1228"/>
      <c r="DL153" s="1228"/>
      <c r="DM153" s="1228"/>
      <c r="DN153" s="1228"/>
      <c r="DO153" s="1228"/>
      <c r="DP153" s="1228"/>
      <c r="DQ153" s="1228"/>
      <c r="DR153" s="1228"/>
      <c r="DS153" s="1228"/>
      <c r="DT153" s="1228"/>
      <c r="DU153" s="1228"/>
      <c r="DV153" s="1228"/>
      <c r="DW153" s="1228"/>
      <c r="DX153" s="1228"/>
      <c r="DY153" s="1228"/>
      <c r="DZ153" s="1228"/>
      <c r="EA153" s="1228"/>
      <c r="EB153" s="1228"/>
      <c r="EC153" s="1228"/>
      <c r="ED153" s="1228"/>
      <c r="EE153" s="1228"/>
      <c r="EF153" s="1228"/>
      <c r="EG153" s="1228"/>
      <c r="EH153" s="1228"/>
      <c r="EI153" s="1228"/>
      <c r="EJ153" s="1228"/>
      <c r="EK153" s="1228"/>
      <c r="EL153" s="1228"/>
      <c r="EM153" s="1228"/>
      <c r="EN153" s="1228"/>
      <c r="EO153" s="1228"/>
      <c r="EP153" s="1228"/>
      <c r="EQ153" s="1228"/>
      <c r="ER153" s="1228"/>
      <c r="ES153" s="1228"/>
      <c r="ET153" s="1228"/>
      <c r="EU153" s="1228"/>
      <c r="EV153" s="1228"/>
      <c r="EW153" s="1228"/>
      <c r="EX153" s="1228"/>
      <c r="EY153" s="1228"/>
      <c r="EZ153" s="1228"/>
      <c r="FA153" s="1228"/>
      <c r="FB153" s="1228"/>
      <c r="FC153" s="1228"/>
      <c r="FD153" s="1228"/>
      <c r="FE153" s="1228"/>
      <c r="FF153" s="1228"/>
      <c r="FG153" s="1228"/>
      <c r="FH153" s="1228"/>
      <c r="FI153" s="1228"/>
      <c r="FJ153" s="1228"/>
      <c r="FK153" s="1228"/>
      <c r="FL153" s="1228"/>
      <c r="FM153" s="1228"/>
      <c r="FN153" s="1228"/>
      <c r="FO153" s="1228"/>
      <c r="FP153" s="1228"/>
      <c r="FQ153" s="1228"/>
      <c r="FR153" s="1228"/>
      <c r="FS153" s="1228"/>
      <c r="FT153" s="1228"/>
      <c r="FU153" s="1228"/>
      <c r="FV153" s="1228"/>
      <c r="FW153" s="1228"/>
      <c r="FX153" s="1228"/>
      <c r="FY153" s="1228"/>
      <c r="FZ153" s="1228"/>
      <c r="GA153" s="1228"/>
      <c r="GB153" s="1228"/>
      <c r="GC153" s="1228"/>
      <c r="GD153" s="1228"/>
      <c r="GE153" s="1228"/>
      <c r="GF153" s="1228"/>
      <c r="GG153" s="1228"/>
      <c r="GH153" s="1228"/>
      <c r="GI153" s="1228"/>
      <c r="GJ153" s="1228"/>
      <c r="GK153" s="1228"/>
      <c r="GL153" s="1228"/>
      <c r="GM153" s="1228"/>
      <c r="GN153" s="1228"/>
      <c r="GO153" s="1228"/>
      <c r="GP153" s="1228"/>
      <c r="GQ153" s="1228"/>
      <c r="GR153" s="1228"/>
      <c r="GS153" s="1228"/>
      <c r="GT153" s="1228"/>
      <c r="GU153" s="1228"/>
      <c r="GV153" s="1228"/>
      <c r="GW153" s="1228"/>
      <c r="GX153" s="1228"/>
      <c r="GY153" s="1228"/>
      <c r="GZ153" s="1228"/>
      <c r="HA153" s="1228"/>
      <c r="HB153" s="1228"/>
      <c r="HC153" s="1228"/>
      <c r="HD153" s="1228"/>
      <c r="HE153" s="1228"/>
      <c r="HF153" s="1228"/>
      <c r="HG153" s="1228"/>
      <c r="HH153" s="1228"/>
      <c r="HI153" s="1228"/>
      <c r="HJ153" s="1228"/>
      <c r="HK153" s="1228"/>
      <c r="HL153" s="1228"/>
      <c r="HM153" s="1228"/>
      <c r="HN153" s="1228"/>
      <c r="HO153" s="1228"/>
      <c r="HP153" s="1228"/>
      <c r="HQ153" s="1228"/>
      <c r="HR153" s="1228"/>
      <c r="HS153" s="1228"/>
      <c r="HT153" s="1228"/>
      <c r="HU153" s="1228"/>
      <c r="HV153" s="1228"/>
      <c r="HW153" s="1228"/>
      <c r="HX153" s="1228"/>
      <c r="HY153" s="1228"/>
      <c r="HZ153" s="1228"/>
      <c r="IA153" s="1228"/>
      <c r="IB153" s="1228"/>
      <c r="IC153" s="1228"/>
      <c r="ID153" s="1228"/>
      <c r="IE153" s="1228"/>
      <c r="IF153" s="1228"/>
    </row>
    <row r="154" spans="1:240" s="1120" customFormat="1" ht="9.9499999999999993" hidden="1" customHeight="1" thickBot="1">
      <c r="C154" s="1227"/>
      <c r="D154" s="1227"/>
      <c r="E154" s="1227"/>
      <c r="F154" s="1227"/>
      <c r="G154" s="1227"/>
      <c r="H154" s="1227"/>
      <c r="I154" s="1227"/>
      <c r="J154" s="1227"/>
      <c r="K154" s="1227"/>
      <c r="L154" s="1227"/>
      <c r="M154" s="1227"/>
      <c r="N154" s="1227"/>
      <c r="O154" s="1227"/>
      <c r="P154" s="1227"/>
      <c r="Q154" s="1227"/>
      <c r="R154" s="1227"/>
      <c r="S154" s="1227"/>
      <c r="T154" s="1227"/>
      <c r="U154" s="1227"/>
      <c r="V154" s="1227"/>
      <c r="W154" s="1227"/>
      <c r="X154" s="1227"/>
      <c r="Y154" s="1227"/>
      <c r="Z154" s="1227"/>
      <c r="AA154" s="1227"/>
      <c r="AB154" s="1227"/>
      <c r="AC154" s="1227"/>
      <c r="AD154" s="1227"/>
      <c r="AE154" s="1227"/>
      <c r="AF154" s="1227"/>
      <c r="AG154" s="1227"/>
      <c r="AH154" s="1227"/>
      <c r="AI154" s="1227"/>
      <c r="AJ154" s="1227"/>
      <c r="AK154" s="1227"/>
      <c r="AL154" s="1227"/>
      <c r="AM154" s="1227"/>
      <c r="AN154" s="1227"/>
      <c r="AO154" s="1227"/>
      <c r="AP154" s="1227"/>
      <c r="AQ154" s="1227"/>
      <c r="AR154" s="1227"/>
      <c r="BN154" s="1228"/>
      <c r="BO154" s="1228"/>
      <c r="BP154" s="1228"/>
      <c r="BQ154" s="1228"/>
      <c r="BR154" s="1228"/>
      <c r="BS154" s="1228"/>
      <c r="BT154" s="1228"/>
      <c r="BU154" s="1228"/>
      <c r="BV154" s="1228"/>
      <c r="BW154" s="1228"/>
      <c r="BX154" s="1228"/>
      <c r="BY154" s="1228"/>
      <c r="BZ154" s="1228"/>
      <c r="CA154" s="1228"/>
      <c r="CB154" s="1228"/>
      <c r="CC154" s="1228"/>
      <c r="CD154" s="1228"/>
      <c r="CE154" s="1228"/>
      <c r="CF154" s="1228"/>
      <c r="CG154" s="1228"/>
      <c r="CH154" s="1228"/>
      <c r="CI154" s="1228"/>
      <c r="CJ154" s="1228"/>
      <c r="CK154" s="1228"/>
      <c r="CL154" s="1228"/>
      <c r="CM154" s="1228"/>
      <c r="CN154" s="1228"/>
      <c r="CO154" s="1228"/>
      <c r="CP154" s="1228"/>
      <c r="CQ154" s="1228"/>
      <c r="CR154" s="1228"/>
      <c r="CS154" s="1228"/>
      <c r="CT154" s="1228"/>
      <c r="CU154" s="1228"/>
      <c r="CV154" s="1228"/>
      <c r="CW154" s="1228"/>
      <c r="CX154" s="1228"/>
      <c r="CY154" s="1228"/>
      <c r="CZ154" s="1228"/>
      <c r="DA154" s="1228"/>
      <c r="DB154" s="1228"/>
      <c r="DC154" s="1228"/>
      <c r="DD154" s="1228"/>
      <c r="DE154" s="1228"/>
      <c r="DF154" s="1228"/>
      <c r="DG154" s="1228"/>
      <c r="DH154" s="1228"/>
      <c r="DI154" s="1228"/>
      <c r="DJ154" s="1228"/>
      <c r="DK154" s="1228"/>
      <c r="DL154" s="1228"/>
      <c r="DM154" s="1228"/>
      <c r="DN154" s="1228"/>
      <c r="DO154" s="1228"/>
      <c r="DP154" s="1228"/>
      <c r="DQ154" s="1228"/>
      <c r="DR154" s="1228"/>
      <c r="DS154" s="1228"/>
      <c r="DT154" s="1228"/>
      <c r="DU154" s="1228"/>
      <c r="DV154" s="1228"/>
      <c r="DW154" s="1228"/>
      <c r="DX154" s="1228"/>
      <c r="DY154" s="1228"/>
      <c r="DZ154" s="1228"/>
      <c r="EA154" s="1228"/>
      <c r="EB154" s="1228"/>
      <c r="EC154" s="1228"/>
      <c r="ED154" s="1228"/>
      <c r="EE154" s="1228"/>
      <c r="EF154" s="1228"/>
      <c r="EG154" s="1228"/>
      <c r="EH154" s="1228"/>
      <c r="EI154" s="1228"/>
      <c r="EJ154" s="1228"/>
      <c r="EK154" s="1228"/>
      <c r="EL154" s="1228"/>
      <c r="EM154" s="1228"/>
      <c r="EN154" s="1228"/>
      <c r="EO154" s="1228"/>
      <c r="EP154" s="1228"/>
      <c r="EQ154" s="1228"/>
      <c r="ER154" s="1228"/>
      <c r="ES154" s="1228"/>
      <c r="ET154" s="1228"/>
      <c r="EU154" s="1228"/>
      <c r="EV154" s="1228"/>
      <c r="EW154" s="1228"/>
      <c r="EX154" s="1228"/>
      <c r="EY154" s="1228"/>
      <c r="EZ154" s="1228"/>
      <c r="FA154" s="1228"/>
      <c r="FB154" s="1228"/>
      <c r="FC154" s="1228"/>
      <c r="FD154" s="1228"/>
      <c r="FE154" s="1228"/>
      <c r="FF154" s="1228"/>
      <c r="FG154" s="1228"/>
      <c r="FH154" s="1228"/>
      <c r="FI154" s="1228"/>
      <c r="FJ154" s="1228"/>
      <c r="FK154" s="1228"/>
      <c r="FL154" s="1228"/>
      <c r="FM154" s="1228"/>
      <c r="FN154" s="1228"/>
      <c r="FO154" s="1228"/>
      <c r="FP154" s="1228"/>
      <c r="FQ154" s="1228"/>
      <c r="FR154" s="1228"/>
      <c r="FS154" s="1228"/>
      <c r="FT154" s="1228"/>
      <c r="FU154" s="1228"/>
      <c r="FV154" s="1228"/>
      <c r="FW154" s="1228"/>
      <c r="FX154" s="1228"/>
      <c r="FY154" s="1228"/>
      <c r="FZ154" s="1228"/>
      <c r="GA154" s="1228"/>
      <c r="GB154" s="1228"/>
      <c r="GC154" s="1228"/>
      <c r="GD154" s="1228"/>
      <c r="GE154" s="1228"/>
      <c r="GF154" s="1228"/>
      <c r="GG154" s="1228"/>
      <c r="GH154" s="1228"/>
      <c r="GI154" s="1228"/>
      <c r="GJ154" s="1228"/>
      <c r="GK154" s="1228"/>
      <c r="GL154" s="1228"/>
      <c r="GM154" s="1228"/>
      <c r="GN154" s="1228"/>
      <c r="GO154" s="1228"/>
      <c r="GP154" s="1228"/>
      <c r="GQ154" s="1228"/>
      <c r="GR154" s="1228"/>
      <c r="GS154" s="1228"/>
      <c r="GT154" s="1228"/>
      <c r="GU154" s="1228"/>
      <c r="GV154" s="1228"/>
      <c r="GW154" s="1228"/>
      <c r="GX154" s="1228"/>
      <c r="GY154" s="1228"/>
      <c r="GZ154" s="1228"/>
      <c r="HA154" s="1228"/>
      <c r="HB154" s="1228"/>
      <c r="HC154" s="1228"/>
      <c r="HD154" s="1228"/>
      <c r="HE154" s="1228"/>
      <c r="HF154" s="1228"/>
      <c r="HG154" s="1228"/>
      <c r="HH154" s="1228"/>
      <c r="HI154" s="1228"/>
      <c r="HJ154" s="1228"/>
      <c r="HK154" s="1228"/>
      <c r="HL154" s="1228"/>
      <c r="HM154" s="1228"/>
      <c r="HN154" s="1228"/>
      <c r="HO154" s="1228"/>
      <c r="HP154" s="1228"/>
      <c r="HQ154" s="1228"/>
      <c r="HR154" s="1228"/>
      <c r="HS154" s="1228"/>
      <c r="HT154" s="1228"/>
      <c r="HU154" s="1228"/>
      <c r="HV154" s="1228"/>
      <c r="HW154" s="1228"/>
      <c r="HX154" s="1228"/>
      <c r="HY154" s="1228"/>
      <c r="HZ154" s="1228"/>
      <c r="IA154" s="1228"/>
      <c r="IB154" s="1228"/>
      <c r="IC154" s="1228"/>
      <c r="ID154" s="1228"/>
      <c r="IE154" s="1228"/>
      <c r="IF154" s="1228"/>
    </row>
    <row r="155" spans="1:240" s="1120" customFormat="1" ht="60" hidden="1" customHeight="1">
      <c r="BN155" s="1228"/>
      <c r="BO155" s="1233" t="s">
        <v>257</v>
      </c>
      <c r="BP155" s="1234" t="s">
        <v>258</v>
      </c>
      <c r="BQ155" s="1235" t="s">
        <v>259</v>
      </c>
      <c r="BR155" s="1228"/>
      <c r="BS155" s="1228"/>
      <c r="BT155" s="1228"/>
      <c r="BU155" s="1228"/>
      <c r="BV155" s="1228"/>
      <c r="BW155" s="1228"/>
      <c r="BX155" s="1228"/>
      <c r="BY155" s="1228"/>
      <c r="BZ155" s="1228"/>
      <c r="CA155" s="1228"/>
      <c r="CB155" s="1228"/>
      <c r="CC155" s="1228"/>
      <c r="CD155" s="1228"/>
      <c r="CE155" s="1228"/>
      <c r="CF155" s="1228"/>
      <c r="CG155" s="1228"/>
      <c r="CH155" s="1228"/>
      <c r="CI155" s="1228"/>
      <c r="CJ155" s="1228"/>
      <c r="CK155" s="1228"/>
      <c r="CL155" s="1228"/>
      <c r="CM155" s="1228"/>
      <c r="CN155" s="1228"/>
      <c r="CO155" s="1228"/>
      <c r="CP155" s="1228"/>
      <c r="CQ155" s="1228"/>
      <c r="CR155" s="1228"/>
      <c r="CS155" s="1228"/>
      <c r="CT155" s="1228"/>
      <c r="CU155" s="1228"/>
      <c r="CV155" s="1228"/>
      <c r="CW155" s="1228"/>
      <c r="CX155" s="1228"/>
      <c r="CY155" s="1228"/>
      <c r="CZ155" s="1228"/>
      <c r="DA155" s="1228"/>
      <c r="DB155" s="1228"/>
      <c r="DC155" s="1228"/>
      <c r="DD155" s="1228"/>
      <c r="DE155" s="1228"/>
      <c r="DF155" s="1228"/>
      <c r="DG155" s="1228"/>
      <c r="DH155" s="1228"/>
      <c r="DI155" s="1228"/>
      <c r="DJ155" s="1228"/>
      <c r="DK155" s="1228"/>
      <c r="DL155" s="1228"/>
      <c r="DM155" s="1228"/>
      <c r="DN155" s="1228"/>
      <c r="DO155" s="1228"/>
      <c r="DP155" s="1228"/>
      <c r="DQ155" s="1228"/>
      <c r="DR155" s="1228"/>
      <c r="DS155" s="1228"/>
      <c r="DT155" s="1228"/>
      <c r="DU155" s="1228"/>
      <c r="DV155" s="1228"/>
      <c r="DW155" s="1228"/>
      <c r="DX155" s="1228"/>
      <c r="DY155" s="1228"/>
      <c r="DZ155" s="1228"/>
      <c r="EA155" s="1228"/>
      <c r="EB155" s="1228"/>
      <c r="EC155" s="1228"/>
      <c r="ED155" s="1228"/>
      <c r="EE155" s="1228"/>
      <c r="EF155" s="1228"/>
      <c r="EG155" s="1228"/>
      <c r="EH155" s="1228"/>
      <c r="EI155" s="1228"/>
      <c r="EJ155" s="1228"/>
      <c r="EK155" s="1228"/>
      <c r="EL155" s="1228"/>
      <c r="EM155" s="1228"/>
      <c r="EN155" s="1228"/>
      <c r="EO155" s="1228"/>
      <c r="EP155" s="1228"/>
      <c r="EQ155" s="1228"/>
      <c r="ER155" s="1228"/>
      <c r="ES155" s="1228"/>
      <c r="ET155" s="1228"/>
      <c r="EU155" s="1228"/>
      <c r="EV155" s="1228"/>
      <c r="EW155" s="1228"/>
      <c r="EX155" s="1228"/>
      <c r="EY155" s="1228"/>
      <c r="EZ155" s="1228"/>
      <c r="FA155" s="1228"/>
      <c r="FB155" s="1228"/>
      <c r="FC155" s="1228"/>
      <c r="FD155" s="1228"/>
      <c r="FE155" s="1228"/>
      <c r="FF155" s="1228"/>
      <c r="FG155" s="1228"/>
      <c r="FH155" s="1228"/>
      <c r="FI155" s="1228"/>
      <c r="FJ155" s="1228"/>
      <c r="FK155" s="1228"/>
      <c r="FL155" s="1228"/>
      <c r="FM155" s="1228"/>
      <c r="FN155" s="1228"/>
      <c r="FO155" s="1228"/>
      <c r="FP155" s="1228"/>
      <c r="FQ155" s="1228"/>
      <c r="FR155" s="1228"/>
      <c r="FS155" s="1228"/>
      <c r="FT155" s="1228"/>
      <c r="FU155" s="1228"/>
      <c r="FV155" s="1228"/>
      <c r="FW155" s="1228"/>
      <c r="FX155" s="1228"/>
      <c r="FY155" s="1228"/>
      <c r="FZ155" s="1228"/>
      <c r="GA155" s="1228"/>
      <c r="GB155" s="1228"/>
      <c r="GC155" s="1228"/>
      <c r="GD155" s="1228"/>
      <c r="GE155" s="1228"/>
      <c r="GF155" s="1228"/>
      <c r="GG155" s="1228"/>
      <c r="GH155" s="1228"/>
      <c r="GI155" s="1228"/>
      <c r="GJ155" s="1228"/>
      <c r="GK155" s="1228"/>
      <c r="GL155" s="1228"/>
      <c r="GM155" s="1228"/>
      <c r="GN155" s="1228"/>
      <c r="GO155" s="1228"/>
      <c r="GP155" s="1228"/>
      <c r="GQ155" s="1228"/>
      <c r="GR155" s="1228"/>
      <c r="GS155" s="1228"/>
      <c r="GT155" s="1228"/>
      <c r="GU155" s="1228"/>
      <c r="GV155" s="1228"/>
      <c r="GW155" s="1228"/>
      <c r="GX155" s="1228"/>
      <c r="GY155" s="1228"/>
      <c r="GZ155" s="1228"/>
      <c r="HA155" s="1228"/>
      <c r="HB155" s="1228"/>
      <c r="HC155" s="1228"/>
      <c r="HD155" s="1228"/>
      <c r="HE155" s="1228"/>
      <c r="HF155" s="1228"/>
      <c r="HG155" s="1228"/>
      <c r="HH155" s="1228"/>
      <c r="HI155" s="1228"/>
      <c r="HJ155" s="1228"/>
      <c r="HK155" s="1228"/>
      <c r="HL155" s="1228"/>
      <c r="HM155" s="1228"/>
      <c r="HN155" s="1228"/>
      <c r="HO155" s="1228"/>
      <c r="HP155" s="1228"/>
      <c r="HQ155" s="1228"/>
      <c r="HR155" s="1228"/>
      <c r="HS155" s="1228"/>
      <c r="HT155" s="1228"/>
      <c r="HU155" s="1228"/>
      <c r="HV155" s="1228"/>
      <c r="HW155" s="1228"/>
      <c r="HX155" s="1228"/>
      <c r="HY155" s="1228"/>
      <c r="HZ155" s="1228"/>
      <c r="IA155" s="1228"/>
      <c r="IB155" s="1228"/>
      <c r="IC155" s="1228"/>
      <c r="ID155" s="1228"/>
      <c r="IE155" s="1228"/>
      <c r="IF155" s="1228"/>
    </row>
    <row r="156" spans="1:240" s="1120" customFormat="1" ht="24.95" hidden="1" customHeight="1">
      <c r="BN156" s="1228"/>
      <c r="BO156" s="1236"/>
      <c r="BP156" s="1151" t="s">
        <v>17</v>
      </c>
      <c r="BQ156" s="1153" t="s">
        <v>17</v>
      </c>
      <c r="BR156" s="1228"/>
      <c r="BS156" s="1228"/>
      <c r="BT156" s="1228"/>
      <c r="BU156" s="1228"/>
      <c r="BV156" s="1228"/>
      <c r="BW156" s="1228"/>
      <c r="BX156" s="1228"/>
      <c r="BY156" s="1228"/>
      <c r="BZ156" s="1228"/>
      <c r="CA156" s="1228"/>
      <c r="CB156" s="1228"/>
      <c r="CC156" s="1228"/>
      <c r="CD156" s="1228"/>
      <c r="CE156" s="1228"/>
      <c r="CF156" s="1228"/>
      <c r="CG156" s="1228"/>
      <c r="CH156" s="1228"/>
      <c r="CI156" s="1228"/>
      <c r="CJ156" s="1228"/>
      <c r="CK156" s="1228"/>
      <c r="CL156" s="1228"/>
      <c r="CM156" s="1228"/>
      <c r="CN156" s="1228"/>
      <c r="CO156" s="1228"/>
      <c r="CP156" s="1228"/>
      <c r="CQ156" s="1228"/>
      <c r="CR156" s="1228"/>
      <c r="CS156" s="1228"/>
      <c r="CT156" s="1228"/>
      <c r="CU156" s="1228"/>
      <c r="CV156" s="1228"/>
      <c r="CW156" s="1228"/>
      <c r="CX156" s="1228"/>
      <c r="CY156" s="1228"/>
      <c r="CZ156" s="1228"/>
      <c r="DA156" s="1228"/>
      <c r="DB156" s="1228"/>
      <c r="DC156" s="1228"/>
      <c r="DD156" s="1228"/>
      <c r="DE156" s="1228"/>
      <c r="DF156" s="1228"/>
      <c r="DG156" s="1228"/>
      <c r="DH156" s="1228"/>
      <c r="DI156" s="1228"/>
      <c r="DJ156" s="1228"/>
      <c r="DK156" s="1228"/>
      <c r="DL156" s="1228"/>
      <c r="DM156" s="1228"/>
      <c r="DN156" s="1228"/>
      <c r="DO156" s="1228"/>
      <c r="DP156" s="1228"/>
      <c r="DQ156" s="1228"/>
      <c r="DR156" s="1228"/>
      <c r="DS156" s="1228"/>
      <c r="DT156" s="1228"/>
      <c r="DU156" s="1228"/>
      <c r="DV156" s="1228"/>
      <c r="DW156" s="1228"/>
      <c r="DX156" s="1228"/>
      <c r="DY156" s="1228"/>
      <c r="DZ156" s="1228"/>
      <c r="EA156" s="1228"/>
      <c r="EB156" s="1228"/>
      <c r="EC156" s="1228"/>
      <c r="ED156" s="1228"/>
      <c r="EE156" s="1228"/>
      <c r="EF156" s="1228"/>
      <c r="EG156" s="1228"/>
      <c r="EH156" s="1228"/>
      <c r="EI156" s="1228"/>
      <c r="EJ156" s="1228"/>
      <c r="EK156" s="1228"/>
      <c r="EL156" s="1228"/>
      <c r="EM156" s="1228"/>
      <c r="EN156" s="1228"/>
      <c r="EO156" s="1228"/>
      <c r="EP156" s="1228"/>
      <c r="EQ156" s="1228"/>
      <c r="ER156" s="1228"/>
      <c r="ES156" s="1228"/>
      <c r="ET156" s="1228"/>
      <c r="EU156" s="1228"/>
      <c r="EV156" s="1228"/>
      <c r="EW156" s="1228"/>
      <c r="EX156" s="1228"/>
      <c r="EY156" s="1228"/>
      <c r="EZ156" s="1228"/>
      <c r="FA156" s="1228"/>
      <c r="FB156" s="1228"/>
      <c r="FC156" s="1228"/>
      <c r="FD156" s="1228"/>
      <c r="FE156" s="1228"/>
      <c r="FF156" s="1228"/>
      <c r="FG156" s="1228"/>
      <c r="FH156" s="1228"/>
      <c r="FI156" s="1228"/>
      <c r="FJ156" s="1228"/>
      <c r="FK156" s="1228"/>
      <c r="FL156" s="1228"/>
      <c r="FM156" s="1228"/>
      <c r="FN156" s="1228"/>
      <c r="FO156" s="1228"/>
      <c r="FP156" s="1228"/>
      <c r="FQ156" s="1228"/>
      <c r="FR156" s="1228"/>
      <c r="FS156" s="1228"/>
      <c r="FT156" s="1228"/>
      <c r="FU156" s="1228"/>
      <c r="FV156" s="1228"/>
      <c r="FW156" s="1228"/>
      <c r="FX156" s="1228"/>
      <c r="FY156" s="1228"/>
      <c r="FZ156" s="1228"/>
      <c r="GA156" s="1228"/>
      <c r="GB156" s="1228"/>
      <c r="GC156" s="1228"/>
      <c r="GD156" s="1228"/>
      <c r="GE156" s="1228"/>
      <c r="GF156" s="1228"/>
      <c r="GG156" s="1228"/>
      <c r="GH156" s="1228"/>
      <c r="GI156" s="1228"/>
      <c r="GJ156" s="1228"/>
      <c r="GK156" s="1228"/>
      <c r="GL156" s="1228"/>
      <c r="GM156" s="1228"/>
      <c r="GN156" s="1228"/>
      <c r="GO156" s="1228"/>
      <c r="GP156" s="1228"/>
      <c r="GQ156" s="1228"/>
      <c r="GR156" s="1228"/>
      <c r="GS156" s="1228"/>
      <c r="GT156" s="1228"/>
      <c r="GU156" s="1228"/>
      <c r="GV156" s="1228"/>
      <c r="GW156" s="1228"/>
      <c r="GX156" s="1228"/>
      <c r="GY156" s="1228"/>
      <c r="GZ156" s="1228"/>
      <c r="HA156" s="1228"/>
      <c r="HB156" s="1228"/>
      <c r="HC156" s="1228"/>
      <c r="HD156" s="1228"/>
      <c r="HE156" s="1228"/>
      <c r="HF156" s="1228"/>
      <c r="HG156" s="1228"/>
      <c r="HH156" s="1228"/>
      <c r="HI156" s="1228"/>
      <c r="HJ156" s="1228"/>
      <c r="HK156" s="1228"/>
      <c r="HL156" s="1228"/>
      <c r="HM156" s="1228"/>
      <c r="HN156" s="1228"/>
      <c r="HO156" s="1228"/>
      <c r="HP156" s="1228"/>
      <c r="HQ156" s="1228"/>
      <c r="HR156" s="1228"/>
      <c r="HS156" s="1228"/>
      <c r="HT156" s="1228"/>
      <c r="HU156" s="1228"/>
      <c r="HV156" s="1228"/>
      <c r="HW156" s="1228"/>
      <c r="HX156" s="1228"/>
      <c r="HY156" s="1228"/>
      <c r="HZ156" s="1228"/>
      <c r="IA156" s="1228"/>
      <c r="IB156" s="1228"/>
      <c r="IC156" s="1228"/>
      <c r="ID156" s="1228"/>
      <c r="IE156" s="1228"/>
      <c r="IF156" s="1228"/>
    </row>
    <row r="157" spans="1:240" s="1120" customFormat="1" ht="24.95" hidden="1" customHeight="1">
      <c r="BH157" s="1249"/>
      <c r="BI157" s="1249"/>
      <c r="BJ157" s="1249"/>
      <c r="BK157" s="1249"/>
      <c r="BN157" s="1228"/>
      <c r="BO157" s="1237">
        <v>1</v>
      </c>
      <c r="BP157" s="1238">
        <v>2</v>
      </c>
      <c r="BQ157" s="1075">
        <v>3</v>
      </c>
      <c r="BR157" s="1228"/>
      <c r="BS157" s="1228"/>
      <c r="BT157" s="1228"/>
      <c r="BU157" s="1228"/>
      <c r="BV157" s="1228"/>
      <c r="BW157" s="1228"/>
      <c r="BX157" s="1228"/>
      <c r="BY157" s="1228"/>
      <c r="BZ157" s="1228"/>
      <c r="CA157" s="1228"/>
      <c r="CB157" s="1228"/>
      <c r="CC157" s="1228"/>
      <c r="CD157" s="1228"/>
      <c r="CE157" s="1228"/>
      <c r="CF157" s="1228"/>
      <c r="CG157" s="1228"/>
      <c r="CH157" s="1228"/>
      <c r="CI157" s="1228"/>
      <c r="CJ157" s="1228"/>
      <c r="CK157" s="1228"/>
      <c r="CL157" s="1228"/>
      <c r="CM157" s="1228"/>
      <c r="CN157" s="1228"/>
      <c r="CO157" s="1228"/>
      <c r="CP157" s="1228"/>
      <c r="CQ157" s="1228"/>
      <c r="CR157" s="1228"/>
      <c r="CS157" s="1228"/>
      <c r="CT157" s="1228"/>
      <c r="CU157" s="1228"/>
      <c r="CV157" s="1228"/>
      <c r="CW157" s="1228"/>
      <c r="CX157" s="1228"/>
      <c r="CY157" s="1228"/>
      <c r="CZ157" s="1228"/>
      <c r="DA157" s="1228"/>
      <c r="DB157" s="1228"/>
      <c r="DC157" s="1228"/>
      <c r="DD157" s="1228"/>
      <c r="DE157" s="1228"/>
      <c r="DF157" s="1228"/>
      <c r="DG157" s="1228"/>
      <c r="DH157" s="1228"/>
      <c r="DI157" s="1228"/>
      <c r="DJ157" s="1228"/>
      <c r="DK157" s="1228"/>
      <c r="DL157" s="1228"/>
      <c r="DM157" s="1228"/>
      <c r="DN157" s="1228"/>
      <c r="DO157" s="1228"/>
      <c r="DP157" s="1228"/>
      <c r="DQ157" s="1228"/>
      <c r="DR157" s="1228"/>
      <c r="DS157" s="1228"/>
      <c r="DT157" s="1228"/>
      <c r="DU157" s="1228"/>
      <c r="DV157" s="1228"/>
      <c r="DW157" s="1228"/>
      <c r="DX157" s="1228"/>
      <c r="DY157" s="1228"/>
      <c r="DZ157" s="1228"/>
      <c r="EA157" s="1228"/>
      <c r="EB157" s="1228"/>
      <c r="EC157" s="1228"/>
      <c r="ED157" s="1228"/>
      <c r="EE157" s="1228"/>
      <c r="EF157" s="1228"/>
      <c r="EG157" s="1228"/>
      <c r="EH157" s="1228"/>
      <c r="EI157" s="1228"/>
      <c r="EJ157" s="1228"/>
      <c r="EK157" s="1228"/>
      <c r="EL157" s="1228"/>
      <c r="EM157" s="1228"/>
      <c r="EN157" s="1228"/>
      <c r="EO157" s="1228"/>
      <c r="EP157" s="1228"/>
      <c r="EQ157" s="1228"/>
      <c r="ER157" s="1228"/>
      <c r="ES157" s="1228"/>
      <c r="ET157" s="1228"/>
      <c r="EU157" s="1228"/>
      <c r="EV157" s="1228"/>
      <c r="EW157" s="1228"/>
      <c r="EX157" s="1228"/>
      <c r="EY157" s="1228"/>
      <c r="EZ157" s="1228"/>
      <c r="FA157" s="1228"/>
      <c r="FB157" s="1228"/>
      <c r="FC157" s="1228"/>
      <c r="FD157" s="1228"/>
      <c r="FE157" s="1228"/>
      <c r="FF157" s="1228"/>
      <c r="FG157" s="1228"/>
      <c r="FH157" s="1228"/>
      <c r="FI157" s="1228"/>
      <c r="FJ157" s="1228"/>
      <c r="FK157" s="1228"/>
      <c r="FL157" s="1228"/>
      <c r="FM157" s="1228"/>
      <c r="FN157" s="1228"/>
      <c r="FO157" s="1228"/>
      <c r="FP157" s="1228"/>
      <c r="FQ157" s="1228"/>
      <c r="FR157" s="1228"/>
      <c r="FS157" s="1228"/>
      <c r="FT157" s="1228"/>
      <c r="FU157" s="1228"/>
      <c r="FV157" s="1228"/>
      <c r="FW157" s="1228"/>
      <c r="FX157" s="1228"/>
      <c r="FY157" s="1228"/>
      <c r="FZ157" s="1228"/>
      <c r="GA157" s="1228"/>
      <c r="GB157" s="1228"/>
      <c r="GC157" s="1228"/>
      <c r="GD157" s="1228"/>
      <c r="GE157" s="1228"/>
      <c r="GF157" s="1228"/>
      <c r="GG157" s="1228"/>
      <c r="GH157" s="1228"/>
      <c r="GI157" s="1228"/>
      <c r="GJ157" s="1228"/>
      <c r="GK157" s="1228"/>
      <c r="GL157" s="1228"/>
      <c r="GM157" s="1228"/>
      <c r="GN157" s="1228"/>
      <c r="GO157" s="1228"/>
      <c r="GP157" s="1228"/>
      <c r="GQ157" s="1228"/>
      <c r="GR157" s="1228"/>
      <c r="GS157" s="1228"/>
      <c r="GT157" s="1228"/>
      <c r="GU157" s="1228"/>
      <c r="GV157" s="1228"/>
      <c r="GW157" s="1228"/>
      <c r="GX157" s="1228"/>
      <c r="GY157" s="1228"/>
      <c r="GZ157" s="1228"/>
      <c r="HA157" s="1228"/>
      <c r="HB157" s="1228"/>
      <c r="HC157" s="1228"/>
      <c r="HD157" s="1228"/>
      <c r="HE157" s="1228"/>
      <c r="HF157" s="1228"/>
      <c r="HG157" s="1228"/>
      <c r="HH157" s="1228"/>
      <c r="HI157" s="1228"/>
      <c r="HJ157" s="1228"/>
      <c r="HK157" s="1228"/>
      <c r="HL157" s="1228"/>
      <c r="HM157" s="1228"/>
      <c r="HN157" s="1228"/>
      <c r="HO157" s="1228"/>
      <c r="HP157" s="1228"/>
      <c r="HQ157" s="1228"/>
      <c r="HR157" s="1228"/>
      <c r="HS157" s="1228"/>
      <c r="HT157" s="1228"/>
      <c r="HU157" s="1228"/>
      <c r="HV157" s="1228"/>
      <c r="HW157" s="1228"/>
      <c r="HX157" s="1228"/>
      <c r="HY157" s="1228"/>
      <c r="HZ157" s="1228"/>
      <c r="IA157" s="1228"/>
      <c r="IB157" s="1228"/>
      <c r="IC157" s="1228"/>
      <c r="ID157" s="1228"/>
      <c r="IE157" s="1228"/>
      <c r="IF157" s="1228"/>
    </row>
    <row r="158" spans="1:240" s="1120" customFormat="1" ht="24.95" hidden="1" customHeight="1">
      <c r="BH158" s="1249"/>
      <c r="BI158" s="1340"/>
      <c r="BJ158" s="1249"/>
      <c r="BK158" s="1249"/>
      <c r="BN158" s="1228"/>
      <c r="BO158" s="2482" t="s">
        <v>261</v>
      </c>
      <c r="BP158" s="1239" t="s">
        <v>60</v>
      </c>
      <c r="BQ158" s="1240">
        <v>20</v>
      </c>
      <c r="BR158" s="1228"/>
      <c r="BS158" s="1228"/>
      <c r="BT158" s="1228"/>
      <c r="BU158" s="1228"/>
      <c r="BV158" s="1228"/>
      <c r="BW158" s="1228"/>
      <c r="BX158" s="1228"/>
      <c r="BY158" s="1228"/>
      <c r="BZ158" s="1228"/>
      <c r="CA158" s="1228"/>
      <c r="CB158" s="1228"/>
      <c r="CC158" s="1228"/>
      <c r="CD158" s="1228"/>
      <c r="CE158" s="1228"/>
      <c r="CF158" s="1228"/>
      <c r="CG158" s="1228"/>
      <c r="CH158" s="1228"/>
      <c r="CI158" s="1228"/>
      <c r="CJ158" s="1228"/>
      <c r="CK158" s="1228"/>
      <c r="CL158" s="1228"/>
      <c r="CM158" s="1228"/>
      <c r="CN158" s="1228"/>
      <c r="CO158" s="1228"/>
      <c r="CP158" s="1228"/>
      <c r="CQ158" s="1228"/>
      <c r="CR158" s="1228"/>
      <c r="CS158" s="1228"/>
      <c r="CT158" s="1228"/>
      <c r="CU158" s="1228"/>
      <c r="CV158" s="1228"/>
      <c r="CW158" s="1228"/>
      <c r="CX158" s="1228"/>
      <c r="CY158" s="1228"/>
      <c r="CZ158" s="1228"/>
      <c r="DA158" s="1228"/>
      <c r="DB158" s="1228"/>
      <c r="DC158" s="1228"/>
      <c r="DD158" s="1228"/>
      <c r="DE158" s="1228"/>
      <c r="DF158" s="1228"/>
      <c r="DG158" s="1228"/>
      <c r="DH158" s="1228"/>
      <c r="DI158" s="1228"/>
      <c r="DJ158" s="1228"/>
      <c r="DK158" s="1228"/>
      <c r="DL158" s="1228"/>
      <c r="DM158" s="1228"/>
      <c r="DN158" s="1228"/>
      <c r="DO158" s="1228"/>
      <c r="DP158" s="1228"/>
      <c r="DQ158" s="1228"/>
      <c r="DR158" s="1228"/>
      <c r="DS158" s="1228"/>
      <c r="DT158" s="1228"/>
      <c r="DU158" s="1228"/>
      <c r="DV158" s="1228"/>
      <c r="DW158" s="1228"/>
      <c r="DX158" s="1228"/>
      <c r="DY158" s="1228"/>
      <c r="DZ158" s="1228"/>
      <c r="EA158" s="1228"/>
      <c r="EB158" s="1228"/>
      <c r="EC158" s="1228"/>
      <c r="ED158" s="1228"/>
      <c r="EE158" s="1228"/>
      <c r="EF158" s="1228"/>
      <c r="EG158" s="1228"/>
      <c r="EH158" s="1228"/>
      <c r="EI158" s="1228"/>
      <c r="EJ158" s="1228"/>
      <c r="EK158" s="1228"/>
      <c r="EL158" s="1228"/>
      <c r="EM158" s="1228"/>
      <c r="EN158" s="1228"/>
      <c r="EO158" s="1228"/>
      <c r="EP158" s="1228"/>
      <c r="EQ158" s="1228"/>
      <c r="ER158" s="1228"/>
      <c r="ES158" s="1228"/>
      <c r="ET158" s="1228"/>
      <c r="EU158" s="1228"/>
      <c r="EV158" s="1228"/>
      <c r="EW158" s="1228"/>
      <c r="EX158" s="1228"/>
      <c r="EY158" s="1228"/>
      <c r="EZ158" s="1228"/>
      <c r="FA158" s="1228"/>
      <c r="FB158" s="1228"/>
      <c r="FC158" s="1228"/>
      <c r="FD158" s="1228"/>
      <c r="FE158" s="1228"/>
      <c r="FF158" s="1228"/>
      <c r="FG158" s="1228"/>
      <c r="FH158" s="1228"/>
      <c r="FI158" s="1228"/>
      <c r="FJ158" s="1228"/>
      <c r="FK158" s="1228"/>
      <c r="FL158" s="1228"/>
      <c r="FM158" s="1228"/>
      <c r="FN158" s="1228"/>
      <c r="FO158" s="1228"/>
      <c r="FP158" s="1228"/>
      <c r="FQ158" s="1228"/>
      <c r="FR158" s="1228"/>
      <c r="FS158" s="1228"/>
      <c r="FT158" s="1228"/>
      <c r="FU158" s="1228"/>
      <c r="FV158" s="1228"/>
      <c r="FW158" s="1228"/>
      <c r="FX158" s="1228"/>
      <c r="FY158" s="1228"/>
      <c r="FZ158" s="1228"/>
      <c r="GA158" s="1228"/>
      <c r="GB158" s="1228"/>
      <c r="GC158" s="1228"/>
      <c r="GD158" s="1228"/>
      <c r="GE158" s="1228"/>
      <c r="GF158" s="1228"/>
      <c r="GG158" s="1228"/>
      <c r="GH158" s="1228"/>
      <c r="GI158" s="1228"/>
      <c r="GJ158" s="1228"/>
      <c r="GK158" s="1228"/>
      <c r="GL158" s="1228"/>
      <c r="GM158" s="1228"/>
      <c r="GN158" s="1228"/>
      <c r="GO158" s="1228"/>
      <c r="GP158" s="1228"/>
      <c r="GQ158" s="1228"/>
      <c r="GR158" s="1228"/>
      <c r="GS158" s="1228"/>
      <c r="GT158" s="1228"/>
      <c r="GU158" s="1228"/>
      <c r="GV158" s="1228"/>
      <c r="GW158" s="1228"/>
      <c r="GX158" s="1228"/>
      <c r="GY158" s="1228"/>
      <c r="GZ158" s="1228"/>
      <c r="HA158" s="1228"/>
      <c r="HB158" s="1228"/>
      <c r="HC158" s="1228"/>
      <c r="HD158" s="1228"/>
      <c r="HE158" s="1228"/>
      <c r="HF158" s="1228"/>
      <c r="HG158" s="1228"/>
      <c r="HH158" s="1228"/>
      <c r="HI158" s="1228"/>
      <c r="HJ158" s="1228"/>
      <c r="HK158" s="1228"/>
      <c r="HL158" s="1228"/>
      <c r="HM158" s="1228"/>
      <c r="HN158" s="1228"/>
      <c r="HO158" s="1228"/>
      <c r="HP158" s="1228"/>
      <c r="HQ158" s="1228"/>
      <c r="HR158" s="1228"/>
      <c r="HS158" s="1228"/>
      <c r="HT158" s="1228"/>
      <c r="HU158" s="1228"/>
      <c r="HV158" s="1228"/>
      <c r="HW158" s="1228"/>
      <c r="HX158" s="1228"/>
      <c r="HY158" s="1228"/>
      <c r="HZ158" s="1228"/>
      <c r="IA158" s="1228"/>
      <c r="IB158" s="1228"/>
      <c r="IC158" s="1228"/>
      <c r="ID158" s="1228"/>
      <c r="IE158" s="1228"/>
      <c r="IF158" s="1228"/>
    </row>
    <row r="159" spans="1:240" s="1120" customFormat="1" ht="20.100000000000001" hidden="1" customHeight="1">
      <c r="BH159" s="1249"/>
      <c r="BI159" s="1340"/>
      <c r="BJ159" s="1249"/>
      <c r="BK159" s="1249"/>
      <c r="BN159" s="1228"/>
      <c r="BO159" s="2482" t="s">
        <v>262</v>
      </c>
      <c r="BP159" s="1241" t="s">
        <v>46</v>
      </c>
      <c r="BQ159" s="1242">
        <v>75</v>
      </c>
      <c r="BR159" s="1228"/>
      <c r="BS159" s="1228"/>
      <c r="BT159" s="1228"/>
      <c r="BU159" s="1228"/>
      <c r="BV159" s="1228"/>
      <c r="BW159" s="1228"/>
      <c r="BX159" s="1228"/>
      <c r="BY159" s="1228"/>
      <c r="BZ159" s="1228"/>
      <c r="CA159" s="1228"/>
      <c r="CB159" s="1228"/>
      <c r="CC159" s="1228"/>
      <c r="CD159" s="1228"/>
      <c r="CE159" s="1228"/>
      <c r="CF159" s="1228"/>
      <c r="CG159" s="1228"/>
      <c r="CH159" s="1228"/>
      <c r="CI159" s="1228"/>
      <c r="CJ159" s="1228"/>
      <c r="CK159" s="1228"/>
      <c r="CL159" s="1228"/>
      <c r="CM159" s="1228"/>
      <c r="CN159" s="1228"/>
      <c r="CO159" s="1228"/>
      <c r="CP159" s="1228"/>
      <c r="CQ159" s="1228"/>
      <c r="CR159" s="1228"/>
      <c r="CS159" s="1228"/>
      <c r="CT159" s="1228"/>
      <c r="CU159" s="1228"/>
      <c r="CV159" s="1228"/>
      <c r="CW159" s="1228"/>
      <c r="CX159" s="1228"/>
      <c r="CY159" s="1228"/>
      <c r="CZ159" s="1228"/>
      <c r="DA159" s="1228"/>
      <c r="DB159" s="1228"/>
      <c r="DC159" s="1228"/>
      <c r="DD159" s="1228"/>
      <c r="DE159" s="1228"/>
      <c r="DF159" s="1228"/>
      <c r="DG159" s="1228"/>
      <c r="DH159" s="1228"/>
      <c r="DI159" s="1228"/>
      <c r="DJ159" s="1228"/>
      <c r="DK159" s="1228"/>
      <c r="DL159" s="1228"/>
      <c r="DM159" s="1228"/>
      <c r="DN159" s="1228"/>
      <c r="DO159" s="1228"/>
      <c r="DP159" s="1228"/>
      <c r="DQ159" s="1228"/>
      <c r="DR159" s="1228"/>
      <c r="DS159" s="1228"/>
      <c r="DT159" s="1228"/>
      <c r="DU159" s="1228"/>
      <c r="DV159" s="1228"/>
      <c r="DW159" s="1228"/>
      <c r="DX159" s="1228"/>
      <c r="DY159" s="1228"/>
      <c r="DZ159" s="1228"/>
      <c r="EA159" s="1228"/>
      <c r="EB159" s="1228"/>
      <c r="EC159" s="1228"/>
      <c r="ED159" s="1228"/>
      <c r="EE159" s="1228"/>
      <c r="EF159" s="1228"/>
      <c r="EG159" s="1228"/>
      <c r="EH159" s="1228"/>
      <c r="EI159" s="1228"/>
      <c r="EJ159" s="1228"/>
      <c r="EK159" s="1228"/>
      <c r="EL159" s="1228"/>
      <c r="EM159" s="1228"/>
      <c r="EN159" s="1228"/>
      <c r="EO159" s="1228"/>
      <c r="EP159" s="1228"/>
      <c r="EQ159" s="1228"/>
      <c r="ER159" s="1228"/>
      <c r="ES159" s="1228"/>
      <c r="ET159" s="1228"/>
      <c r="EU159" s="1228"/>
      <c r="EV159" s="1228"/>
      <c r="EW159" s="1228"/>
      <c r="EX159" s="1228"/>
      <c r="EY159" s="1228"/>
      <c r="EZ159" s="1228"/>
      <c r="FA159" s="1228"/>
      <c r="FB159" s="1228"/>
      <c r="FC159" s="1228"/>
      <c r="FD159" s="1228"/>
      <c r="FE159" s="1228"/>
      <c r="FF159" s="1228"/>
      <c r="FG159" s="1228"/>
      <c r="FH159" s="1228"/>
      <c r="FI159" s="1228"/>
      <c r="FJ159" s="1228"/>
      <c r="FK159" s="1228"/>
      <c r="FL159" s="1228"/>
      <c r="FM159" s="1228"/>
      <c r="FN159" s="1228"/>
      <c r="FO159" s="1228"/>
      <c r="FP159" s="1228"/>
      <c r="FQ159" s="1228"/>
      <c r="FR159" s="1228"/>
      <c r="FS159" s="1228"/>
      <c r="FT159" s="1228"/>
      <c r="FU159" s="1228"/>
      <c r="FV159" s="1228"/>
      <c r="FW159" s="1228"/>
      <c r="FX159" s="1228"/>
      <c r="FY159" s="1228"/>
      <c r="FZ159" s="1228"/>
      <c r="GA159" s="1228"/>
      <c r="GB159" s="1228"/>
      <c r="GC159" s="1228"/>
      <c r="GD159" s="1228"/>
      <c r="GE159" s="1228"/>
      <c r="GF159" s="1228"/>
      <c r="GG159" s="1228"/>
      <c r="GH159" s="1228"/>
      <c r="GI159" s="1228"/>
      <c r="GJ159" s="1228"/>
      <c r="GK159" s="1228"/>
      <c r="GL159" s="1228"/>
      <c r="GM159" s="1228"/>
      <c r="GN159" s="1228"/>
      <c r="GO159" s="1228"/>
      <c r="GP159" s="1228"/>
      <c r="GQ159" s="1228"/>
      <c r="GR159" s="1228"/>
      <c r="GS159" s="1228"/>
      <c r="GT159" s="1228"/>
      <c r="GU159" s="1228"/>
      <c r="GV159" s="1228"/>
      <c r="GW159" s="1228"/>
      <c r="GX159" s="1228"/>
      <c r="GY159" s="1228"/>
      <c r="GZ159" s="1228"/>
      <c r="HA159" s="1228"/>
      <c r="HB159" s="1228"/>
      <c r="HC159" s="1228"/>
      <c r="HD159" s="1228"/>
      <c r="HE159" s="1228"/>
      <c r="HF159" s="1228"/>
      <c r="HG159" s="1228"/>
      <c r="HH159" s="1228"/>
      <c r="HI159" s="1228"/>
      <c r="HJ159" s="1228"/>
      <c r="HK159" s="1228"/>
      <c r="HL159" s="1228"/>
      <c r="HM159" s="1228"/>
      <c r="HN159" s="1228"/>
      <c r="HO159" s="1228"/>
      <c r="HP159" s="1228"/>
      <c r="HQ159" s="1228"/>
      <c r="HR159" s="1228"/>
      <c r="HS159" s="1228"/>
      <c r="HT159" s="1228"/>
      <c r="HU159" s="1228"/>
      <c r="HV159" s="1228"/>
      <c r="HW159" s="1228"/>
      <c r="HX159" s="1228"/>
      <c r="HY159" s="1228"/>
      <c r="HZ159" s="1228"/>
      <c r="IA159" s="1228"/>
      <c r="IB159" s="1228"/>
      <c r="IC159" s="1228"/>
      <c r="ID159" s="1228"/>
      <c r="IE159" s="1228"/>
      <c r="IF159" s="1228"/>
    </row>
    <row r="160" spans="1:240" s="1120" customFormat="1" ht="20.100000000000001" hidden="1" customHeight="1">
      <c r="BH160" s="1249"/>
      <c r="BI160" s="1340"/>
      <c r="BJ160" s="1249"/>
      <c r="BK160" s="1249"/>
      <c r="BN160" s="1228"/>
      <c r="BO160" s="2482" t="s">
        <v>263</v>
      </c>
      <c r="BP160" s="1241" t="s">
        <v>54</v>
      </c>
      <c r="BQ160" s="1242">
        <v>20</v>
      </c>
      <c r="BR160" s="1228"/>
      <c r="BS160" s="1228"/>
      <c r="BT160" s="1228"/>
      <c r="BU160" s="1228"/>
      <c r="BV160" s="1228"/>
      <c r="BW160" s="1228"/>
      <c r="BX160" s="1228"/>
      <c r="BY160" s="1228"/>
      <c r="BZ160" s="1228"/>
      <c r="CA160" s="1228"/>
      <c r="CB160" s="1228"/>
      <c r="CC160" s="1228"/>
      <c r="CD160" s="1228"/>
      <c r="CE160" s="1228"/>
      <c r="CF160" s="1228"/>
      <c r="CG160" s="1228"/>
      <c r="CH160" s="1228"/>
      <c r="CI160" s="1228"/>
      <c r="CJ160" s="1228"/>
      <c r="CK160" s="1228"/>
      <c r="CL160" s="1228"/>
      <c r="CM160" s="1228"/>
      <c r="CN160" s="1228"/>
      <c r="CO160" s="1228"/>
      <c r="CP160" s="1228"/>
      <c r="CQ160" s="1228"/>
      <c r="CR160" s="1228"/>
      <c r="CS160" s="1228"/>
      <c r="CT160" s="1228"/>
      <c r="CU160" s="1228"/>
      <c r="CV160" s="1228"/>
      <c r="CW160" s="1228"/>
      <c r="CX160" s="1228"/>
      <c r="CY160" s="1228"/>
      <c r="CZ160" s="1228"/>
      <c r="DA160" s="1228"/>
      <c r="DB160" s="1228"/>
      <c r="DC160" s="1228"/>
      <c r="DD160" s="1228"/>
      <c r="DE160" s="1228"/>
      <c r="DF160" s="1228"/>
      <c r="DG160" s="1228"/>
      <c r="DH160" s="1228"/>
      <c r="DI160" s="1228"/>
      <c r="DJ160" s="1228"/>
      <c r="DK160" s="1228"/>
      <c r="DL160" s="1228"/>
      <c r="DM160" s="1228"/>
      <c r="DN160" s="1228"/>
      <c r="DO160" s="1228"/>
      <c r="DP160" s="1228"/>
      <c r="DQ160" s="1228"/>
      <c r="DR160" s="1228"/>
      <c r="DS160" s="1228"/>
      <c r="DT160" s="1228"/>
      <c r="DU160" s="1228"/>
      <c r="DV160" s="1228"/>
      <c r="DW160" s="1228"/>
      <c r="DX160" s="1228"/>
      <c r="DY160" s="1228"/>
      <c r="DZ160" s="1228"/>
      <c r="EA160" s="1228"/>
      <c r="EB160" s="1228"/>
      <c r="EC160" s="1228"/>
      <c r="ED160" s="1228"/>
      <c r="EE160" s="1228"/>
      <c r="EF160" s="1228"/>
      <c r="EG160" s="1228"/>
      <c r="EH160" s="1228"/>
      <c r="EI160" s="1228"/>
      <c r="EJ160" s="1228"/>
      <c r="EK160" s="1228"/>
      <c r="EL160" s="1228"/>
      <c r="EM160" s="1228"/>
      <c r="EN160" s="1228"/>
      <c r="EO160" s="1228"/>
      <c r="EP160" s="1228"/>
      <c r="EQ160" s="1228"/>
      <c r="ER160" s="1228"/>
      <c r="ES160" s="1228"/>
      <c r="ET160" s="1228"/>
      <c r="EU160" s="1228"/>
      <c r="EV160" s="1228"/>
      <c r="EW160" s="1228"/>
      <c r="EX160" s="1228"/>
      <c r="EY160" s="1228"/>
      <c r="EZ160" s="1228"/>
      <c r="FA160" s="1228"/>
      <c r="FB160" s="1228"/>
      <c r="FC160" s="1228"/>
      <c r="FD160" s="1228"/>
      <c r="FE160" s="1228"/>
      <c r="FF160" s="1228"/>
      <c r="FG160" s="1228"/>
      <c r="FH160" s="1228"/>
      <c r="FI160" s="1228"/>
      <c r="FJ160" s="1228"/>
      <c r="FK160" s="1228"/>
      <c r="FL160" s="1228"/>
      <c r="FM160" s="1228"/>
      <c r="FN160" s="1228"/>
      <c r="FO160" s="1228"/>
      <c r="FP160" s="1228"/>
      <c r="FQ160" s="1228"/>
      <c r="FR160" s="1228"/>
      <c r="FS160" s="1228"/>
      <c r="FT160" s="1228"/>
      <c r="FU160" s="1228"/>
      <c r="FV160" s="1228"/>
      <c r="FW160" s="1228"/>
      <c r="FX160" s="1228"/>
      <c r="FY160" s="1228"/>
      <c r="FZ160" s="1228"/>
      <c r="GA160" s="1228"/>
      <c r="GB160" s="1228"/>
      <c r="GC160" s="1228"/>
      <c r="GD160" s="1228"/>
      <c r="GE160" s="1228"/>
      <c r="GF160" s="1228"/>
      <c r="GG160" s="1228"/>
      <c r="GH160" s="1228"/>
      <c r="GI160" s="1228"/>
      <c r="GJ160" s="1228"/>
      <c r="GK160" s="1228"/>
      <c r="GL160" s="1228"/>
      <c r="GM160" s="1228"/>
      <c r="GN160" s="1228"/>
      <c r="GO160" s="1228"/>
      <c r="GP160" s="1228"/>
      <c r="GQ160" s="1228"/>
      <c r="GR160" s="1228"/>
      <c r="GS160" s="1228"/>
      <c r="GT160" s="1228"/>
      <c r="GU160" s="1228"/>
      <c r="GV160" s="1228"/>
      <c r="GW160" s="1228"/>
      <c r="GX160" s="1228"/>
      <c r="GY160" s="1228"/>
      <c r="GZ160" s="1228"/>
      <c r="HA160" s="1228"/>
      <c r="HB160" s="1228"/>
      <c r="HC160" s="1228"/>
      <c r="HD160" s="1228"/>
      <c r="HE160" s="1228"/>
      <c r="HF160" s="1228"/>
      <c r="HG160" s="1228"/>
      <c r="HH160" s="1228"/>
      <c r="HI160" s="1228"/>
      <c r="HJ160" s="1228"/>
      <c r="HK160" s="1228"/>
      <c r="HL160" s="1228"/>
      <c r="HM160" s="1228"/>
      <c r="HN160" s="1228"/>
      <c r="HO160" s="1228"/>
      <c r="HP160" s="1228"/>
      <c r="HQ160" s="1228"/>
      <c r="HR160" s="1228"/>
      <c r="HS160" s="1228"/>
      <c r="HT160" s="1228"/>
      <c r="HU160" s="1228"/>
      <c r="HV160" s="1228"/>
      <c r="HW160" s="1228"/>
      <c r="HX160" s="1228"/>
      <c r="HY160" s="1228"/>
      <c r="HZ160" s="1228"/>
      <c r="IA160" s="1228"/>
      <c r="IB160" s="1228"/>
      <c r="IC160" s="1228"/>
      <c r="ID160" s="1228"/>
      <c r="IE160" s="1228"/>
      <c r="IF160" s="1228"/>
    </row>
    <row r="161" spans="60:240" s="1120" customFormat="1" ht="20.100000000000001" hidden="1" customHeight="1">
      <c r="BH161" s="1249"/>
      <c r="BI161" s="1340"/>
      <c r="BJ161" s="1249"/>
      <c r="BK161" s="1249"/>
      <c r="BN161" s="1228"/>
      <c r="BO161" s="2482" t="s">
        <v>264</v>
      </c>
      <c r="BP161" s="1241" t="s">
        <v>49</v>
      </c>
      <c r="BQ161" s="1242">
        <v>35</v>
      </c>
      <c r="BR161" s="1228"/>
      <c r="BS161" s="1228"/>
      <c r="BT161" s="1228"/>
      <c r="BU161" s="1228"/>
      <c r="BV161" s="1228"/>
      <c r="BW161" s="1228"/>
      <c r="BX161" s="1228"/>
      <c r="BY161" s="1228"/>
      <c r="BZ161" s="1228"/>
      <c r="CA161" s="1228"/>
      <c r="CB161" s="1228"/>
      <c r="CC161" s="1228"/>
      <c r="CD161" s="1228"/>
      <c r="CE161" s="1228"/>
      <c r="CF161" s="1228"/>
      <c r="CG161" s="1228"/>
      <c r="CH161" s="1228"/>
      <c r="CI161" s="1228"/>
      <c r="CJ161" s="1228"/>
      <c r="CK161" s="1228"/>
      <c r="CL161" s="1228"/>
      <c r="CM161" s="1228"/>
      <c r="CN161" s="1228"/>
      <c r="CO161" s="1228"/>
      <c r="CP161" s="1228"/>
      <c r="CQ161" s="1228"/>
      <c r="CR161" s="1228"/>
      <c r="CS161" s="1228"/>
      <c r="CT161" s="1228"/>
      <c r="CU161" s="1228"/>
      <c r="CV161" s="1228"/>
      <c r="CW161" s="1228"/>
      <c r="CX161" s="1228"/>
      <c r="CY161" s="1228"/>
      <c r="CZ161" s="1228"/>
      <c r="DA161" s="1228"/>
      <c r="DB161" s="1228"/>
      <c r="DC161" s="1228"/>
      <c r="DD161" s="1228"/>
      <c r="DE161" s="1228"/>
      <c r="DF161" s="1228"/>
      <c r="DG161" s="1228"/>
      <c r="DH161" s="1228"/>
      <c r="DI161" s="1228"/>
      <c r="DJ161" s="1228"/>
      <c r="DK161" s="1228"/>
      <c r="DL161" s="1228"/>
      <c r="DM161" s="1228"/>
      <c r="DN161" s="1228"/>
      <c r="DO161" s="1228"/>
      <c r="DP161" s="1228"/>
      <c r="DQ161" s="1228"/>
      <c r="DR161" s="1228"/>
      <c r="DS161" s="1228"/>
      <c r="DT161" s="1228"/>
      <c r="DU161" s="1228"/>
      <c r="DV161" s="1228"/>
      <c r="DW161" s="1228"/>
      <c r="DX161" s="1228"/>
      <c r="DY161" s="1228"/>
      <c r="DZ161" s="1228"/>
      <c r="EA161" s="1228"/>
      <c r="EB161" s="1228"/>
      <c r="EC161" s="1228"/>
      <c r="ED161" s="1228"/>
      <c r="EE161" s="1228"/>
      <c r="EF161" s="1228"/>
      <c r="EG161" s="1228"/>
      <c r="EH161" s="1228"/>
      <c r="EI161" s="1228"/>
      <c r="EJ161" s="1228"/>
      <c r="EK161" s="1228"/>
      <c r="EL161" s="1228"/>
      <c r="EM161" s="1228"/>
      <c r="EN161" s="1228"/>
      <c r="EO161" s="1228"/>
      <c r="EP161" s="1228"/>
      <c r="EQ161" s="1228"/>
      <c r="ER161" s="1228"/>
      <c r="ES161" s="1228"/>
      <c r="ET161" s="1228"/>
      <c r="EU161" s="1228"/>
      <c r="EV161" s="1228"/>
      <c r="EW161" s="1228"/>
      <c r="EX161" s="1228"/>
      <c r="EY161" s="1228"/>
      <c r="EZ161" s="1228"/>
      <c r="FA161" s="1228"/>
      <c r="FB161" s="1228"/>
      <c r="FC161" s="1228"/>
      <c r="FD161" s="1228"/>
      <c r="FE161" s="1228"/>
      <c r="FF161" s="1228"/>
      <c r="FG161" s="1228"/>
      <c r="FH161" s="1228"/>
      <c r="FI161" s="1228"/>
      <c r="FJ161" s="1228"/>
      <c r="FK161" s="1228"/>
      <c r="FL161" s="1228"/>
      <c r="FM161" s="1228"/>
      <c r="FN161" s="1228"/>
      <c r="FO161" s="1228"/>
      <c r="FP161" s="1228"/>
      <c r="FQ161" s="1228"/>
      <c r="FR161" s="1228"/>
      <c r="FS161" s="1228"/>
      <c r="FT161" s="1228"/>
      <c r="FU161" s="1228"/>
      <c r="FV161" s="1228"/>
      <c r="FW161" s="1228"/>
      <c r="FX161" s="1228"/>
      <c r="FY161" s="1228"/>
      <c r="FZ161" s="1228"/>
      <c r="GA161" s="1228"/>
      <c r="GB161" s="1228"/>
      <c r="GC161" s="1228"/>
      <c r="GD161" s="1228"/>
      <c r="GE161" s="1228"/>
      <c r="GF161" s="1228"/>
      <c r="GG161" s="1228"/>
      <c r="GH161" s="1228"/>
      <c r="GI161" s="1228"/>
      <c r="GJ161" s="1228"/>
      <c r="GK161" s="1228"/>
      <c r="GL161" s="1228"/>
      <c r="GM161" s="1228"/>
      <c r="GN161" s="1228"/>
      <c r="GO161" s="1228"/>
      <c r="GP161" s="1228"/>
      <c r="GQ161" s="1228"/>
      <c r="GR161" s="1228"/>
      <c r="GS161" s="1228"/>
      <c r="GT161" s="1228"/>
      <c r="GU161" s="1228"/>
      <c r="GV161" s="1228"/>
      <c r="GW161" s="1228"/>
      <c r="GX161" s="1228"/>
      <c r="GY161" s="1228"/>
      <c r="GZ161" s="1228"/>
      <c r="HA161" s="1228"/>
      <c r="HB161" s="1228"/>
      <c r="HC161" s="1228"/>
      <c r="HD161" s="1228"/>
      <c r="HE161" s="1228"/>
      <c r="HF161" s="1228"/>
      <c r="HG161" s="1228"/>
      <c r="HH161" s="1228"/>
      <c r="HI161" s="1228"/>
      <c r="HJ161" s="1228"/>
      <c r="HK161" s="1228"/>
      <c r="HL161" s="1228"/>
      <c r="HM161" s="1228"/>
      <c r="HN161" s="1228"/>
      <c r="HO161" s="1228"/>
      <c r="HP161" s="1228"/>
      <c r="HQ161" s="1228"/>
      <c r="HR161" s="1228"/>
      <c r="HS161" s="1228"/>
      <c r="HT161" s="1228"/>
      <c r="HU161" s="1228"/>
      <c r="HV161" s="1228"/>
      <c r="HW161" s="1228"/>
      <c r="HX161" s="1228"/>
      <c r="HY161" s="1228"/>
      <c r="HZ161" s="1228"/>
      <c r="IA161" s="1228"/>
      <c r="IB161" s="1228"/>
      <c r="IC161" s="1228"/>
      <c r="ID161" s="1228"/>
      <c r="IE161" s="1228"/>
      <c r="IF161" s="1228"/>
    </row>
    <row r="162" spans="60:240" s="1120" customFormat="1" ht="20.100000000000001" hidden="1" customHeight="1">
      <c r="BH162" s="1249"/>
      <c r="BI162" s="1340"/>
      <c r="BJ162" s="1249"/>
      <c r="BK162" s="1249"/>
      <c r="BN162" s="1228"/>
      <c r="BO162" s="2482" t="s">
        <v>265</v>
      </c>
      <c r="BP162" s="1241" t="s">
        <v>53</v>
      </c>
      <c r="BQ162" s="1242">
        <v>25</v>
      </c>
      <c r="BR162" s="1228"/>
      <c r="BS162" s="1228"/>
      <c r="BT162" s="1228"/>
      <c r="BU162" s="1228"/>
      <c r="BV162" s="1228"/>
      <c r="BW162" s="1228"/>
      <c r="BX162" s="1228"/>
      <c r="BY162" s="1228"/>
      <c r="BZ162" s="1228"/>
      <c r="CA162" s="1228"/>
      <c r="CB162" s="1228"/>
      <c r="CC162" s="1228"/>
      <c r="CD162" s="1228"/>
      <c r="CE162" s="1228"/>
      <c r="CF162" s="1228"/>
      <c r="CG162" s="1228"/>
      <c r="CH162" s="1228"/>
      <c r="CI162" s="1228"/>
      <c r="CJ162" s="1228"/>
      <c r="CK162" s="1228"/>
      <c r="CL162" s="1228"/>
      <c r="CM162" s="1228"/>
      <c r="CN162" s="1228"/>
      <c r="CO162" s="1228"/>
      <c r="CP162" s="1228"/>
      <c r="CQ162" s="1228"/>
      <c r="CR162" s="1228"/>
      <c r="CS162" s="1228"/>
      <c r="CT162" s="1228"/>
      <c r="CU162" s="1228"/>
      <c r="CV162" s="1228"/>
      <c r="CW162" s="1228"/>
      <c r="CX162" s="1228"/>
      <c r="CY162" s="1228"/>
      <c r="CZ162" s="1228"/>
      <c r="DA162" s="1228"/>
      <c r="DB162" s="1228"/>
      <c r="DC162" s="1228"/>
      <c r="DD162" s="1228"/>
      <c r="DE162" s="1228"/>
      <c r="DF162" s="1228"/>
      <c r="DG162" s="1228"/>
      <c r="DH162" s="1228"/>
      <c r="DI162" s="1228"/>
      <c r="DJ162" s="1228"/>
      <c r="DK162" s="1228"/>
      <c r="DL162" s="1228"/>
      <c r="DM162" s="1228"/>
      <c r="DN162" s="1228"/>
      <c r="DO162" s="1228"/>
      <c r="DP162" s="1228"/>
      <c r="DQ162" s="1228"/>
      <c r="DR162" s="1228"/>
      <c r="DS162" s="1228"/>
      <c r="DT162" s="1228"/>
      <c r="DU162" s="1228"/>
      <c r="DV162" s="1228"/>
      <c r="DW162" s="1228"/>
      <c r="DX162" s="1228"/>
      <c r="DY162" s="1228"/>
      <c r="DZ162" s="1228"/>
      <c r="EA162" s="1228"/>
      <c r="EB162" s="1228"/>
      <c r="EC162" s="1228"/>
      <c r="ED162" s="1228"/>
      <c r="EE162" s="1228"/>
      <c r="EF162" s="1228"/>
      <c r="EG162" s="1228"/>
      <c r="EH162" s="1228"/>
      <c r="EI162" s="1228"/>
      <c r="EJ162" s="1228"/>
      <c r="EK162" s="1228"/>
      <c r="EL162" s="1228"/>
      <c r="EM162" s="1228"/>
      <c r="EN162" s="1228"/>
      <c r="EO162" s="1228"/>
      <c r="EP162" s="1228"/>
      <c r="EQ162" s="1228"/>
      <c r="ER162" s="1228"/>
      <c r="ES162" s="1228"/>
      <c r="ET162" s="1228"/>
      <c r="EU162" s="1228"/>
      <c r="EV162" s="1228"/>
      <c r="EW162" s="1228"/>
      <c r="EX162" s="1228"/>
      <c r="EY162" s="1228"/>
      <c r="EZ162" s="1228"/>
      <c r="FA162" s="1228"/>
      <c r="FB162" s="1228"/>
      <c r="FC162" s="1228"/>
      <c r="FD162" s="1228"/>
      <c r="FE162" s="1228"/>
      <c r="FF162" s="1228"/>
      <c r="FG162" s="1228"/>
      <c r="FH162" s="1228"/>
      <c r="FI162" s="1228"/>
      <c r="FJ162" s="1228"/>
      <c r="FK162" s="1228"/>
      <c r="FL162" s="1228"/>
      <c r="FM162" s="1228"/>
      <c r="FN162" s="1228"/>
      <c r="FO162" s="1228"/>
      <c r="FP162" s="1228"/>
      <c r="FQ162" s="1228"/>
      <c r="FR162" s="1228"/>
      <c r="FS162" s="1228"/>
      <c r="FT162" s="1228"/>
      <c r="FU162" s="1228"/>
      <c r="FV162" s="1228"/>
      <c r="FW162" s="1228"/>
      <c r="FX162" s="1228"/>
      <c r="FY162" s="1228"/>
      <c r="FZ162" s="1228"/>
      <c r="GA162" s="1228"/>
      <c r="GB162" s="1228"/>
      <c r="GC162" s="1228"/>
      <c r="GD162" s="1228"/>
      <c r="GE162" s="1228"/>
      <c r="GF162" s="1228"/>
      <c r="GG162" s="1228"/>
      <c r="GH162" s="1228"/>
      <c r="GI162" s="1228"/>
      <c r="GJ162" s="1228"/>
      <c r="GK162" s="1228"/>
      <c r="GL162" s="1228"/>
      <c r="GM162" s="1228"/>
      <c r="GN162" s="1228"/>
      <c r="GO162" s="1228"/>
      <c r="GP162" s="1228"/>
      <c r="GQ162" s="1228"/>
      <c r="GR162" s="1228"/>
      <c r="GS162" s="1228"/>
      <c r="GT162" s="1228"/>
      <c r="GU162" s="1228"/>
      <c r="GV162" s="1228"/>
      <c r="GW162" s="1228"/>
      <c r="GX162" s="1228"/>
      <c r="GY162" s="1228"/>
      <c r="GZ162" s="1228"/>
      <c r="HA162" s="1228"/>
      <c r="HB162" s="1228"/>
      <c r="HC162" s="1228"/>
      <c r="HD162" s="1228"/>
      <c r="HE162" s="1228"/>
      <c r="HF162" s="1228"/>
      <c r="HG162" s="1228"/>
      <c r="HH162" s="1228"/>
      <c r="HI162" s="1228"/>
      <c r="HJ162" s="1228"/>
      <c r="HK162" s="1228"/>
      <c r="HL162" s="1228"/>
      <c r="HM162" s="1228"/>
      <c r="HN162" s="1228"/>
      <c r="HO162" s="1228"/>
      <c r="HP162" s="1228"/>
      <c r="HQ162" s="1228"/>
      <c r="HR162" s="1228"/>
      <c r="HS162" s="1228"/>
      <c r="HT162" s="1228"/>
      <c r="HU162" s="1228"/>
      <c r="HV162" s="1228"/>
      <c r="HW162" s="1228"/>
      <c r="HX162" s="1228"/>
      <c r="HY162" s="1228"/>
      <c r="HZ162" s="1228"/>
      <c r="IA162" s="1228"/>
      <c r="IB162" s="1228"/>
      <c r="IC162" s="1228"/>
      <c r="ID162" s="1228"/>
      <c r="IE162" s="1228"/>
      <c r="IF162" s="1228"/>
    </row>
    <row r="163" spans="60:240" s="1120" customFormat="1" ht="20.100000000000001" hidden="1" customHeight="1">
      <c r="BH163" s="1249"/>
      <c r="BI163" s="1340"/>
      <c r="BJ163" s="1249"/>
      <c r="BK163" s="1249"/>
      <c r="BN163" s="1228"/>
      <c r="BO163" s="2482" t="s">
        <v>266</v>
      </c>
      <c r="BP163" s="1241" t="s">
        <v>54</v>
      </c>
      <c r="BQ163" s="1242">
        <v>30</v>
      </c>
      <c r="BR163" s="1228"/>
      <c r="BS163" s="1228"/>
      <c r="BT163" s="1228"/>
      <c r="BU163" s="1228"/>
      <c r="BV163" s="1228"/>
      <c r="BW163" s="1228"/>
      <c r="BX163" s="1228"/>
      <c r="BY163" s="1228"/>
      <c r="BZ163" s="1228"/>
      <c r="CA163" s="1228"/>
      <c r="CB163" s="1228"/>
      <c r="CC163" s="1228"/>
      <c r="CD163" s="1228"/>
      <c r="CE163" s="1228"/>
      <c r="CF163" s="1228"/>
      <c r="CG163" s="1228"/>
      <c r="CH163" s="1228"/>
      <c r="CI163" s="1228"/>
      <c r="CJ163" s="1228"/>
      <c r="CK163" s="1228"/>
      <c r="CL163" s="1228"/>
      <c r="CM163" s="1228"/>
      <c r="CN163" s="1228"/>
      <c r="CO163" s="1228"/>
      <c r="CP163" s="1228"/>
      <c r="CQ163" s="1228"/>
      <c r="CR163" s="1228"/>
      <c r="CS163" s="1228"/>
      <c r="CT163" s="1228"/>
      <c r="CU163" s="1228"/>
      <c r="CV163" s="1228"/>
      <c r="CW163" s="1228"/>
      <c r="CX163" s="1228"/>
      <c r="CY163" s="1228"/>
      <c r="CZ163" s="1228"/>
      <c r="DA163" s="1228"/>
      <c r="DB163" s="1228"/>
      <c r="DC163" s="1228"/>
      <c r="DD163" s="1228"/>
      <c r="DE163" s="1228"/>
      <c r="DF163" s="1228"/>
      <c r="DG163" s="1228"/>
      <c r="DH163" s="1228"/>
      <c r="DI163" s="1228"/>
      <c r="DJ163" s="1228"/>
      <c r="DK163" s="1228"/>
      <c r="DL163" s="1228"/>
      <c r="DM163" s="1228"/>
      <c r="DN163" s="1228"/>
      <c r="DO163" s="1228"/>
      <c r="DP163" s="1228"/>
      <c r="DQ163" s="1228"/>
      <c r="DR163" s="1228"/>
      <c r="DS163" s="1228"/>
      <c r="DT163" s="1228"/>
      <c r="DU163" s="1228"/>
      <c r="DV163" s="1228"/>
      <c r="DW163" s="1228"/>
      <c r="DX163" s="1228"/>
      <c r="DY163" s="1228"/>
      <c r="DZ163" s="1228"/>
      <c r="EA163" s="1228"/>
      <c r="EB163" s="1228"/>
      <c r="EC163" s="1228"/>
      <c r="ED163" s="1228"/>
      <c r="EE163" s="1228"/>
      <c r="EF163" s="1228"/>
      <c r="EG163" s="1228"/>
      <c r="EH163" s="1228"/>
      <c r="EI163" s="1228"/>
      <c r="EJ163" s="1228"/>
      <c r="EK163" s="1228"/>
      <c r="EL163" s="1228"/>
      <c r="EM163" s="1228"/>
      <c r="EN163" s="1228"/>
      <c r="EO163" s="1228"/>
      <c r="EP163" s="1228"/>
      <c r="EQ163" s="1228"/>
      <c r="ER163" s="1228"/>
      <c r="ES163" s="1228"/>
      <c r="ET163" s="1228"/>
      <c r="EU163" s="1228"/>
      <c r="EV163" s="1228"/>
      <c r="EW163" s="1228"/>
      <c r="EX163" s="1228"/>
      <c r="EY163" s="1228"/>
      <c r="EZ163" s="1228"/>
      <c r="FA163" s="1228"/>
      <c r="FB163" s="1228"/>
      <c r="FC163" s="1228"/>
      <c r="FD163" s="1228"/>
      <c r="FE163" s="1228"/>
      <c r="FF163" s="1228"/>
      <c r="FG163" s="1228"/>
      <c r="FH163" s="1228"/>
      <c r="FI163" s="1228"/>
      <c r="FJ163" s="1228"/>
      <c r="FK163" s="1228"/>
      <c r="FL163" s="1228"/>
      <c r="FM163" s="1228"/>
      <c r="FN163" s="1228"/>
      <c r="FO163" s="1228"/>
      <c r="FP163" s="1228"/>
      <c r="FQ163" s="1228"/>
      <c r="FR163" s="1228"/>
      <c r="FS163" s="1228"/>
      <c r="FT163" s="1228"/>
      <c r="FU163" s="1228"/>
      <c r="FV163" s="1228"/>
      <c r="FW163" s="1228"/>
      <c r="FX163" s="1228"/>
      <c r="FY163" s="1228"/>
      <c r="FZ163" s="1228"/>
      <c r="GA163" s="1228"/>
      <c r="GB163" s="1228"/>
      <c r="GC163" s="1228"/>
      <c r="GD163" s="1228"/>
      <c r="GE163" s="1228"/>
      <c r="GF163" s="1228"/>
      <c r="GG163" s="1228"/>
      <c r="GH163" s="1228"/>
      <c r="GI163" s="1228"/>
      <c r="GJ163" s="1228"/>
      <c r="GK163" s="1228"/>
      <c r="GL163" s="1228"/>
      <c r="GM163" s="1228"/>
      <c r="GN163" s="1228"/>
      <c r="GO163" s="1228"/>
      <c r="GP163" s="1228"/>
      <c r="GQ163" s="1228"/>
      <c r="GR163" s="1228"/>
      <c r="GS163" s="1228"/>
      <c r="GT163" s="1228"/>
      <c r="GU163" s="1228"/>
      <c r="GV163" s="1228"/>
      <c r="GW163" s="1228"/>
      <c r="GX163" s="1228"/>
      <c r="GY163" s="1228"/>
      <c r="GZ163" s="1228"/>
      <c r="HA163" s="1228"/>
      <c r="HB163" s="1228"/>
      <c r="HC163" s="1228"/>
      <c r="HD163" s="1228"/>
      <c r="HE163" s="1228"/>
      <c r="HF163" s="1228"/>
      <c r="HG163" s="1228"/>
      <c r="HH163" s="1228"/>
      <c r="HI163" s="1228"/>
      <c r="HJ163" s="1228"/>
      <c r="HK163" s="1228"/>
      <c r="HL163" s="1228"/>
      <c r="HM163" s="1228"/>
      <c r="HN163" s="1228"/>
      <c r="HO163" s="1228"/>
      <c r="HP163" s="1228"/>
      <c r="HQ163" s="1228"/>
      <c r="HR163" s="1228"/>
      <c r="HS163" s="1228"/>
      <c r="HT163" s="1228"/>
      <c r="HU163" s="1228"/>
      <c r="HV163" s="1228"/>
      <c r="HW163" s="1228"/>
      <c r="HX163" s="1228"/>
      <c r="HY163" s="1228"/>
      <c r="HZ163" s="1228"/>
      <c r="IA163" s="1228"/>
      <c r="IB163" s="1228"/>
      <c r="IC163" s="1228"/>
      <c r="ID163" s="1228"/>
      <c r="IE163" s="1228"/>
      <c r="IF163" s="1228"/>
    </row>
    <row r="164" spans="60:240" s="1120" customFormat="1" ht="30" hidden="1" customHeight="1" thickBot="1">
      <c r="BH164" s="1249"/>
      <c r="BI164" s="1340"/>
      <c r="BJ164" s="1249"/>
      <c r="BK164" s="1249"/>
      <c r="BN164" s="1228"/>
      <c r="BO164" s="2483" t="s">
        <v>2</v>
      </c>
      <c r="BP164" s="1243"/>
      <c r="BQ164" s="1244">
        <f>SUM(BQ158:BQ163)</f>
        <v>205</v>
      </c>
      <c r="BR164" s="1228"/>
      <c r="BS164" s="1228"/>
      <c r="BT164" s="1228"/>
      <c r="BU164" s="1228"/>
      <c r="BV164" s="1228"/>
      <c r="BW164" s="1228"/>
      <c r="BX164" s="1228"/>
      <c r="BY164" s="1228"/>
      <c r="BZ164" s="1228"/>
      <c r="CA164" s="1228"/>
      <c r="CB164" s="1228"/>
      <c r="CC164" s="1228"/>
      <c r="CD164" s="1228"/>
      <c r="CE164" s="1228"/>
      <c r="CF164" s="1228"/>
      <c r="CG164" s="1228"/>
      <c r="CH164" s="1228"/>
      <c r="CI164" s="1228"/>
      <c r="CJ164" s="1228"/>
      <c r="CK164" s="1228"/>
      <c r="CL164" s="1228"/>
      <c r="CM164" s="1228"/>
      <c r="CN164" s="1228"/>
      <c r="CO164" s="1228"/>
      <c r="CP164" s="1228"/>
      <c r="CQ164" s="1228"/>
      <c r="CR164" s="1228"/>
      <c r="CS164" s="1228"/>
      <c r="CT164" s="1228"/>
      <c r="CU164" s="1228"/>
      <c r="CV164" s="1228"/>
      <c r="CW164" s="1228"/>
      <c r="CX164" s="1228"/>
      <c r="CY164" s="1228"/>
      <c r="CZ164" s="1228"/>
      <c r="DA164" s="1228"/>
      <c r="DB164" s="1228"/>
      <c r="DC164" s="1228"/>
      <c r="DD164" s="1228"/>
      <c r="DE164" s="1228"/>
      <c r="DF164" s="1228"/>
      <c r="DG164" s="1228"/>
      <c r="DH164" s="1228"/>
      <c r="DI164" s="1228"/>
      <c r="DJ164" s="1228"/>
      <c r="DK164" s="1228"/>
      <c r="DL164" s="1228"/>
      <c r="DM164" s="1228"/>
      <c r="DN164" s="1228"/>
      <c r="DO164" s="1228"/>
      <c r="DP164" s="1228"/>
      <c r="DQ164" s="1228"/>
      <c r="DR164" s="1228"/>
      <c r="DS164" s="1228"/>
      <c r="DT164" s="1228"/>
      <c r="DU164" s="1228"/>
      <c r="DV164" s="1228"/>
      <c r="DW164" s="1228"/>
      <c r="DX164" s="1228"/>
      <c r="DY164" s="1228"/>
      <c r="DZ164" s="1228"/>
      <c r="EA164" s="1228"/>
      <c r="EB164" s="1228"/>
      <c r="EC164" s="1228"/>
      <c r="ED164" s="1228"/>
      <c r="EE164" s="1228"/>
      <c r="EF164" s="1228"/>
      <c r="EG164" s="1228"/>
      <c r="EH164" s="1228"/>
      <c r="EI164" s="1228"/>
      <c r="EJ164" s="1228"/>
      <c r="EK164" s="1228"/>
      <c r="EL164" s="1228"/>
      <c r="EM164" s="1228"/>
      <c r="EN164" s="1228"/>
      <c r="EO164" s="1228"/>
      <c r="EP164" s="1228"/>
      <c r="EQ164" s="1228"/>
      <c r="ER164" s="1228"/>
      <c r="ES164" s="1228"/>
      <c r="ET164" s="1228"/>
      <c r="EU164" s="1228"/>
      <c r="EV164" s="1228"/>
      <c r="EW164" s="1228"/>
      <c r="EX164" s="1228"/>
      <c r="EY164" s="1228"/>
      <c r="EZ164" s="1228"/>
      <c r="FA164" s="1228"/>
      <c r="FB164" s="1228"/>
      <c r="FC164" s="1228"/>
      <c r="FD164" s="1228"/>
      <c r="FE164" s="1228"/>
      <c r="FF164" s="1228"/>
      <c r="FG164" s="1228"/>
      <c r="FH164" s="1228"/>
      <c r="FI164" s="1228"/>
      <c r="FJ164" s="1228"/>
      <c r="FK164" s="1228"/>
      <c r="FL164" s="1228"/>
      <c r="FM164" s="1228"/>
      <c r="FN164" s="1228"/>
      <c r="FO164" s="1228"/>
      <c r="FP164" s="1228"/>
      <c r="FQ164" s="1228"/>
      <c r="FR164" s="1228"/>
      <c r="FS164" s="1228"/>
      <c r="FT164" s="1228"/>
      <c r="FU164" s="1228"/>
      <c r="FV164" s="1228"/>
      <c r="FW164" s="1228"/>
      <c r="FX164" s="1228"/>
      <c r="FY164" s="1228"/>
      <c r="FZ164" s="1228"/>
      <c r="GA164" s="1228"/>
      <c r="GB164" s="1228"/>
      <c r="GC164" s="1228"/>
      <c r="GD164" s="1228"/>
      <c r="GE164" s="1228"/>
      <c r="GF164" s="1228"/>
      <c r="GG164" s="1228"/>
      <c r="GH164" s="1228"/>
      <c r="GI164" s="1228"/>
      <c r="GJ164" s="1228"/>
      <c r="GK164" s="1228"/>
      <c r="GL164" s="1228"/>
      <c r="GM164" s="1228"/>
      <c r="GN164" s="1228"/>
      <c r="GO164" s="1228"/>
      <c r="GP164" s="1228"/>
      <c r="GQ164" s="1228"/>
      <c r="GR164" s="1228"/>
      <c r="GS164" s="1228"/>
      <c r="GT164" s="1228"/>
      <c r="GU164" s="1228"/>
      <c r="GV164" s="1228"/>
      <c r="GW164" s="1228"/>
      <c r="GX164" s="1228"/>
      <c r="GY164" s="1228"/>
      <c r="GZ164" s="1228"/>
      <c r="HA164" s="1228"/>
      <c r="HB164" s="1228"/>
      <c r="HC164" s="1228"/>
      <c r="HD164" s="1228"/>
      <c r="HE164" s="1228"/>
      <c r="HF164" s="1228"/>
      <c r="HG164" s="1228"/>
      <c r="HH164" s="1228"/>
      <c r="HI164" s="1228"/>
      <c r="HJ164" s="1228"/>
      <c r="HK164" s="1228"/>
      <c r="HL164" s="1228"/>
      <c r="HM164" s="1228"/>
      <c r="HN164" s="1228"/>
      <c r="HO164" s="1228"/>
      <c r="HP164" s="1228"/>
      <c r="HQ164" s="1228"/>
      <c r="HR164" s="1228"/>
      <c r="HS164" s="1228"/>
      <c r="HT164" s="1228"/>
      <c r="HU164" s="1228"/>
      <c r="HV164" s="1228"/>
      <c r="HW164" s="1228"/>
      <c r="HX164" s="1228"/>
      <c r="HY164" s="1228"/>
      <c r="HZ164" s="1228"/>
      <c r="IA164" s="1228"/>
      <c r="IB164" s="1228"/>
      <c r="IC164" s="1228"/>
      <c r="ID164" s="1228"/>
      <c r="IE164" s="1228"/>
      <c r="IF164" s="1228"/>
    </row>
    <row r="165" spans="60:240" s="1120" customFormat="1" ht="24.95" hidden="1" customHeight="1">
      <c r="BH165" s="1249"/>
      <c r="BI165" s="1340"/>
      <c r="BJ165" s="1249"/>
      <c r="BK165" s="1249"/>
      <c r="BN165" s="1228"/>
      <c r="BO165" s="1245" t="s">
        <v>90</v>
      </c>
      <c r="BP165" s="1246"/>
      <c r="BQ165" s="1247">
        <v>205</v>
      </c>
      <c r="BR165" s="1228"/>
      <c r="BS165" s="1228"/>
      <c r="BT165" s="1228"/>
      <c r="BW165" s="1228"/>
      <c r="BX165" s="1228"/>
      <c r="BY165" s="1228"/>
      <c r="BZ165" s="1228"/>
      <c r="CA165" s="1228"/>
      <c r="CB165" s="1228"/>
      <c r="CC165" s="1228"/>
      <c r="CD165" s="1228"/>
      <c r="CE165" s="1228"/>
      <c r="CF165" s="1228"/>
      <c r="CG165" s="1228"/>
      <c r="CH165" s="1228"/>
      <c r="CI165" s="1228"/>
      <c r="CJ165" s="1228"/>
      <c r="CK165" s="1228"/>
      <c r="CL165" s="1228"/>
      <c r="CM165" s="1228"/>
      <c r="CN165" s="1228"/>
      <c r="CO165" s="1228"/>
      <c r="CP165" s="1228"/>
      <c r="CQ165" s="1228"/>
      <c r="CR165" s="1228"/>
      <c r="CS165" s="1228"/>
      <c r="CT165" s="1228"/>
      <c r="CU165" s="1228"/>
      <c r="CV165" s="1228"/>
      <c r="CW165" s="1228"/>
      <c r="CX165" s="1228"/>
      <c r="CY165" s="1228"/>
      <c r="CZ165" s="1228"/>
      <c r="DA165" s="1228"/>
      <c r="DB165" s="1228"/>
      <c r="DC165" s="1228"/>
      <c r="DD165" s="1228"/>
      <c r="DE165" s="1228"/>
      <c r="DF165" s="1228"/>
      <c r="DG165" s="1228"/>
      <c r="DH165" s="1228"/>
      <c r="DI165" s="1228"/>
      <c r="DJ165" s="1228"/>
      <c r="DK165" s="1228"/>
      <c r="DL165" s="1228"/>
      <c r="DM165" s="1228"/>
      <c r="DN165" s="1228"/>
      <c r="DO165" s="1228"/>
      <c r="DP165" s="1228"/>
      <c r="DQ165" s="1228"/>
      <c r="DR165" s="1228"/>
      <c r="DS165" s="1228"/>
      <c r="DT165" s="1228"/>
      <c r="DU165" s="1228"/>
      <c r="DV165" s="1228"/>
      <c r="DW165" s="1228"/>
      <c r="DX165" s="1228"/>
      <c r="DY165" s="1228"/>
      <c r="DZ165" s="1228"/>
      <c r="EA165" s="1228"/>
      <c r="EB165" s="1228"/>
      <c r="EC165" s="1228"/>
      <c r="ED165" s="1228"/>
      <c r="EE165" s="1228"/>
      <c r="EF165" s="1228"/>
      <c r="EG165" s="1228"/>
      <c r="EH165" s="1228"/>
      <c r="EI165" s="1228"/>
      <c r="EJ165" s="1228"/>
      <c r="EK165" s="1228"/>
      <c r="EL165" s="1228"/>
      <c r="EM165" s="1228"/>
      <c r="EN165" s="1228"/>
      <c r="EO165" s="1228"/>
      <c r="EP165" s="1228"/>
      <c r="EQ165" s="1228"/>
      <c r="ER165" s="1228"/>
      <c r="ES165" s="1228"/>
      <c r="ET165" s="1228"/>
      <c r="EU165" s="1228"/>
      <c r="EV165" s="1228"/>
      <c r="EW165" s="1228"/>
      <c r="EX165" s="1228"/>
      <c r="EY165" s="1228"/>
      <c r="EZ165" s="1228"/>
      <c r="FA165" s="1228"/>
      <c r="FB165" s="1228"/>
      <c r="FC165" s="1228"/>
      <c r="FD165" s="1228"/>
      <c r="FE165" s="1228"/>
      <c r="FF165" s="1228"/>
      <c r="FG165" s="1228"/>
      <c r="FH165" s="1228"/>
      <c r="FI165" s="1228"/>
      <c r="FJ165" s="1228"/>
      <c r="FK165" s="1228"/>
      <c r="FL165" s="1228"/>
      <c r="FM165" s="1228"/>
      <c r="FN165" s="1228"/>
      <c r="FO165" s="1228"/>
      <c r="FP165" s="1228"/>
      <c r="FQ165" s="1228"/>
      <c r="FR165" s="1228"/>
      <c r="FS165" s="1228"/>
      <c r="FT165" s="1228"/>
      <c r="FU165" s="1228"/>
      <c r="FV165" s="1228"/>
      <c r="FW165" s="1228"/>
      <c r="FX165" s="1228"/>
      <c r="FY165" s="1228"/>
      <c r="FZ165" s="1228"/>
      <c r="GA165" s="1228"/>
      <c r="GB165" s="1228"/>
      <c r="GC165" s="1228"/>
      <c r="GD165" s="1228"/>
      <c r="GE165" s="1228"/>
      <c r="GF165" s="1228"/>
      <c r="GG165" s="1228"/>
      <c r="GH165" s="1228"/>
      <c r="GI165" s="1228"/>
      <c r="GJ165" s="1228"/>
      <c r="GK165" s="1228"/>
      <c r="GL165" s="1228"/>
      <c r="GM165" s="1228"/>
      <c r="GN165" s="1228"/>
      <c r="GO165" s="1228"/>
      <c r="GP165" s="1228"/>
      <c r="GQ165" s="1228"/>
      <c r="GR165" s="1228"/>
      <c r="GS165" s="1228"/>
      <c r="GT165" s="1228"/>
      <c r="GU165" s="1228"/>
      <c r="GV165" s="1228"/>
      <c r="GW165" s="1228"/>
      <c r="GX165" s="1228"/>
      <c r="GY165" s="1228"/>
      <c r="GZ165" s="1228"/>
      <c r="HA165" s="1228"/>
      <c r="HB165" s="1228"/>
      <c r="HC165" s="1228"/>
      <c r="HD165" s="1228"/>
      <c r="HE165" s="1228"/>
      <c r="HF165" s="1228"/>
      <c r="HG165" s="1228"/>
      <c r="HH165" s="1228"/>
      <c r="HI165" s="1228"/>
      <c r="HJ165" s="1228"/>
      <c r="HK165" s="1228"/>
      <c r="HL165" s="1228"/>
      <c r="HM165" s="1228"/>
      <c r="HN165" s="1228"/>
      <c r="HO165" s="1228"/>
      <c r="HP165" s="1228"/>
      <c r="HQ165" s="1228"/>
      <c r="HR165" s="1228"/>
      <c r="HS165" s="1228"/>
      <c r="HT165" s="1228"/>
      <c r="HU165" s="1228"/>
      <c r="HV165" s="1228"/>
      <c r="HW165" s="1228"/>
      <c r="HX165" s="1228"/>
      <c r="HY165" s="1228"/>
      <c r="HZ165" s="1228"/>
      <c r="IA165" s="1228"/>
      <c r="IB165" s="1228"/>
      <c r="IC165" s="1228"/>
      <c r="ID165" s="1228"/>
      <c r="IE165" s="1228"/>
      <c r="IF165" s="1228"/>
    </row>
    <row r="166" spans="60:240" s="1120" customFormat="1" ht="24.95" hidden="1" customHeight="1">
      <c r="BH166" s="1249"/>
      <c r="BI166" s="1249"/>
      <c r="BJ166" s="1249"/>
      <c r="BK166" s="1249"/>
      <c r="BN166" s="1228"/>
      <c r="BO166" s="1228" t="s">
        <v>350</v>
      </c>
      <c r="BP166" s="1248"/>
      <c r="BQ166" s="1248"/>
      <c r="BR166" s="1228"/>
      <c r="BS166" s="1228"/>
      <c r="BT166" s="1228"/>
      <c r="BW166" s="1228"/>
      <c r="BX166" s="1228"/>
      <c r="BY166" s="1228"/>
      <c r="BZ166" s="1228"/>
      <c r="CA166" s="1228"/>
      <c r="CB166" s="1228"/>
      <c r="CC166" s="1228"/>
      <c r="CD166" s="1228"/>
      <c r="CE166" s="1228"/>
      <c r="CF166" s="1228"/>
      <c r="CG166" s="1228"/>
      <c r="CH166" s="1228"/>
      <c r="CI166" s="1228"/>
      <c r="CJ166" s="1228"/>
      <c r="CK166" s="1228"/>
      <c r="CL166" s="1228"/>
      <c r="CM166" s="1228"/>
      <c r="CN166" s="1228"/>
      <c r="CO166" s="1228"/>
      <c r="CP166" s="1228"/>
      <c r="CQ166" s="1228"/>
      <c r="CR166" s="1228"/>
      <c r="CS166" s="1228"/>
      <c r="CT166" s="1228"/>
      <c r="CU166" s="1228"/>
      <c r="CV166" s="1228"/>
      <c r="CW166" s="1228"/>
      <c r="CX166" s="1228"/>
      <c r="CY166" s="1228"/>
      <c r="CZ166" s="1228"/>
      <c r="DA166" s="1228"/>
      <c r="DB166" s="1228"/>
      <c r="DC166" s="1228"/>
      <c r="DD166" s="1228"/>
      <c r="DE166" s="1228"/>
      <c r="DF166" s="1228"/>
      <c r="DG166" s="1228"/>
      <c r="DH166" s="1228"/>
      <c r="DI166" s="1228"/>
      <c r="DJ166" s="1228"/>
      <c r="DK166" s="1228"/>
      <c r="DL166" s="1228"/>
      <c r="DM166" s="1228"/>
      <c r="DN166" s="1228"/>
      <c r="DO166" s="1228"/>
      <c r="DP166" s="1228"/>
      <c r="DQ166" s="1228"/>
      <c r="DR166" s="1228"/>
      <c r="DS166" s="1228"/>
      <c r="DT166" s="1228"/>
      <c r="DU166" s="1228"/>
      <c r="DV166" s="1228"/>
      <c r="DW166" s="1228"/>
      <c r="DX166" s="1228"/>
      <c r="DY166" s="1228"/>
      <c r="DZ166" s="1228"/>
      <c r="EA166" s="1228"/>
      <c r="EB166" s="1228"/>
      <c r="EC166" s="1228"/>
      <c r="ED166" s="1228"/>
      <c r="EE166" s="1228"/>
      <c r="EF166" s="1228"/>
      <c r="EG166" s="1228"/>
      <c r="EH166" s="1228"/>
      <c r="EI166" s="1228"/>
      <c r="EJ166" s="1228"/>
      <c r="EK166" s="1228"/>
      <c r="EL166" s="1228"/>
      <c r="EM166" s="1228"/>
      <c r="EN166" s="1228"/>
      <c r="EO166" s="1228"/>
      <c r="EP166" s="1228"/>
      <c r="EQ166" s="1228"/>
      <c r="ER166" s="1228"/>
      <c r="ES166" s="1228"/>
      <c r="ET166" s="1228"/>
      <c r="EU166" s="1228"/>
      <c r="EV166" s="1228"/>
      <c r="EW166" s="1228"/>
      <c r="EX166" s="1228"/>
      <c r="EY166" s="1228"/>
      <c r="EZ166" s="1228"/>
      <c r="FA166" s="1228"/>
      <c r="FB166" s="1228"/>
      <c r="FC166" s="1228"/>
      <c r="FD166" s="1228"/>
      <c r="FE166" s="1228"/>
      <c r="FF166" s="1228"/>
      <c r="FG166" s="1228"/>
      <c r="FH166" s="1228"/>
      <c r="FI166" s="1228"/>
      <c r="FJ166" s="1228"/>
      <c r="FK166" s="1228"/>
      <c r="FL166" s="1228"/>
      <c r="FM166" s="1228"/>
      <c r="FN166" s="1228"/>
      <c r="FO166" s="1228"/>
      <c r="FP166" s="1228"/>
      <c r="FQ166" s="1228"/>
      <c r="FR166" s="1228"/>
      <c r="FS166" s="1228"/>
      <c r="FT166" s="1228"/>
      <c r="FU166" s="1228"/>
      <c r="FV166" s="1228"/>
      <c r="FW166" s="1228"/>
      <c r="FX166" s="1228"/>
      <c r="FY166" s="1228"/>
      <c r="FZ166" s="1228"/>
      <c r="GA166" s="1228"/>
      <c r="GB166" s="1228"/>
      <c r="GC166" s="1228"/>
      <c r="GD166" s="1228"/>
      <c r="GE166" s="1228"/>
      <c r="GF166" s="1228"/>
      <c r="GG166" s="1228"/>
      <c r="GH166" s="1228"/>
      <c r="GI166" s="1228"/>
      <c r="GJ166" s="1228"/>
      <c r="GK166" s="1228"/>
      <c r="GL166" s="1228"/>
      <c r="GM166" s="1228"/>
      <c r="GN166" s="1228"/>
      <c r="GO166" s="1228"/>
      <c r="GP166" s="1228"/>
      <c r="GQ166" s="1228"/>
      <c r="GR166" s="1228"/>
      <c r="GS166" s="1228"/>
      <c r="GT166" s="1228"/>
      <c r="GU166" s="1228"/>
      <c r="GV166" s="1228"/>
      <c r="GW166" s="1228"/>
      <c r="GX166" s="1228"/>
      <c r="GY166" s="1228"/>
      <c r="GZ166" s="1228"/>
      <c r="HA166" s="1228"/>
      <c r="HB166" s="1228"/>
      <c r="HC166" s="1228"/>
      <c r="HD166" s="1228"/>
      <c r="HE166" s="1228"/>
      <c r="HF166" s="1228"/>
      <c r="HG166" s="1228"/>
      <c r="HH166" s="1228"/>
      <c r="HI166" s="1228"/>
      <c r="HJ166" s="1228"/>
      <c r="HK166" s="1228"/>
      <c r="HL166" s="1228"/>
      <c r="HM166" s="1228"/>
      <c r="HN166" s="1228"/>
      <c r="HO166" s="1228"/>
      <c r="HP166" s="1228"/>
      <c r="HQ166" s="1228"/>
      <c r="HR166" s="1228"/>
      <c r="HS166" s="1228"/>
      <c r="HT166" s="1228"/>
      <c r="HU166" s="1228"/>
      <c r="HV166" s="1228"/>
      <c r="HW166" s="1228"/>
      <c r="HX166" s="1228"/>
      <c r="HY166" s="1228"/>
      <c r="HZ166" s="1228"/>
      <c r="IA166" s="1228"/>
      <c r="IB166" s="1228"/>
      <c r="IC166" s="1228"/>
      <c r="ID166" s="1228"/>
      <c r="IE166" s="1228"/>
      <c r="IF166" s="1228"/>
    </row>
    <row r="167" spans="60:240" s="1120" customFormat="1" ht="20.100000000000001" hidden="1" customHeight="1">
      <c r="BH167" s="1249"/>
      <c r="BI167" s="1249"/>
      <c r="BJ167" s="1249"/>
      <c r="BK167" s="1249"/>
      <c r="BN167" s="1228"/>
      <c r="BO167" s="1228" t="s">
        <v>351</v>
      </c>
      <c r="BP167" s="1248"/>
      <c r="BQ167" s="1248"/>
      <c r="BR167" s="1228"/>
      <c r="BS167" s="1228"/>
      <c r="BT167" s="1228"/>
      <c r="BW167" s="1228"/>
      <c r="BX167" s="1228"/>
      <c r="BY167" s="1228"/>
      <c r="BZ167" s="1228"/>
      <c r="CA167" s="1228"/>
      <c r="CB167" s="1228"/>
      <c r="CC167" s="1228"/>
      <c r="CD167" s="1228"/>
      <c r="CE167" s="1228"/>
      <c r="CF167" s="1228"/>
      <c r="CG167" s="1228"/>
      <c r="CH167" s="1228"/>
      <c r="CI167" s="1228"/>
      <c r="CJ167" s="1228"/>
      <c r="CK167" s="1228"/>
      <c r="CL167" s="1228"/>
      <c r="CM167" s="1228"/>
      <c r="CN167" s="1228"/>
      <c r="CO167" s="1228"/>
      <c r="CP167" s="1228"/>
      <c r="CQ167" s="1228"/>
      <c r="CR167" s="1228"/>
      <c r="CS167" s="1228"/>
      <c r="CT167" s="1228"/>
      <c r="CU167" s="1228"/>
      <c r="CV167" s="1228"/>
      <c r="CW167" s="1228"/>
      <c r="CX167" s="1228"/>
      <c r="CY167" s="1228"/>
      <c r="CZ167" s="1228"/>
      <c r="DA167" s="1228"/>
      <c r="DB167" s="1228"/>
      <c r="DC167" s="1228"/>
      <c r="DD167" s="1228"/>
      <c r="DE167" s="1228"/>
      <c r="DF167" s="1228"/>
      <c r="DG167" s="1228"/>
      <c r="DH167" s="1228"/>
      <c r="DI167" s="1228"/>
      <c r="DJ167" s="1228"/>
      <c r="DK167" s="1228"/>
      <c r="DL167" s="1228"/>
      <c r="DM167" s="1228"/>
      <c r="DN167" s="1228"/>
      <c r="DO167" s="1228"/>
      <c r="DP167" s="1228"/>
      <c r="DQ167" s="1228"/>
      <c r="DR167" s="1228"/>
      <c r="DS167" s="1228"/>
      <c r="DT167" s="1228"/>
      <c r="DU167" s="1228"/>
      <c r="DV167" s="1228"/>
      <c r="DW167" s="1228"/>
      <c r="DX167" s="1228"/>
      <c r="DY167" s="1228"/>
      <c r="DZ167" s="1228"/>
      <c r="EA167" s="1228"/>
      <c r="EB167" s="1228"/>
      <c r="EC167" s="1228"/>
      <c r="ED167" s="1228"/>
      <c r="EE167" s="1228"/>
      <c r="EF167" s="1228"/>
      <c r="EG167" s="1228"/>
      <c r="EH167" s="1228"/>
      <c r="EI167" s="1228"/>
      <c r="EJ167" s="1228"/>
      <c r="EK167" s="1228"/>
      <c r="EL167" s="1228"/>
      <c r="EM167" s="1228"/>
      <c r="EN167" s="1228"/>
      <c r="EO167" s="1228"/>
      <c r="EP167" s="1228"/>
      <c r="EQ167" s="1228"/>
      <c r="ER167" s="1228"/>
      <c r="ES167" s="1228"/>
      <c r="ET167" s="1228"/>
      <c r="EU167" s="1228"/>
      <c r="EV167" s="1228"/>
      <c r="EW167" s="1228"/>
      <c r="EX167" s="1228"/>
      <c r="EY167" s="1228"/>
      <c r="EZ167" s="1228"/>
      <c r="FA167" s="1228"/>
      <c r="FB167" s="1228"/>
      <c r="FC167" s="1228"/>
      <c r="FD167" s="1228"/>
      <c r="FE167" s="1228"/>
      <c r="FF167" s="1228"/>
      <c r="FG167" s="1228"/>
      <c r="FH167" s="1228"/>
      <c r="FI167" s="1228"/>
      <c r="FJ167" s="1228"/>
      <c r="FK167" s="1228"/>
      <c r="FL167" s="1228"/>
      <c r="FM167" s="1228"/>
      <c r="FN167" s="1228"/>
      <c r="FO167" s="1228"/>
      <c r="FP167" s="1228"/>
      <c r="FQ167" s="1228"/>
      <c r="FR167" s="1228"/>
      <c r="FS167" s="1228"/>
      <c r="FT167" s="1228"/>
      <c r="FU167" s="1228"/>
      <c r="FV167" s="1228"/>
      <c r="FW167" s="1228"/>
      <c r="FX167" s="1228"/>
      <c r="FY167" s="1228"/>
      <c r="FZ167" s="1228"/>
      <c r="GA167" s="1228"/>
      <c r="GB167" s="1228"/>
      <c r="GC167" s="1228"/>
      <c r="GD167" s="1228"/>
      <c r="GE167" s="1228"/>
      <c r="GF167" s="1228"/>
      <c r="GG167" s="1228"/>
      <c r="GH167" s="1228"/>
      <c r="GI167" s="1228"/>
      <c r="GJ167" s="1228"/>
      <c r="GK167" s="1228"/>
      <c r="GL167" s="1228"/>
      <c r="GM167" s="1228"/>
      <c r="GN167" s="1228"/>
      <c r="GO167" s="1228"/>
      <c r="GP167" s="1228"/>
      <c r="GQ167" s="1228"/>
      <c r="GR167" s="1228"/>
      <c r="GS167" s="1228"/>
      <c r="GT167" s="1228"/>
      <c r="GU167" s="1228"/>
      <c r="GV167" s="1228"/>
      <c r="GW167" s="1228"/>
      <c r="GX167" s="1228"/>
      <c r="GY167" s="1228"/>
      <c r="GZ167" s="1228"/>
      <c r="HA167" s="1228"/>
      <c r="HB167" s="1228"/>
      <c r="HC167" s="1228"/>
      <c r="HD167" s="1228"/>
      <c r="HE167" s="1228"/>
      <c r="HF167" s="1228"/>
      <c r="HG167" s="1228"/>
      <c r="HH167" s="1228"/>
      <c r="HI167" s="1228"/>
      <c r="HJ167" s="1228"/>
      <c r="HK167" s="1228"/>
      <c r="HL167" s="1228"/>
      <c r="HM167" s="1228"/>
      <c r="HN167" s="1228"/>
      <c r="HO167" s="1228"/>
      <c r="HP167" s="1228"/>
      <c r="HQ167" s="1228"/>
      <c r="HR167" s="1228"/>
      <c r="HS167" s="1228"/>
      <c r="HT167" s="1228"/>
      <c r="HU167" s="1228"/>
      <c r="HV167" s="1228"/>
      <c r="HW167" s="1228"/>
      <c r="HX167" s="1228"/>
      <c r="HY167" s="1228"/>
      <c r="HZ167" s="1228"/>
      <c r="IA167" s="1228"/>
      <c r="IB167" s="1228"/>
      <c r="IC167" s="1228"/>
      <c r="ID167" s="1228"/>
      <c r="IE167" s="1228"/>
      <c r="IF167" s="1228"/>
    </row>
    <row r="168" spans="60:240" s="1120" customFormat="1" ht="15" hidden="1" customHeight="1">
      <c r="BH168" s="1249"/>
      <c r="BI168" s="1249"/>
      <c r="BJ168" s="1249"/>
      <c r="BK168" s="1249"/>
      <c r="BN168" s="1228"/>
      <c r="BO168" s="1228"/>
      <c r="BP168" s="1228"/>
      <c r="BQ168" s="1228"/>
      <c r="BR168" s="1228"/>
      <c r="BS168" s="1228"/>
      <c r="BT168" s="1228"/>
      <c r="BV168" s="1228"/>
      <c r="BW168" s="1228"/>
      <c r="BX168" s="1228"/>
      <c r="BY168" s="1228"/>
      <c r="BZ168" s="1228"/>
      <c r="CA168" s="1228"/>
      <c r="CB168" s="1228"/>
      <c r="CC168" s="1228"/>
      <c r="CD168" s="1228"/>
      <c r="CE168" s="1228"/>
      <c r="CF168" s="1228"/>
      <c r="CG168" s="1228"/>
      <c r="CH168" s="1228"/>
      <c r="CI168" s="1228"/>
      <c r="CJ168" s="1228"/>
      <c r="CK168" s="1228"/>
      <c r="CL168" s="1228"/>
      <c r="CM168" s="1228"/>
      <c r="CN168" s="1228"/>
      <c r="CO168" s="1228"/>
      <c r="CP168" s="1228"/>
      <c r="CQ168" s="1228"/>
      <c r="CR168" s="1228"/>
      <c r="CS168" s="1228"/>
      <c r="CT168" s="1228"/>
      <c r="CU168" s="1228"/>
      <c r="CV168" s="1228"/>
      <c r="CW168" s="1228"/>
      <c r="CX168" s="1228"/>
      <c r="CY168" s="1228"/>
      <c r="CZ168" s="1228"/>
      <c r="DA168" s="1228"/>
      <c r="DB168" s="1228"/>
      <c r="DC168" s="1228"/>
      <c r="DD168" s="1228"/>
      <c r="DE168" s="1228"/>
      <c r="DF168" s="1228"/>
      <c r="DG168" s="1228"/>
      <c r="DH168" s="1228"/>
      <c r="DI168" s="1228"/>
      <c r="DJ168" s="1228"/>
      <c r="DK168" s="1228"/>
      <c r="DL168" s="1228"/>
      <c r="DM168" s="1228"/>
      <c r="DN168" s="1228"/>
      <c r="DO168" s="1228"/>
      <c r="DP168" s="1228"/>
      <c r="DQ168" s="1228"/>
      <c r="DR168" s="1228"/>
      <c r="DS168" s="1228"/>
      <c r="DT168" s="1228"/>
      <c r="DU168" s="1228"/>
      <c r="DV168" s="1228"/>
      <c r="DW168" s="1228"/>
      <c r="DX168" s="1228"/>
      <c r="DY168" s="1228"/>
      <c r="DZ168" s="1228"/>
      <c r="EA168" s="1228"/>
      <c r="EB168" s="1228"/>
      <c r="EC168" s="1228"/>
      <c r="ED168" s="1228"/>
      <c r="EE168" s="1228"/>
      <c r="EF168" s="1228"/>
      <c r="EG168" s="1228"/>
      <c r="EH168" s="1228"/>
      <c r="EI168" s="1228"/>
      <c r="EJ168" s="1228"/>
      <c r="EK168" s="1228"/>
      <c r="EL168" s="1228"/>
      <c r="EM168" s="1228"/>
      <c r="EN168" s="1228"/>
      <c r="EO168" s="1228"/>
      <c r="EP168" s="1228"/>
      <c r="EQ168" s="1228"/>
      <c r="ER168" s="1228"/>
      <c r="ES168" s="1228"/>
      <c r="ET168" s="1228"/>
      <c r="EU168" s="1228"/>
      <c r="EV168" s="1228"/>
      <c r="EW168" s="1228"/>
      <c r="EX168" s="1228"/>
      <c r="EY168" s="1228"/>
      <c r="EZ168" s="1228"/>
      <c r="FA168" s="1228"/>
      <c r="FB168" s="1228"/>
      <c r="FC168" s="1228"/>
      <c r="FD168" s="1228"/>
      <c r="FE168" s="1228"/>
      <c r="FF168" s="1228"/>
      <c r="FG168" s="1228"/>
      <c r="FH168" s="1228"/>
      <c r="FI168" s="1228"/>
      <c r="FJ168" s="1228"/>
      <c r="FK168" s="1228"/>
      <c r="FL168" s="1228"/>
      <c r="FM168" s="1228"/>
      <c r="FN168" s="1228"/>
      <c r="FO168" s="1228"/>
      <c r="FP168" s="1228"/>
      <c r="FQ168" s="1228"/>
      <c r="FR168" s="1228"/>
      <c r="FS168" s="1228"/>
      <c r="FT168" s="1228"/>
      <c r="FU168" s="1228"/>
      <c r="FV168" s="1228"/>
      <c r="FW168" s="1228"/>
      <c r="FX168" s="1228"/>
      <c r="FY168" s="1228"/>
      <c r="FZ168" s="1228"/>
      <c r="GA168" s="1228"/>
      <c r="GB168" s="1228"/>
      <c r="GC168" s="1228"/>
      <c r="GD168" s="1228"/>
      <c r="GE168" s="1228"/>
      <c r="GF168" s="1228"/>
      <c r="GG168" s="1228"/>
      <c r="GH168" s="1228"/>
      <c r="GI168" s="1228"/>
      <c r="GJ168" s="1228"/>
      <c r="GK168" s="1228"/>
      <c r="GL168" s="1228"/>
      <c r="GM168" s="1228"/>
      <c r="GN168" s="1228"/>
      <c r="GO168" s="1228"/>
      <c r="GP168" s="1228"/>
      <c r="GQ168" s="1228"/>
      <c r="GR168" s="1228"/>
      <c r="GS168" s="1228"/>
      <c r="GT168" s="1228"/>
      <c r="GU168" s="1228"/>
      <c r="GV168" s="1228"/>
      <c r="GW168" s="1228"/>
      <c r="GX168" s="1228"/>
      <c r="GY168" s="1228"/>
      <c r="GZ168" s="1228"/>
      <c r="HA168" s="1228"/>
      <c r="HB168" s="1228"/>
      <c r="HC168" s="1228"/>
      <c r="HD168" s="1228"/>
      <c r="HE168" s="1228"/>
      <c r="HF168" s="1228"/>
      <c r="HG168" s="1228"/>
      <c r="HH168" s="1228"/>
      <c r="HI168" s="1228"/>
      <c r="HJ168" s="1228"/>
      <c r="HK168" s="1228"/>
      <c r="HL168" s="1228"/>
      <c r="HM168" s="1228"/>
      <c r="HN168" s="1228"/>
      <c r="HO168" s="1228"/>
      <c r="HP168" s="1228"/>
      <c r="HQ168" s="1228"/>
      <c r="HR168" s="1228"/>
      <c r="HS168" s="1228"/>
      <c r="HT168" s="1228"/>
      <c r="HU168" s="1228"/>
      <c r="HV168" s="1228"/>
      <c r="HW168" s="1228"/>
      <c r="HX168" s="1228"/>
      <c r="HY168" s="1228"/>
      <c r="HZ168" s="1228"/>
      <c r="IA168" s="1228"/>
      <c r="IB168" s="1228"/>
      <c r="IC168" s="1228"/>
      <c r="ID168" s="1228"/>
      <c r="IE168" s="1228"/>
      <c r="IF168" s="1228"/>
    </row>
    <row r="169" spans="60:240" s="1228" customFormat="1" ht="15" hidden="1" customHeight="1">
      <c r="BH169" s="1249"/>
      <c r="BI169" s="1249"/>
      <c r="BJ169" s="1249"/>
      <c r="BK169" s="1249"/>
      <c r="CP169" s="1249"/>
      <c r="CQ169" s="1249"/>
      <c r="CS169" s="1249"/>
      <c r="CU169" s="1249"/>
      <c r="CW169" s="1249"/>
      <c r="CY169" s="1249"/>
      <c r="DA169" s="1249"/>
      <c r="DC169" s="1249"/>
      <c r="DE169" s="1249"/>
      <c r="DG169" s="1249"/>
      <c r="DI169" s="1249"/>
      <c r="DK169" s="1249"/>
      <c r="DL169" s="1249"/>
      <c r="DN169" s="1249"/>
      <c r="DP169" s="1249"/>
      <c r="DR169" s="1249"/>
      <c r="DT169" s="1249"/>
      <c r="DV169" s="1249"/>
      <c r="DX169" s="1249"/>
      <c r="DZ169" s="1249"/>
      <c r="EB169" s="1249"/>
      <c r="ED169" s="1249"/>
      <c r="EF169" s="1249"/>
      <c r="EG169" s="1249"/>
      <c r="EI169" s="1249"/>
      <c r="EK169" s="1249"/>
      <c r="EM169" s="1249"/>
      <c r="EO169" s="1249"/>
      <c r="EQ169" s="1249"/>
      <c r="ES169" s="1249"/>
      <c r="EU169" s="1249"/>
      <c r="EW169" s="1249"/>
      <c r="EY169" s="1249"/>
      <c r="FA169" s="1249"/>
      <c r="FB169" s="1249"/>
      <c r="FD169" s="1249"/>
      <c r="FF169" s="1249"/>
      <c r="FH169" s="1249"/>
      <c r="FJ169" s="1249"/>
      <c r="FL169" s="1249"/>
      <c r="FN169" s="1249"/>
      <c r="FP169" s="1249"/>
      <c r="FR169" s="1249"/>
      <c r="FT169" s="1249"/>
      <c r="FV169" s="1249"/>
      <c r="FW169" s="1249"/>
      <c r="FY169" s="1249"/>
      <c r="GA169" s="1249"/>
      <c r="GC169" s="1249"/>
      <c r="GE169" s="1249"/>
      <c r="GG169" s="1249"/>
      <c r="GI169" s="1249"/>
      <c r="GK169" s="1249"/>
      <c r="GM169" s="1249"/>
      <c r="GO169" s="1249"/>
      <c r="GQ169" s="1249"/>
      <c r="GR169" s="1249"/>
      <c r="GT169" s="1249"/>
      <c r="GV169" s="1249"/>
      <c r="GX169" s="1249"/>
      <c r="GZ169" s="1249"/>
      <c r="HB169" s="1249"/>
      <c r="HD169" s="1249"/>
      <c r="HF169" s="1249"/>
      <c r="HH169" s="1249"/>
      <c r="HJ169" s="1249"/>
      <c r="HL169" s="1249"/>
      <c r="HM169" s="1249"/>
      <c r="HO169" s="1249"/>
      <c r="HQ169" s="1249"/>
      <c r="HS169" s="1249"/>
      <c r="HU169" s="1249"/>
      <c r="HW169" s="1249"/>
      <c r="HY169" s="1249"/>
      <c r="IA169" s="1249"/>
      <c r="IC169" s="1249"/>
      <c r="IE169" s="1249"/>
    </row>
    <row r="170" spans="60:240" s="1120" customFormat="1" ht="20.100000000000001" hidden="1" customHeight="1">
      <c r="BH170" s="1249"/>
      <c r="BI170" s="1249"/>
      <c r="BJ170" s="1249"/>
      <c r="BK170" s="1249"/>
      <c r="BN170" s="1228"/>
      <c r="BO170" s="1228"/>
      <c r="BP170" s="1228"/>
      <c r="BQ170" s="1228"/>
      <c r="BR170" s="1228"/>
      <c r="BS170" s="1228"/>
      <c r="BT170" s="1232" t="s">
        <v>441</v>
      </c>
      <c r="BU170" s="1228"/>
      <c r="BV170" s="1228"/>
      <c r="BW170" s="1228"/>
      <c r="BX170" s="1228"/>
      <c r="BY170" s="1228"/>
      <c r="BZ170" s="1228"/>
      <c r="CA170" s="1228"/>
      <c r="CB170" s="1228"/>
      <c r="CC170" s="1228"/>
      <c r="CD170" s="1228"/>
      <c r="CE170" s="1228"/>
      <c r="CF170" s="1228"/>
      <c r="CG170" s="1228"/>
      <c r="CH170" s="1228"/>
      <c r="CI170" s="1228"/>
      <c r="CJ170" s="1228"/>
      <c r="CK170" s="1228"/>
      <c r="CL170" s="1228"/>
      <c r="CM170" s="1228"/>
      <c r="CN170" s="1228"/>
      <c r="CO170" s="1228"/>
      <c r="CP170" s="1228"/>
      <c r="CQ170" s="1228"/>
      <c r="CR170" s="1228"/>
      <c r="CS170" s="1228"/>
      <c r="CT170" s="1228"/>
      <c r="CU170" s="1228"/>
      <c r="CV170" s="1228"/>
      <c r="CW170" s="1228"/>
      <c r="CX170" s="1228"/>
      <c r="CY170" s="1228"/>
      <c r="CZ170" s="1228"/>
      <c r="DA170" s="1228"/>
      <c r="DB170" s="1228"/>
      <c r="DC170" s="1228"/>
      <c r="DD170" s="1228"/>
      <c r="DE170" s="1228"/>
      <c r="DF170" s="1228"/>
      <c r="DG170" s="1228"/>
      <c r="DH170" s="1228"/>
      <c r="DI170" s="1228"/>
      <c r="DJ170" s="1228"/>
      <c r="DK170" s="1228"/>
      <c r="DL170" s="1228"/>
      <c r="DM170" s="1228"/>
      <c r="DN170" s="1228"/>
      <c r="DO170" s="1228"/>
      <c r="DP170" s="1228"/>
      <c r="DQ170" s="1228"/>
      <c r="DR170" s="1228"/>
      <c r="DS170" s="1228"/>
      <c r="DT170" s="1228"/>
      <c r="DU170" s="1228"/>
      <c r="DV170" s="1228"/>
      <c r="DW170" s="1228"/>
      <c r="DX170" s="1228"/>
      <c r="DY170" s="1228"/>
      <c r="DZ170" s="1228"/>
      <c r="EA170" s="1228"/>
      <c r="EB170" s="1228"/>
      <c r="EC170" s="1228"/>
      <c r="ED170" s="1228"/>
      <c r="EE170" s="1228"/>
      <c r="EF170" s="1228"/>
      <c r="EG170" s="1228"/>
      <c r="EH170" s="1228"/>
      <c r="EI170" s="1228"/>
      <c r="EJ170" s="1228"/>
      <c r="EK170" s="1228"/>
      <c r="EL170" s="1228"/>
      <c r="EM170" s="1228"/>
      <c r="EN170" s="1228"/>
      <c r="EO170" s="1228"/>
      <c r="EP170" s="1228"/>
      <c r="EQ170" s="1228"/>
      <c r="ER170" s="1228"/>
      <c r="ES170" s="1228"/>
      <c r="ET170" s="1228"/>
      <c r="EU170" s="1228"/>
      <c r="EV170" s="1228"/>
      <c r="EW170" s="1228"/>
      <c r="EX170" s="1228"/>
      <c r="EY170" s="1228"/>
      <c r="EZ170" s="1228"/>
      <c r="FA170" s="1228"/>
      <c r="FB170" s="1228"/>
      <c r="FC170" s="1228"/>
      <c r="FD170" s="1228"/>
      <c r="FE170" s="1228"/>
      <c r="FF170" s="1228"/>
      <c r="FG170" s="1228"/>
      <c r="FH170" s="1228"/>
      <c r="FI170" s="1228"/>
      <c r="FJ170" s="1228"/>
      <c r="FK170" s="1228"/>
      <c r="FL170" s="1228"/>
      <c r="FM170" s="1228"/>
      <c r="FN170" s="1228"/>
      <c r="FO170" s="1228"/>
      <c r="FP170" s="1228"/>
      <c r="FQ170" s="1228"/>
      <c r="FR170" s="1228"/>
      <c r="FS170" s="1228"/>
      <c r="FT170" s="1228"/>
      <c r="FU170" s="1228"/>
      <c r="FV170" s="1228"/>
      <c r="FW170" s="1228"/>
      <c r="FX170" s="1228"/>
      <c r="FY170" s="1228"/>
      <c r="FZ170" s="1228"/>
      <c r="GA170" s="1228"/>
      <c r="GB170" s="1228"/>
      <c r="GC170" s="1228"/>
      <c r="GD170" s="1228"/>
      <c r="GE170" s="1228"/>
      <c r="GF170" s="1228"/>
      <c r="GG170" s="1228"/>
      <c r="GH170" s="1228"/>
      <c r="GI170" s="1228"/>
      <c r="GJ170" s="1228"/>
      <c r="GK170" s="1228"/>
      <c r="GL170" s="1228"/>
      <c r="GM170" s="1228"/>
      <c r="GN170" s="1228"/>
      <c r="GO170" s="1228"/>
      <c r="GP170" s="1228"/>
      <c r="GQ170" s="1228"/>
      <c r="GR170" s="1228"/>
      <c r="GS170" s="1228"/>
      <c r="GT170" s="1228"/>
      <c r="GU170" s="1228"/>
      <c r="GV170" s="1228"/>
      <c r="GW170" s="1228"/>
      <c r="GX170" s="1228"/>
      <c r="GY170" s="1228"/>
      <c r="GZ170" s="1228"/>
      <c r="HA170" s="1228"/>
      <c r="HB170" s="1228"/>
      <c r="HC170" s="1228"/>
      <c r="HD170" s="1228"/>
      <c r="HE170" s="1228"/>
      <c r="HF170" s="1228"/>
      <c r="HG170" s="1228"/>
      <c r="HH170" s="1228"/>
      <c r="HI170" s="1228"/>
      <c r="HJ170" s="1228"/>
      <c r="HK170" s="1228"/>
      <c r="HL170" s="1228"/>
      <c r="HM170" s="1228"/>
      <c r="HN170" s="1228"/>
      <c r="HO170" s="1228"/>
      <c r="HP170" s="1228"/>
      <c r="HQ170" s="1228"/>
      <c r="HR170" s="1228"/>
      <c r="HS170" s="1228"/>
      <c r="HT170" s="1228"/>
      <c r="HU170" s="1228"/>
      <c r="HV170" s="1228"/>
      <c r="HW170" s="1228"/>
      <c r="HX170" s="1228"/>
      <c r="HY170" s="1228"/>
      <c r="HZ170" s="1228"/>
      <c r="IA170" s="1228"/>
      <c r="IB170" s="1228"/>
      <c r="IC170" s="1228"/>
      <c r="ID170" s="1228"/>
      <c r="IE170" s="1228"/>
      <c r="IF170" s="1228"/>
    </row>
    <row r="171" spans="60:240" s="1120" customFormat="1" ht="15" hidden="1" customHeight="1">
      <c r="BH171" s="1249"/>
      <c r="BI171" s="1249"/>
      <c r="BJ171" s="1249"/>
      <c r="BK171" s="1249"/>
      <c r="BN171" s="1228"/>
      <c r="BO171" s="1228"/>
      <c r="BP171" s="1228"/>
      <c r="BQ171" s="1228"/>
      <c r="BR171" s="1228"/>
      <c r="BS171" s="1228"/>
      <c r="BT171" s="1228"/>
      <c r="BU171" s="1228"/>
      <c r="BV171" s="1228"/>
      <c r="BW171" s="1228"/>
      <c r="BX171" s="1228"/>
      <c r="BY171" s="1228"/>
      <c r="BZ171" s="1228"/>
      <c r="CA171" s="1228"/>
      <c r="CB171" s="1228"/>
      <c r="CC171" s="1228"/>
      <c r="CD171" s="1228"/>
      <c r="CE171" s="1228"/>
      <c r="CF171" s="1228"/>
      <c r="CG171" s="1228"/>
      <c r="CH171" s="1228"/>
      <c r="CI171" s="1228"/>
      <c r="CJ171" s="1228"/>
      <c r="CK171" s="1228"/>
      <c r="CL171" s="1228"/>
      <c r="CM171" s="1228"/>
      <c r="CN171" s="1228"/>
      <c r="CO171" s="1228"/>
      <c r="CP171" s="1228"/>
      <c r="CQ171" s="1228"/>
      <c r="CR171" s="1228"/>
      <c r="CS171" s="1228"/>
      <c r="CT171" s="1228"/>
      <c r="CU171" s="1228"/>
      <c r="CV171" s="1228"/>
      <c r="CW171" s="1228"/>
      <c r="CX171" s="1228"/>
      <c r="CY171" s="1228"/>
      <c r="CZ171" s="1228"/>
      <c r="DA171" s="1228"/>
      <c r="DB171" s="1228"/>
      <c r="DC171" s="1228"/>
      <c r="DD171" s="1228"/>
      <c r="DE171" s="1228"/>
      <c r="DF171" s="1228"/>
      <c r="DG171" s="1228"/>
      <c r="DH171" s="1228"/>
      <c r="DI171" s="1228"/>
      <c r="DJ171" s="1228"/>
      <c r="DK171" s="1228"/>
      <c r="DL171" s="1228"/>
      <c r="DM171" s="1228"/>
      <c r="DN171" s="1228"/>
      <c r="DO171" s="1228"/>
      <c r="DP171" s="1228"/>
      <c r="DQ171" s="1228"/>
      <c r="DR171" s="1228"/>
      <c r="DS171" s="1228"/>
      <c r="DT171" s="1228"/>
      <c r="DU171" s="1228"/>
      <c r="DV171" s="1228"/>
      <c r="DW171" s="1228"/>
      <c r="DX171" s="1228"/>
      <c r="DY171" s="1228"/>
      <c r="DZ171" s="1228"/>
      <c r="EA171" s="1228"/>
      <c r="EB171" s="1228"/>
      <c r="EC171" s="1228"/>
      <c r="ED171" s="1228"/>
      <c r="EE171" s="1228"/>
      <c r="EF171" s="1228"/>
      <c r="EG171" s="1228"/>
      <c r="EH171" s="1228"/>
      <c r="EI171" s="1228"/>
      <c r="EJ171" s="1228"/>
      <c r="EK171" s="1228"/>
      <c r="EL171" s="1228"/>
      <c r="EM171" s="1228"/>
      <c r="EN171" s="1228"/>
      <c r="EO171" s="1228"/>
      <c r="EP171" s="1228"/>
      <c r="EQ171" s="1228"/>
      <c r="ER171" s="1228"/>
      <c r="ES171" s="1228"/>
      <c r="ET171" s="1228"/>
      <c r="EU171" s="1228"/>
      <c r="EV171" s="1228"/>
      <c r="EW171" s="1228"/>
      <c r="EX171" s="1228"/>
      <c r="EY171" s="1228"/>
      <c r="EZ171" s="1228"/>
      <c r="FA171" s="1228"/>
      <c r="FB171" s="1228"/>
      <c r="FC171" s="1228"/>
      <c r="FD171" s="1228"/>
      <c r="FE171" s="1228"/>
      <c r="FF171" s="1228"/>
      <c r="FG171" s="1228"/>
      <c r="FH171" s="1228"/>
      <c r="FI171" s="1228"/>
      <c r="FJ171" s="1228"/>
      <c r="FK171" s="1228"/>
      <c r="FL171" s="1228"/>
      <c r="FM171" s="1228"/>
      <c r="FN171" s="1228"/>
      <c r="FO171" s="1228"/>
      <c r="FP171" s="1228"/>
      <c r="FQ171" s="1228"/>
      <c r="FR171" s="1228"/>
      <c r="FS171" s="1228"/>
      <c r="FT171" s="1228"/>
      <c r="FU171" s="1228"/>
      <c r="FV171" s="1228"/>
      <c r="FW171" s="1228"/>
      <c r="FX171" s="1228"/>
      <c r="FY171" s="1228"/>
      <c r="FZ171" s="1228"/>
      <c r="GA171" s="1228"/>
      <c r="GB171" s="1228"/>
      <c r="GC171" s="1228"/>
      <c r="GD171" s="1228"/>
      <c r="GE171" s="1228"/>
      <c r="GF171" s="1228"/>
      <c r="GG171" s="1228"/>
      <c r="GH171" s="1228"/>
      <c r="GI171" s="1228"/>
      <c r="GJ171" s="1228"/>
      <c r="GK171" s="1228"/>
      <c r="GL171" s="1228"/>
      <c r="GM171" s="1228"/>
      <c r="GN171" s="1228"/>
      <c r="GO171" s="1228"/>
      <c r="GP171" s="1228"/>
      <c r="GQ171" s="1228"/>
      <c r="GR171" s="1228"/>
      <c r="GS171" s="1228"/>
      <c r="GT171" s="1228"/>
      <c r="GU171" s="1228"/>
      <c r="GV171" s="1228"/>
      <c r="GW171" s="1228"/>
      <c r="GX171" s="1228"/>
      <c r="GY171" s="1228"/>
      <c r="GZ171" s="1228"/>
      <c r="HA171" s="1228"/>
      <c r="HB171" s="1228"/>
      <c r="HC171" s="1228"/>
      <c r="HD171" s="1228"/>
      <c r="HE171" s="1228"/>
      <c r="HF171" s="1228"/>
      <c r="HG171" s="1228"/>
      <c r="HH171" s="1228"/>
      <c r="HI171" s="1228"/>
      <c r="HJ171" s="1228"/>
      <c r="HK171" s="1228"/>
      <c r="HL171" s="1228"/>
      <c r="HM171" s="1228"/>
      <c r="HN171" s="1228"/>
      <c r="HO171" s="1228"/>
      <c r="HP171" s="1228"/>
      <c r="HQ171" s="1228"/>
      <c r="HR171" s="1228"/>
      <c r="HS171" s="1228"/>
      <c r="HT171" s="1228"/>
      <c r="HU171" s="1228"/>
      <c r="HV171" s="1228"/>
      <c r="HW171" s="1228"/>
      <c r="HX171" s="1228"/>
      <c r="HY171" s="1228"/>
      <c r="HZ171" s="1228"/>
      <c r="IA171" s="1228"/>
      <c r="IB171" s="1228"/>
      <c r="IC171" s="1228"/>
      <c r="ID171" s="1228"/>
      <c r="IE171" s="1228"/>
      <c r="IF171" s="1228"/>
    </row>
    <row r="172" spans="60:240" s="1120" customFormat="1" ht="20.100000000000001" hidden="1" customHeight="1">
      <c r="BN172" s="1228"/>
      <c r="BO172" s="1228"/>
      <c r="BP172" s="1228"/>
      <c r="BQ172" s="1228"/>
      <c r="BR172" s="1228"/>
      <c r="BS172" s="1228"/>
      <c r="BT172" s="2018" t="s">
        <v>182</v>
      </c>
      <c r="BU172" s="1228"/>
      <c r="BV172" s="1228"/>
      <c r="BW172" s="1228"/>
      <c r="BX172" s="1228"/>
      <c r="BY172" s="1228"/>
      <c r="BZ172" s="1228"/>
      <c r="CA172" s="1228"/>
      <c r="CB172" s="1228"/>
      <c r="CC172" s="1228"/>
      <c r="CD172" s="1228"/>
      <c r="CE172" s="1228"/>
      <c r="CF172" s="1228"/>
      <c r="CG172" s="1228"/>
      <c r="CH172" s="1228"/>
      <c r="CI172" s="1228"/>
      <c r="CJ172" s="1228"/>
      <c r="CK172" s="1228"/>
      <c r="CL172" s="1228"/>
      <c r="CM172" s="1228"/>
      <c r="CN172" s="1228"/>
      <c r="CO172" s="1228"/>
      <c r="CP172" s="1228"/>
      <c r="CQ172" s="1228"/>
      <c r="CR172" s="1228"/>
      <c r="CS172" s="1228"/>
      <c r="CT172" s="1228"/>
      <c r="CU172" s="1228"/>
      <c r="CV172" s="1228"/>
      <c r="CW172" s="1228"/>
      <c r="CX172" s="1228"/>
      <c r="CY172" s="1228"/>
      <c r="CZ172" s="1228"/>
      <c r="DA172" s="1228"/>
      <c r="DB172" s="1228"/>
      <c r="DC172" s="1228"/>
      <c r="DD172" s="1228"/>
      <c r="DE172" s="1228"/>
      <c r="DF172" s="1228"/>
      <c r="DG172" s="1228"/>
      <c r="DH172" s="1228"/>
      <c r="DI172" s="1228"/>
      <c r="DJ172" s="1228"/>
      <c r="DK172" s="1228"/>
      <c r="DL172" s="1228"/>
      <c r="DM172" s="1228"/>
      <c r="DN172" s="1228"/>
      <c r="DO172" s="1228"/>
      <c r="DP172" s="1228"/>
      <c r="DQ172" s="1228"/>
      <c r="DR172" s="1228"/>
      <c r="DS172" s="1228"/>
      <c r="DT172" s="1228"/>
      <c r="DU172" s="1228"/>
      <c r="DV172" s="1228"/>
      <c r="DW172" s="1228"/>
      <c r="DX172" s="1228"/>
      <c r="DY172" s="1228"/>
      <c r="DZ172" s="1228"/>
      <c r="EA172" s="1228"/>
      <c r="EB172" s="1228"/>
      <c r="EC172" s="1228"/>
      <c r="ED172" s="1228"/>
      <c r="EE172" s="1228"/>
      <c r="EF172" s="1228"/>
      <c r="EG172" s="1228"/>
      <c r="EH172" s="1228"/>
      <c r="EI172" s="1228"/>
      <c r="EJ172" s="1228"/>
      <c r="EK172" s="1228"/>
      <c r="EL172" s="1228"/>
      <c r="EM172" s="1228"/>
      <c r="EN172" s="1228"/>
      <c r="EO172" s="1228"/>
      <c r="EP172" s="1228"/>
      <c r="EQ172" s="1228"/>
      <c r="ER172" s="1228"/>
      <c r="ES172" s="1228"/>
      <c r="ET172" s="1228"/>
      <c r="EU172" s="1228"/>
      <c r="EV172" s="1228"/>
      <c r="EW172" s="1228"/>
      <c r="EX172" s="1228"/>
      <c r="EY172" s="1228"/>
      <c r="EZ172" s="1228"/>
      <c r="FA172" s="1228"/>
      <c r="FB172" s="1228"/>
      <c r="FC172" s="1228"/>
      <c r="FD172" s="1228"/>
      <c r="FE172" s="1228"/>
      <c r="FF172" s="1228"/>
      <c r="FG172" s="1228"/>
      <c r="FH172" s="1228"/>
      <c r="FI172" s="1228"/>
      <c r="FJ172" s="1228"/>
      <c r="FK172" s="1228"/>
      <c r="FL172" s="1228"/>
      <c r="FM172" s="1228"/>
      <c r="FN172" s="1228"/>
      <c r="FO172" s="1228"/>
      <c r="FP172" s="1228"/>
      <c r="FQ172" s="1228"/>
      <c r="FR172" s="1228"/>
      <c r="FS172" s="1228"/>
      <c r="FT172" s="1228"/>
      <c r="FU172" s="1228"/>
      <c r="FV172" s="1228"/>
      <c r="FW172" s="1228"/>
      <c r="FX172" s="1228"/>
      <c r="FY172" s="1228"/>
      <c r="FZ172" s="1228"/>
      <c r="GA172" s="1228"/>
      <c r="GB172" s="1228"/>
      <c r="GC172" s="1228"/>
      <c r="GD172" s="1228"/>
      <c r="GE172" s="1228"/>
      <c r="GF172" s="1228"/>
      <c r="GG172" s="1228"/>
      <c r="GH172" s="1228"/>
      <c r="GI172" s="1228"/>
      <c r="GJ172" s="1228"/>
      <c r="GK172" s="1228"/>
      <c r="GL172" s="1228"/>
      <c r="GM172" s="1228"/>
      <c r="GN172" s="1228"/>
      <c r="GO172" s="1228"/>
      <c r="GP172" s="1228"/>
      <c r="GQ172" s="1228"/>
      <c r="GR172" s="1228"/>
      <c r="GS172" s="1228"/>
      <c r="GT172" s="1228"/>
      <c r="GU172" s="1228"/>
      <c r="GV172" s="1228"/>
      <c r="GW172" s="1228"/>
      <c r="GX172" s="1228"/>
      <c r="GY172" s="1228"/>
      <c r="GZ172" s="1228"/>
      <c r="HA172" s="1228"/>
      <c r="HB172" s="1228"/>
      <c r="HC172" s="1228"/>
      <c r="HD172" s="1228"/>
      <c r="HE172" s="1228"/>
      <c r="HF172" s="1228"/>
      <c r="HG172" s="1228"/>
      <c r="HH172" s="1228"/>
      <c r="HI172" s="1228"/>
      <c r="HJ172" s="1228"/>
      <c r="HK172" s="1228"/>
      <c r="HL172" s="1228"/>
      <c r="HM172" s="1228"/>
      <c r="HN172" s="1228"/>
      <c r="HO172" s="1228"/>
      <c r="HP172" s="1228"/>
      <c r="HQ172" s="1228"/>
      <c r="HR172" s="1228"/>
      <c r="HS172" s="1228"/>
      <c r="HT172" s="1228"/>
      <c r="HU172" s="1228"/>
      <c r="HV172" s="1228"/>
      <c r="HW172" s="1228"/>
      <c r="HX172" s="1228"/>
      <c r="HY172" s="1228"/>
      <c r="HZ172" s="1228"/>
      <c r="IA172" s="1228"/>
      <c r="IB172" s="1228"/>
      <c r="IC172" s="1228"/>
      <c r="ID172" s="1228"/>
      <c r="IE172" s="1228"/>
      <c r="IF172" s="1228"/>
    </row>
    <row r="173" spans="60:240" s="1120" customFormat="1" ht="20.100000000000001" hidden="1" customHeight="1">
      <c r="BT173" s="2018" t="s">
        <v>183</v>
      </c>
    </row>
    <row r="174" spans="60:240" s="1120" customFormat="1" ht="20.100000000000001" hidden="1" customHeight="1">
      <c r="BT174" s="2018" t="s">
        <v>184</v>
      </c>
    </row>
    <row r="175" spans="60:240" s="1120" customFormat="1" ht="20.100000000000001" hidden="1" customHeight="1">
      <c r="BT175" s="2018" t="s">
        <v>185</v>
      </c>
    </row>
    <row r="176" spans="60:240" s="1120" customFormat="1" ht="20.100000000000001" hidden="1" customHeight="1">
      <c r="BT176" s="2018" t="s">
        <v>186</v>
      </c>
    </row>
    <row r="177" spans="72:72" s="1120" customFormat="1" ht="20.100000000000001" hidden="1" customHeight="1">
      <c r="BT177" s="2018" t="s">
        <v>187</v>
      </c>
    </row>
    <row r="178" spans="72:72" s="1120" customFormat="1" ht="20.100000000000001" hidden="1" customHeight="1">
      <c r="BT178" s="2018" t="s">
        <v>188</v>
      </c>
    </row>
    <row r="179" spans="72:72" s="1120" customFormat="1" ht="20.100000000000001" hidden="1" customHeight="1">
      <c r="BT179" s="2018" t="s">
        <v>189</v>
      </c>
    </row>
    <row r="180" spans="72:72" s="1120" customFormat="1" ht="20.100000000000001" hidden="1" customHeight="1">
      <c r="BT180" s="2018" t="s">
        <v>190</v>
      </c>
    </row>
    <row r="181" spans="72:72" s="1120" customFormat="1" ht="20.100000000000001" hidden="1" customHeight="1">
      <c r="BT181" s="2018" t="s">
        <v>191</v>
      </c>
    </row>
    <row r="182" spans="72:72" s="1120" customFormat="1" ht="20.100000000000001" hidden="1" customHeight="1">
      <c r="BT182" s="2018" t="s">
        <v>192</v>
      </c>
    </row>
    <row r="183" spans="72:72" s="1120" customFormat="1" ht="20.100000000000001" hidden="1" customHeight="1">
      <c r="BT183" s="2018" t="s">
        <v>193</v>
      </c>
    </row>
    <row r="184" spans="72:72" ht="20.100000000000001" hidden="1" customHeight="1">
      <c r="BT184" s="2018" t="s">
        <v>194</v>
      </c>
    </row>
    <row r="185" spans="72:72" ht="20.100000000000001" hidden="1" customHeight="1">
      <c r="BT185" s="2018" t="s">
        <v>195</v>
      </c>
    </row>
    <row r="186" spans="72:72" ht="20.100000000000001" hidden="1" customHeight="1">
      <c r="BT186" s="2018" t="s">
        <v>196</v>
      </c>
    </row>
    <row r="187" spans="72:72" ht="20.100000000000001" hidden="1" customHeight="1">
      <c r="BT187" s="2018" t="s">
        <v>197</v>
      </c>
    </row>
    <row r="188" spans="72:72" ht="20.100000000000001" hidden="1" customHeight="1">
      <c r="BT188" s="2018" t="s">
        <v>200</v>
      </c>
    </row>
    <row r="189" spans="72:72" ht="20.100000000000001" hidden="1" customHeight="1">
      <c r="BT189" s="1340" t="s">
        <v>242</v>
      </c>
    </row>
    <row r="190" spans="72:72" ht="20.100000000000001" hidden="1" customHeight="1">
      <c r="BT190" s="2018" t="s">
        <v>198</v>
      </c>
    </row>
    <row r="191" spans="72:72" ht="20.100000000000001" hidden="1" customHeight="1">
      <c r="BT191" s="2018" t="s">
        <v>199</v>
      </c>
    </row>
    <row r="192" spans="72:72" hidden="1"/>
    <row r="193" hidden="1"/>
    <row r="194" hidden="1"/>
    <row r="195" hidden="1"/>
    <row r="196" hidden="1"/>
    <row r="197" hidden="1"/>
    <row r="198" hidden="1"/>
    <row r="199" hidden="1"/>
    <row r="200" hidden="1"/>
  </sheetData>
  <sheetProtection password="E23E" sheet="1" objects="1" scenarios="1"/>
  <mergeCells count="62">
    <mergeCell ref="AV35:AW35"/>
    <mergeCell ref="AX35:BF35"/>
    <mergeCell ref="AS34:BF34"/>
    <mergeCell ref="O6:Q6"/>
    <mergeCell ref="C6:N6"/>
    <mergeCell ref="W35:AL35"/>
    <mergeCell ref="AM35:AQ35"/>
    <mergeCell ref="AR35:AR36"/>
    <mergeCell ref="AM34:AR34"/>
    <mergeCell ref="A6:B6"/>
    <mergeCell ref="C35:C36"/>
    <mergeCell ref="E35:G35"/>
    <mergeCell ref="H35:J35"/>
    <mergeCell ref="K35:V35"/>
    <mergeCell ref="A36:B36"/>
    <mergeCell ref="C34:AL34"/>
    <mergeCell ref="C63:AR63"/>
    <mergeCell ref="C64:D64"/>
    <mergeCell ref="E64:F64"/>
    <mergeCell ref="G64:H64"/>
    <mergeCell ref="I64:J64"/>
    <mergeCell ref="K64:L64"/>
    <mergeCell ref="M64:N64"/>
    <mergeCell ref="O64:P64"/>
    <mergeCell ref="Q64:R64"/>
    <mergeCell ref="S64:T64"/>
    <mergeCell ref="U64:V64"/>
    <mergeCell ref="W64:X64"/>
    <mergeCell ref="Y64:Z64"/>
    <mergeCell ref="AA64:AB64"/>
    <mergeCell ref="AC64:AD64"/>
    <mergeCell ref="AQ64:AR64"/>
    <mergeCell ref="BM64:BM65"/>
    <mergeCell ref="C109:AR109"/>
    <mergeCell ref="C110:D110"/>
    <mergeCell ref="E110:F110"/>
    <mergeCell ref="G110:H110"/>
    <mergeCell ref="I110:J110"/>
    <mergeCell ref="K110:L110"/>
    <mergeCell ref="M110:N110"/>
    <mergeCell ref="O110:P110"/>
    <mergeCell ref="Q110:R110"/>
    <mergeCell ref="S110:T110"/>
    <mergeCell ref="U110:V110"/>
    <mergeCell ref="W110:X110"/>
    <mergeCell ref="Y110:Z110"/>
    <mergeCell ref="AE64:AF64"/>
    <mergeCell ref="AQ110:AR110"/>
    <mergeCell ref="BM110:BM111"/>
    <mergeCell ref="AA110:AB110"/>
    <mergeCell ref="AC110:AD110"/>
    <mergeCell ref="AE110:AF110"/>
    <mergeCell ref="AG110:AH110"/>
    <mergeCell ref="AI110:AJ110"/>
    <mergeCell ref="AK110:AL110"/>
    <mergeCell ref="AM110:AN110"/>
    <mergeCell ref="AO110:AP110"/>
    <mergeCell ref="AO64:AP64"/>
    <mergeCell ref="AG64:AH64"/>
    <mergeCell ref="AI64:AJ64"/>
    <mergeCell ref="AK64:AL64"/>
    <mergeCell ref="AM64:AN64"/>
  </mergeCells>
  <conditionalFormatting sqref="BI158:BI165">
    <cfRule type="expression" dxfId="0" priority="1">
      <formula>$C158=$D$2</formula>
    </cfRule>
  </conditionalFormatting>
  <dataValidations count="1">
    <dataValidation allowBlank="1" sqref="A4 C114:AN115 P7:P29 D5:H5 I7:K29 BM143:BM150 Q7:Q9 T29:W29 D7:E29 K5:M5 D85:D94 DX169 CP169:CQ169 CS169 CU169 CW169 CY169 DA169 DC169 DE169 DG169 DI169 DZ169 EB169 AS114:BK129 AK90:AK95 BJ35:BL35 AO96:AP96 C85:C88 C71:AN82 AO99:AP99 AS85:BK95 BM85:BM95 BM68:BM83 AQ68:AR69 AO103:AP104 BM97:BM104 C90:C95 B68:B103 E90:E95 F85:F94 E85:E88 G85:G88 G90:G95 H85:H94 I85:I88 I90:I95 J85:J94 K85:K88 K90:K95 L85:L94 M85:M88 M90:M95 N85:N94 O85:O88 O90:O95 P85:P94 Q85:Q88 Q90:Q95 R85:R94 S85:S88 S90:S95 T85:T94 U85:U88 U90:U95 V85:V94 W85:W88 W90:W95 X85:X94 Y85:Y88 Y90:Y95 Z85:Z94 AA85:AA88 AA90:AA95 AB85:AB94 AC85:AC88 AC90:AC95 AD85:AD94 AE85:AE88 AE90:AE95 AF85:AF94 AG85:AG88 AG90:AG95 AH85:AH94 C96:AN104 AI85:AI88 AI90:AI95 AJ85:AJ94 C68:AN69 AL85:AL94 AK85:AK88 AM90:AM95 AN85:AN94 AM85:AM88 AO74:AP75 AO82:AP82 AP89 AS97:BK104 AQ71:AR82 AQ85:AQ88 AQ90:AQ95 AR85:AR94 AQ96:AR104 AS68:BK83 ED169 DK169:DL169 DN169 DP169 DR169 DT169 DV169 EF169:EG169 EI169 EK169 EM169 EO169 EQ169 ES169 EU169 EW169 EY169 FA169:FB169 FD169 FF169 FH169 FJ169 FL169 FN169 FP169 FR169 FT169 FV169:FW169 FY169 GA169 GC169 GE169 GG169 GI169 GK169 GM169 GO169 GQ169:GR169 GT169 GV169 GX169 GZ169 HB169 HD169 HF169 HH169 HJ169 HL169:HM169 HO169 HQ169 HS169 HU169 HW169 HY169 IA169 IC169 IE169 AO142:AP142 H36:I36 AO145:AP145 AS131:BK141 BM131:BM141 BM114:BM129 AQ114:AR115 AO149:AP150 AS143:BK150 B114:B149 C131:AN134 C136:AN150 AO120:AP121 AO128:AP128 AP135 AQ117:AR128 AQ131:AQ134 AQ136:AQ141 AR131:AR140 AQ142:AR150 C117:AN128 F7:H9 E4:R4 Q5:S5 L7:N9 C4:C29 W4:W27 B5 T5:V28 O5:O29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I60"/>
  <sheetViews>
    <sheetView zoomScale="80" zoomScaleNormal="80" workbookViewId="0"/>
  </sheetViews>
  <sheetFormatPr defaultColWidth="9.140625" defaultRowHeight="15"/>
  <cols>
    <col min="1" max="1" width="2.7109375" style="624" customWidth="1"/>
    <col min="2" max="2" width="63.7109375" style="624" customWidth="1"/>
    <col min="3" max="3" width="14.7109375" style="624" customWidth="1"/>
    <col min="4" max="13" width="13.28515625" style="624" customWidth="1"/>
    <col min="14" max="14" width="5.7109375" style="625" customWidth="1"/>
    <col min="15" max="17" width="13.28515625" style="624" customWidth="1"/>
    <col min="18" max="18" width="5.7109375" style="624" customWidth="1"/>
    <col min="19" max="19" width="16.7109375" style="624" customWidth="1"/>
    <col min="20" max="20" width="2.7109375" style="624" customWidth="1"/>
    <col min="21" max="21" width="6.7109375" style="624" customWidth="1"/>
    <col min="22" max="29" width="13.7109375" style="624" customWidth="1"/>
    <col min="30" max="31" width="6.7109375" style="624" customWidth="1"/>
    <col min="32" max="39" width="13.7109375" style="624" customWidth="1"/>
    <col min="40" max="41" width="9.140625" style="624" customWidth="1"/>
    <col min="42" max="42" width="40.7109375" style="624" customWidth="1"/>
    <col min="43" max="50" width="13.7109375" style="624" customWidth="1"/>
    <col min="51" max="52" width="9.140625" style="624" customWidth="1"/>
    <col min="53" max="54" width="14.7109375" style="624" hidden="1" customWidth="1"/>
    <col min="55" max="16384" width="9.140625" style="624"/>
  </cols>
  <sheetData>
    <row r="1" spans="1:61" s="626" customFormat="1" ht="24.95" customHeight="1">
      <c r="A1" s="574"/>
      <c r="B1" s="575" t="s">
        <v>290</v>
      </c>
      <c r="C1" s="576"/>
      <c r="D1" s="577"/>
      <c r="E1" s="576"/>
      <c r="F1" s="2168"/>
      <c r="G1" s="2168"/>
      <c r="H1" s="2168"/>
      <c r="I1" s="2168"/>
      <c r="J1" s="2168"/>
      <c r="K1" s="2168"/>
      <c r="L1" s="2168"/>
      <c r="M1" s="2168"/>
      <c r="N1" s="2169"/>
      <c r="O1" s="2168"/>
      <c r="P1" s="2168"/>
      <c r="Q1" s="2168"/>
      <c r="R1" s="2168"/>
      <c r="S1" s="2168"/>
      <c r="T1" s="2170"/>
      <c r="U1" s="2171"/>
      <c r="V1" s="2172"/>
      <c r="W1" s="2173"/>
      <c r="X1" s="2173"/>
      <c r="Y1" s="2173"/>
      <c r="Z1" s="2172"/>
      <c r="AA1" s="2172"/>
      <c r="AB1" s="2172"/>
      <c r="AC1" s="2172"/>
      <c r="AD1" s="2174"/>
      <c r="AE1" s="2193"/>
      <c r="AF1" s="2175"/>
      <c r="AG1" s="2175"/>
      <c r="AH1" s="2175"/>
      <c r="AI1" s="2175"/>
      <c r="AJ1" s="2175"/>
      <c r="AK1" s="2175"/>
      <c r="AL1" s="2175"/>
      <c r="AM1" s="2175"/>
      <c r="AN1" s="2194"/>
      <c r="AO1" s="2196"/>
      <c r="AP1" s="2197"/>
      <c r="AQ1" s="2197"/>
      <c r="AR1" s="2197"/>
      <c r="AS1" s="2197"/>
      <c r="AT1" s="2197"/>
      <c r="AU1" s="2197"/>
      <c r="AV1" s="2197"/>
      <c r="AW1" s="2197"/>
      <c r="AX1" s="2197"/>
      <c r="AY1" s="2198"/>
      <c r="AZ1" s="2195"/>
      <c r="BA1" s="2195"/>
      <c r="BB1" s="2195"/>
      <c r="BC1" s="2195"/>
      <c r="BD1" s="2195"/>
      <c r="BE1" s="2195"/>
      <c r="BF1" s="2195"/>
      <c r="BG1" s="2195"/>
      <c r="BH1" s="2195"/>
      <c r="BI1" s="2195"/>
    </row>
    <row r="2" spans="1:61" s="626" customFormat="1" ht="15" customHeight="1" thickBot="1">
      <c r="A2" s="578"/>
      <c r="B2" s="337"/>
      <c r="C2" s="80"/>
      <c r="D2" s="81"/>
      <c r="E2" s="82"/>
      <c r="F2" s="2176"/>
      <c r="G2" s="2176"/>
      <c r="H2" s="2176"/>
      <c r="I2" s="2176"/>
      <c r="J2" s="2176"/>
      <c r="K2" s="2176"/>
      <c r="L2" s="2176"/>
      <c r="M2" s="2176"/>
      <c r="N2" s="1887"/>
      <c r="O2" s="2176"/>
      <c r="P2" s="2176"/>
      <c r="Q2" s="2176"/>
      <c r="R2" s="2176"/>
      <c r="S2" s="2176"/>
      <c r="T2" s="2177"/>
      <c r="U2" s="2178"/>
      <c r="V2" s="2179"/>
      <c r="W2" s="2180"/>
      <c r="X2" s="2180"/>
      <c r="Y2" s="2180"/>
      <c r="Z2" s="2179"/>
      <c r="AA2" s="2179"/>
      <c r="AB2" s="2179"/>
      <c r="AC2" s="2179"/>
      <c r="AD2" s="2181"/>
      <c r="AE2" s="2182"/>
      <c r="AF2" s="2182"/>
      <c r="AG2" s="2182"/>
      <c r="AH2" s="2182"/>
      <c r="AI2" s="2182"/>
      <c r="AJ2" s="2182"/>
      <c r="AK2" s="2182"/>
      <c r="AL2" s="2182"/>
      <c r="AM2" s="2182"/>
      <c r="AN2" s="2183"/>
      <c r="AO2" s="2199"/>
      <c r="AP2" s="2200"/>
      <c r="AQ2" s="2200"/>
      <c r="AR2" s="2200"/>
      <c r="AS2" s="2200"/>
      <c r="AT2" s="2200"/>
      <c r="AU2" s="2200"/>
      <c r="AV2" s="2200"/>
      <c r="AW2" s="2200"/>
      <c r="AX2" s="2200"/>
      <c r="AY2" s="2201"/>
    </row>
    <row r="3" spans="1:61" s="626" customFormat="1" ht="30" customHeight="1" thickBot="1">
      <c r="A3" s="578"/>
      <c r="B3" s="366" t="s">
        <v>0</v>
      </c>
      <c r="C3" s="2492" t="str">
        <f>VLOOKUP('Background Data'!$C$2,Inst_Tables,2,FALSE)</f>
        <v>Glasgow, University of</v>
      </c>
      <c r="D3" s="2493"/>
      <c r="E3" s="2494"/>
      <c r="F3" s="2184"/>
      <c r="G3" s="2176"/>
      <c r="H3" s="2176"/>
      <c r="I3" s="2176"/>
      <c r="J3" s="2176"/>
      <c r="K3" s="2176"/>
      <c r="L3" s="2176"/>
      <c r="M3" s="2176"/>
      <c r="N3" s="1887"/>
      <c r="O3" s="2176"/>
      <c r="P3" s="2176"/>
      <c r="Q3" s="2176"/>
      <c r="R3" s="2176"/>
      <c r="S3" s="2176"/>
      <c r="T3" s="2177"/>
      <c r="U3" s="2178"/>
      <c r="V3" s="2179"/>
      <c r="W3" s="2179"/>
      <c r="X3" s="2179"/>
      <c r="Y3" s="2179"/>
      <c r="Z3" s="2179"/>
      <c r="AA3" s="2179"/>
      <c r="AB3" s="2179"/>
      <c r="AC3" s="2179"/>
      <c r="AD3" s="2185"/>
      <c r="AE3" s="2186"/>
      <c r="AF3" s="2186"/>
      <c r="AG3" s="2186"/>
      <c r="AH3" s="2186"/>
      <c r="AI3" s="2186"/>
      <c r="AJ3" s="2186"/>
      <c r="AK3" s="2186"/>
      <c r="AL3" s="2186"/>
      <c r="AM3" s="2186"/>
      <c r="AN3" s="2183"/>
      <c r="AO3" s="2199"/>
      <c r="AP3" s="2200"/>
      <c r="AQ3" s="2200"/>
      <c r="AR3" s="2200"/>
      <c r="AS3" s="2200"/>
      <c r="AT3" s="2200"/>
      <c r="AU3" s="2200"/>
      <c r="AV3" s="2200"/>
      <c r="AW3" s="2200"/>
      <c r="AX3" s="2200"/>
      <c r="AY3" s="2201"/>
    </row>
    <row r="4" spans="1:61" s="627" customFormat="1" ht="30" customHeight="1">
      <c r="A4" s="579"/>
      <c r="B4" s="367" t="s">
        <v>291</v>
      </c>
      <c r="C4" s="83"/>
      <c r="D4" s="83"/>
      <c r="E4" s="83"/>
      <c r="F4" s="2176"/>
      <c r="G4" s="2176"/>
      <c r="H4" s="2176"/>
      <c r="I4" s="2176"/>
      <c r="J4" s="2176"/>
      <c r="K4" s="2176"/>
      <c r="L4" s="2176"/>
      <c r="M4" s="2176"/>
      <c r="N4" s="1887"/>
      <c r="O4" s="2176"/>
      <c r="P4" s="2176"/>
      <c r="Q4" s="2176"/>
      <c r="R4" s="2176"/>
      <c r="S4" s="2176"/>
      <c r="T4" s="2177"/>
      <c r="U4" s="2187"/>
      <c r="V4" s="2191" t="s">
        <v>295</v>
      </c>
      <c r="W4" s="2179"/>
      <c r="X4" s="2179"/>
      <c r="Y4" s="2179"/>
      <c r="Z4" s="2179"/>
      <c r="AA4" s="2179"/>
      <c r="AB4" s="2179"/>
      <c r="AC4" s="2179"/>
      <c r="AD4" s="2188"/>
      <c r="AE4" s="2189"/>
      <c r="AF4" s="2192" t="s">
        <v>296</v>
      </c>
      <c r="AG4" s="2182"/>
      <c r="AH4" s="2182"/>
      <c r="AI4" s="2182"/>
      <c r="AJ4" s="2182"/>
      <c r="AK4" s="2182"/>
      <c r="AL4" s="2182"/>
      <c r="AM4" s="2189"/>
      <c r="AN4" s="2183"/>
      <c r="AO4" s="2248"/>
      <c r="AP4" s="2203" t="s">
        <v>493</v>
      </c>
      <c r="AQ4" s="2204"/>
      <c r="AR4" s="2204"/>
      <c r="AS4" s="2204"/>
      <c r="AT4" s="2204"/>
      <c r="AU4" s="2204"/>
      <c r="AV4" s="2204"/>
      <c r="AW4" s="2204"/>
      <c r="AX4" s="2202"/>
      <c r="AY4" s="2249"/>
    </row>
    <row r="5" spans="1:61" s="627" customFormat="1" ht="15" customHeight="1" thickBot="1">
      <c r="A5" s="579"/>
      <c r="B5" s="368"/>
      <c r="C5" s="83"/>
      <c r="D5" s="83"/>
      <c r="E5" s="83"/>
      <c r="F5" s="2176"/>
      <c r="G5" s="2176"/>
      <c r="H5" s="2176"/>
      <c r="I5" s="2176"/>
      <c r="J5" s="2176"/>
      <c r="K5" s="2176"/>
      <c r="L5" s="2176"/>
      <c r="M5" s="2176"/>
      <c r="N5" s="2176"/>
      <c r="O5" s="2176"/>
      <c r="P5" s="2176"/>
      <c r="Q5" s="2176"/>
      <c r="R5" s="2176"/>
      <c r="S5" s="2176"/>
      <c r="T5" s="2177"/>
      <c r="U5" s="2187"/>
      <c r="V5" s="2164"/>
      <c r="W5" s="2164"/>
      <c r="X5" s="2164"/>
      <c r="Y5" s="2164"/>
      <c r="Z5" s="2190"/>
      <c r="AA5" s="2190"/>
      <c r="AB5" s="2190"/>
      <c r="AC5" s="2190"/>
      <c r="AD5" s="2188"/>
      <c r="AE5" s="2189"/>
      <c r="AF5" s="2189"/>
      <c r="AG5" s="2189"/>
      <c r="AH5" s="2189"/>
      <c r="AI5" s="2189"/>
      <c r="AJ5" s="2189"/>
      <c r="AK5" s="2189"/>
      <c r="AL5" s="2189"/>
      <c r="AM5" s="2189"/>
      <c r="AN5" s="2183"/>
      <c r="AO5" s="2248"/>
      <c r="AP5" s="2202"/>
      <c r="AQ5" s="2202"/>
      <c r="AR5" s="2202"/>
      <c r="AS5" s="2202"/>
      <c r="AT5" s="2202"/>
      <c r="AU5" s="2202"/>
      <c r="AV5" s="2202"/>
      <c r="AW5" s="2202"/>
      <c r="AX5" s="2202"/>
      <c r="AY5" s="2249"/>
    </row>
    <row r="6" spans="1:61" s="627" customFormat="1" ht="35.1" customHeight="1" thickBot="1">
      <c r="A6" s="364"/>
      <c r="B6" s="84"/>
      <c r="C6" s="2539" t="s">
        <v>292</v>
      </c>
      <c r="D6" s="2507"/>
      <c r="E6" s="2507"/>
      <c r="F6" s="2507"/>
      <c r="G6" s="2507"/>
      <c r="H6" s="2507"/>
      <c r="I6" s="2507"/>
      <c r="J6" s="2507"/>
      <c r="K6" s="2507"/>
      <c r="L6" s="2507"/>
      <c r="M6" s="2508"/>
      <c r="N6" s="85"/>
      <c r="O6" s="2540" t="s">
        <v>293</v>
      </c>
      <c r="P6" s="2541"/>
      <c r="Q6" s="2542"/>
      <c r="R6" s="83"/>
      <c r="S6" s="2501" t="s">
        <v>294</v>
      </c>
      <c r="T6" s="370"/>
      <c r="U6" s="581"/>
      <c r="V6" s="2499" t="s">
        <v>237</v>
      </c>
      <c r="W6" s="2500"/>
      <c r="X6" s="2500"/>
      <c r="Y6" s="2546" t="s">
        <v>297</v>
      </c>
      <c r="Z6" s="2548" t="s">
        <v>161</v>
      </c>
      <c r="AA6" s="2549"/>
      <c r="AB6" s="2549"/>
      <c r="AC6" s="2550"/>
      <c r="AD6" s="371"/>
      <c r="AE6" s="86"/>
      <c r="AF6" s="2515" t="s">
        <v>237</v>
      </c>
      <c r="AG6" s="2516"/>
      <c r="AH6" s="2516"/>
      <c r="AI6" s="2521" t="s">
        <v>297</v>
      </c>
      <c r="AJ6" s="2524" t="s">
        <v>161</v>
      </c>
      <c r="AK6" s="2525"/>
      <c r="AL6" s="2525"/>
      <c r="AM6" s="2526"/>
      <c r="AN6" s="580"/>
      <c r="AO6" s="2250"/>
      <c r="AP6" s="2217"/>
      <c r="AQ6" s="2527" t="s">
        <v>237</v>
      </c>
      <c r="AR6" s="2528"/>
      <c r="AS6" s="2528"/>
      <c r="AT6" s="2529" t="s">
        <v>297</v>
      </c>
      <c r="AU6" s="2531" t="s">
        <v>161</v>
      </c>
      <c r="AV6" s="2532"/>
      <c r="AW6" s="2532"/>
      <c r="AX6" s="2533"/>
      <c r="AY6" s="2224"/>
      <c r="BA6" s="2490" t="s">
        <v>469</v>
      </c>
      <c r="BB6" s="2490"/>
    </row>
    <row r="7" spans="1:61" ht="45" customHeight="1" thickBot="1">
      <c r="A7" s="365"/>
      <c r="B7" s="87"/>
      <c r="C7" s="2503" t="s">
        <v>70</v>
      </c>
      <c r="D7" s="2504"/>
      <c r="E7" s="2504"/>
      <c r="F7" s="2504"/>
      <c r="G7" s="2505"/>
      <c r="H7" s="2506" t="s">
        <v>71</v>
      </c>
      <c r="I7" s="2507"/>
      <c r="J7" s="2508"/>
      <c r="K7" s="2539" t="s">
        <v>2</v>
      </c>
      <c r="L7" s="2507"/>
      <c r="M7" s="2508"/>
      <c r="N7" s="85"/>
      <c r="O7" s="2543"/>
      <c r="P7" s="2544"/>
      <c r="Q7" s="2545"/>
      <c r="R7" s="88"/>
      <c r="S7" s="2502"/>
      <c r="T7" s="372"/>
      <c r="U7" s="582"/>
      <c r="V7" s="2495" t="s">
        <v>210</v>
      </c>
      <c r="W7" s="2497" t="s">
        <v>211</v>
      </c>
      <c r="X7" s="583" t="s">
        <v>2</v>
      </c>
      <c r="Y7" s="2547"/>
      <c r="Z7" s="2551" t="s">
        <v>69</v>
      </c>
      <c r="AA7" s="2552"/>
      <c r="AB7" s="2553"/>
      <c r="AC7" s="2554" t="s">
        <v>212</v>
      </c>
      <c r="AD7" s="373"/>
      <c r="AE7" s="89"/>
      <c r="AF7" s="2517" t="s">
        <v>210</v>
      </c>
      <c r="AG7" s="2519" t="s">
        <v>211</v>
      </c>
      <c r="AH7" s="599" t="s">
        <v>2</v>
      </c>
      <c r="AI7" s="2522"/>
      <c r="AJ7" s="2517" t="s">
        <v>210</v>
      </c>
      <c r="AK7" s="2519" t="s">
        <v>211</v>
      </c>
      <c r="AL7" s="599" t="s">
        <v>2</v>
      </c>
      <c r="AM7" s="2523" t="s">
        <v>212</v>
      </c>
      <c r="AN7" s="584"/>
      <c r="AO7" s="2251"/>
      <c r="AP7" s="2218"/>
      <c r="AQ7" s="2534" t="s">
        <v>210</v>
      </c>
      <c r="AR7" s="2536" t="s">
        <v>211</v>
      </c>
      <c r="AS7" s="2252" t="s">
        <v>2</v>
      </c>
      <c r="AT7" s="2530"/>
      <c r="AU7" s="2534" t="s">
        <v>210</v>
      </c>
      <c r="AV7" s="2536" t="s">
        <v>211</v>
      </c>
      <c r="AW7" s="2252" t="s">
        <v>2</v>
      </c>
      <c r="AX7" s="2538" t="s">
        <v>212</v>
      </c>
      <c r="AY7" s="2239"/>
      <c r="BA7" s="2490"/>
      <c r="BB7" s="2490"/>
    </row>
    <row r="8" spans="1:61" ht="39.950000000000003" customHeight="1">
      <c r="A8" s="365"/>
      <c r="B8" s="90"/>
      <c r="C8" s="900" t="s">
        <v>273</v>
      </c>
      <c r="D8" s="2511" t="s">
        <v>72</v>
      </c>
      <c r="E8" s="2512"/>
      <c r="F8" s="2513"/>
      <c r="G8" s="828" t="s">
        <v>2</v>
      </c>
      <c r="H8" s="2514" t="s">
        <v>62</v>
      </c>
      <c r="I8" s="866" t="s">
        <v>1</v>
      </c>
      <c r="J8" s="867" t="s">
        <v>2</v>
      </c>
      <c r="K8" s="2509" t="s">
        <v>62</v>
      </c>
      <c r="L8" s="91" t="s">
        <v>1</v>
      </c>
      <c r="M8" s="217" t="s">
        <v>2</v>
      </c>
      <c r="N8" s="92"/>
      <c r="O8" s="2510" t="s">
        <v>62</v>
      </c>
      <c r="P8" s="586" t="s">
        <v>1</v>
      </c>
      <c r="Q8" s="587" t="s">
        <v>2</v>
      </c>
      <c r="R8" s="88"/>
      <c r="S8" s="2502"/>
      <c r="T8" s="372"/>
      <c r="U8" s="581"/>
      <c r="V8" s="2496"/>
      <c r="W8" s="2498"/>
      <c r="X8" s="495"/>
      <c r="Y8" s="2547"/>
      <c r="Z8" s="2495" t="s">
        <v>210</v>
      </c>
      <c r="AA8" s="2497" t="s">
        <v>211</v>
      </c>
      <c r="AB8" s="583" t="s">
        <v>2</v>
      </c>
      <c r="AC8" s="2547"/>
      <c r="AD8" s="371"/>
      <c r="AE8" s="86"/>
      <c r="AF8" s="2518"/>
      <c r="AG8" s="2520"/>
      <c r="AH8" s="600"/>
      <c r="AI8" s="2522"/>
      <c r="AJ8" s="2518"/>
      <c r="AK8" s="2520"/>
      <c r="AL8" s="600"/>
      <c r="AM8" s="2522"/>
      <c r="AN8" s="584"/>
      <c r="AO8" s="2250"/>
      <c r="AP8" s="2221" t="s">
        <v>468</v>
      </c>
      <c r="AQ8" s="2535"/>
      <c r="AR8" s="2537"/>
      <c r="AS8" s="2253"/>
      <c r="AT8" s="2530"/>
      <c r="AU8" s="2535"/>
      <c r="AV8" s="2537"/>
      <c r="AW8" s="2253"/>
      <c r="AX8" s="2530"/>
      <c r="AY8" s="2239"/>
      <c r="BA8" s="2491" t="s">
        <v>470</v>
      </c>
      <c r="BB8" s="2065" t="s">
        <v>471</v>
      </c>
    </row>
    <row r="9" spans="1:61" ht="90" customHeight="1">
      <c r="A9" s="365"/>
      <c r="B9" s="93" t="s">
        <v>169</v>
      </c>
      <c r="C9" s="899" t="s">
        <v>62</v>
      </c>
      <c r="D9" s="837" t="s">
        <v>62</v>
      </c>
      <c r="E9" s="833" t="s">
        <v>1</v>
      </c>
      <c r="F9" s="585" t="s">
        <v>2</v>
      </c>
      <c r="G9" s="99"/>
      <c r="H9" s="2514"/>
      <c r="I9" s="94"/>
      <c r="J9" s="95"/>
      <c r="K9" s="2509"/>
      <c r="L9" s="96"/>
      <c r="M9" s="97"/>
      <c r="N9" s="88"/>
      <c r="O9" s="2509"/>
      <c r="P9" s="96"/>
      <c r="Q9" s="97"/>
      <c r="R9" s="88"/>
      <c r="S9" s="2502"/>
      <c r="T9" s="372"/>
      <c r="U9" s="588"/>
      <c r="V9" s="2496"/>
      <c r="W9" s="2498"/>
      <c r="X9" s="495"/>
      <c r="Y9" s="2547"/>
      <c r="Z9" s="2496"/>
      <c r="AA9" s="2498"/>
      <c r="AB9" s="489"/>
      <c r="AC9" s="2547"/>
      <c r="AD9" s="374"/>
      <c r="AE9" s="98"/>
      <c r="AF9" s="2518"/>
      <c r="AG9" s="2520"/>
      <c r="AH9" s="600"/>
      <c r="AI9" s="2522"/>
      <c r="AJ9" s="2518"/>
      <c r="AK9" s="2520"/>
      <c r="AL9" s="600"/>
      <c r="AM9" s="2522"/>
      <c r="AN9" s="584"/>
      <c r="AO9" s="2254"/>
      <c r="AP9" s="2219"/>
      <c r="AQ9" s="2535"/>
      <c r="AR9" s="2537"/>
      <c r="AS9" s="2253"/>
      <c r="AT9" s="2530"/>
      <c r="AU9" s="2535"/>
      <c r="AV9" s="2537"/>
      <c r="AW9" s="2253"/>
      <c r="AX9" s="2530"/>
      <c r="AY9" s="2239"/>
      <c r="BA9" s="2491"/>
      <c r="BB9" s="2231"/>
    </row>
    <row r="10" spans="1:61" ht="30" customHeight="1">
      <c r="A10" s="365"/>
      <c r="B10" s="99"/>
      <c r="C10" s="100" t="s">
        <v>17</v>
      </c>
      <c r="D10" s="100" t="s">
        <v>17</v>
      </c>
      <c r="E10" s="838" t="s">
        <v>17</v>
      </c>
      <c r="F10" s="102" t="s">
        <v>17</v>
      </c>
      <c r="G10" s="105" t="s">
        <v>17</v>
      </c>
      <c r="H10" s="100" t="s">
        <v>17</v>
      </c>
      <c r="I10" s="589" t="s">
        <v>17</v>
      </c>
      <c r="J10" s="102" t="s">
        <v>17</v>
      </c>
      <c r="K10" s="101" t="s">
        <v>17</v>
      </c>
      <c r="L10" s="101" t="s">
        <v>17</v>
      </c>
      <c r="M10" s="102" t="s">
        <v>17</v>
      </c>
      <c r="N10" s="103"/>
      <c r="O10" s="104" t="s">
        <v>17</v>
      </c>
      <c r="P10" s="101" t="s">
        <v>17</v>
      </c>
      <c r="Q10" s="105" t="s">
        <v>17</v>
      </c>
      <c r="R10" s="88"/>
      <c r="S10" s="106" t="s">
        <v>17</v>
      </c>
      <c r="T10" s="372"/>
      <c r="U10" s="588"/>
      <c r="V10" s="107" t="s">
        <v>17</v>
      </c>
      <c r="W10" s="108" t="s">
        <v>17</v>
      </c>
      <c r="X10" s="108" t="s">
        <v>17</v>
      </c>
      <c r="Y10" s="486" t="s">
        <v>17</v>
      </c>
      <c r="Z10" s="107"/>
      <c r="AA10" s="108"/>
      <c r="AB10" s="486"/>
      <c r="AC10" s="491"/>
      <c r="AD10" s="374"/>
      <c r="AE10" s="98"/>
      <c r="AF10" s="109" t="s">
        <v>17</v>
      </c>
      <c r="AG10" s="110" t="s">
        <v>17</v>
      </c>
      <c r="AH10" s="564" t="s">
        <v>17</v>
      </c>
      <c r="AI10" s="613" t="s">
        <v>17</v>
      </c>
      <c r="AJ10" s="109"/>
      <c r="AK10" s="110"/>
      <c r="AL10" s="564"/>
      <c r="AM10" s="181"/>
      <c r="AN10" s="584"/>
      <c r="AO10" s="2254"/>
      <c r="AP10" s="2219"/>
      <c r="AQ10" s="2206" t="s">
        <v>17</v>
      </c>
      <c r="AR10" s="2255" t="s">
        <v>17</v>
      </c>
      <c r="AS10" s="2207" t="s">
        <v>17</v>
      </c>
      <c r="AT10" s="2256" t="s">
        <v>17</v>
      </c>
      <c r="AU10" s="2206"/>
      <c r="AV10" s="2255"/>
      <c r="AW10" s="2207"/>
      <c r="AX10" s="2216"/>
      <c r="AY10" s="2239"/>
    </row>
    <row r="11" spans="1:61" ht="39.950000000000003" customHeight="1">
      <c r="A11" s="365"/>
      <c r="B11" s="99"/>
      <c r="C11" s="111" t="s">
        <v>30</v>
      </c>
      <c r="D11" s="113" t="s">
        <v>30</v>
      </c>
      <c r="E11" s="839" t="s">
        <v>84</v>
      </c>
      <c r="F11" s="114" t="s">
        <v>30</v>
      </c>
      <c r="G11" s="115" t="s">
        <v>55</v>
      </c>
      <c r="H11" s="113" t="s">
        <v>30</v>
      </c>
      <c r="I11" s="112" t="s">
        <v>30</v>
      </c>
      <c r="J11" s="114" t="s">
        <v>84</v>
      </c>
      <c r="K11" s="115" t="s">
        <v>55</v>
      </c>
      <c r="L11" s="590" t="s">
        <v>55</v>
      </c>
      <c r="M11" s="114" t="s">
        <v>55</v>
      </c>
      <c r="N11" s="103"/>
      <c r="O11" s="113" t="s">
        <v>30</v>
      </c>
      <c r="P11" s="112" t="s">
        <v>30</v>
      </c>
      <c r="Q11" s="114" t="s">
        <v>55</v>
      </c>
      <c r="R11" s="88"/>
      <c r="S11" s="116" t="s">
        <v>55</v>
      </c>
      <c r="T11" s="372"/>
      <c r="U11" s="588"/>
      <c r="V11" s="117" t="s">
        <v>56</v>
      </c>
      <c r="W11" s="118" t="s">
        <v>56</v>
      </c>
      <c r="X11" s="118" t="s">
        <v>56</v>
      </c>
      <c r="Y11" s="487" t="s">
        <v>56</v>
      </c>
      <c r="Z11" s="117" t="s">
        <v>56</v>
      </c>
      <c r="AA11" s="118" t="s">
        <v>56</v>
      </c>
      <c r="AB11" s="490" t="s">
        <v>56</v>
      </c>
      <c r="AC11" s="119" t="s">
        <v>56</v>
      </c>
      <c r="AD11" s="374"/>
      <c r="AE11" s="98"/>
      <c r="AF11" s="120" t="s">
        <v>56</v>
      </c>
      <c r="AG11" s="121" t="s">
        <v>56</v>
      </c>
      <c r="AH11" s="601" t="s">
        <v>56</v>
      </c>
      <c r="AI11" s="122" t="s">
        <v>56</v>
      </c>
      <c r="AJ11" s="120" t="s">
        <v>56</v>
      </c>
      <c r="AK11" s="121" t="s">
        <v>56</v>
      </c>
      <c r="AL11" s="601" t="s">
        <v>56</v>
      </c>
      <c r="AM11" s="122" t="s">
        <v>56</v>
      </c>
      <c r="AN11" s="584"/>
      <c r="AO11" s="2254"/>
      <c r="AP11" s="2219"/>
      <c r="AQ11" s="2208" t="s">
        <v>56</v>
      </c>
      <c r="AR11" s="2257" t="s">
        <v>56</v>
      </c>
      <c r="AS11" s="2258" t="s">
        <v>56</v>
      </c>
      <c r="AT11" s="2259" t="s">
        <v>56</v>
      </c>
      <c r="AU11" s="2208" t="s">
        <v>56</v>
      </c>
      <c r="AV11" s="2257" t="s">
        <v>56</v>
      </c>
      <c r="AW11" s="2258" t="s">
        <v>56</v>
      </c>
      <c r="AX11" s="2259" t="s">
        <v>56</v>
      </c>
      <c r="AY11" s="2239"/>
    </row>
    <row r="12" spans="1:61" ht="30" customHeight="1" thickBot="1">
      <c r="A12" s="365"/>
      <c r="B12" s="99"/>
      <c r="C12" s="506">
        <v>1</v>
      </c>
      <c r="D12" s="509">
        <v>2</v>
      </c>
      <c r="E12" s="508">
        <v>3</v>
      </c>
      <c r="F12" s="510">
        <v>4</v>
      </c>
      <c r="G12" s="834">
        <v>5</v>
      </c>
      <c r="H12" s="509">
        <v>6</v>
      </c>
      <c r="I12" s="507">
        <v>7</v>
      </c>
      <c r="J12" s="510">
        <v>8</v>
      </c>
      <c r="K12" s="507">
        <v>9</v>
      </c>
      <c r="L12" s="507">
        <v>10</v>
      </c>
      <c r="M12" s="510">
        <v>11</v>
      </c>
      <c r="N12" s="103"/>
      <c r="O12" s="509">
        <v>12</v>
      </c>
      <c r="P12" s="507">
        <v>13</v>
      </c>
      <c r="Q12" s="510">
        <v>14</v>
      </c>
      <c r="R12" s="88"/>
      <c r="S12" s="511">
        <v>15</v>
      </c>
      <c r="T12" s="372"/>
      <c r="U12" s="588"/>
      <c r="V12" s="566">
        <v>16</v>
      </c>
      <c r="W12" s="567">
        <v>17</v>
      </c>
      <c r="X12" s="567">
        <v>18</v>
      </c>
      <c r="Y12" s="568">
        <v>19</v>
      </c>
      <c r="Z12" s="569">
        <v>20</v>
      </c>
      <c r="AA12" s="567">
        <v>21</v>
      </c>
      <c r="AB12" s="567">
        <v>22</v>
      </c>
      <c r="AC12" s="570">
        <v>23</v>
      </c>
      <c r="AD12" s="374"/>
      <c r="AE12" s="98"/>
      <c r="AF12" s="571">
        <v>24</v>
      </c>
      <c r="AG12" s="572">
        <v>25</v>
      </c>
      <c r="AH12" s="573">
        <v>26</v>
      </c>
      <c r="AI12" s="605">
        <v>27</v>
      </c>
      <c r="AJ12" s="571">
        <v>28</v>
      </c>
      <c r="AK12" s="572">
        <v>29</v>
      </c>
      <c r="AL12" s="573">
        <v>30</v>
      </c>
      <c r="AM12" s="605">
        <v>31</v>
      </c>
      <c r="AN12" s="584"/>
      <c r="AO12" s="2254"/>
      <c r="AP12" s="2220"/>
      <c r="AQ12" s="2209">
        <v>32</v>
      </c>
      <c r="AR12" s="2210">
        <v>33</v>
      </c>
      <c r="AS12" s="2211">
        <v>34</v>
      </c>
      <c r="AT12" s="2212">
        <v>35</v>
      </c>
      <c r="AU12" s="2209">
        <v>36</v>
      </c>
      <c r="AV12" s="2210">
        <v>37</v>
      </c>
      <c r="AW12" s="2211">
        <v>38</v>
      </c>
      <c r="AX12" s="2212">
        <v>39</v>
      </c>
      <c r="AY12" s="2239"/>
    </row>
    <row r="13" spans="1:61" ht="35.1" customHeight="1" thickBot="1">
      <c r="A13" s="365"/>
      <c r="B13" s="123" t="s">
        <v>12</v>
      </c>
      <c r="C13" s="846"/>
      <c r="D13" s="940">
        <v>1419</v>
      </c>
      <c r="E13" s="941"/>
      <c r="F13" s="840">
        <f>SUM(D13:E13)</f>
        <v>1419</v>
      </c>
      <c r="G13" s="865">
        <f>F13</f>
        <v>1419</v>
      </c>
      <c r="H13" s="124">
        <v>213</v>
      </c>
      <c r="I13" s="125">
        <v>29.3</v>
      </c>
      <c r="J13" s="126">
        <f>SUM(H13:I13)</f>
        <v>242.3</v>
      </c>
      <c r="K13" s="127">
        <f>SUM(D13,H13)</f>
        <v>1632</v>
      </c>
      <c r="L13" s="128">
        <f>SUM(E13,I13)</f>
        <v>29.3</v>
      </c>
      <c r="M13" s="160">
        <f>SUM(K13:L13)</f>
        <v>1661.3</v>
      </c>
      <c r="N13" s="88"/>
      <c r="O13" s="130"/>
      <c r="P13" s="131"/>
      <c r="Q13" s="132"/>
      <c r="R13" s="88"/>
      <c r="S13" s="133"/>
      <c r="T13" s="372"/>
      <c r="U13" s="588"/>
      <c r="V13" s="134">
        <f>VLOOKUP($BA13,Early_Stats_Last_Year,VLOOKUP('Background Data'!$C$2,Inst_Tables,15,FALSE),FALSE)</f>
        <v>1416</v>
      </c>
      <c r="W13" s="135">
        <f>VLOOKUP($BA13,Early_Stats_Last_Year,VLOOKUP('Background Data'!$C$2,Inst_Tables,16,FALSE),FALSE)</f>
        <v>221</v>
      </c>
      <c r="X13" s="210">
        <f>SUM(V13:W13)</f>
        <v>1637</v>
      </c>
      <c r="Y13" s="501"/>
      <c r="Z13" s="502">
        <f>IF(V13&gt;0,(G13-V13)/V13,"")</f>
        <v>2.1186440677966102E-3</v>
      </c>
      <c r="AA13" s="503">
        <f>IF(W13&gt;0,(J13-W13)/W13,"")</f>
        <v>9.6380090497737603E-2</v>
      </c>
      <c r="AB13" s="504">
        <f>IF(X13&gt;0,(M13-X13)/X13,"")</f>
        <v>1.4844227244960265E-2</v>
      </c>
      <c r="AC13" s="505"/>
      <c r="AD13" s="374"/>
      <c r="AE13" s="98"/>
      <c r="AF13" s="136">
        <f>VLOOKUP($BA13,Final_Figures_Last_Year,VLOOKUP('Background Data'!$C$2,Inst_Tables,15,FALSE),FALSE)</f>
        <v>1412</v>
      </c>
      <c r="AG13" s="137">
        <f>VLOOKUP($BA13,Final_Figures_Last_Year,VLOOKUP('Background Data'!$C$2,Inst_Tables,16,FALSE),FALSE)</f>
        <v>245.69999999999851</v>
      </c>
      <c r="AH13" s="606">
        <f>SUM(AF13:AG13)</f>
        <v>1657.6999999999985</v>
      </c>
      <c r="AI13" s="138"/>
      <c r="AJ13" s="615">
        <f>IF(AF13&gt;0,(G13-AF13)/AF13,"")</f>
        <v>4.9575070821529744E-3</v>
      </c>
      <c r="AK13" s="616">
        <f>IF(AG13&gt;0,(J13-AG13)/AG13,"")</f>
        <v>-1.3838013838007814E-2</v>
      </c>
      <c r="AL13" s="617">
        <f>IF(AH13&gt;0,(M13-AH13)/AH13,"")</f>
        <v>2.1716836580813804E-3</v>
      </c>
      <c r="AM13" s="618"/>
      <c r="AN13" s="584"/>
      <c r="AO13" s="2254"/>
      <c r="AP13" s="2230"/>
      <c r="AQ13" s="2230"/>
      <c r="AR13" s="2230"/>
      <c r="AS13" s="2230"/>
      <c r="AT13" s="2230"/>
      <c r="AU13" s="2230"/>
      <c r="AV13" s="2230"/>
      <c r="AW13" s="2230"/>
      <c r="AX13" s="2230"/>
      <c r="AY13" s="2239"/>
      <c r="BA13" s="628">
        <v>1</v>
      </c>
    </row>
    <row r="14" spans="1:61" ht="35.1" customHeight="1">
      <c r="A14" s="365"/>
      <c r="B14" s="139" t="s">
        <v>9</v>
      </c>
      <c r="C14" s="847"/>
      <c r="D14" s="850"/>
      <c r="E14" s="851"/>
      <c r="F14" s="852"/>
      <c r="G14" s="853"/>
      <c r="H14" s="850"/>
      <c r="I14" s="854"/>
      <c r="J14" s="855"/>
      <c r="K14" s="856"/>
      <c r="L14" s="856"/>
      <c r="M14" s="855"/>
      <c r="N14" s="88"/>
      <c r="O14" s="130"/>
      <c r="P14" s="131"/>
      <c r="Q14" s="132"/>
      <c r="R14" s="88"/>
      <c r="S14" s="140"/>
      <c r="T14" s="372"/>
      <c r="U14" s="588"/>
      <c r="V14" s="149"/>
      <c r="W14" s="150"/>
      <c r="X14" s="150"/>
      <c r="Y14" s="152"/>
      <c r="Z14" s="151"/>
      <c r="AA14" s="150"/>
      <c r="AB14" s="213"/>
      <c r="AC14" s="180"/>
      <c r="AD14" s="374"/>
      <c r="AE14" s="98"/>
      <c r="AF14" s="153"/>
      <c r="AG14" s="154"/>
      <c r="AH14" s="610"/>
      <c r="AI14" s="619"/>
      <c r="AJ14" s="155"/>
      <c r="AK14" s="154"/>
      <c r="AL14" s="98"/>
      <c r="AM14" s="181"/>
      <c r="AN14" s="584"/>
      <c r="AO14" s="2254"/>
      <c r="AP14" s="2203" t="s">
        <v>295</v>
      </c>
      <c r="AQ14" s="2204"/>
      <c r="AR14" s="2205"/>
      <c r="AS14" s="2205"/>
      <c r="AT14" s="2205"/>
      <c r="AU14" s="2205"/>
      <c r="AV14" s="2205"/>
      <c r="AW14" s="2205"/>
      <c r="AX14" s="2205"/>
      <c r="AY14" s="2239"/>
      <c r="BA14" s="629"/>
    </row>
    <row r="15" spans="1:61" ht="30" customHeight="1" thickBot="1">
      <c r="A15" s="365"/>
      <c r="B15" s="146" t="s">
        <v>73</v>
      </c>
      <c r="C15" s="848"/>
      <c r="D15" s="857"/>
      <c r="E15" s="858"/>
      <c r="F15" s="859"/>
      <c r="G15" s="860"/>
      <c r="H15" s="861"/>
      <c r="I15" s="862"/>
      <c r="J15" s="863"/>
      <c r="K15" s="864"/>
      <c r="L15" s="864"/>
      <c r="M15" s="863"/>
      <c r="N15" s="88"/>
      <c r="O15" s="147"/>
      <c r="P15" s="96"/>
      <c r="Q15" s="148"/>
      <c r="R15" s="88"/>
      <c r="S15" s="133"/>
      <c r="T15" s="372"/>
      <c r="U15" s="588"/>
      <c r="V15" s="149"/>
      <c r="W15" s="150"/>
      <c r="X15" s="202"/>
      <c r="Y15" s="152"/>
      <c r="Z15" s="151"/>
      <c r="AA15" s="150"/>
      <c r="AB15" s="213"/>
      <c r="AC15" s="180"/>
      <c r="AD15" s="374"/>
      <c r="AE15" s="98"/>
      <c r="AF15" s="153"/>
      <c r="AG15" s="154"/>
      <c r="AH15" s="608"/>
      <c r="AI15" s="620"/>
      <c r="AJ15" s="155"/>
      <c r="AK15" s="154"/>
      <c r="AL15" s="98"/>
      <c r="AM15" s="181"/>
      <c r="AN15" s="584"/>
      <c r="AO15" s="2254"/>
      <c r="AP15" s="2204"/>
      <c r="AQ15" s="2204"/>
      <c r="AR15" s="2205"/>
      <c r="AS15" s="2205"/>
      <c r="AT15" s="2205"/>
      <c r="AU15" s="2205"/>
      <c r="AV15" s="2205"/>
      <c r="AW15" s="2205"/>
      <c r="AX15" s="2205"/>
      <c r="AY15" s="2239"/>
      <c r="BA15" s="629"/>
    </row>
    <row r="16" spans="1:61" ht="30" customHeight="1">
      <c r="A16" s="365"/>
      <c r="B16" s="156" t="s">
        <v>136</v>
      </c>
      <c r="C16" s="849"/>
      <c r="D16" s="158"/>
      <c r="E16" s="157"/>
      <c r="F16" s="844">
        <f>SUM(D16:E16)</f>
        <v>0</v>
      </c>
      <c r="G16" s="835">
        <f>F16</f>
        <v>0</v>
      </c>
      <c r="H16" s="158"/>
      <c r="I16" s="157"/>
      <c r="J16" s="591">
        <f>SUM(H16:I16)</f>
        <v>0</v>
      </c>
      <c r="K16" s="159">
        <f>SUM(D16,H16)</f>
        <v>0</v>
      </c>
      <c r="L16" s="128">
        <f>SUM(E16,I16)</f>
        <v>0</v>
      </c>
      <c r="M16" s="160">
        <f>SUM(K16:L16)</f>
        <v>0</v>
      </c>
      <c r="N16" s="88"/>
      <c r="O16" s="196"/>
      <c r="P16" s="157"/>
      <c r="Q16" s="183">
        <f>SUM(O16:P16)</f>
        <v>0</v>
      </c>
      <c r="R16" s="88"/>
      <c r="S16" s="184">
        <f>SUM(M16,Q16)</f>
        <v>0</v>
      </c>
      <c r="T16" s="372"/>
      <c r="U16" s="588"/>
      <c r="V16" s="161">
        <f>VLOOKUP($BA16,Early_Stats_Last_Year,VLOOKUP('Background Data'!$C$2,Inst_Tables,15,FALSE),FALSE)</f>
        <v>0</v>
      </c>
      <c r="W16" s="162">
        <f>VLOOKUP($BA16,Early_Stats_Last_Year,VLOOKUP('Background Data'!$C$2,Inst_Tables,16,FALSE),FALSE)</f>
        <v>0</v>
      </c>
      <c r="X16" s="592">
        <f>SUM(V16:W16)</f>
        <v>0</v>
      </c>
      <c r="Y16" s="162">
        <f>VLOOKUP($BA16,Early_Stats_Last_Year,VLOOKUP('Background Data'!$C$2,Inst_Tables,17,FALSE),FALSE)</f>
        <v>0</v>
      </c>
      <c r="Z16" s="163" t="str">
        <f>IF(V16&gt;0,(G16-V16)/V16,"")</f>
        <v/>
      </c>
      <c r="AA16" s="164" t="str">
        <f>IF(W16&gt;0,(J16-W16)/W16,"")</f>
        <v/>
      </c>
      <c r="AB16" s="496" t="str">
        <f>IF(X16&gt;0,(M16-X16)/X16,"")</f>
        <v/>
      </c>
      <c r="AC16" s="622" t="str">
        <f>IF(Y16&gt;0,(Q16-Y16)/Y16,"")</f>
        <v/>
      </c>
      <c r="AD16" s="374"/>
      <c r="AE16" s="98"/>
      <c r="AF16" s="165">
        <f>VLOOKUP($BA16,Final_Figures_Last_Year,VLOOKUP('Background Data'!$C$2,Inst_Tables,15,FALSE),FALSE)</f>
        <v>0</v>
      </c>
      <c r="AG16" s="166">
        <f>VLOOKUP($BA16,Final_Figures_Last_Year,VLOOKUP('Background Data'!$C$2,Inst_Tables,16,FALSE),FALSE)</f>
        <v>0</v>
      </c>
      <c r="AH16" s="609">
        <f>SUM(AF16:AG16)</f>
        <v>0</v>
      </c>
      <c r="AI16" s="621">
        <f>VLOOKUP($BA16,Final_Figures_Last_Year,VLOOKUP('Background Data'!$C$2,Inst_Tables,17,FALSE),FALSE)</f>
        <v>0</v>
      </c>
      <c r="AJ16" s="593" t="str">
        <f>IF(AF16&gt;0,(G16-AF16)/AF16,"")</f>
        <v/>
      </c>
      <c r="AK16" s="167" t="str">
        <f>IF(AG16&gt;0,(J16-AG16)/AG16,"")</f>
        <v/>
      </c>
      <c r="AL16" s="593" t="str">
        <f>IF(AH16&gt;0,(M16-AH16)/AH16,"")</f>
        <v/>
      </c>
      <c r="AM16" s="239" t="str">
        <f>IF(AI16&gt;0,(Q16-AI16)/AI16,"")</f>
        <v/>
      </c>
      <c r="AN16" s="584"/>
      <c r="AO16" s="2254"/>
      <c r="AP16" s="2225" t="s">
        <v>9</v>
      </c>
      <c r="AQ16" s="2223"/>
      <c r="AR16" s="2213"/>
      <c r="AS16" s="2213"/>
      <c r="AT16" s="2214"/>
      <c r="AU16" s="2237"/>
      <c r="AV16" s="2213"/>
      <c r="AW16" s="2213"/>
      <c r="AX16" s="2214"/>
      <c r="AY16" s="2239"/>
      <c r="BA16" s="628">
        <v>2</v>
      </c>
      <c r="BB16" s="627"/>
    </row>
    <row r="17" spans="1:54" ht="30" customHeight="1">
      <c r="A17" s="365"/>
      <c r="B17" s="146" t="s">
        <v>75</v>
      </c>
      <c r="C17" s="196"/>
      <c r="D17" s="158">
        <v>1145</v>
      </c>
      <c r="E17" s="157"/>
      <c r="F17" s="844">
        <f>SUM(D17:E17)</f>
        <v>1145</v>
      </c>
      <c r="G17" s="835">
        <f>SUM(C17,F17)</f>
        <v>1145</v>
      </c>
      <c r="H17" s="158">
        <v>188.88</v>
      </c>
      <c r="I17" s="157">
        <v>33.5</v>
      </c>
      <c r="J17" s="591">
        <f>SUM(H17:I17)</f>
        <v>222.38</v>
      </c>
      <c r="K17" s="159">
        <f>SUM(C17,D17,H17)</f>
        <v>1333.88</v>
      </c>
      <c r="L17" s="128">
        <f>SUM(E17,I17)</f>
        <v>33.5</v>
      </c>
      <c r="M17" s="160">
        <f>SUM(K17:L17)</f>
        <v>1367.38</v>
      </c>
      <c r="N17" s="88"/>
      <c r="O17" s="147"/>
      <c r="P17" s="96"/>
      <c r="Q17" s="148"/>
      <c r="R17" s="88"/>
      <c r="S17" s="133"/>
      <c r="T17" s="372"/>
      <c r="U17" s="588"/>
      <c r="V17" s="161">
        <f>VLOOKUP($BA17,Early_Stats_Last_Year,VLOOKUP('Background Data'!$C$2,Inst_Tables,15,FALSE),FALSE)</f>
        <v>1095</v>
      </c>
      <c r="W17" s="162">
        <f>VLOOKUP($BA17,Early_Stats_Last_Year,VLOOKUP('Background Data'!$C$2,Inst_Tables,16,FALSE),FALSE)</f>
        <v>275.45999999999998</v>
      </c>
      <c r="X17" s="592">
        <f>SUM(V17:W17)</f>
        <v>1370.46</v>
      </c>
      <c r="Y17" s="514"/>
      <c r="Z17" s="163">
        <f>IF(V17&gt;0,(G17-V17)/V17,"")</f>
        <v>4.5662100456621002E-2</v>
      </c>
      <c r="AA17" s="164">
        <f>IF(W17&gt;0,(J17-W17)/W17,"")</f>
        <v>-0.1926958542075074</v>
      </c>
      <c r="AB17" s="496">
        <f>IF(X17&gt;0,(M17-X17)/X17,"")</f>
        <v>-2.2474205741137483E-3</v>
      </c>
      <c r="AC17" s="498"/>
      <c r="AD17" s="374"/>
      <c r="AE17" s="98"/>
      <c r="AF17" s="238">
        <f>VLOOKUP($BA17,Final_Figures_Last_Year,VLOOKUP('Background Data'!$C$2,Inst_Tables,15,FALSE),FALSE)</f>
        <v>1074</v>
      </c>
      <c r="AG17" s="166">
        <f>VLOOKUP($BA17,Final_Figures_Last_Year,VLOOKUP('Background Data'!$C$2,Inst_Tables,16,FALSE),FALSE)</f>
        <v>243.15800000000002</v>
      </c>
      <c r="AH17" s="609">
        <f>SUM(AF17:AG17)</f>
        <v>1317.1579999999999</v>
      </c>
      <c r="AI17" s="620"/>
      <c r="AJ17" s="594">
        <f>IF(AF17&gt;0,(G17-AF17)/AF17,"")</f>
        <v>6.6108007448789571E-2</v>
      </c>
      <c r="AK17" s="167">
        <f>IF(AG17&gt;0,(J17-AG17)/AG17,"")</f>
        <v>-8.5450612359042347E-2</v>
      </c>
      <c r="AL17" s="602">
        <f>IF(AH17&gt;0,(M17-AH17)/AH17,"")</f>
        <v>3.812906272444172E-2</v>
      </c>
      <c r="AM17" s="181"/>
      <c r="AN17" s="584"/>
      <c r="AO17" s="2254"/>
      <c r="AP17" s="2226" t="s">
        <v>18</v>
      </c>
      <c r="AQ17" s="2232">
        <f>VLOOKUP($BB17,Early_Stats_Last_Year,VLOOKUP('Background Data'!$C$2,Inst_Tables,15,FALSE),FALSE)</f>
        <v>17</v>
      </c>
      <c r="AR17" s="2233">
        <f>VLOOKUP($BB17,Early_Stats_Last_Year,VLOOKUP('Background Data'!$C$2,Inst_Tables,16,FALSE),FALSE)</f>
        <v>0</v>
      </c>
      <c r="AS17" s="2234">
        <f>SUM(AQ17:AR17)</f>
        <v>17</v>
      </c>
      <c r="AT17" s="2240">
        <f>VLOOKUP($BB17,Early_Stats_Last_Year,VLOOKUP('Background Data'!$C$2,Inst_Tables,17,FALSE),FALSE)</f>
        <v>0</v>
      </c>
      <c r="AU17" s="2238">
        <f>IF(AQ17&gt;0,(G$23-AQ17)/AQ17,"")</f>
        <v>-1</v>
      </c>
      <c r="AV17" s="2235" t="str">
        <f>IF(AR17&gt;0,(J$23-AR17)/AR17,"")</f>
        <v/>
      </c>
      <c r="AW17" s="2238">
        <f>IF(AS17&gt;0,(M$23-AS17)/AS17,"")</f>
        <v>-1</v>
      </c>
      <c r="AX17" s="2236" t="str">
        <f>IF(AT17&gt;0,(Q$23-AT17)/AT17,"")</f>
        <v/>
      </c>
      <c r="AY17" s="2239"/>
      <c r="BA17" s="628">
        <v>3</v>
      </c>
      <c r="BB17" s="628">
        <v>6</v>
      </c>
    </row>
    <row r="18" spans="1:54" ht="35.1" customHeight="1" thickBot="1">
      <c r="A18" s="365"/>
      <c r="B18" s="168" t="s">
        <v>2</v>
      </c>
      <c r="C18" s="169">
        <f>C17</f>
        <v>0</v>
      </c>
      <c r="D18" s="841">
        <f>SUM(D16:D17)</f>
        <v>1145</v>
      </c>
      <c r="E18" s="842">
        <f t="shared" ref="E18:M18" si="0">SUM(E16:E17)</f>
        <v>0</v>
      </c>
      <c r="F18" s="843">
        <f t="shared" si="0"/>
        <v>1145</v>
      </c>
      <c r="G18" s="185">
        <f t="shared" si="0"/>
        <v>1145</v>
      </c>
      <c r="H18" s="170">
        <f t="shared" si="0"/>
        <v>188.88</v>
      </c>
      <c r="I18" s="170">
        <f t="shared" si="0"/>
        <v>33.5</v>
      </c>
      <c r="J18" s="171">
        <f t="shared" si="0"/>
        <v>222.38</v>
      </c>
      <c r="K18" s="170">
        <f t="shared" si="0"/>
        <v>1333.88</v>
      </c>
      <c r="L18" s="170">
        <f t="shared" si="0"/>
        <v>33.5</v>
      </c>
      <c r="M18" s="171">
        <f t="shared" si="0"/>
        <v>1367.38</v>
      </c>
      <c r="N18" s="88"/>
      <c r="O18" s="172"/>
      <c r="P18" s="173"/>
      <c r="Q18" s="174"/>
      <c r="R18" s="88"/>
      <c r="S18" s="175"/>
      <c r="T18" s="372"/>
      <c r="U18" s="588"/>
      <c r="V18" s="186">
        <f>SUM(V16:V17)</f>
        <v>1095</v>
      </c>
      <c r="W18" s="187">
        <f>SUM(W16:W17)</f>
        <v>275.45999999999998</v>
      </c>
      <c r="X18" s="187">
        <f>SUM(X16:X17)</f>
        <v>1370.46</v>
      </c>
      <c r="Y18" s="515"/>
      <c r="Z18" s="177">
        <f>IF(V18&gt;0,(G18-V18)/V18,"")</f>
        <v>4.5662100456621002E-2</v>
      </c>
      <c r="AA18" s="178">
        <f>IF(W18&gt;0,(J18-W18)/W18,"")</f>
        <v>-0.1926958542075074</v>
      </c>
      <c r="AB18" s="497">
        <f>IF(X18&gt;0,(M18-X18)/X18,"")</f>
        <v>-2.2474205741137483E-3</v>
      </c>
      <c r="AC18" s="500"/>
      <c r="AD18" s="374"/>
      <c r="AE18" s="98"/>
      <c r="AF18" s="917">
        <f>SUM(AF16:AF17)</f>
        <v>1074</v>
      </c>
      <c r="AG18" s="918">
        <f>SUM(AG16:AG17)</f>
        <v>243.15800000000002</v>
      </c>
      <c r="AH18" s="919">
        <f>SUM(AH16:AH17)</f>
        <v>1317.1579999999999</v>
      </c>
      <c r="AI18" s="620"/>
      <c r="AJ18" s="603">
        <f>IF(AF18&gt;0,(G18-AF18)/AF18,"")</f>
        <v>6.6108007448789571E-2</v>
      </c>
      <c r="AK18" s="192">
        <f>IF(AG18&gt;0,(J18-AG18)/AG18,"")</f>
        <v>-8.5450612359042347E-2</v>
      </c>
      <c r="AL18" s="603">
        <f>IF(AH18&gt;0,(M18-AH18)/AH18,"")</f>
        <v>3.812906272444172E-2</v>
      </c>
      <c r="AM18" s="181"/>
      <c r="AN18" s="584"/>
      <c r="AO18" s="2254"/>
      <c r="AP18" s="2226" t="s">
        <v>19</v>
      </c>
      <c r="AQ18" s="2232">
        <f>VLOOKUP($BB18,Early_Stats_Last_Year,VLOOKUP('Background Data'!$C$2,Inst_Tables,15,FALSE),FALSE)</f>
        <v>0</v>
      </c>
      <c r="AR18" s="2233">
        <f>VLOOKUP($BB18,Early_Stats_Last_Year,VLOOKUP('Background Data'!$C$2,Inst_Tables,16,FALSE),FALSE)</f>
        <v>0</v>
      </c>
      <c r="AS18" s="2234">
        <f>SUM(AQ18:AR18)</f>
        <v>0</v>
      </c>
      <c r="AT18" s="2240">
        <f>VLOOKUP($BB18,Early_Stats_Last_Year,VLOOKUP('Background Data'!$C$2,Inst_Tables,17,FALSE),FALSE)</f>
        <v>0</v>
      </c>
      <c r="AU18" s="2238" t="str">
        <f>IF(AQ18&gt;0,(SUM(G$27,G$29)-AQ18)/AQ18,"")</f>
        <v/>
      </c>
      <c r="AV18" s="2235" t="str">
        <f>IF(AR18&gt;0,(SUM(J$27,J$29)-AR18)/AR18,"")</f>
        <v/>
      </c>
      <c r="AW18" s="2238" t="str">
        <f>IF(AS18&gt;0,(SUM(M$27,M$29)-AS18)/AS18,"")</f>
        <v/>
      </c>
      <c r="AX18" s="2236" t="str">
        <f>IF(AT18&gt;0,(SUM(Q$27,Q$29)-AT18)/AT18,"")</f>
        <v/>
      </c>
      <c r="AY18" s="2239"/>
      <c r="BA18" s="629"/>
      <c r="BB18" s="628">
        <v>7</v>
      </c>
    </row>
    <row r="19" spans="1:54" ht="35.1" customHeight="1">
      <c r="A19" s="365"/>
      <c r="B19" s="139" t="s">
        <v>10</v>
      </c>
      <c r="C19" s="1270"/>
      <c r="D19" s="869"/>
      <c r="E19" s="870"/>
      <c r="F19" s="871"/>
      <c r="G19" s="872"/>
      <c r="H19" s="869"/>
      <c r="I19" s="873"/>
      <c r="J19" s="874"/>
      <c r="K19" s="875"/>
      <c r="L19" s="875"/>
      <c r="M19" s="876"/>
      <c r="N19" s="88"/>
      <c r="O19" s="147"/>
      <c r="P19" s="96"/>
      <c r="Q19" s="148"/>
      <c r="R19" s="88"/>
      <c r="S19" s="133"/>
      <c r="T19" s="372"/>
      <c r="U19" s="588"/>
      <c r="V19" s="141"/>
      <c r="W19" s="142"/>
      <c r="X19" s="142"/>
      <c r="Y19" s="2152"/>
      <c r="Z19" s="2153"/>
      <c r="AA19" s="142"/>
      <c r="AB19" s="488"/>
      <c r="AC19" s="1273"/>
      <c r="AD19" s="374"/>
      <c r="AE19" s="98"/>
      <c r="AF19" s="143"/>
      <c r="AG19" s="144"/>
      <c r="AH19" s="607"/>
      <c r="AI19" s="145"/>
      <c r="AJ19" s="565"/>
      <c r="AK19" s="144"/>
      <c r="AL19" s="565"/>
      <c r="AM19" s="145"/>
      <c r="AN19" s="584"/>
      <c r="AO19" s="2254"/>
      <c r="AP19" s="2227" t="s">
        <v>11</v>
      </c>
      <c r="AQ19" s="2224"/>
      <c r="AR19" s="2215"/>
      <c r="AS19" s="2215"/>
      <c r="AT19" s="2216"/>
      <c r="AU19" s="2239"/>
      <c r="AV19" s="2215"/>
      <c r="AW19" s="2215"/>
      <c r="AX19" s="2216"/>
      <c r="AY19" s="2239"/>
      <c r="BA19" s="629"/>
    </row>
    <row r="20" spans="1:54" ht="30" customHeight="1">
      <c r="A20" s="365"/>
      <c r="B20" s="146" t="s">
        <v>73</v>
      </c>
      <c r="C20" s="1271"/>
      <c r="D20" s="885"/>
      <c r="E20" s="2142"/>
      <c r="F20" s="2143"/>
      <c r="G20" s="888"/>
      <c r="H20" s="885"/>
      <c r="I20" s="2144"/>
      <c r="J20" s="2145"/>
      <c r="K20" s="2146"/>
      <c r="L20" s="2146"/>
      <c r="M20" s="2145"/>
      <c r="N20" s="88"/>
      <c r="O20" s="147"/>
      <c r="P20" s="96"/>
      <c r="Q20" s="148"/>
      <c r="R20" s="88"/>
      <c r="S20" s="133"/>
      <c r="T20" s="372"/>
      <c r="U20" s="588"/>
      <c r="V20" s="149"/>
      <c r="W20" s="2138"/>
      <c r="X20" s="2138"/>
      <c r="Y20" s="152"/>
      <c r="Z20" s="151"/>
      <c r="AA20" s="2138"/>
      <c r="AB20" s="213"/>
      <c r="AC20" s="2139"/>
      <c r="AD20" s="374"/>
      <c r="AE20" s="98"/>
      <c r="AF20" s="153"/>
      <c r="AG20" s="2140"/>
      <c r="AH20" s="2157"/>
      <c r="AI20" s="2141"/>
      <c r="AJ20" s="98"/>
      <c r="AK20" s="2140"/>
      <c r="AL20" s="98"/>
      <c r="AM20" s="2141"/>
      <c r="AN20" s="584"/>
      <c r="AO20" s="2254"/>
      <c r="AP20" s="2226" t="s">
        <v>18</v>
      </c>
      <c r="AQ20" s="2232">
        <f>VLOOKUP($BB20,Early_Stats_Last_Year,VLOOKUP('Background Data'!$C$2,Inst_Tables,15,FALSE),FALSE)</f>
        <v>0</v>
      </c>
      <c r="AR20" s="2233">
        <f>VLOOKUP($BB20,Early_Stats_Last_Year,VLOOKUP('Background Data'!$C$2,Inst_Tables,16,FALSE),FALSE)</f>
        <v>0</v>
      </c>
      <c r="AS20" s="2234">
        <f>SUM(AQ20:AR20)</f>
        <v>0</v>
      </c>
      <c r="AT20" s="2240">
        <f>VLOOKUP($BB20,Early_Stats_Last_Year,VLOOKUP('Background Data'!$C$2,Inst_Tables,17,FALSE),FALSE)</f>
        <v>0</v>
      </c>
      <c r="AU20" s="2238" t="str">
        <f>IF(AQ20&gt;0,(G$45-AQ20)/AQ20,"")</f>
        <v/>
      </c>
      <c r="AV20" s="2235" t="str">
        <f>IF(AR20&gt;0,(J$45-AR20)/AR20,"")</f>
        <v/>
      </c>
      <c r="AW20" s="2238" t="str">
        <f>IF(AS20&gt;0,(M$45-AS20)/AS20,"")</f>
        <v/>
      </c>
      <c r="AX20" s="2236" t="str">
        <f>IF(AT20&gt;0,(Q$45-AT20)/AT20,"")</f>
        <v/>
      </c>
      <c r="AY20" s="2239"/>
      <c r="BA20" s="629"/>
      <c r="BB20" s="628">
        <v>17</v>
      </c>
    </row>
    <row r="21" spans="1:54" ht="30" customHeight="1" thickBot="1">
      <c r="A21" s="2133"/>
      <c r="B21" s="2266" t="s">
        <v>99</v>
      </c>
      <c r="C21" s="1271"/>
      <c r="D21" s="877"/>
      <c r="E21" s="878"/>
      <c r="F21" s="879"/>
      <c r="G21" s="2134"/>
      <c r="H21" s="877"/>
      <c r="I21" s="881"/>
      <c r="J21" s="2135"/>
      <c r="K21" s="2147"/>
      <c r="L21" s="883"/>
      <c r="M21" s="882"/>
      <c r="N21" s="88"/>
      <c r="O21" s="147"/>
      <c r="P21" s="2136"/>
      <c r="Q21" s="148"/>
      <c r="R21" s="88"/>
      <c r="S21" s="133"/>
      <c r="T21" s="829"/>
      <c r="U21" s="2137"/>
      <c r="V21" s="2154"/>
      <c r="W21" s="202"/>
      <c r="X21" s="202"/>
      <c r="Y21" s="2155"/>
      <c r="Z21" s="2154"/>
      <c r="AA21" s="202"/>
      <c r="AB21" s="2155"/>
      <c r="AC21" s="2156"/>
      <c r="AD21" s="831"/>
      <c r="AE21" s="98"/>
      <c r="AF21" s="2158"/>
      <c r="AG21" s="2159"/>
      <c r="AH21" s="608"/>
      <c r="AI21" s="2160"/>
      <c r="AJ21" s="2161"/>
      <c r="AK21" s="2159"/>
      <c r="AL21" s="2161"/>
      <c r="AM21" s="2160"/>
      <c r="AN21" s="832"/>
      <c r="AO21" s="2254"/>
      <c r="AP21" s="2228" t="s">
        <v>19</v>
      </c>
      <c r="AQ21" s="2232">
        <f>VLOOKUP($BB21,Early_Stats_Last_Year,VLOOKUP('Background Data'!$C$2,Inst_Tables,15,FALSE),FALSE)</f>
        <v>0</v>
      </c>
      <c r="AR21" s="2233">
        <f>VLOOKUP($BB21,Early_Stats_Last_Year,VLOOKUP('Background Data'!$C$2,Inst_Tables,16,FALSE),FALSE)</f>
        <v>0</v>
      </c>
      <c r="AS21" s="2234">
        <f>SUM(AQ21:AR21)</f>
        <v>0</v>
      </c>
      <c r="AT21" s="2240">
        <f>VLOOKUP($BB21,Early_Stats_Last_Year,VLOOKUP('Background Data'!$C$2,Inst_Tables,17,FALSE),FALSE)</f>
        <v>0</v>
      </c>
      <c r="AU21" s="2238" t="str">
        <f>IF(AQ21&gt;0,(SUM(G$46,G$47)-AQ21)/AQ21,"")</f>
        <v/>
      </c>
      <c r="AV21" s="2235" t="str">
        <f>IF(AR21&gt;0,(SUM(J$46,J$47)-AR21)/AR21,"")</f>
        <v/>
      </c>
      <c r="AW21" s="2238" t="str">
        <f>IF(AS21&gt;0,(SUM(M$46,M$47)-AS21)/AS21,"")</f>
        <v/>
      </c>
      <c r="AX21" s="2236" t="str">
        <f>IF(AT21&gt;0,(SUM(Q$46,Q$47)-AT21)/AT21,"")</f>
        <v/>
      </c>
      <c r="AY21" s="2239"/>
      <c r="BA21" s="629"/>
      <c r="BB21" s="628">
        <v>18</v>
      </c>
    </row>
    <row r="22" spans="1:54" ht="30" customHeight="1">
      <c r="A22" s="365"/>
      <c r="B22" s="195" t="s">
        <v>484</v>
      </c>
      <c r="C22" s="1022"/>
      <c r="D22" s="158">
        <v>189</v>
      </c>
      <c r="E22" s="157"/>
      <c r="F22" s="844">
        <f>SUM(D22:E22)</f>
        <v>189</v>
      </c>
      <c r="G22" s="835">
        <f>F22</f>
        <v>189</v>
      </c>
      <c r="H22" s="158">
        <v>0.5</v>
      </c>
      <c r="I22" s="157"/>
      <c r="J22" s="844">
        <f>SUM(H22:I22)</f>
        <v>0.5</v>
      </c>
      <c r="K22" s="159">
        <f t="shared" ref="K22:L29" si="1">SUM(D22,H22)</f>
        <v>189.5</v>
      </c>
      <c r="L22" s="128">
        <f t="shared" si="1"/>
        <v>0</v>
      </c>
      <c r="M22" s="160">
        <f>SUM(K22:L22)</f>
        <v>189.5</v>
      </c>
      <c r="N22" s="88"/>
      <c r="O22" s="196">
        <v>2</v>
      </c>
      <c r="P22" s="157"/>
      <c r="Q22" s="183">
        <f>SUM(O22:P22)</f>
        <v>2</v>
      </c>
      <c r="R22" s="88"/>
      <c r="S22" s="184">
        <f>SUM(M22,Q22)</f>
        <v>191.5</v>
      </c>
      <c r="T22" s="372"/>
      <c r="U22" s="588"/>
      <c r="V22" s="161">
        <f>VLOOKUP($BA22,Early_Stats_Last_Year,VLOOKUP('Background Data'!$C$2,Inst_Tables,15,FALSE),FALSE)</f>
        <v>194</v>
      </c>
      <c r="W22" s="162">
        <f>VLOOKUP($BA22,Early_Stats_Last_Year,VLOOKUP('Background Data'!$C$2,Inst_Tables,16,FALSE),FALSE)</f>
        <v>0</v>
      </c>
      <c r="X22" s="592">
        <f>SUM(V22:W22)</f>
        <v>194</v>
      </c>
      <c r="Y22" s="162">
        <f>VLOOKUP($BA22,Early_Stats_Last_Year,VLOOKUP('Background Data'!$C$2,Inst_Tables,17,FALSE),FALSE)</f>
        <v>2</v>
      </c>
      <c r="Z22" s="163">
        <f>IF(V22&gt;0,(G22-V22)/V22,"")</f>
        <v>-2.5773195876288658E-2</v>
      </c>
      <c r="AA22" s="164" t="str">
        <f>IF(W22&gt;0,(J22-W22)/W22,"")</f>
        <v/>
      </c>
      <c r="AB22" s="164">
        <f>IF(X22&gt;0,(M22-X22)/X22,"")</f>
        <v>-2.3195876288659795E-2</v>
      </c>
      <c r="AC22" s="622">
        <f>IF(Y22&gt;0,(Q22-Y22)/Y22,"")</f>
        <v>0</v>
      </c>
      <c r="AD22" s="374"/>
      <c r="AE22" s="98"/>
      <c r="AF22" s="165">
        <f>VLOOKUP($BA22,Final_Figures_Last_Year,VLOOKUP('Background Data'!$C$2,Inst_Tables,15,FALSE),FALSE)</f>
        <v>203</v>
      </c>
      <c r="AG22" s="166">
        <f>VLOOKUP($BA22,Final_Figures_Last_Year,VLOOKUP('Background Data'!$C$2,Inst_Tables,16,FALSE),FALSE)</f>
        <v>0</v>
      </c>
      <c r="AH22" s="609">
        <f>SUM(AF22:AG22)</f>
        <v>203</v>
      </c>
      <c r="AI22" s="621">
        <f>VLOOKUP($BA22,Final_Figures_Last_Year,VLOOKUP('Background Data'!$C$2,Inst_Tables,17,FALSE),FALSE)</f>
        <v>0</v>
      </c>
      <c r="AJ22" s="593">
        <f>IF(AF22&gt;0,(G22-AF22)/AF22,"")</f>
        <v>-6.8965517241379309E-2</v>
      </c>
      <c r="AK22" s="167" t="str">
        <f>IF(AG22&gt;0,(J22-AG22)/AG22,"")</f>
        <v/>
      </c>
      <c r="AL22" s="593">
        <f>IF(AH22&gt;0,(M22-AH22)/AH22,"")</f>
        <v>-6.6502463054187194E-2</v>
      </c>
      <c r="AM22" s="239" t="str">
        <f>IF(AI22&gt;0,(Q22-AI22)/AI22,"")</f>
        <v/>
      </c>
      <c r="AN22" s="584"/>
      <c r="AO22" s="2254"/>
      <c r="AP22" s="2222"/>
      <c r="AQ22" s="2229"/>
      <c r="AR22" s="2222"/>
      <c r="AS22" s="2222"/>
      <c r="AT22" s="2222"/>
      <c r="AU22" s="2222"/>
      <c r="AV22" s="2222"/>
      <c r="AW22" s="2222"/>
      <c r="AX22" s="2222"/>
      <c r="AY22" s="2239"/>
      <c r="BA22" s="628">
        <v>4</v>
      </c>
    </row>
    <row r="23" spans="1:54" ht="30" customHeight="1">
      <c r="A23" s="2133"/>
      <c r="B23" s="195" t="s">
        <v>399</v>
      </c>
      <c r="C23" s="1022"/>
      <c r="D23" s="158"/>
      <c r="E23" s="157"/>
      <c r="F23" s="844">
        <f t="shared" ref="F23" si="2">SUM(D23:E23)</f>
        <v>0</v>
      </c>
      <c r="G23" s="835">
        <f t="shared" ref="G23:G24" si="3">F23</f>
        <v>0</v>
      </c>
      <c r="H23" s="158"/>
      <c r="I23" s="157"/>
      <c r="J23" s="844">
        <f t="shared" ref="J23" si="4">SUM(H23:I23)</f>
        <v>0</v>
      </c>
      <c r="K23" s="159">
        <f t="shared" ref="K23" si="5">SUM(D23,H23)</f>
        <v>0</v>
      </c>
      <c r="L23" s="128">
        <f t="shared" ref="L23" si="6">SUM(E23,I23)</f>
        <v>0</v>
      </c>
      <c r="M23" s="160">
        <f>SUM(K23:L23)</f>
        <v>0</v>
      </c>
      <c r="N23" s="88"/>
      <c r="O23" s="196"/>
      <c r="P23" s="157"/>
      <c r="Q23" s="183">
        <f t="shared" ref="Q23:Q24" si="7">SUM(O23:P23)</f>
        <v>0</v>
      </c>
      <c r="R23" s="88"/>
      <c r="S23" s="184">
        <f t="shared" ref="S23:S24" si="8">SUM(M23,Q23)</f>
        <v>0</v>
      </c>
      <c r="T23" s="829"/>
      <c r="U23" s="2137"/>
      <c r="V23" s="161"/>
      <c r="W23" s="162"/>
      <c r="X23" s="592"/>
      <c r="Y23" s="162"/>
      <c r="Z23" s="163"/>
      <c r="AA23" s="164"/>
      <c r="AB23" s="164"/>
      <c r="AC23" s="622"/>
      <c r="AD23" s="831"/>
      <c r="AE23" s="98"/>
      <c r="AF23" s="165"/>
      <c r="AG23" s="166"/>
      <c r="AH23" s="2148"/>
      <c r="AI23" s="621"/>
      <c r="AJ23" s="2149"/>
      <c r="AK23" s="167"/>
      <c r="AL23" s="2149"/>
      <c r="AM23" s="239"/>
      <c r="AN23" s="832"/>
      <c r="AO23" s="2254"/>
      <c r="AP23" s="2203" t="s">
        <v>296</v>
      </c>
      <c r="AQ23" s="2204"/>
      <c r="AR23" s="2205"/>
      <c r="AS23" s="2205"/>
      <c r="AT23" s="2205"/>
      <c r="AU23" s="2205"/>
      <c r="AV23" s="2205"/>
      <c r="AW23" s="2205"/>
      <c r="AX23" s="2205"/>
      <c r="AY23" s="2239"/>
      <c r="BA23" s="628"/>
    </row>
    <row r="24" spans="1:54" ht="30" customHeight="1" thickBot="1">
      <c r="A24" s="2133"/>
      <c r="B24" s="195" t="s">
        <v>2</v>
      </c>
      <c r="C24" s="1022"/>
      <c r="D24" s="2150">
        <f>SUM(D22:D23)</f>
        <v>189</v>
      </c>
      <c r="E24" s="2151">
        <f>SUM(E22:E23)</f>
        <v>0</v>
      </c>
      <c r="F24" s="844">
        <f>SUM(D24:E24)</f>
        <v>189</v>
      </c>
      <c r="G24" s="835">
        <f t="shared" si="3"/>
        <v>189</v>
      </c>
      <c r="H24" s="2150">
        <f>SUM(H22:H23)</f>
        <v>0.5</v>
      </c>
      <c r="I24" s="2151">
        <f>SUM(I22:I23)</f>
        <v>0</v>
      </c>
      <c r="J24" s="844">
        <f>SUM(H24:I24)</f>
        <v>0.5</v>
      </c>
      <c r="K24" s="2150">
        <f>SUM(K22:K23)</f>
        <v>189.5</v>
      </c>
      <c r="L24" s="2151">
        <f>SUM(L22:L23)</f>
        <v>0</v>
      </c>
      <c r="M24" s="844">
        <f>SUM(K24:L24)</f>
        <v>189.5</v>
      </c>
      <c r="N24" s="88"/>
      <c r="O24" s="2150">
        <f>SUM(O22:O23)</f>
        <v>2</v>
      </c>
      <c r="P24" s="2151">
        <f>SUM(P22:P23)</f>
        <v>0</v>
      </c>
      <c r="Q24" s="183">
        <f t="shared" si="7"/>
        <v>2</v>
      </c>
      <c r="R24" s="88"/>
      <c r="S24" s="184">
        <f t="shared" si="8"/>
        <v>191.5</v>
      </c>
      <c r="T24" s="829"/>
      <c r="U24" s="2137"/>
      <c r="V24" s="161"/>
      <c r="W24" s="162"/>
      <c r="X24" s="592"/>
      <c r="Y24" s="162"/>
      <c r="Z24" s="163"/>
      <c r="AA24" s="164"/>
      <c r="AB24" s="164"/>
      <c r="AC24" s="622"/>
      <c r="AD24" s="831"/>
      <c r="AE24" s="98"/>
      <c r="AF24" s="165"/>
      <c r="AG24" s="166"/>
      <c r="AH24" s="2148"/>
      <c r="AI24" s="621"/>
      <c r="AJ24" s="2149"/>
      <c r="AK24" s="167"/>
      <c r="AL24" s="2149"/>
      <c r="AM24" s="239"/>
      <c r="AN24" s="832"/>
      <c r="AO24" s="2254"/>
      <c r="AP24" s="2204"/>
      <c r="AQ24" s="2204"/>
      <c r="AR24" s="2205"/>
      <c r="AS24" s="2205"/>
      <c r="AT24" s="2205"/>
      <c r="AU24" s="2205"/>
      <c r="AV24" s="2205"/>
      <c r="AW24" s="2205"/>
      <c r="AX24" s="2205"/>
      <c r="AY24" s="2239"/>
      <c r="BA24" s="628"/>
    </row>
    <row r="25" spans="1:54" ht="30" customHeight="1">
      <c r="A25" s="365"/>
      <c r="B25" s="2266" t="s">
        <v>100</v>
      </c>
      <c r="C25" s="1022"/>
      <c r="D25" s="877"/>
      <c r="E25" s="878"/>
      <c r="F25" s="879"/>
      <c r="G25" s="2134"/>
      <c r="H25" s="877"/>
      <c r="I25" s="881"/>
      <c r="J25" s="2135"/>
      <c r="K25" s="2147"/>
      <c r="L25" s="883"/>
      <c r="M25" s="882"/>
      <c r="N25" s="88"/>
      <c r="O25" s="147"/>
      <c r="P25" s="2136"/>
      <c r="Q25" s="148"/>
      <c r="R25" s="88"/>
      <c r="S25" s="133"/>
      <c r="T25" s="372"/>
      <c r="U25" s="588"/>
      <c r="V25" s="161"/>
      <c r="W25" s="162"/>
      <c r="X25" s="592"/>
      <c r="Y25" s="162"/>
      <c r="Z25" s="163"/>
      <c r="AA25" s="164"/>
      <c r="AB25" s="164"/>
      <c r="AC25" s="622"/>
      <c r="AD25" s="831"/>
      <c r="AE25" s="98"/>
      <c r="AF25" s="165"/>
      <c r="AG25" s="166"/>
      <c r="AH25" s="2148"/>
      <c r="AI25" s="621"/>
      <c r="AJ25" s="2149"/>
      <c r="AK25" s="167"/>
      <c r="AL25" s="2149"/>
      <c r="AM25" s="239"/>
      <c r="AN25" s="584"/>
      <c r="AO25" s="2254"/>
      <c r="AP25" s="2225" t="s">
        <v>9</v>
      </c>
      <c r="AQ25" s="2223"/>
      <c r="AR25" s="2213"/>
      <c r="AS25" s="2213"/>
      <c r="AT25" s="2214"/>
      <c r="AU25" s="2237"/>
      <c r="AV25" s="2213"/>
      <c r="AW25" s="2213"/>
      <c r="AX25" s="2214"/>
      <c r="AY25" s="2239"/>
      <c r="BA25" s="2163"/>
    </row>
    <row r="26" spans="1:54" ht="30" customHeight="1">
      <c r="A26" s="2133"/>
      <c r="B26" s="195" t="s">
        <v>484</v>
      </c>
      <c r="C26" s="1022"/>
      <c r="D26" s="158">
        <v>226</v>
      </c>
      <c r="E26" s="157"/>
      <c r="F26" s="844">
        <f>SUM(D26:E26)</f>
        <v>226</v>
      </c>
      <c r="G26" s="835">
        <f>F26</f>
        <v>226</v>
      </c>
      <c r="H26" s="158">
        <v>1</v>
      </c>
      <c r="I26" s="157"/>
      <c r="J26" s="844">
        <f>SUM(H26:I26)</f>
        <v>1</v>
      </c>
      <c r="K26" s="159">
        <f t="shared" ref="K26:K27" si="9">SUM(D26,H26)</f>
        <v>227</v>
      </c>
      <c r="L26" s="128">
        <f t="shared" ref="L26:L27" si="10">SUM(E26,I26)</f>
        <v>0</v>
      </c>
      <c r="M26" s="160">
        <f>SUM(K26:L26)</f>
        <v>227</v>
      </c>
      <c r="N26" s="88"/>
      <c r="O26" s="196">
        <v>5</v>
      </c>
      <c r="P26" s="157"/>
      <c r="Q26" s="183">
        <f>SUM(O26:P26)</f>
        <v>5</v>
      </c>
      <c r="R26" s="88"/>
      <c r="S26" s="184">
        <f>SUM(M26,Q26)</f>
        <v>232</v>
      </c>
      <c r="T26" s="829"/>
      <c r="U26" s="2137"/>
      <c r="V26" s="161">
        <f>VLOOKUP($BA26,Early_Stats_Last_Year,VLOOKUP('Background Data'!$C$2,Inst_Tables,15,FALSE),FALSE)</f>
        <v>204</v>
      </c>
      <c r="W26" s="162">
        <f>VLOOKUP($BA26,Early_Stats_Last_Year,VLOOKUP('Background Data'!$C$2,Inst_Tables,16,FALSE),FALSE)</f>
        <v>0.5</v>
      </c>
      <c r="X26" s="592">
        <f>SUM(V26:W26)</f>
        <v>204.5</v>
      </c>
      <c r="Y26" s="162">
        <f>VLOOKUP($BA26,Early_Stats_Last_Year,VLOOKUP('Background Data'!$C$2,Inst_Tables,17,FALSE),FALSE)</f>
        <v>6</v>
      </c>
      <c r="Z26" s="163">
        <f>IF(V26&gt;0,(G26-V26)/V26,"")</f>
        <v>0.10784313725490197</v>
      </c>
      <c r="AA26" s="164">
        <f>IF(W26&gt;0,(J26-W26)/W26,"")</f>
        <v>1</v>
      </c>
      <c r="AB26" s="164">
        <f>IF(X26&gt;0,(M26-X26)/X26,"")</f>
        <v>0.1100244498777506</v>
      </c>
      <c r="AC26" s="622">
        <f>IF(Y26&gt;0,(Q26-Y26)/Y26,"")</f>
        <v>-0.16666666666666666</v>
      </c>
      <c r="AD26" s="374"/>
      <c r="AE26" s="98"/>
      <c r="AF26" s="165">
        <f>VLOOKUP($BA26,Final_Figures_Last_Year,VLOOKUP('Background Data'!$C$2,Inst_Tables,15,FALSE),FALSE)</f>
        <v>205</v>
      </c>
      <c r="AG26" s="166">
        <f>VLOOKUP($BA26,Final_Figures_Last_Year,VLOOKUP('Background Data'!$C$2,Inst_Tables,16,FALSE),FALSE)</f>
        <v>0.5</v>
      </c>
      <c r="AH26" s="609">
        <f>SUM(AF26:AG26)</f>
        <v>205.5</v>
      </c>
      <c r="AI26" s="621">
        <f>VLOOKUP($BA26,Final_Figures_Last_Year,VLOOKUP('Background Data'!$C$2,Inst_Tables,17,FALSE),FALSE)</f>
        <v>4</v>
      </c>
      <c r="AJ26" s="593">
        <f>IF(AF26&gt;0,(G26-AF26)/AF26,"")</f>
        <v>0.1024390243902439</v>
      </c>
      <c r="AK26" s="167">
        <f>IF(AG26&gt;0,(J26-AG26)/AG26,"")</f>
        <v>1</v>
      </c>
      <c r="AL26" s="593">
        <f>IF(AH26&gt;0,(M26-AH26)/AH26,"")</f>
        <v>0.10462287104622871</v>
      </c>
      <c r="AM26" s="239">
        <f>IF(AI26&gt;0,(Q26-AI26)/AI26,"")</f>
        <v>0.25</v>
      </c>
      <c r="AN26" s="832"/>
      <c r="AO26" s="2254"/>
      <c r="AP26" s="2226" t="s">
        <v>18</v>
      </c>
      <c r="AQ26" s="2232">
        <f>VLOOKUP($BB26,Final_Figures_Last_Year,VLOOKUP('Background Data'!$C$2,Inst_Tables,15,FALSE),FALSE)</f>
        <v>8</v>
      </c>
      <c r="AR26" s="2233">
        <f>VLOOKUP($BB26,Final_Figures_Last_Year,VLOOKUP('Background Data'!$C$2,Inst_Tables,16,FALSE),FALSE)</f>
        <v>0</v>
      </c>
      <c r="AS26" s="2234">
        <f>SUM(AQ26:AR26)</f>
        <v>8</v>
      </c>
      <c r="AT26" s="2240">
        <f>VLOOKUP($BB26,Final_Figures_Last_Year,VLOOKUP('Background Data'!$C$2,Inst_Tables,17,FALSE),FALSE)</f>
        <v>0</v>
      </c>
      <c r="AU26" s="2238">
        <f>IF(AQ26&gt;0,(G$23-AQ26)/AQ26,"")</f>
        <v>-1</v>
      </c>
      <c r="AV26" s="2235" t="str">
        <f>IF(AR26&gt;0,(J$23-AR26)/AR26,"")</f>
        <v/>
      </c>
      <c r="AW26" s="2238">
        <f>IF(AS26&gt;0,(M$23-AS26)/AS26,"")</f>
        <v>-1</v>
      </c>
      <c r="AX26" s="2236" t="str">
        <f>IF(AT26&gt;0,(Q$23-AT26)/AT26,"")</f>
        <v/>
      </c>
      <c r="AY26" s="2239"/>
      <c r="BA26" s="628">
        <v>5</v>
      </c>
      <c r="BB26" s="628">
        <v>6</v>
      </c>
    </row>
    <row r="27" spans="1:54" ht="30" customHeight="1">
      <c r="A27" s="2133"/>
      <c r="B27" s="195" t="s">
        <v>399</v>
      </c>
      <c r="C27" s="1022"/>
      <c r="D27" s="158"/>
      <c r="E27" s="157"/>
      <c r="F27" s="844">
        <f t="shared" ref="F27" si="11">SUM(D27:E27)</f>
        <v>0</v>
      </c>
      <c r="G27" s="835">
        <f t="shared" ref="G27:G28" si="12">F27</f>
        <v>0</v>
      </c>
      <c r="H27" s="158"/>
      <c r="I27" s="157"/>
      <c r="J27" s="844">
        <f t="shared" ref="J27" si="13">SUM(H27:I27)</f>
        <v>0</v>
      </c>
      <c r="K27" s="159">
        <f t="shared" si="9"/>
        <v>0</v>
      </c>
      <c r="L27" s="128">
        <f t="shared" si="10"/>
        <v>0</v>
      </c>
      <c r="M27" s="160">
        <f>SUM(K27:L27)</f>
        <v>0</v>
      </c>
      <c r="N27" s="88"/>
      <c r="O27" s="196"/>
      <c r="P27" s="157"/>
      <c r="Q27" s="183">
        <f t="shared" ref="Q27:Q28" si="14">SUM(O27:P27)</f>
        <v>0</v>
      </c>
      <c r="R27" s="88"/>
      <c r="S27" s="184">
        <f t="shared" ref="S27:S28" si="15">SUM(M27,Q27)</f>
        <v>0</v>
      </c>
      <c r="T27" s="829"/>
      <c r="U27" s="2137"/>
      <c r="V27" s="161"/>
      <c r="W27" s="162"/>
      <c r="X27" s="592"/>
      <c r="Y27" s="162"/>
      <c r="Z27" s="163"/>
      <c r="AA27" s="164"/>
      <c r="AB27" s="164"/>
      <c r="AC27" s="622"/>
      <c r="AD27" s="831"/>
      <c r="AE27" s="98"/>
      <c r="AF27" s="165"/>
      <c r="AG27" s="166"/>
      <c r="AH27" s="2148"/>
      <c r="AI27" s="621"/>
      <c r="AJ27" s="2149"/>
      <c r="AK27" s="167"/>
      <c r="AL27" s="2149"/>
      <c r="AM27" s="239"/>
      <c r="AN27" s="832"/>
      <c r="AO27" s="2254"/>
      <c r="AP27" s="2226" t="s">
        <v>19</v>
      </c>
      <c r="AQ27" s="2232">
        <f>VLOOKUP($BB27,Final_Figures_Last_Year,VLOOKUP('Background Data'!$C$2,Inst_Tables,15,FALSE),FALSE)</f>
        <v>0</v>
      </c>
      <c r="AR27" s="2233">
        <f>VLOOKUP($BB27,Final_Figures_Last_Year,VLOOKUP('Background Data'!$C$2,Inst_Tables,16,FALSE),FALSE)</f>
        <v>0</v>
      </c>
      <c r="AS27" s="2234">
        <f>SUM(AQ27:AR27)</f>
        <v>0</v>
      </c>
      <c r="AT27" s="2240">
        <f>VLOOKUP($BB27,Final_Figures_Last_Year,VLOOKUP('Background Data'!$C$2,Inst_Tables,17,FALSE),FALSE)</f>
        <v>0</v>
      </c>
      <c r="AU27" s="2238" t="str">
        <f>IF(AQ27&gt;0,(SUM(G$27,G$29)-AQ27)/AQ27,"")</f>
        <v/>
      </c>
      <c r="AV27" s="2235" t="str">
        <f>IF(AR27&gt;0,(SUM(J$27,J$29)-AR27)/AR27,"")</f>
        <v/>
      </c>
      <c r="AW27" s="2238" t="str">
        <f>IF(AS27&gt;0,(SUM(M$27,M$29)-AS27)/AS27,"")</f>
        <v/>
      </c>
      <c r="AX27" s="2236" t="str">
        <f>IF(AT27&gt;0,(SUM(Q$27,Q$29)-AT27)/AT27,"")</f>
        <v/>
      </c>
      <c r="AY27" s="2239"/>
      <c r="BA27" s="2163"/>
      <c r="BB27" s="628">
        <v>7</v>
      </c>
    </row>
    <row r="28" spans="1:54" ht="30" customHeight="1">
      <c r="A28" s="2133"/>
      <c r="B28" s="195" t="s">
        <v>2</v>
      </c>
      <c r="C28" s="1022"/>
      <c r="D28" s="2150">
        <f>SUM(D26:D27)</f>
        <v>226</v>
      </c>
      <c r="E28" s="2151">
        <f>SUM(E26:E27)</f>
        <v>0</v>
      </c>
      <c r="F28" s="844">
        <f>SUM(D28:E28)</f>
        <v>226</v>
      </c>
      <c r="G28" s="835">
        <f t="shared" si="12"/>
        <v>226</v>
      </c>
      <c r="H28" s="2150">
        <f>SUM(H26:H27)</f>
        <v>1</v>
      </c>
      <c r="I28" s="2151">
        <f>SUM(I26:I27)</f>
        <v>0</v>
      </c>
      <c r="J28" s="844">
        <f>SUM(H28:I28)</f>
        <v>1</v>
      </c>
      <c r="K28" s="2150">
        <f>SUM(K26:K27)</f>
        <v>227</v>
      </c>
      <c r="L28" s="2151">
        <f>SUM(L26:L27)</f>
        <v>0</v>
      </c>
      <c r="M28" s="844">
        <f>SUM(K28:L28)</f>
        <v>227</v>
      </c>
      <c r="N28" s="88"/>
      <c r="O28" s="2150">
        <f>SUM(O26:O27)</f>
        <v>5</v>
      </c>
      <c r="P28" s="2151">
        <f>SUM(P26:P27)</f>
        <v>0</v>
      </c>
      <c r="Q28" s="183">
        <f t="shared" si="14"/>
        <v>5</v>
      </c>
      <c r="R28" s="88"/>
      <c r="S28" s="184">
        <f t="shared" si="15"/>
        <v>232</v>
      </c>
      <c r="T28" s="829"/>
      <c r="U28" s="2137"/>
      <c r="V28" s="161"/>
      <c r="W28" s="162"/>
      <c r="X28" s="592"/>
      <c r="Y28" s="162"/>
      <c r="Z28" s="163"/>
      <c r="AA28" s="164"/>
      <c r="AB28" s="164"/>
      <c r="AC28" s="622"/>
      <c r="AD28" s="831"/>
      <c r="AE28" s="98"/>
      <c r="AF28" s="165"/>
      <c r="AG28" s="166"/>
      <c r="AH28" s="2148"/>
      <c r="AI28" s="621"/>
      <c r="AJ28" s="2149"/>
      <c r="AK28" s="167"/>
      <c r="AL28" s="2149"/>
      <c r="AM28" s="239"/>
      <c r="AN28" s="832"/>
      <c r="AO28" s="2254"/>
      <c r="AP28" s="2227" t="s">
        <v>11</v>
      </c>
      <c r="AQ28" s="2224"/>
      <c r="AR28" s="2215"/>
      <c r="AS28" s="2215"/>
      <c r="AT28" s="2216"/>
      <c r="AU28" s="2239"/>
      <c r="AV28" s="2215"/>
      <c r="AW28" s="2215"/>
      <c r="AX28" s="2216"/>
      <c r="AY28" s="2239"/>
      <c r="BA28" s="628"/>
    </row>
    <row r="29" spans="1:54" s="770" customFormat="1" ht="30" customHeight="1">
      <c r="A29" s="946"/>
      <c r="B29" s="947" t="s">
        <v>466</v>
      </c>
      <c r="C29" s="948"/>
      <c r="D29" s="158"/>
      <c r="E29" s="157">
        <v>60</v>
      </c>
      <c r="F29" s="949">
        <f>SUM(D29:E29)</f>
        <v>60</v>
      </c>
      <c r="G29" s="950">
        <f>F29</f>
        <v>60</v>
      </c>
      <c r="H29" s="158"/>
      <c r="I29" s="157"/>
      <c r="J29" s="951">
        <f>SUM(H29:I29)</f>
        <v>0</v>
      </c>
      <c r="K29" s="952">
        <f t="shared" si="1"/>
        <v>0</v>
      </c>
      <c r="L29" s="953">
        <f t="shared" si="1"/>
        <v>60</v>
      </c>
      <c r="M29" s="954">
        <f>SUM(K29:L29)</f>
        <v>60</v>
      </c>
      <c r="N29" s="471"/>
      <c r="O29" s="196"/>
      <c r="P29" s="157"/>
      <c r="Q29" s="955">
        <f>SUM(O29:P29)</f>
        <v>0</v>
      </c>
      <c r="R29" s="471"/>
      <c r="S29" s="956">
        <f>SUM(M29,Q29)</f>
        <v>60</v>
      </c>
      <c r="T29" s="957"/>
      <c r="U29" s="1021"/>
      <c r="V29" s="161"/>
      <c r="W29" s="162"/>
      <c r="X29" s="592"/>
      <c r="Y29" s="162"/>
      <c r="Z29" s="163"/>
      <c r="AA29" s="164"/>
      <c r="AB29" s="164"/>
      <c r="AC29" s="622"/>
      <c r="AD29" s="831"/>
      <c r="AE29" s="98"/>
      <c r="AF29" s="165"/>
      <c r="AG29" s="166"/>
      <c r="AH29" s="2148"/>
      <c r="AI29" s="621"/>
      <c r="AJ29" s="2149"/>
      <c r="AK29" s="167"/>
      <c r="AL29" s="2149"/>
      <c r="AM29" s="239"/>
      <c r="AN29" s="960"/>
      <c r="AO29" s="2260"/>
      <c r="AP29" s="2226" t="s">
        <v>18</v>
      </c>
      <c r="AQ29" s="2232">
        <f>VLOOKUP($BB29,Final_Figures_Last_Year,VLOOKUP('Background Data'!$C$2,Inst_Tables,15,FALSE),FALSE)</f>
        <v>0</v>
      </c>
      <c r="AR29" s="2233">
        <f>VLOOKUP($BB29,Final_Figures_Last_Year,VLOOKUP('Background Data'!$C$2,Inst_Tables,16,FALSE),FALSE)</f>
        <v>0</v>
      </c>
      <c r="AS29" s="2234">
        <f>SUM(AQ29:AR29)</f>
        <v>0</v>
      </c>
      <c r="AT29" s="2240">
        <f>VLOOKUP($BB29,Final_Figures_Last_Year,VLOOKUP('Background Data'!$C$2,Inst_Tables,17,FALSE),FALSE)</f>
        <v>0</v>
      </c>
      <c r="AU29" s="2238" t="str">
        <f>IF(AQ29&gt;0,(G$45-AQ29)/AQ29,"")</f>
        <v/>
      </c>
      <c r="AV29" s="2235" t="str">
        <f>IF(AR29&gt;0,(J$45-AR29)/AR29,"")</f>
        <v/>
      </c>
      <c r="AW29" s="2238" t="str">
        <f>IF(AS29&gt;0,(M$45-AS29)/AS29,"")</f>
        <v/>
      </c>
      <c r="AX29" s="2236" t="str">
        <f>IF(AT29&gt;0,(Q$45-AT29)/AT29,"")</f>
        <v/>
      </c>
      <c r="AY29" s="2261"/>
      <c r="BA29" s="2163"/>
      <c r="BB29" s="628">
        <v>17</v>
      </c>
    </row>
    <row r="30" spans="1:54" ht="30" customHeight="1" thickBot="1">
      <c r="A30" s="365"/>
      <c r="B30" s="146" t="s">
        <v>75</v>
      </c>
      <c r="C30" s="196"/>
      <c r="D30" s="158">
        <v>6</v>
      </c>
      <c r="E30" s="157"/>
      <c r="F30" s="844">
        <f>SUM(D30:E30)</f>
        <v>6</v>
      </c>
      <c r="G30" s="835">
        <f>SUM(C30,F30)</f>
        <v>6</v>
      </c>
      <c r="H30" s="158">
        <v>171.91833500000001</v>
      </c>
      <c r="I30" s="157"/>
      <c r="J30" s="182">
        <f>SUM(H30:I30)</f>
        <v>171.91833500000001</v>
      </c>
      <c r="K30" s="159">
        <f>SUM(C30,D30,H30)</f>
        <v>177.91833500000001</v>
      </c>
      <c r="L30" s="128">
        <f>SUM(E30,I30)</f>
        <v>0</v>
      </c>
      <c r="M30" s="160">
        <f>SUM(K30:L30)</f>
        <v>177.91833500000001</v>
      </c>
      <c r="N30" s="88"/>
      <c r="O30" s="902"/>
      <c r="P30" s="875"/>
      <c r="Q30" s="888"/>
      <c r="R30" s="903"/>
      <c r="S30" s="904"/>
      <c r="T30" s="372"/>
      <c r="U30" s="588"/>
      <c r="V30" s="161">
        <f>VLOOKUP($BA30,Early_Stats_Last_Year,VLOOKUP('Background Data'!$C$2,Inst_Tables,15,FALSE),FALSE)</f>
        <v>8</v>
      </c>
      <c r="W30" s="162">
        <f>VLOOKUP($BA30,Early_Stats_Last_Year,VLOOKUP('Background Data'!$C$2,Inst_Tables,16,FALSE),FALSE)</f>
        <v>184.99</v>
      </c>
      <c r="X30" s="592">
        <f>SUM(V30:W30)</f>
        <v>192.99</v>
      </c>
      <c r="Y30" s="596"/>
      <c r="Z30" s="163">
        <f>IF(V30&gt;0,(G30-V30)/V30,"")</f>
        <v>-0.25</v>
      </c>
      <c r="AA30" s="164">
        <f>IF(W30&gt;0,(J30-W30)/W30,"")</f>
        <v>-7.0661468187469573E-2</v>
      </c>
      <c r="AB30" s="496">
        <f>IF(X30&gt;0,(M30-X30)/X30,"")</f>
        <v>-7.8095574900253872E-2</v>
      </c>
      <c r="AC30" s="498"/>
      <c r="AD30" s="374"/>
      <c r="AE30" s="98"/>
      <c r="AF30" s="165">
        <f>VLOOKUP($BA30,Final_Figures_Last_Year,VLOOKUP('Background Data'!$C$2,Inst_Tables,15,FALSE),FALSE)</f>
        <v>7</v>
      </c>
      <c r="AG30" s="166">
        <f>VLOOKUP($BA30,Final_Figures_Last_Year,VLOOKUP('Background Data'!$C$2,Inst_Tables,16,FALSE),FALSE)</f>
        <v>206.11810900000006</v>
      </c>
      <c r="AH30" s="609">
        <f>SUM(AF30:AG30)</f>
        <v>213.11810900000006</v>
      </c>
      <c r="AI30" s="621"/>
      <c r="AJ30" s="593">
        <f>IF(AF30&gt;0,(G30-AF30)/AF30,"")</f>
        <v>-0.14285714285714285</v>
      </c>
      <c r="AK30" s="167">
        <f>IF(AG30&gt;0,(J30-AG30)/AG30,"")</f>
        <v>-0.16592318921381158</v>
      </c>
      <c r="AL30" s="593">
        <f>IF(AH30&gt;0,(M30-AH30)/AH30,"")</f>
        <v>-0.16516557023317074</v>
      </c>
      <c r="AM30" s="181"/>
      <c r="AN30" s="584"/>
      <c r="AO30" s="2254"/>
      <c r="AP30" s="2228" t="s">
        <v>19</v>
      </c>
      <c r="AQ30" s="2241">
        <f>VLOOKUP($BB30,Final_Figures_Last_Year,VLOOKUP('Background Data'!$C$2,Inst_Tables,15,FALSE),FALSE)</f>
        <v>0</v>
      </c>
      <c r="AR30" s="2242">
        <f>VLOOKUP($BB30,Final_Figures_Last_Year,VLOOKUP('Background Data'!$C$2,Inst_Tables,16,FALSE),FALSE)</f>
        <v>0</v>
      </c>
      <c r="AS30" s="2243">
        <f>SUM(AQ30:AR30)</f>
        <v>0</v>
      </c>
      <c r="AT30" s="2244">
        <f>VLOOKUP($BB30,Final_Figures_Last_Year,VLOOKUP('Background Data'!$C$2,Inst_Tables,17,FALSE),FALSE)</f>
        <v>0</v>
      </c>
      <c r="AU30" s="2245" t="str">
        <f>IF(AQ30&gt;0,(SUM(G$46,G$47)-AQ30)/AQ30,"")</f>
        <v/>
      </c>
      <c r="AV30" s="2246" t="str">
        <f>IF(AR30&gt;0,(SUM(J$46,J$47)-AR30)/AR30,"")</f>
        <v/>
      </c>
      <c r="AW30" s="2245" t="str">
        <f>IF(AS30&gt;0,(SUM(M$46,M$47)-AS30)/AS30,"")</f>
        <v/>
      </c>
      <c r="AX30" s="2247" t="str">
        <f>IF(AT30&gt;0,(SUM(Q$46,Q$47)-AT30)/AT30,"")</f>
        <v/>
      </c>
      <c r="AY30" s="2239"/>
      <c r="BA30" s="628">
        <v>8</v>
      </c>
      <c r="BB30" s="628">
        <v>18</v>
      </c>
    </row>
    <row r="31" spans="1:54" ht="35.1" customHeight="1" thickBot="1">
      <c r="A31" s="365"/>
      <c r="B31" s="168" t="s">
        <v>2</v>
      </c>
      <c r="C31" s="169">
        <f>C30</f>
        <v>0</v>
      </c>
      <c r="D31" s="2162">
        <f>SUM(D24,D28:D30)</f>
        <v>421</v>
      </c>
      <c r="E31" s="170">
        <f>SUM(E24,E28:E30)</f>
        <v>60</v>
      </c>
      <c r="F31" s="171">
        <f>SUM(F24,F28:F30)</f>
        <v>481</v>
      </c>
      <c r="G31" s="185">
        <f>SUM(G22:G30)</f>
        <v>896</v>
      </c>
      <c r="H31" s="2162">
        <f t="shared" ref="H31:M31" si="16">SUM(H24,H28:H30)</f>
        <v>173.41833500000001</v>
      </c>
      <c r="I31" s="170">
        <f t="shared" si="16"/>
        <v>0</v>
      </c>
      <c r="J31" s="171">
        <f t="shared" si="16"/>
        <v>173.41833500000001</v>
      </c>
      <c r="K31" s="2162">
        <f t="shared" si="16"/>
        <v>594.41833500000007</v>
      </c>
      <c r="L31" s="170">
        <f t="shared" si="16"/>
        <v>60</v>
      </c>
      <c r="M31" s="171">
        <f t="shared" si="16"/>
        <v>654.41833500000007</v>
      </c>
      <c r="N31" s="88"/>
      <c r="O31" s="902"/>
      <c r="P31" s="875"/>
      <c r="Q31" s="888"/>
      <c r="R31" s="903"/>
      <c r="S31" s="904"/>
      <c r="T31" s="372"/>
      <c r="U31" s="588"/>
      <c r="V31" s="186">
        <f>SUM(V22:V30)</f>
        <v>406</v>
      </c>
      <c r="W31" s="187">
        <f>SUM(W22:W30)</f>
        <v>185.49</v>
      </c>
      <c r="X31" s="176">
        <f>SUM(X22:X30)</f>
        <v>591.49</v>
      </c>
      <c r="Y31" s="494"/>
      <c r="Z31" s="188">
        <f>IF(V31&gt;0,(G31-V31)/V31,"")</f>
        <v>1.2068965517241379</v>
      </c>
      <c r="AA31" s="189">
        <f>IF(W31&gt;0,(J31-W31)/W31,"")</f>
        <v>-6.5079869534745788E-2</v>
      </c>
      <c r="AB31" s="492">
        <f>IF(X31&gt;0,(M31-X31)/X31,"")</f>
        <v>0.10638951630627747</v>
      </c>
      <c r="AC31" s="500"/>
      <c r="AD31" s="374"/>
      <c r="AE31" s="98"/>
      <c r="AF31" s="190">
        <f>SUM(AF22:AF30)</f>
        <v>415</v>
      </c>
      <c r="AG31" s="191">
        <f>SUM(AG22:AG30)</f>
        <v>206.61810900000006</v>
      </c>
      <c r="AH31" s="611">
        <f>SUM(AH22:AH30)</f>
        <v>621.618109</v>
      </c>
      <c r="AI31" s="921"/>
      <c r="AJ31" s="240">
        <f>IF(AF31&gt;0,(G31-AF31)/AF31,"")</f>
        <v>1.1590361445783133</v>
      </c>
      <c r="AK31" s="179">
        <f>IF(AG31&gt;0,(J31-AG31)/AG31,"")</f>
        <v>-0.16068182097243006</v>
      </c>
      <c r="AL31" s="240">
        <f>IF(AH31&gt;0,(M31-AH31)/AH31,"")</f>
        <v>5.2765879122739758E-2</v>
      </c>
      <c r="AM31" s="604"/>
      <c r="AN31" s="584"/>
      <c r="AO31" s="2254"/>
      <c r="AP31" s="2205"/>
      <c r="AQ31" s="2205"/>
      <c r="AR31" s="2205"/>
      <c r="AS31" s="2205"/>
      <c r="AT31" s="2205"/>
      <c r="AU31" s="2205"/>
      <c r="AV31" s="2205"/>
      <c r="AW31" s="2205"/>
      <c r="AX31" s="2205"/>
      <c r="AY31" s="2239"/>
      <c r="BA31" s="629"/>
    </row>
    <row r="32" spans="1:54" ht="35.1" customHeight="1">
      <c r="A32" s="365"/>
      <c r="B32" s="193" t="s">
        <v>11</v>
      </c>
      <c r="C32" s="847"/>
      <c r="D32" s="869"/>
      <c r="E32" s="870"/>
      <c r="F32" s="871"/>
      <c r="G32" s="872"/>
      <c r="H32" s="869"/>
      <c r="I32" s="873"/>
      <c r="J32" s="874"/>
      <c r="K32" s="884"/>
      <c r="L32" s="884"/>
      <c r="M32" s="874"/>
      <c r="N32" s="88"/>
      <c r="O32" s="905"/>
      <c r="P32" s="884"/>
      <c r="Q32" s="872"/>
      <c r="R32" s="903"/>
      <c r="S32" s="906"/>
      <c r="T32" s="372"/>
      <c r="U32" s="588"/>
      <c r="V32" s="141"/>
      <c r="W32" s="142"/>
      <c r="X32" s="142"/>
      <c r="Y32" s="1273"/>
      <c r="Z32" s="488"/>
      <c r="AA32" s="142"/>
      <c r="AB32" s="488"/>
      <c r="AC32" s="180"/>
      <c r="AD32" s="374"/>
      <c r="AE32" s="98"/>
      <c r="AF32" s="153"/>
      <c r="AG32" s="154"/>
      <c r="AH32" s="920"/>
      <c r="AI32" s="181"/>
      <c r="AJ32" s="98"/>
      <c r="AK32" s="154"/>
      <c r="AL32" s="98"/>
      <c r="AM32" s="181"/>
      <c r="AN32" s="584"/>
      <c r="AO32" s="2254"/>
      <c r="AP32" s="2205"/>
      <c r="AQ32" s="2205"/>
      <c r="AR32" s="2205"/>
      <c r="AS32" s="2205"/>
      <c r="AT32" s="2205"/>
      <c r="AU32" s="2205"/>
      <c r="AV32" s="2205"/>
      <c r="AW32" s="2205"/>
      <c r="AX32" s="2205"/>
      <c r="AY32" s="2239"/>
      <c r="BA32" s="629"/>
    </row>
    <row r="33" spans="1:53" ht="30" customHeight="1">
      <c r="A33" s="365"/>
      <c r="B33" s="146" t="s">
        <v>73</v>
      </c>
      <c r="C33" s="848"/>
      <c r="D33" s="885"/>
      <c r="E33" s="886"/>
      <c r="F33" s="887"/>
      <c r="G33" s="888"/>
      <c r="H33" s="885"/>
      <c r="I33" s="889"/>
      <c r="J33" s="876"/>
      <c r="K33" s="875"/>
      <c r="L33" s="875"/>
      <c r="M33" s="876"/>
      <c r="N33" s="88"/>
      <c r="O33" s="902"/>
      <c r="P33" s="875"/>
      <c r="Q33" s="888"/>
      <c r="R33" s="903"/>
      <c r="S33" s="904"/>
      <c r="T33" s="372"/>
      <c r="U33" s="588"/>
      <c r="V33" s="149"/>
      <c r="W33" s="150"/>
      <c r="X33" s="150"/>
      <c r="Y33" s="180"/>
      <c r="Z33" s="213"/>
      <c r="AA33" s="150"/>
      <c r="AB33" s="213"/>
      <c r="AC33" s="180"/>
      <c r="AD33" s="374"/>
      <c r="AE33" s="98"/>
      <c r="AF33" s="153"/>
      <c r="AG33" s="154"/>
      <c r="AH33" s="610"/>
      <c r="AI33" s="181"/>
      <c r="AJ33" s="98"/>
      <c r="AK33" s="154"/>
      <c r="AL33" s="98"/>
      <c r="AM33" s="181"/>
      <c r="AN33" s="584"/>
      <c r="AO33" s="2254"/>
      <c r="AP33" s="2205"/>
      <c r="AQ33" s="2205"/>
      <c r="AR33" s="2205"/>
      <c r="AS33" s="2205"/>
      <c r="AT33" s="2205"/>
      <c r="AU33" s="2205"/>
      <c r="AV33" s="2205"/>
      <c r="AW33" s="2205"/>
      <c r="AX33" s="2205"/>
      <c r="AY33" s="2239"/>
      <c r="BA33" s="629"/>
    </row>
    <row r="34" spans="1:53" ht="30" customHeight="1">
      <c r="A34" s="365"/>
      <c r="B34" s="194" t="s">
        <v>79</v>
      </c>
      <c r="C34" s="890"/>
      <c r="D34" s="877"/>
      <c r="E34" s="878"/>
      <c r="F34" s="879"/>
      <c r="G34" s="880"/>
      <c r="H34" s="877"/>
      <c r="I34" s="881"/>
      <c r="J34" s="882"/>
      <c r="K34" s="883"/>
      <c r="L34" s="883"/>
      <c r="M34" s="882"/>
      <c r="N34" s="88"/>
      <c r="O34" s="890"/>
      <c r="P34" s="881"/>
      <c r="Q34" s="880"/>
      <c r="R34" s="903"/>
      <c r="S34" s="907"/>
      <c r="T34" s="372"/>
      <c r="U34" s="588"/>
      <c r="V34" s="149"/>
      <c r="W34" s="150"/>
      <c r="X34" s="202"/>
      <c r="Y34" s="180"/>
      <c r="Z34" s="213"/>
      <c r="AA34" s="150"/>
      <c r="AB34" s="213"/>
      <c r="AC34" s="180"/>
      <c r="AD34" s="374"/>
      <c r="AE34" s="98"/>
      <c r="AF34" s="153"/>
      <c r="AG34" s="154"/>
      <c r="AH34" s="608"/>
      <c r="AI34" s="181"/>
      <c r="AJ34" s="98"/>
      <c r="AK34" s="154"/>
      <c r="AL34" s="98"/>
      <c r="AM34" s="181"/>
      <c r="AN34" s="584"/>
      <c r="AO34" s="2254"/>
      <c r="AP34" s="2205"/>
      <c r="AQ34" s="2205"/>
      <c r="AR34" s="2205"/>
      <c r="AS34" s="2205"/>
      <c r="AT34" s="2205"/>
      <c r="AU34" s="2205"/>
      <c r="AV34" s="2205"/>
      <c r="AW34" s="2205"/>
      <c r="AX34" s="2205"/>
      <c r="AY34" s="2239"/>
      <c r="BA34" s="629"/>
    </row>
    <row r="35" spans="1:53" ht="30" customHeight="1">
      <c r="A35" s="365"/>
      <c r="B35" s="195" t="s">
        <v>32</v>
      </c>
      <c r="C35" s="196">
        <v>1</v>
      </c>
      <c r="D35" s="158">
        <v>530</v>
      </c>
      <c r="E35" s="157"/>
      <c r="F35" s="844">
        <f>SUM(D35:E35)</f>
        <v>530</v>
      </c>
      <c r="G35" s="835">
        <f>SUM(C35,F35)</f>
        <v>531</v>
      </c>
      <c r="H35" s="158"/>
      <c r="I35" s="157"/>
      <c r="J35" s="182">
        <f>SUM(H35:I35)</f>
        <v>0</v>
      </c>
      <c r="K35" s="159">
        <f>SUM(C35,D35,H35)</f>
        <v>531</v>
      </c>
      <c r="L35" s="128">
        <f>SUM(E35,I35)</f>
        <v>0</v>
      </c>
      <c r="M35" s="160">
        <f>SUM(K35:L35)</f>
        <v>531</v>
      </c>
      <c r="N35" s="88"/>
      <c r="O35" s="196">
        <v>173</v>
      </c>
      <c r="P35" s="157"/>
      <c r="Q35" s="183">
        <f>SUM(O35:P35)</f>
        <v>173</v>
      </c>
      <c r="R35" s="88"/>
      <c r="S35" s="184">
        <f>SUM(M35,Q35)</f>
        <v>704</v>
      </c>
      <c r="T35" s="372"/>
      <c r="U35" s="588"/>
      <c r="V35" s="161">
        <f>VLOOKUP($BA35,Early_Stats_Last_Year,VLOOKUP('Background Data'!$C$2,Inst_Tables,15,FALSE),FALSE)</f>
        <v>530</v>
      </c>
      <c r="W35" s="162">
        <f>VLOOKUP($BA35,Early_Stats_Last_Year,VLOOKUP('Background Data'!$C$2,Inst_Tables,16,FALSE),FALSE)</f>
        <v>0</v>
      </c>
      <c r="X35" s="592">
        <f>SUM(V35:W35)</f>
        <v>530</v>
      </c>
      <c r="Y35" s="1274">
        <f>VLOOKUP($BA35,Early_Stats_Last_Year,VLOOKUP('Background Data'!$C$2,Inst_Tables,17,FALSE),FALSE)</f>
        <v>173</v>
      </c>
      <c r="Z35" s="496">
        <f>IF(V35&gt;0,(G35-V35)/V35,"")</f>
        <v>1.8867924528301887E-3</v>
      </c>
      <c r="AA35" s="164" t="str">
        <f>IF(W35&gt;0,(J35-W35)/W35,"")</f>
        <v/>
      </c>
      <c r="AB35" s="164">
        <f>IF(X35&gt;0,(M35-X35)/X35,"")</f>
        <v>1.8867924528301887E-3</v>
      </c>
      <c r="AC35" s="622">
        <f>IF(Y35&gt;0,(Q35-Y35)/Y35,"")</f>
        <v>0</v>
      </c>
      <c r="AD35" s="374"/>
      <c r="AE35" s="98"/>
      <c r="AF35" s="165">
        <f>VLOOKUP($BA35,Final_Figures_Last_Year,VLOOKUP('Background Data'!$C$2,Inst_Tables,15,FALSE),FALSE)</f>
        <v>529</v>
      </c>
      <c r="AG35" s="166">
        <f>VLOOKUP($BA35,Final_Figures_Last_Year,VLOOKUP('Background Data'!$C$2,Inst_Tables,16,FALSE),FALSE)</f>
        <v>0</v>
      </c>
      <c r="AH35" s="609">
        <f>SUM(AF35:AG35)</f>
        <v>529</v>
      </c>
      <c r="AI35" s="621">
        <f>VLOOKUP($BA35,Final_Figures_Last_Year,VLOOKUP('Background Data'!$C$2,Inst_Tables,17,FALSE),FALSE)</f>
        <v>170</v>
      </c>
      <c r="AJ35" s="593">
        <f>IF(AF35&gt;0,(G35-AF35)/AF35,"")</f>
        <v>3.780718336483932E-3</v>
      </c>
      <c r="AK35" s="167" t="str">
        <f>IF(AG35&gt;0,(J35-AG35)/AG35,"")</f>
        <v/>
      </c>
      <c r="AL35" s="593">
        <f>IF(AH35&gt;0,(M35-AH35)/AH35,"")</f>
        <v>3.780718336483932E-3</v>
      </c>
      <c r="AM35" s="239">
        <f t="shared" ref="AM35:AM43" si="17">IF(AI35&gt;0,(Q35-AI35)/AI35,"")</f>
        <v>1.7647058823529412E-2</v>
      </c>
      <c r="AN35" s="584"/>
      <c r="AO35" s="2254"/>
      <c r="AP35" s="2205"/>
      <c r="AQ35" s="2205"/>
      <c r="AR35" s="2205"/>
      <c r="AS35" s="2205"/>
      <c r="AT35" s="2205"/>
      <c r="AU35" s="2205"/>
      <c r="AV35" s="2205"/>
      <c r="AW35" s="2205"/>
      <c r="AX35" s="2205"/>
      <c r="AY35" s="2239"/>
      <c r="BA35" s="628">
        <v>9</v>
      </c>
    </row>
    <row r="36" spans="1:53" ht="30" customHeight="1">
      <c r="A36" s="365"/>
      <c r="B36" s="195" t="s">
        <v>33</v>
      </c>
      <c r="C36" s="196"/>
      <c r="D36" s="158">
        <v>200</v>
      </c>
      <c r="E36" s="157"/>
      <c r="F36" s="844">
        <f>SUM(D36:E36)</f>
        <v>200</v>
      </c>
      <c r="G36" s="835">
        <f>SUM(C36,F36)</f>
        <v>200</v>
      </c>
      <c r="H36" s="158"/>
      <c r="I36" s="157"/>
      <c r="J36" s="182">
        <f>SUM(H36:I36)</f>
        <v>0</v>
      </c>
      <c r="K36" s="159">
        <f>SUM(C36,D36,H36)</f>
        <v>200</v>
      </c>
      <c r="L36" s="128">
        <f>SUM(E36,I36)</f>
        <v>0</v>
      </c>
      <c r="M36" s="160">
        <f>SUM(K36:L36)</f>
        <v>200</v>
      </c>
      <c r="N36" s="88"/>
      <c r="O36" s="196">
        <v>53</v>
      </c>
      <c r="P36" s="157"/>
      <c r="Q36" s="183">
        <f>SUM(O36:P36)</f>
        <v>53</v>
      </c>
      <c r="R36" s="88"/>
      <c r="S36" s="184">
        <f>SUM(M36,Q36)</f>
        <v>253</v>
      </c>
      <c r="T36" s="372"/>
      <c r="U36" s="588"/>
      <c r="V36" s="161">
        <f>VLOOKUP($BA36,Early_Stats_Last_Year,VLOOKUP('Background Data'!$C$2,Inst_Tables,15,FALSE),FALSE)</f>
        <v>227</v>
      </c>
      <c r="W36" s="162">
        <f>VLOOKUP($BA36,Early_Stats_Last_Year,VLOOKUP('Background Data'!$C$2,Inst_Tables,16,FALSE),FALSE)</f>
        <v>0</v>
      </c>
      <c r="X36" s="592">
        <f>SUM(V36:W36)</f>
        <v>227</v>
      </c>
      <c r="Y36" s="1274">
        <f>VLOOKUP($BA36,Early_Stats_Last_Year,VLOOKUP('Background Data'!$C$2,Inst_Tables,17,FALSE),FALSE)</f>
        <v>58</v>
      </c>
      <c r="Z36" s="496">
        <f>IF(V36&gt;0,(G36-V36)/V36,"")</f>
        <v>-0.11894273127753303</v>
      </c>
      <c r="AA36" s="164" t="str">
        <f>IF(W36&gt;0,(J36-W36)/W36,"")</f>
        <v/>
      </c>
      <c r="AB36" s="164">
        <f>IF(X36&gt;0,(M36-X36)/X36,"")</f>
        <v>-0.11894273127753303</v>
      </c>
      <c r="AC36" s="622">
        <f t="shared" ref="AC36:AC39" si="18">IF(Y36&gt;0,(Q36-Y36)/Y36,"")</f>
        <v>-8.6206896551724144E-2</v>
      </c>
      <c r="AD36" s="374"/>
      <c r="AE36" s="98"/>
      <c r="AF36" s="165">
        <f>VLOOKUP($BA36,Final_Figures_Last_Year,VLOOKUP('Background Data'!$C$2,Inst_Tables,15,FALSE),FALSE)</f>
        <v>226</v>
      </c>
      <c r="AG36" s="166">
        <f>VLOOKUP($BA36,Final_Figures_Last_Year,VLOOKUP('Background Data'!$C$2,Inst_Tables,16,FALSE),FALSE)</f>
        <v>0</v>
      </c>
      <c r="AH36" s="609">
        <f>SUM(AF36:AG36)</f>
        <v>226</v>
      </c>
      <c r="AI36" s="621">
        <f>VLOOKUP($BA36,Final_Figures_Last_Year,VLOOKUP('Background Data'!$C$2,Inst_Tables,17,FALSE),FALSE)</f>
        <v>58</v>
      </c>
      <c r="AJ36" s="593">
        <f>IF(AF36&gt;0,(G36-AF36)/AF36,"")</f>
        <v>-0.11504424778761062</v>
      </c>
      <c r="AK36" s="167" t="str">
        <f>IF(AG36&gt;0,(J36-AG36)/AG36,"")</f>
        <v/>
      </c>
      <c r="AL36" s="593">
        <f>IF(AH36&gt;0,(M36-AH36)/AH36,"")</f>
        <v>-0.11504424778761062</v>
      </c>
      <c r="AM36" s="239">
        <f t="shared" si="17"/>
        <v>-8.6206896551724144E-2</v>
      </c>
      <c r="AN36" s="584"/>
      <c r="AO36" s="2254"/>
      <c r="AP36" s="2205"/>
      <c r="AQ36" s="2205"/>
      <c r="AR36" s="2205"/>
      <c r="AS36" s="2205"/>
      <c r="AT36" s="2205"/>
      <c r="AU36" s="2205"/>
      <c r="AV36" s="2205"/>
      <c r="AW36" s="2205"/>
      <c r="AX36" s="2205"/>
      <c r="AY36" s="2239"/>
      <c r="BA36" s="628">
        <v>10</v>
      </c>
    </row>
    <row r="37" spans="1:53" ht="30" customHeight="1">
      <c r="A37" s="365"/>
      <c r="B37" s="195" t="s">
        <v>5</v>
      </c>
      <c r="C37" s="1269"/>
      <c r="D37" s="158">
        <v>359</v>
      </c>
      <c r="E37" s="157"/>
      <c r="F37" s="844">
        <f>SUM(D37:E37)</f>
        <v>359</v>
      </c>
      <c r="G37" s="835">
        <f>F37</f>
        <v>359</v>
      </c>
      <c r="H37" s="158"/>
      <c r="I37" s="157"/>
      <c r="J37" s="182">
        <f>SUM(H37:I37)</f>
        <v>0</v>
      </c>
      <c r="K37" s="159">
        <f>SUM(D37,H37)</f>
        <v>359</v>
      </c>
      <c r="L37" s="128">
        <f>SUM(E37,I37)</f>
        <v>0</v>
      </c>
      <c r="M37" s="160">
        <f>SUM(K37:L37)</f>
        <v>359</v>
      </c>
      <c r="N37" s="88"/>
      <c r="O37" s="196">
        <v>117</v>
      </c>
      <c r="P37" s="157">
        <v>1</v>
      </c>
      <c r="Q37" s="183">
        <f>SUM(O37:P37)</f>
        <v>118</v>
      </c>
      <c r="R37" s="88"/>
      <c r="S37" s="184">
        <f>SUM(M37,Q37)</f>
        <v>477</v>
      </c>
      <c r="T37" s="372"/>
      <c r="U37" s="588"/>
      <c r="V37" s="161">
        <f>VLOOKUP($BA37,Early_Stats_Last_Year,VLOOKUP('Background Data'!$C$2,Inst_Tables,15,FALSE),FALSE)</f>
        <v>330</v>
      </c>
      <c r="W37" s="162">
        <f>VLOOKUP($BA37,Early_Stats_Last_Year,VLOOKUP('Background Data'!$C$2,Inst_Tables,16,FALSE),FALSE)</f>
        <v>0</v>
      </c>
      <c r="X37" s="592">
        <f>SUM(V37:W37)</f>
        <v>330</v>
      </c>
      <c r="Y37" s="1274">
        <f>VLOOKUP($BA37,Early_Stats_Last_Year,VLOOKUP('Background Data'!$C$2,Inst_Tables,17,FALSE),FALSE)</f>
        <v>120</v>
      </c>
      <c r="Z37" s="496">
        <f>IF(V37&gt;0,(G37-V37)/V37,"")</f>
        <v>8.7878787878787876E-2</v>
      </c>
      <c r="AA37" s="164" t="str">
        <f>IF(W37&gt;0,(J37-W37)/W37,"")</f>
        <v/>
      </c>
      <c r="AB37" s="164">
        <f>IF(X37&gt;0,(M37-X37)/X37,"")</f>
        <v>8.7878787878787876E-2</v>
      </c>
      <c r="AC37" s="622">
        <f t="shared" si="18"/>
        <v>-1.6666666666666666E-2</v>
      </c>
      <c r="AD37" s="374"/>
      <c r="AE37" s="98"/>
      <c r="AF37" s="165">
        <f>VLOOKUP($BA37,Final_Figures_Last_Year,VLOOKUP('Background Data'!$C$2,Inst_Tables,15,FALSE),FALSE)</f>
        <v>330</v>
      </c>
      <c r="AG37" s="166">
        <f>VLOOKUP($BA37,Final_Figures_Last_Year,VLOOKUP('Background Data'!$C$2,Inst_Tables,16,FALSE),FALSE)</f>
        <v>0</v>
      </c>
      <c r="AH37" s="609">
        <f>SUM(AF37:AG37)</f>
        <v>330</v>
      </c>
      <c r="AI37" s="621">
        <f>VLOOKUP($BA37,Final_Figures_Last_Year,VLOOKUP('Background Data'!$C$2,Inst_Tables,17,FALSE),FALSE)</f>
        <v>115</v>
      </c>
      <c r="AJ37" s="593">
        <f>IF(AF37&gt;0,(G37-AF37)/AF37,"")</f>
        <v>8.7878787878787876E-2</v>
      </c>
      <c r="AK37" s="167" t="str">
        <f>IF(AG37&gt;0,(J37-AG37)/AG37,"")</f>
        <v/>
      </c>
      <c r="AL37" s="593">
        <f>IF(AH37&gt;0,(M37-AH37)/AH37,"")</f>
        <v>8.7878787878787876E-2</v>
      </c>
      <c r="AM37" s="239">
        <f t="shared" si="17"/>
        <v>2.6086956521739129E-2</v>
      </c>
      <c r="AN37" s="584"/>
      <c r="AO37" s="2254"/>
      <c r="AP37" s="2205"/>
      <c r="AQ37" s="2205"/>
      <c r="AR37" s="2205"/>
      <c r="AS37" s="2205"/>
      <c r="AT37" s="2205"/>
      <c r="AU37" s="2205"/>
      <c r="AV37" s="2205"/>
      <c r="AW37" s="2205"/>
      <c r="AX37" s="2205"/>
      <c r="AY37" s="2239"/>
      <c r="BA37" s="628">
        <v>11</v>
      </c>
    </row>
    <row r="38" spans="1:53" ht="30" customHeight="1">
      <c r="A38" s="365"/>
      <c r="B38" s="195" t="s">
        <v>330</v>
      </c>
      <c r="C38" s="868"/>
      <c r="D38" s="158"/>
      <c r="E38" s="961"/>
      <c r="F38" s="844">
        <f>SUM(D38:E38)</f>
        <v>0</v>
      </c>
      <c r="G38" s="835">
        <f>F38</f>
        <v>0</v>
      </c>
      <c r="H38" s="158"/>
      <c r="I38" s="157"/>
      <c r="J38" s="182">
        <f>SUM(H38:I38)</f>
        <v>0</v>
      </c>
      <c r="K38" s="159">
        <f>SUM(D38,H38)</f>
        <v>0</v>
      </c>
      <c r="L38" s="128">
        <f>SUM(E38,I38)</f>
        <v>0</v>
      </c>
      <c r="M38" s="160">
        <f>SUM(K38:L38)</f>
        <v>0</v>
      </c>
      <c r="N38" s="88"/>
      <c r="O38" s="196"/>
      <c r="P38" s="157"/>
      <c r="Q38" s="183">
        <f>SUM(O38:P38)</f>
        <v>0</v>
      </c>
      <c r="R38" s="88"/>
      <c r="S38" s="184">
        <f>SUM(M38,Q38)</f>
        <v>0</v>
      </c>
      <c r="T38" s="829"/>
      <c r="U38" s="1262"/>
      <c r="V38" s="161"/>
      <c r="W38" s="162"/>
      <c r="X38" s="592"/>
      <c r="Y38" s="1274"/>
      <c r="Z38" s="1263"/>
      <c r="AA38" s="1264"/>
      <c r="AB38" s="1263"/>
      <c r="AC38" s="498"/>
      <c r="AD38" s="831"/>
      <c r="AE38" s="98"/>
      <c r="AF38" s="165"/>
      <c r="AG38" s="166"/>
      <c r="AH38" s="609"/>
      <c r="AI38" s="1265"/>
      <c r="AJ38" s="1266"/>
      <c r="AK38" s="1267"/>
      <c r="AL38" s="1266"/>
      <c r="AM38" s="1268"/>
      <c r="AN38" s="832"/>
      <c r="AO38" s="2254"/>
      <c r="AP38" s="2205"/>
      <c r="AQ38" s="2205"/>
      <c r="AR38" s="2205"/>
      <c r="AS38" s="2205"/>
      <c r="AT38" s="2205"/>
      <c r="AU38" s="2205"/>
      <c r="AV38" s="2205"/>
      <c r="AW38" s="2205"/>
      <c r="AX38" s="2205"/>
      <c r="AY38" s="2239"/>
      <c r="BA38" s="1272"/>
    </row>
    <row r="39" spans="1:53" ht="30" customHeight="1">
      <c r="A39" s="365"/>
      <c r="B39" s="195" t="s">
        <v>6</v>
      </c>
      <c r="C39" s="868"/>
      <c r="D39" s="158">
        <v>61</v>
      </c>
      <c r="E39" s="157"/>
      <c r="F39" s="844">
        <f>SUM(D39:E39)</f>
        <v>61</v>
      </c>
      <c r="G39" s="835">
        <f>F39</f>
        <v>61</v>
      </c>
      <c r="H39" s="158"/>
      <c r="I39" s="157"/>
      <c r="J39" s="182">
        <f>SUM(H39:I39)</f>
        <v>0</v>
      </c>
      <c r="K39" s="159">
        <f>SUM(D39,H39)</f>
        <v>61</v>
      </c>
      <c r="L39" s="128">
        <f>SUM(E39,I39)</f>
        <v>0</v>
      </c>
      <c r="M39" s="160">
        <f>SUM(K39:L39)</f>
        <v>61</v>
      </c>
      <c r="N39" s="88"/>
      <c r="O39" s="196">
        <v>14</v>
      </c>
      <c r="P39" s="157"/>
      <c r="Q39" s="183">
        <f>SUM(O39:P39)</f>
        <v>14</v>
      </c>
      <c r="R39" s="88"/>
      <c r="S39" s="184">
        <f>SUM(M39,Q39)</f>
        <v>75</v>
      </c>
      <c r="T39" s="372"/>
      <c r="U39" s="588"/>
      <c r="V39" s="161">
        <f>VLOOKUP($BA39,Early_Stats_Last_Year,VLOOKUP('Background Data'!$C$2,Inst_Tables,15,FALSE),FALSE)</f>
        <v>53</v>
      </c>
      <c r="W39" s="162">
        <f>VLOOKUP($BA39,Early_Stats_Last_Year,VLOOKUP('Background Data'!$C$2,Inst_Tables,16,FALSE),FALSE)</f>
        <v>0</v>
      </c>
      <c r="X39" s="592">
        <f>SUM(V39:W39)</f>
        <v>53</v>
      </c>
      <c r="Y39" s="162">
        <f>VLOOKUP($BA39,Early_Stats_Last_Year,VLOOKUP('Background Data'!$C$2,Inst_Tables,17,FALSE),FALSE)</f>
        <v>14</v>
      </c>
      <c r="Z39" s="163">
        <f>IF(V39&gt;0,(G39-V39)/V39,"")</f>
        <v>0.15094339622641509</v>
      </c>
      <c r="AA39" s="164" t="str">
        <f>IF(W39&gt;0,(J39-W39)/W39,"")</f>
        <v/>
      </c>
      <c r="AB39" s="164">
        <f>IF(X39&gt;0,(M39-X39)/X39,"")</f>
        <v>0.15094339622641509</v>
      </c>
      <c r="AC39" s="622">
        <f t="shared" si="18"/>
        <v>0</v>
      </c>
      <c r="AD39" s="374"/>
      <c r="AE39" s="98"/>
      <c r="AF39" s="165">
        <f>VLOOKUP($BA39,Final_Figures_Last_Year,VLOOKUP('Background Data'!$C$2,Inst_Tables,15,FALSE),FALSE)</f>
        <v>53</v>
      </c>
      <c r="AG39" s="166">
        <f>VLOOKUP($BA39,Final_Figures_Last_Year,VLOOKUP('Background Data'!$C$2,Inst_Tables,16,FALSE),FALSE)</f>
        <v>0</v>
      </c>
      <c r="AH39" s="609">
        <f>SUM(AF39:AG39)</f>
        <v>53</v>
      </c>
      <c r="AI39" s="621">
        <f>VLOOKUP($BA39,Final_Figures_Last_Year,VLOOKUP('Background Data'!$C$2,Inst_Tables,17,FALSE),FALSE)</f>
        <v>14</v>
      </c>
      <c r="AJ39" s="593">
        <f>IF(AF39&gt;0,(G39-AF39)/AF39,"")</f>
        <v>0.15094339622641509</v>
      </c>
      <c r="AK39" s="167" t="str">
        <f>IF(AG39&gt;0,(J39-AG39)/AG39,"")</f>
        <v/>
      </c>
      <c r="AL39" s="593">
        <f>IF(AH39&gt;0,(M39-AH39)/AH39,"")</f>
        <v>0.15094339622641509</v>
      </c>
      <c r="AM39" s="239">
        <f t="shared" si="17"/>
        <v>0</v>
      </c>
      <c r="AN39" s="584"/>
      <c r="AO39" s="2254"/>
      <c r="AP39" s="2205"/>
      <c r="AQ39" s="2205"/>
      <c r="AR39" s="2205"/>
      <c r="AS39" s="2205"/>
      <c r="AT39" s="2205"/>
      <c r="AU39" s="2205"/>
      <c r="AV39" s="2205"/>
      <c r="AW39" s="2205"/>
      <c r="AX39" s="2205"/>
      <c r="AY39" s="2239"/>
      <c r="BA39" s="628">
        <v>12</v>
      </c>
    </row>
    <row r="40" spans="1:53" ht="30" customHeight="1">
      <c r="A40" s="365"/>
      <c r="B40" s="194" t="s">
        <v>7</v>
      </c>
      <c r="C40" s="848"/>
      <c r="D40" s="891"/>
      <c r="E40" s="892"/>
      <c r="F40" s="893"/>
      <c r="G40" s="894"/>
      <c r="H40" s="895"/>
      <c r="I40" s="896"/>
      <c r="J40" s="897"/>
      <c r="K40" s="898"/>
      <c r="L40" s="898"/>
      <c r="M40" s="897"/>
      <c r="N40" s="88"/>
      <c r="O40" s="908"/>
      <c r="P40" s="896"/>
      <c r="Q40" s="909"/>
      <c r="R40" s="903"/>
      <c r="S40" s="904"/>
      <c r="T40" s="372"/>
      <c r="U40" s="588"/>
      <c r="V40" s="197"/>
      <c r="W40" s="198"/>
      <c r="X40" s="198"/>
      <c r="Y40" s="199"/>
      <c r="Z40" s="213"/>
      <c r="AA40" s="150"/>
      <c r="AB40" s="213"/>
      <c r="AC40" s="180"/>
      <c r="AD40" s="374"/>
      <c r="AE40" s="98"/>
      <c r="AF40" s="200"/>
      <c r="AG40" s="201"/>
      <c r="AH40" s="612"/>
      <c r="AI40" s="181"/>
      <c r="AJ40" s="98"/>
      <c r="AK40" s="154"/>
      <c r="AL40" s="98"/>
      <c r="AM40" s="181"/>
      <c r="AN40" s="584"/>
      <c r="AO40" s="2254"/>
      <c r="AP40" s="2205"/>
      <c r="AQ40" s="2205"/>
      <c r="AR40" s="2205"/>
      <c r="AS40" s="2205"/>
      <c r="AT40" s="2205"/>
      <c r="AU40" s="2205"/>
      <c r="AV40" s="2205"/>
      <c r="AW40" s="2205"/>
      <c r="AX40" s="2205"/>
      <c r="AY40" s="2239"/>
      <c r="BA40" s="629"/>
    </row>
    <row r="41" spans="1:53" ht="30" customHeight="1">
      <c r="A41" s="365"/>
      <c r="B41" s="195" t="s">
        <v>361</v>
      </c>
      <c r="C41" s="868"/>
      <c r="D41" s="158">
        <v>566</v>
      </c>
      <c r="E41" s="157"/>
      <c r="F41" s="844">
        <f t="shared" ref="F41:F47" si="19">SUM(D41:E41)</f>
        <v>566</v>
      </c>
      <c r="G41" s="835">
        <f t="shared" ref="G41:G47" si="20">F41</f>
        <v>566</v>
      </c>
      <c r="H41" s="158">
        <v>2.46</v>
      </c>
      <c r="I41" s="157"/>
      <c r="J41" s="182">
        <f t="shared" ref="J41:J47" si="21">SUM(H41:I41)</f>
        <v>2.46</v>
      </c>
      <c r="K41" s="159">
        <f t="shared" ref="K41:L44" si="22">SUM(D41,H41)</f>
        <v>568.46</v>
      </c>
      <c r="L41" s="128">
        <f t="shared" si="22"/>
        <v>0</v>
      </c>
      <c r="M41" s="160">
        <f t="shared" ref="M41:M47" si="23">SUM(K41:L41)</f>
        <v>568.46</v>
      </c>
      <c r="N41" s="88"/>
      <c r="O41" s="196">
        <v>6</v>
      </c>
      <c r="P41" s="157"/>
      <c r="Q41" s="183">
        <f t="shared" ref="Q41:Q47" si="24">SUM(O41:P41)</f>
        <v>6</v>
      </c>
      <c r="R41" s="88"/>
      <c r="S41" s="184">
        <f>SUM(M41,Q41)</f>
        <v>574.46</v>
      </c>
      <c r="T41" s="372"/>
      <c r="U41" s="588"/>
      <c r="V41" s="161">
        <f>VLOOKUP($BA41,Early_Stats_Last_Year,VLOOKUP('Background Data'!$C$2,Inst_Tables,15,FALSE),FALSE)</f>
        <v>510</v>
      </c>
      <c r="W41" s="162">
        <f>VLOOKUP($BA41,Early_Stats_Last_Year,VLOOKUP('Background Data'!$C$2,Inst_Tables,16,FALSE),FALSE)</f>
        <v>3.2430000000000003</v>
      </c>
      <c r="X41" s="592">
        <f t="shared" ref="X41:X44" si="25">SUM(V41:W41)</f>
        <v>513.24300000000005</v>
      </c>
      <c r="Y41" s="162">
        <f>VLOOKUP($BA41,Early_Stats_Last_Year,VLOOKUP('Background Data'!$C$2,Inst_Tables,17,FALSE),FALSE)</f>
        <v>8</v>
      </c>
      <c r="Z41" s="163">
        <f t="shared" ref="Z41:Z44" si="26">IF(V41&gt;0,(G41-V41)/V41,"")</f>
        <v>0.10980392156862745</v>
      </c>
      <c r="AA41" s="164">
        <f t="shared" ref="AA41:AA44" si="27">IF(W41&gt;0,(J41-W41)/W41,"")</f>
        <v>-0.24144310823311757</v>
      </c>
      <c r="AB41" s="164">
        <f t="shared" ref="AB41:AB44" si="28">IF(X41&gt;0,(M41-X41)/X41,"")</f>
        <v>0.10758451649608466</v>
      </c>
      <c r="AC41" s="622">
        <f t="shared" ref="AC41:AC44" si="29">IF(Y41&gt;0,(Q41-Y41)/Y41,"")</f>
        <v>-0.25</v>
      </c>
      <c r="AD41" s="374"/>
      <c r="AE41" s="98"/>
      <c r="AF41" s="165">
        <f>VLOOKUP($BA41,Final_Figures_Last_Year,VLOOKUP('Background Data'!$C$2,Inst_Tables,15,FALSE),FALSE)</f>
        <v>503</v>
      </c>
      <c r="AG41" s="166">
        <f>VLOOKUP($BA41,Final_Figures_Last_Year,VLOOKUP('Background Data'!$C$2,Inst_Tables,16,FALSE),FALSE)</f>
        <v>3.2130000000000001</v>
      </c>
      <c r="AH41" s="609">
        <f>SUM(AF41:AG41)</f>
        <v>506.21300000000002</v>
      </c>
      <c r="AI41" s="621">
        <f>VLOOKUP($BA41,Final_Figures_Last_Year,VLOOKUP('Background Data'!$C$2,Inst_Tables,17,FALSE),FALSE)</f>
        <v>8</v>
      </c>
      <c r="AJ41" s="593">
        <f>IF(AF41&gt;0,(G41-AF41)/AF41,"")</f>
        <v>0.12524850894632206</v>
      </c>
      <c r="AK41" s="167">
        <f>IF(AG41&gt;0,(J41-AG41)/AG41,"")</f>
        <v>-0.23436041083099909</v>
      </c>
      <c r="AL41" s="593">
        <f>IF(AH41&gt;0,(M41-AH41)/AH41,"")</f>
        <v>0.12296602418349591</v>
      </c>
      <c r="AM41" s="239">
        <f>IF(AI41&gt;0,(Q41-AI41)/AI41,"")</f>
        <v>-0.25</v>
      </c>
      <c r="AN41" s="584"/>
      <c r="AO41" s="2254"/>
      <c r="AP41" s="2205"/>
      <c r="AQ41" s="2205"/>
      <c r="AR41" s="2205"/>
      <c r="AS41" s="2205"/>
      <c r="AT41" s="2205"/>
      <c r="AU41" s="2205"/>
      <c r="AV41" s="2205"/>
      <c r="AW41" s="2205"/>
      <c r="AX41" s="2205"/>
      <c r="AY41" s="2239"/>
      <c r="BA41" s="628">
        <v>13</v>
      </c>
    </row>
    <row r="42" spans="1:53" ht="30" customHeight="1">
      <c r="A42" s="365"/>
      <c r="B42" s="195" t="s">
        <v>20</v>
      </c>
      <c r="C42" s="868"/>
      <c r="D42" s="158"/>
      <c r="E42" s="157"/>
      <c r="F42" s="844">
        <f t="shared" si="19"/>
        <v>0</v>
      </c>
      <c r="G42" s="835">
        <f t="shared" si="20"/>
        <v>0</v>
      </c>
      <c r="H42" s="158"/>
      <c r="I42" s="157"/>
      <c r="J42" s="182">
        <f t="shared" si="21"/>
        <v>0</v>
      </c>
      <c r="K42" s="159">
        <f t="shared" si="22"/>
        <v>0</v>
      </c>
      <c r="L42" s="128">
        <f t="shared" si="22"/>
        <v>0</v>
      </c>
      <c r="M42" s="160">
        <f t="shared" si="23"/>
        <v>0</v>
      </c>
      <c r="N42" s="88"/>
      <c r="O42" s="196"/>
      <c r="P42" s="157"/>
      <c r="Q42" s="183">
        <f t="shared" si="24"/>
        <v>0</v>
      </c>
      <c r="R42" s="88"/>
      <c r="S42" s="184">
        <f>SUM(M42,Q42)</f>
        <v>0</v>
      </c>
      <c r="T42" s="372"/>
      <c r="U42" s="588"/>
      <c r="V42" s="161">
        <f>VLOOKUP($BA42,Early_Stats_Last_Year,VLOOKUP('Background Data'!$C$2,Inst_Tables,15,FALSE),FALSE)</f>
        <v>0</v>
      </c>
      <c r="W42" s="162">
        <f>VLOOKUP($BA42,Early_Stats_Last_Year,VLOOKUP('Background Data'!$C$2,Inst_Tables,16,FALSE),FALSE)</f>
        <v>0</v>
      </c>
      <c r="X42" s="592">
        <f t="shared" si="25"/>
        <v>0</v>
      </c>
      <c r="Y42" s="162">
        <f>VLOOKUP($BA42,Early_Stats_Last_Year,VLOOKUP('Background Data'!$C$2,Inst_Tables,17,FALSE),FALSE)</f>
        <v>0</v>
      </c>
      <c r="Z42" s="163" t="str">
        <f t="shared" si="26"/>
        <v/>
      </c>
      <c r="AA42" s="164" t="str">
        <f t="shared" si="27"/>
        <v/>
      </c>
      <c r="AB42" s="164" t="str">
        <f t="shared" si="28"/>
        <v/>
      </c>
      <c r="AC42" s="622" t="str">
        <f t="shared" si="29"/>
        <v/>
      </c>
      <c r="AD42" s="374"/>
      <c r="AE42" s="98"/>
      <c r="AF42" s="165">
        <f>VLOOKUP($BA42,Final_Figures_Last_Year,VLOOKUP('Background Data'!$C$2,Inst_Tables,15,FALSE),FALSE)</f>
        <v>0</v>
      </c>
      <c r="AG42" s="166">
        <f>VLOOKUP($BA42,Final_Figures_Last_Year,VLOOKUP('Background Data'!$C$2,Inst_Tables,16,FALSE),FALSE)</f>
        <v>0</v>
      </c>
      <c r="AH42" s="609">
        <f>SUM(AF42:AG42)</f>
        <v>0</v>
      </c>
      <c r="AI42" s="621">
        <f>VLOOKUP($BA42,Final_Figures_Last_Year,VLOOKUP('Background Data'!$C$2,Inst_Tables,17,FALSE),FALSE)</f>
        <v>0</v>
      </c>
      <c r="AJ42" s="593" t="str">
        <f>IF(AF42&gt;0,(G42-AF42)/AF42,"")</f>
        <v/>
      </c>
      <c r="AK42" s="167" t="str">
        <f>IF(AG42&gt;0,(J42-AG42)/AG42,"")</f>
        <v/>
      </c>
      <c r="AL42" s="593" t="str">
        <f>IF(AH42&gt;0,(M42-AH42)/AH42,"")</f>
        <v/>
      </c>
      <c r="AM42" s="239" t="str">
        <f t="shared" si="17"/>
        <v/>
      </c>
      <c r="AN42" s="584"/>
      <c r="AO42" s="2254"/>
      <c r="AP42" s="2205"/>
      <c r="AQ42" s="2205"/>
      <c r="AR42" s="2205"/>
      <c r="AS42" s="2205"/>
      <c r="AT42" s="2205"/>
      <c r="AU42" s="2205"/>
      <c r="AV42" s="2205"/>
      <c r="AW42" s="2205"/>
      <c r="AX42" s="2205"/>
      <c r="AY42" s="2239"/>
      <c r="BA42" s="628">
        <v>14</v>
      </c>
    </row>
    <row r="43" spans="1:53" ht="30" customHeight="1">
      <c r="A43" s="365"/>
      <c r="B43" s="195" t="s">
        <v>21</v>
      </c>
      <c r="C43" s="868"/>
      <c r="D43" s="158"/>
      <c r="E43" s="157"/>
      <c r="F43" s="844">
        <f t="shared" si="19"/>
        <v>0</v>
      </c>
      <c r="G43" s="835">
        <f t="shared" si="20"/>
        <v>0</v>
      </c>
      <c r="H43" s="158"/>
      <c r="I43" s="157"/>
      <c r="J43" s="182">
        <f t="shared" si="21"/>
        <v>0</v>
      </c>
      <c r="K43" s="159">
        <f t="shared" si="22"/>
        <v>0</v>
      </c>
      <c r="L43" s="128">
        <f t="shared" si="22"/>
        <v>0</v>
      </c>
      <c r="M43" s="160">
        <f t="shared" si="23"/>
        <v>0</v>
      </c>
      <c r="N43" s="88"/>
      <c r="O43" s="196"/>
      <c r="P43" s="157"/>
      <c r="Q43" s="183">
        <f t="shared" si="24"/>
        <v>0</v>
      </c>
      <c r="R43" s="88"/>
      <c r="S43" s="184">
        <f>SUM(M43,Q43)</f>
        <v>0</v>
      </c>
      <c r="T43" s="372"/>
      <c r="U43" s="588"/>
      <c r="V43" s="161">
        <f>VLOOKUP($BA43,Early_Stats_Last_Year,VLOOKUP('Background Data'!$C$2,Inst_Tables,15,FALSE),FALSE)</f>
        <v>0</v>
      </c>
      <c r="W43" s="162">
        <f>VLOOKUP($BA43,Early_Stats_Last_Year,VLOOKUP('Background Data'!$C$2,Inst_Tables,16,FALSE),FALSE)</f>
        <v>0</v>
      </c>
      <c r="X43" s="592">
        <f t="shared" si="25"/>
        <v>0</v>
      </c>
      <c r="Y43" s="162">
        <f>VLOOKUP($BA43,Early_Stats_Last_Year,VLOOKUP('Background Data'!$C$2,Inst_Tables,17,FALSE),FALSE)</f>
        <v>0</v>
      </c>
      <c r="Z43" s="163" t="str">
        <f t="shared" si="26"/>
        <v/>
      </c>
      <c r="AA43" s="164" t="str">
        <f t="shared" si="27"/>
        <v/>
      </c>
      <c r="AB43" s="164" t="str">
        <f t="shared" si="28"/>
        <v/>
      </c>
      <c r="AC43" s="622" t="str">
        <f t="shared" si="29"/>
        <v/>
      </c>
      <c r="AD43" s="374"/>
      <c r="AE43" s="98"/>
      <c r="AF43" s="165">
        <f>VLOOKUP($BA43,Final_Figures_Last_Year,VLOOKUP('Background Data'!$C$2,Inst_Tables,15,FALSE),FALSE)</f>
        <v>0</v>
      </c>
      <c r="AG43" s="166">
        <f>VLOOKUP($BA43,Final_Figures_Last_Year,VLOOKUP('Background Data'!$C$2,Inst_Tables,16,FALSE),FALSE)</f>
        <v>0</v>
      </c>
      <c r="AH43" s="609">
        <f>SUM(AF43:AG43)</f>
        <v>0</v>
      </c>
      <c r="AI43" s="621">
        <f>VLOOKUP($BA43,Final_Figures_Last_Year,VLOOKUP('Background Data'!$C$2,Inst_Tables,17,FALSE),FALSE)</f>
        <v>0</v>
      </c>
      <c r="AJ43" s="593" t="str">
        <f>IF(AF43&gt;0,(G43-AF43)/AF43,"")</f>
        <v/>
      </c>
      <c r="AK43" s="167" t="str">
        <f>IF(AG43&gt;0,(J43-AG43)/AG43,"")</f>
        <v/>
      </c>
      <c r="AL43" s="593" t="str">
        <f>IF(AH43&gt;0,(M43-AH43)/AH43,"")</f>
        <v/>
      </c>
      <c r="AM43" s="239" t="str">
        <f t="shared" si="17"/>
        <v/>
      </c>
      <c r="AN43" s="584"/>
      <c r="AO43" s="2254"/>
      <c r="AP43" s="2205"/>
      <c r="AQ43" s="2205"/>
      <c r="AR43" s="2205"/>
      <c r="AS43" s="2205"/>
      <c r="AT43" s="2205"/>
      <c r="AU43" s="2205"/>
      <c r="AV43" s="2205"/>
      <c r="AW43" s="2205"/>
      <c r="AX43" s="2205"/>
      <c r="AY43" s="2239"/>
      <c r="BA43" s="628">
        <v>15</v>
      </c>
    </row>
    <row r="44" spans="1:53" ht="30" customHeight="1">
      <c r="A44" s="365"/>
      <c r="B44" s="195" t="s">
        <v>22</v>
      </c>
      <c r="C44" s="868"/>
      <c r="D44" s="158">
        <v>82</v>
      </c>
      <c r="E44" s="157"/>
      <c r="F44" s="844">
        <f t="shared" si="19"/>
        <v>82</v>
      </c>
      <c r="G44" s="835">
        <f t="shared" si="20"/>
        <v>82</v>
      </c>
      <c r="H44" s="158"/>
      <c r="I44" s="157"/>
      <c r="J44" s="182">
        <f t="shared" si="21"/>
        <v>0</v>
      </c>
      <c r="K44" s="159">
        <f t="shared" si="22"/>
        <v>82</v>
      </c>
      <c r="L44" s="128">
        <f t="shared" si="22"/>
        <v>0</v>
      </c>
      <c r="M44" s="160">
        <f t="shared" si="23"/>
        <v>82</v>
      </c>
      <c r="N44" s="88"/>
      <c r="O44" s="196"/>
      <c r="P44" s="157"/>
      <c r="Q44" s="183">
        <f t="shared" si="24"/>
        <v>0</v>
      </c>
      <c r="R44" s="88"/>
      <c r="S44" s="184">
        <f>SUM(M44,Q44)</f>
        <v>82</v>
      </c>
      <c r="T44" s="372"/>
      <c r="U44" s="588"/>
      <c r="V44" s="161">
        <f>VLOOKUP($BA44,Early_Stats_Last_Year,VLOOKUP('Background Data'!$C$2,Inst_Tables,15,FALSE),FALSE)</f>
        <v>87</v>
      </c>
      <c r="W44" s="162">
        <f>VLOOKUP($BA44,Early_Stats_Last_Year,VLOOKUP('Background Data'!$C$2,Inst_Tables,16,FALSE),FALSE)</f>
        <v>2.4</v>
      </c>
      <c r="X44" s="592">
        <f t="shared" si="25"/>
        <v>89.4</v>
      </c>
      <c r="Y44" s="162">
        <f>VLOOKUP($BA44,Early_Stats_Last_Year,VLOOKUP('Background Data'!$C$2,Inst_Tables,17,FALSE),FALSE)</f>
        <v>0</v>
      </c>
      <c r="Z44" s="163">
        <f t="shared" si="26"/>
        <v>-5.7471264367816091E-2</v>
      </c>
      <c r="AA44" s="164">
        <f t="shared" si="27"/>
        <v>-1</v>
      </c>
      <c r="AB44" s="164">
        <f t="shared" si="28"/>
        <v>-8.2774049217002293E-2</v>
      </c>
      <c r="AC44" s="622" t="str">
        <f t="shared" si="29"/>
        <v/>
      </c>
      <c r="AD44" s="374"/>
      <c r="AE44" s="98"/>
      <c r="AF44" s="165">
        <f>VLOOKUP($BA44,Final_Figures_Last_Year,VLOOKUP('Background Data'!$C$2,Inst_Tables,15,FALSE),FALSE)</f>
        <v>87</v>
      </c>
      <c r="AG44" s="166">
        <f>VLOOKUP($BA44,Final_Figures_Last_Year,VLOOKUP('Background Data'!$C$2,Inst_Tables,16,FALSE),FALSE)</f>
        <v>0</v>
      </c>
      <c r="AH44" s="609">
        <f>SUM(AF44:AG44)</f>
        <v>87</v>
      </c>
      <c r="AI44" s="621">
        <f>VLOOKUP($BA44,Final_Figures_Last_Year,VLOOKUP('Background Data'!$C$2,Inst_Tables,17,FALSE),FALSE)</f>
        <v>0</v>
      </c>
      <c r="AJ44" s="593">
        <f>IF(AF44&gt;0,(G44-AF44)/AF44,"")</f>
        <v>-5.7471264367816091E-2</v>
      </c>
      <c r="AK44" s="167" t="str">
        <f>IF(AG44&gt;0,(J44-AG44)/AG44,"")</f>
        <v/>
      </c>
      <c r="AL44" s="593">
        <f>IF(AH44&gt;0,(M44-AH44)/AH44,"")</f>
        <v>-5.7471264367816091E-2</v>
      </c>
      <c r="AM44" s="239" t="str">
        <f>IF(AI44&gt;0,(Q44-AI44)/AI44,"")</f>
        <v/>
      </c>
      <c r="AN44" s="584"/>
      <c r="AO44" s="2254"/>
      <c r="AP44" s="2205"/>
      <c r="AQ44" s="2205"/>
      <c r="AR44" s="2205"/>
      <c r="AS44" s="2205"/>
      <c r="AT44" s="2205"/>
      <c r="AU44" s="2205"/>
      <c r="AV44" s="2205"/>
      <c r="AW44" s="2205"/>
      <c r="AX44" s="2205"/>
      <c r="AY44" s="2239"/>
      <c r="BA44" s="628">
        <v>16</v>
      </c>
    </row>
    <row r="45" spans="1:53" s="770" customFormat="1" ht="30" customHeight="1">
      <c r="A45" s="946"/>
      <c r="B45" s="964" t="s">
        <v>464</v>
      </c>
      <c r="C45" s="868"/>
      <c r="D45" s="158"/>
      <c r="E45" s="961"/>
      <c r="F45" s="949">
        <f t="shared" si="19"/>
        <v>0</v>
      </c>
      <c r="G45" s="950">
        <f t="shared" si="20"/>
        <v>0</v>
      </c>
      <c r="H45" s="158"/>
      <c r="I45" s="157"/>
      <c r="J45" s="965">
        <f t="shared" si="21"/>
        <v>0</v>
      </c>
      <c r="K45" s="952">
        <f t="shared" ref="K45:L47" si="30">SUM(D45,H45)</f>
        <v>0</v>
      </c>
      <c r="L45" s="953">
        <f t="shared" si="30"/>
        <v>0</v>
      </c>
      <c r="M45" s="954">
        <f t="shared" si="23"/>
        <v>0</v>
      </c>
      <c r="N45" s="471"/>
      <c r="O45" s="962"/>
      <c r="P45" s="963"/>
      <c r="Q45" s="955">
        <f t="shared" si="24"/>
        <v>0</v>
      </c>
      <c r="R45" s="471"/>
      <c r="S45" s="956">
        <f>SUM(M45,Q45)</f>
        <v>0</v>
      </c>
      <c r="T45" s="957"/>
      <c r="U45" s="1021"/>
      <c r="V45" s="161"/>
      <c r="W45" s="162"/>
      <c r="X45" s="592"/>
      <c r="Y45" s="162"/>
      <c r="Z45" s="163"/>
      <c r="AA45" s="164"/>
      <c r="AB45" s="164"/>
      <c r="AC45" s="622"/>
      <c r="AD45" s="958"/>
      <c r="AE45" s="959"/>
      <c r="AF45" s="165"/>
      <c r="AG45" s="166"/>
      <c r="AH45" s="609"/>
      <c r="AI45" s="621"/>
      <c r="AJ45" s="593"/>
      <c r="AK45" s="167"/>
      <c r="AL45" s="593"/>
      <c r="AM45" s="239"/>
      <c r="AN45" s="960"/>
      <c r="AO45" s="2260"/>
      <c r="AP45" s="2262"/>
      <c r="AQ45" s="2262"/>
      <c r="AR45" s="2262"/>
      <c r="AS45" s="2262"/>
      <c r="AT45" s="2262"/>
      <c r="AU45" s="2262"/>
      <c r="AV45" s="2262"/>
      <c r="AW45" s="2262"/>
      <c r="AX45" s="2262"/>
      <c r="AY45" s="2261"/>
      <c r="BA45" s="1272"/>
    </row>
    <row r="46" spans="1:53" s="770" customFormat="1" ht="30" customHeight="1">
      <c r="A46" s="946"/>
      <c r="B46" s="964" t="s">
        <v>465</v>
      </c>
      <c r="C46" s="868"/>
      <c r="D46" s="158"/>
      <c r="E46" s="961"/>
      <c r="F46" s="949">
        <f t="shared" ref="F46" si="31">SUM(D46:E46)</f>
        <v>0</v>
      </c>
      <c r="G46" s="950">
        <f t="shared" ref="G46" si="32">F46</f>
        <v>0</v>
      </c>
      <c r="H46" s="158"/>
      <c r="I46" s="157"/>
      <c r="J46" s="965">
        <f t="shared" ref="J46" si="33">SUM(H46:I46)</f>
        <v>0</v>
      </c>
      <c r="K46" s="952">
        <f t="shared" si="30"/>
        <v>0</v>
      </c>
      <c r="L46" s="953">
        <f t="shared" si="30"/>
        <v>0</v>
      </c>
      <c r="M46" s="954">
        <f t="shared" ref="M46" si="34">SUM(K46:L46)</f>
        <v>0</v>
      </c>
      <c r="N46" s="471"/>
      <c r="O46" s="962"/>
      <c r="P46" s="963"/>
      <c r="Q46" s="955">
        <f t="shared" ref="Q46" si="35">SUM(O46:P46)</f>
        <v>0</v>
      </c>
      <c r="R46" s="471"/>
      <c r="S46" s="956">
        <f t="shared" ref="S46:S47" si="36">SUM(M46,Q46)</f>
        <v>0</v>
      </c>
      <c r="T46" s="957"/>
      <c r="U46" s="1021"/>
      <c r="V46" s="161"/>
      <c r="W46" s="162"/>
      <c r="X46" s="592"/>
      <c r="Y46" s="162"/>
      <c r="Z46" s="163"/>
      <c r="AA46" s="164"/>
      <c r="AB46" s="164"/>
      <c r="AC46" s="622"/>
      <c r="AD46" s="958"/>
      <c r="AE46" s="959"/>
      <c r="AF46" s="165"/>
      <c r="AG46" s="166"/>
      <c r="AH46" s="609"/>
      <c r="AI46" s="621"/>
      <c r="AJ46" s="593"/>
      <c r="AK46" s="167"/>
      <c r="AL46" s="593"/>
      <c r="AM46" s="239"/>
      <c r="AN46" s="960"/>
      <c r="AO46" s="2260"/>
      <c r="AP46" s="2262"/>
      <c r="AQ46" s="2262"/>
      <c r="AR46" s="2262"/>
      <c r="AS46" s="2262"/>
      <c r="AT46" s="2262"/>
      <c r="AU46" s="2262"/>
      <c r="AV46" s="2262"/>
      <c r="AW46" s="2262"/>
      <c r="AX46" s="2262"/>
      <c r="AY46" s="2261"/>
      <c r="BA46" s="1272"/>
    </row>
    <row r="47" spans="1:53" s="770" customFormat="1" ht="30" customHeight="1">
      <c r="A47" s="946"/>
      <c r="B47" s="964" t="s">
        <v>467</v>
      </c>
      <c r="C47" s="868"/>
      <c r="D47" s="158"/>
      <c r="E47" s="961"/>
      <c r="F47" s="949">
        <f t="shared" si="19"/>
        <v>0</v>
      </c>
      <c r="G47" s="950">
        <f t="shared" si="20"/>
        <v>0</v>
      </c>
      <c r="H47" s="158"/>
      <c r="I47" s="157"/>
      <c r="J47" s="965">
        <f t="shared" si="21"/>
        <v>0</v>
      </c>
      <c r="K47" s="952">
        <f t="shared" si="30"/>
        <v>0</v>
      </c>
      <c r="L47" s="953">
        <f t="shared" si="30"/>
        <v>0</v>
      </c>
      <c r="M47" s="954">
        <f t="shared" si="23"/>
        <v>0</v>
      </c>
      <c r="N47" s="471"/>
      <c r="O47" s="962"/>
      <c r="P47" s="963"/>
      <c r="Q47" s="955">
        <f t="shared" si="24"/>
        <v>0</v>
      </c>
      <c r="R47" s="471"/>
      <c r="S47" s="956">
        <f t="shared" si="36"/>
        <v>0</v>
      </c>
      <c r="T47" s="957"/>
      <c r="U47" s="1021"/>
      <c r="V47" s="161"/>
      <c r="W47" s="162"/>
      <c r="X47" s="592"/>
      <c r="Y47" s="162"/>
      <c r="Z47" s="163"/>
      <c r="AA47" s="164"/>
      <c r="AB47" s="164"/>
      <c r="AC47" s="622"/>
      <c r="AD47" s="958"/>
      <c r="AE47" s="959"/>
      <c r="AF47" s="165"/>
      <c r="AG47" s="166"/>
      <c r="AH47" s="609"/>
      <c r="AI47" s="621"/>
      <c r="AJ47" s="593"/>
      <c r="AK47" s="167"/>
      <c r="AL47" s="593"/>
      <c r="AM47" s="239"/>
      <c r="AN47" s="960"/>
      <c r="AO47" s="2260"/>
      <c r="AP47" s="2262"/>
      <c r="AQ47" s="2262"/>
      <c r="AR47" s="2262"/>
      <c r="AS47" s="2262"/>
      <c r="AT47" s="2262"/>
      <c r="AU47" s="2262"/>
      <c r="AV47" s="2262"/>
      <c r="AW47" s="2262"/>
      <c r="AX47" s="2262"/>
      <c r="AY47" s="2261"/>
      <c r="BA47" s="1272"/>
    </row>
    <row r="48" spans="1:53" ht="30" customHeight="1">
      <c r="A48" s="365"/>
      <c r="B48" s="194" t="s">
        <v>136</v>
      </c>
      <c r="C48" s="848"/>
      <c r="D48" s="891"/>
      <c r="E48" s="892"/>
      <c r="F48" s="893"/>
      <c r="G48" s="894"/>
      <c r="H48" s="895"/>
      <c r="I48" s="896"/>
      <c r="J48" s="897"/>
      <c r="K48" s="898"/>
      <c r="L48" s="898"/>
      <c r="M48" s="897"/>
      <c r="N48" s="88"/>
      <c r="O48" s="910"/>
      <c r="P48" s="911"/>
      <c r="Q48" s="912"/>
      <c r="R48" s="903"/>
      <c r="S48" s="904"/>
      <c r="T48" s="372"/>
      <c r="U48" s="588"/>
      <c r="V48" s="161"/>
      <c r="W48" s="162"/>
      <c r="X48" s="592"/>
      <c r="Y48" s="596"/>
      <c r="Z48" s="163"/>
      <c r="AA48" s="164"/>
      <c r="AB48" s="496"/>
      <c r="AC48" s="498"/>
      <c r="AD48" s="374"/>
      <c r="AE48" s="98"/>
      <c r="AF48" s="165"/>
      <c r="AG48" s="166"/>
      <c r="AH48" s="609"/>
      <c r="AI48" s="614"/>
      <c r="AJ48" s="593"/>
      <c r="AK48" s="167"/>
      <c r="AL48" s="593"/>
      <c r="AM48" s="181"/>
      <c r="AN48" s="584"/>
      <c r="AO48" s="2254"/>
      <c r="AP48" s="2205"/>
      <c r="AQ48" s="2205"/>
      <c r="AR48" s="2205"/>
      <c r="AS48" s="2205"/>
      <c r="AT48" s="2205"/>
      <c r="AU48" s="2205"/>
      <c r="AV48" s="2205"/>
      <c r="AW48" s="2205"/>
      <c r="AX48" s="2205"/>
      <c r="AY48" s="2239"/>
      <c r="BA48" s="1272"/>
    </row>
    <row r="49" spans="1:53" ht="30" customHeight="1">
      <c r="A49" s="365"/>
      <c r="B49" s="195" t="s">
        <v>222</v>
      </c>
      <c r="C49" s="848"/>
      <c r="D49" s="158"/>
      <c r="E49" s="157"/>
      <c r="F49" s="844">
        <f>SUM(D49:E49)</f>
        <v>0</v>
      </c>
      <c r="G49" s="845">
        <f>F49</f>
        <v>0</v>
      </c>
      <c r="H49" s="595"/>
      <c r="I49" s="157"/>
      <c r="J49" s="182">
        <f>SUM(H49:I49)</f>
        <v>0</v>
      </c>
      <c r="K49" s="159">
        <f>SUM(D49,H49)</f>
        <v>0</v>
      </c>
      <c r="L49" s="128">
        <f>SUM(E49,I49)</f>
        <v>0</v>
      </c>
      <c r="M49" s="160">
        <f>SUM(K49:L49)</f>
        <v>0</v>
      </c>
      <c r="N49" s="88"/>
      <c r="O49" s="196"/>
      <c r="P49" s="157"/>
      <c r="Q49" s="183">
        <f>SUM(O49:P49)</f>
        <v>0</v>
      </c>
      <c r="R49" s="88"/>
      <c r="S49" s="184">
        <f>SUM(M49,Q49)</f>
        <v>0</v>
      </c>
      <c r="T49" s="372"/>
      <c r="U49" s="588"/>
      <c r="V49" s="161">
        <f>VLOOKUP($BA49,Early_Stats_Last_Year,VLOOKUP('Background Data'!$C$2,Inst_Tables,15,FALSE),FALSE)</f>
        <v>0</v>
      </c>
      <c r="W49" s="162">
        <f>VLOOKUP($BA49,Early_Stats_Last_Year,VLOOKUP('Background Data'!$C$2,Inst_Tables,16,FALSE),FALSE)</f>
        <v>0</v>
      </c>
      <c r="X49" s="592">
        <f>SUM(V49:W49)</f>
        <v>0</v>
      </c>
      <c r="Y49" s="162">
        <f>VLOOKUP($BA49,Early_Stats_Last_Year,VLOOKUP('Background Data'!$C$2,Inst_Tables,17,FALSE),FALSE)</f>
        <v>0</v>
      </c>
      <c r="Z49" s="163" t="str">
        <f>IF(V49&gt;0,(G49-V49)/V49,"")</f>
        <v/>
      </c>
      <c r="AA49" s="164" t="str">
        <f>IF(W49&gt;0,(J49-W49)/W49,"")</f>
        <v/>
      </c>
      <c r="AB49" s="496" t="str">
        <f>IF(X49&gt;0,(M49-X49)/X49,"")</f>
        <v/>
      </c>
      <c r="AC49" s="622" t="str">
        <f t="shared" ref="AC49:AC50" si="37">IF(Y49&gt;0,(Q49-Y49)/Y49,"")</f>
        <v/>
      </c>
      <c r="AD49" s="374"/>
      <c r="AE49" s="98"/>
      <c r="AF49" s="165">
        <f>VLOOKUP($BA49,Final_Figures_Last_Year,VLOOKUP('Background Data'!$C$2,Inst_Tables,15,FALSE),FALSE)</f>
        <v>0</v>
      </c>
      <c r="AG49" s="166">
        <f>VLOOKUP($BA49,Final_Figures_Last_Year,VLOOKUP('Background Data'!$C$2,Inst_Tables,16,FALSE),FALSE)</f>
        <v>0</v>
      </c>
      <c r="AH49" s="609">
        <f>SUM(AF49:AG49)</f>
        <v>0</v>
      </c>
      <c r="AI49" s="621">
        <f>VLOOKUP($BA49,Final_Figures_Last_Year,VLOOKUP('Background Data'!$C$2,Inst_Tables,17,FALSE),FALSE)</f>
        <v>0</v>
      </c>
      <c r="AJ49" s="593" t="str">
        <f>IF(AF49&gt;0,(G49-AF49)/AF49,"")</f>
        <v/>
      </c>
      <c r="AK49" s="167" t="str">
        <f>IF(AG49&gt;0,(J49-AG49)/AG49,"")</f>
        <v/>
      </c>
      <c r="AL49" s="593" t="str">
        <f>IF(AH49&gt;0,(M49-AH49)/AH49,"")</f>
        <v/>
      </c>
      <c r="AM49" s="239" t="str">
        <f t="shared" ref="AM49:AM50" si="38">IF(AI49&gt;0,(Q49-AI49)/AI49,"")</f>
        <v/>
      </c>
      <c r="AN49" s="584"/>
      <c r="AO49" s="2254"/>
      <c r="AP49" s="2205"/>
      <c r="AQ49" s="2205"/>
      <c r="AR49" s="2205"/>
      <c r="AS49" s="2205"/>
      <c r="AT49" s="2205"/>
      <c r="AU49" s="2205"/>
      <c r="AV49" s="2205"/>
      <c r="AW49" s="2205"/>
      <c r="AX49" s="2205"/>
      <c r="AY49" s="2239"/>
      <c r="BA49" s="628">
        <v>19</v>
      </c>
    </row>
    <row r="50" spans="1:53" ht="30" customHeight="1">
      <c r="A50" s="365"/>
      <c r="B50" s="195" t="s">
        <v>238</v>
      </c>
      <c r="C50" s="848"/>
      <c r="D50" s="158">
        <v>141</v>
      </c>
      <c r="E50" s="157"/>
      <c r="F50" s="844">
        <f>SUM(D50:E50)</f>
        <v>141</v>
      </c>
      <c r="G50" s="845">
        <f>F50</f>
        <v>141</v>
      </c>
      <c r="H50" s="595">
        <v>0.16700000000000001</v>
      </c>
      <c r="I50" s="157"/>
      <c r="J50" s="182">
        <f>SUM(H50:I50)</f>
        <v>0.16700000000000001</v>
      </c>
      <c r="K50" s="159">
        <f>SUM(D50,H50)</f>
        <v>141.167</v>
      </c>
      <c r="L50" s="128">
        <f>SUM(E50,I50)</f>
        <v>0</v>
      </c>
      <c r="M50" s="160">
        <f>SUM(K50:L50)</f>
        <v>141.167</v>
      </c>
      <c r="N50" s="88"/>
      <c r="O50" s="196">
        <v>6</v>
      </c>
      <c r="P50" s="157"/>
      <c r="Q50" s="183">
        <f>SUM(O50:P50)</f>
        <v>6</v>
      </c>
      <c r="R50" s="88"/>
      <c r="S50" s="184">
        <f>SUM(M50,Q50)</f>
        <v>147.167</v>
      </c>
      <c r="T50" s="372"/>
      <c r="U50" s="588"/>
      <c r="V50" s="161">
        <f>VLOOKUP($BA50,Early_Stats_Last_Year,VLOOKUP('Background Data'!$C$2,Inst_Tables,15,FALSE),FALSE)</f>
        <v>162</v>
      </c>
      <c r="W50" s="162">
        <f>VLOOKUP($BA50,Early_Stats_Last_Year,VLOOKUP('Background Data'!$C$2,Inst_Tables,16,FALSE),FALSE)</f>
        <v>0.75</v>
      </c>
      <c r="X50" s="592">
        <f>SUM(V50:W50)</f>
        <v>162.75</v>
      </c>
      <c r="Y50" s="162">
        <f>VLOOKUP($BA50,Early_Stats_Last_Year,VLOOKUP('Background Data'!$C$2,Inst_Tables,17,FALSE),FALSE)</f>
        <v>3</v>
      </c>
      <c r="Z50" s="163">
        <f>IF(V50&gt;0,(G50-V50)/V50,"")</f>
        <v>-0.12962962962962962</v>
      </c>
      <c r="AA50" s="164">
        <f>IF(W50&gt;0,(J50-W50)/W50,"")</f>
        <v>-0.77733333333333332</v>
      </c>
      <c r="AB50" s="496">
        <f>IF(X50&gt;0,(M50-X50)/X50,"")</f>
        <v>-0.13261443932411673</v>
      </c>
      <c r="AC50" s="622">
        <f t="shared" si="37"/>
        <v>1</v>
      </c>
      <c r="AD50" s="374"/>
      <c r="AE50" s="98"/>
      <c r="AF50" s="165">
        <f>VLOOKUP($BA50,Final_Figures_Last_Year,VLOOKUP('Background Data'!$C$2,Inst_Tables,15,FALSE),FALSE)</f>
        <v>162</v>
      </c>
      <c r="AG50" s="166">
        <f>VLOOKUP($BA50,Final_Figures_Last_Year,VLOOKUP('Background Data'!$C$2,Inst_Tables,16,FALSE),FALSE)</f>
        <v>0.75</v>
      </c>
      <c r="AH50" s="609">
        <f>SUM(AF50:AG50)</f>
        <v>162.75</v>
      </c>
      <c r="AI50" s="621">
        <f>VLOOKUP($BA50,Final_Figures_Last_Year,VLOOKUP('Background Data'!$C$2,Inst_Tables,17,FALSE),FALSE)</f>
        <v>3</v>
      </c>
      <c r="AJ50" s="593">
        <f>IF(AF50&gt;0,(G50-AF50)/AF50,"")</f>
        <v>-0.12962962962962962</v>
      </c>
      <c r="AK50" s="167">
        <f>IF(AG50&gt;0,(J50-AG50)/AG50,"")</f>
        <v>-0.77733333333333332</v>
      </c>
      <c r="AL50" s="593">
        <f>IF(AH50&gt;0,(M50-AH50)/AH50,"")</f>
        <v>-0.13261443932411673</v>
      </c>
      <c r="AM50" s="239">
        <f t="shared" si="38"/>
        <v>1</v>
      </c>
      <c r="AN50" s="584"/>
      <c r="AO50" s="2254"/>
      <c r="AP50" s="2205"/>
      <c r="AQ50" s="2205"/>
      <c r="AR50" s="2205"/>
      <c r="AS50" s="2205"/>
      <c r="AT50" s="2205"/>
      <c r="AU50" s="2205"/>
      <c r="AV50" s="2205"/>
      <c r="AW50" s="2205"/>
      <c r="AX50" s="2205"/>
      <c r="AY50" s="2239"/>
      <c r="BA50" s="628">
        <v>20</v>
      </c>
    </row>
    <row r="51" spans="1:53" ht="30" customHeight="1">
      <c r="A51" s="365"/>
      <c r="B51" s="146" t="s">
        <v>75</v>
      </c>
      <c r="C51" s="848"/>
      <c r="D51" s="891"/>
      <c r="E51" s="892"/>
      <c r="F51" s="893"/>
      <c r="G51" s="894"/>
      <c r="H51" s="895"/>
      <c r="I51" s="896"/>
      <c r="J51" s="897"/>
      <c r="K51" s="898"/>
      <c r="L51" s="898"/>
      <c r="M51" s="897"/>
      <c r="N51" s="88"/>
      <c r="O51" s="147"/>
      <c r="P51" s="96"/>
      <c r="Q51" s="148"/>
      <c r="R51" s="88"/>
      <c r="S51" s="133"/>
      <c r="T51" s="372"/>
      <c r="U51" s="588"/>
      <c r="V51" s="913"/>
      <c r="W51" s="914"/>
      <c r="X51" s="914"/>
      <c r="Y51" s="152"/>
      <c r="Z51" s="151"/>
      <c r="AA51" s="150"/>
      <c r="AB51" s="213"/>
      <c r="AC51" s="180"/>
      <c r="AD51" s="374"/>
      <c r="AE51" s="98"/>
      <c r="AF51" s="915"/>
      <c r="AG51" s="916"/>
      <c r="AH51" s="916"/>
      <c r="AI51" s="181"/>
      <c r="AJ51" s="98"/>
      <c r="AK51" s="154"/>
      <c r="AL51" s="98"/>
      <c r="AM51" s="181"/>
      <c r="AN51" s="584"/>
      <c r="AO51" s="2254"/>
      <c r="AP51" s="2205"/>
      <c r="AQ51" s="2205"/>
      <c r="AR51" s="2205"/>
      <c r="AS51" s="2205"/>
      <c r="AT51" s="2205"/>
      <c r="AU51" s="2205"/>
      <c r="AV51" s="2205"/>
      <c r="AW51" s="2205"/>
      <c r="AX51" s="2205"/>
      <c r="AY51" s="2239"/>
      <c r="BA51" s="629"/>
    </row>
    <row r="52" spans="1:53" ht="30" customHeight="1">
      <c r="A52" s="365"/>
      <c r="B52" s="156" t="s">
        <v>271</v>
      </c>
      <c r="C52" s="890"/>
      <c r="D52" s="158">
        <v>23</v>
      </c>
      <c r="E52" s="157"/>
      <c r="F52" s="844">
        <f>SUM(D52:E52)</f>
        <v>23</v>
      </c>
      <c r="G52" s="845">
        <f>F52</f>
        <v>23</v>
      </c>
      <c r="H52" s="595"/>
      <c r="I52" s="157"/>
      <c r="J52" s="182">
        <f>SUM(H52:I52)</f>
        <v>0</v>
      </c>
      <c r="K52" s="159">
        <f>SUM(D52,H52)</f>
        <v>23</v>
      </c>
      <c r="L52" s="128">
        <f>SUM(E52,I52)</f>
        <v>0</v>
      </c>
      <c r="M52" s="160">
        <f>SUM(K52:L52)</f>
        <v>23</v>
      </c>
      <c r="N52" s="88"/>
      <c r="O52" s="147"/>
      <c r="P52" s="96"/>
      <c r="Q52" s="148"/>
      <c r="R52" s="88"/>
      <c r="S52" s="133"/>
      <c r="T52" s="829"/>
      <c r="U52" s="830"/>
      <c r="V52" s="161">
        <f>VLOOKUP($BA52,Early_Stats_Last_Year,VLOOKUP('Background Data'!$C$2,Inst_Tables,15,FALSE),FALSE)</f>
        <v>21</v>
      </c>
      <c r="W52" s="162">
        <f>VLOOKUP($BA52,Early_Stats_Last_Year,VLOOKUP('Background Data'!$C$2,Inst_Tables,16,FALSE),FALSE)</f>
        <v>0</v>
      </c>
      <c r="X52" s="592">
        <f>SUM(V52:W52)</f>
        <v>21</v>
      </c>
      <c r="Y52" s="513"/>
      <c r="Z52" s="163">
        <f>IF(V52&gt;0,(G52-V52)/V52,"")</f>
        <v>9.5238095238095233E-2</v>
      </c>
      <c r="AA52" s="164" t="str">
        <f>IF(W52&gt;0,(J52-W52)/W52,"")</f>
        <v/>
      </c>
      <c r="AB52" s="496">
        <f>IF(X52&gt;0,(M52-X52)/X52,"")</f>
        <v>9.5238095238095233E-2</v>
      </c>
      <c r="AC52" s="180"/>
      <c r="AD52" s="831"/>
      <c r="AE52" s="98"/>
      <c r="AF52" s="165">
        <f>VLOOKUP($BA52,Final_Figures_Last_Year,VLOOKUP('Background Data'!$C$2,Inst_Tables,15,FALSE),FALSE)</f>
        <v>21</v>
      </c>
      <c r="AG52" s="166">
        <f>VLOOKUP($BA52,Final_Figures_Last_Year,VLOOKUP('Background Data'!$C$2,Inst_Tables,16,FALSE),FALSE)</f>
        <v>0</v>
      </c>
      <c r="AH52" s="609">
        <f>SUM(AF52:AG52)</f>
        <v>21</v>
      </c>
      <c r="AI52" s="614"/>
      <c r="AJ52" s="593">
        <f>IF(AF52&gt;0,(G52-AF52)/AF52,"")</f>
        <v>9.5238095238095233E-2</v>
      </c>
      <c r="AK52" s="167" t="str">
        <f>IF(AG52&gt;0,(J52-AG52)/AG52,"")</f>
        <v/>
      </c>
      <c r="AL52" s="593">
        <f>IF(AH52&gt;0,(M52-AH52)/AH52,"")</f>
        <v>9.5238095238095233E-2</v>
      </c>
      <c r="AM52" s="181"/>
      <c r="AN52" s="832"/>
      <c r="AO52" s="2254"/>
      <c r="AP52" s="2205"/>
      <c r="AQ52" s="2205"/>
      <c r="AR52" s="2205"/>
      <c r="AS52" s="2205"/>
      <c r="AT52" s="2205"/>
      <c r="AU52" s="2205"/>
      <c r="AV52" s="2205"/>
      <c r="AW52" s="2205"/>
      <c r="AX52" s="2205"/>
      <c r="AY52" s="2239"/>
      <c r="BA52" s="629">
        <v>21</v>
      </c>
    </row>
    <row r="53" spans="1:53" ht="30" customHeight="1">
      <c r="A53" s="365"/>
      <c r="B53" s="156" t="s">
        <v>272</v>
      </c>
      <c r="C53" s="196"/>
      <c r="D53" s="158">
        <v>4910.4300000000103</v>
      </c>
      <c r="E53" s="157"/>
      <c r="F53" s="844">
        <f>SUM(D53:E53)</f>
        <v>4910.4300000000103</v>
      </c>
      <c r="G53" s="835">
        <f>SUM(C53,F53)</f>
        <v>4910.4300000000103</v>
      </c>
      <c r="H53" s="158">
        <v>9.077</v>
      </c>
      <c r="I53" s="157"/>
      <c r="J53" s="182">
        <f>SUM(H53:I53)</f>
        <v>9.077</v>
      </c>
      <c r="K53" s="159">
        <f>SUM(C53,D53,H53)</f>
        <v>4919.5070000000105</v>
      </c>
      <c r="L53" s="128">
        <f>SUM(E53,I53)</f>
        <v>0</v>
      </c>
      <c r="M53" s="160">
        <f>SUM(K53:L53)</f>
        <v>4919.5070000000105</v>
      </c>
      <c r="N53" s="88"/>
      <c r="O53" s="147"/>
      <c r="P53" s="96"/>
      <c r="Q53" s="148"/>
      <c r="R53" s="88"/>
      <c r="S53" s="133"/>
      <c r="T53" s="372"/>
      <c r="U53" s="588"/>
      <c r="V53" s="161">
        <f>VLOOKUP($BA53,Early_Stats_Last_Year,VLOOKUP('Background Data'!$C$2,Inst_Tables,15,FALSE),FALSE)</f>
        <v>4942.1840000000002</v>
      </c>
      <c r="W53" s="162">
        <f>VLOOKUP($BA53,Early_Stats_Last_Year,VLOOKUP('Background Data'!$C$2,Inst_Tables,16,FALSE),FALSE)</f>
        <v>10.92</v>
      </c>
      <c r="X53" s="592">
        <f>SUM(V53:W53)</f>
        <v>4953.1040000000003</v>
      </c>
      <c r="Y53" s="513"/>
      <c r="Z53" s="163">
        <f>IF(V53&gt;0,(G53-V53)/V53,"")</f>
        <v>-6.4250946545069748E-3</v>
      </c>
      <c r="AA53" s="164">
        <f>IF(W53&gt;0,(J53-W53)/W53,"")</f>
        <v>-0.16877289377289378</v>
      </c>
      <c r="AB53" s="496">
        <f>IF(X53&gt;0,(M53-X53)/X53,"")</f>
        <v>-6.7830192945655381E-3</v>
      </c>
      <c r="AC53" s="498"/>
      <c r="AD53" s="374"/>
      <c r="AE53" s="98"/>
      <c r="AF53" s="165">
        <f>VLOOKUP($BA53,Final_Figures_Last_Year,VLOOKUP('Background Data'!$C$2,Inst_Tables,15,FALSE),FALSE)</f>
        <v>4890.0880000000107</v>
      </c>
      <c r="AG53" s="166">
        <f>VLOOKUP($BA53,Final_Figures_Last_Year,VLOOKUP('Background Data'!$C$2,Inst_Tables,16,FALSE),FALSE)</f>
        <v>10.566500000000003</v>
      </c>
      <c r="AH53" s="609">
        <f>SUM(AF53:AG53)</f>
        <v>4900.6545000000106</v>
      </c>
      <c r="AI53" s="614"/>
      <c r="AJ53" s="593">
        <f>IF(AF53&gt;0,(G53-AF53)/AF53,"")</f>
        <v>4.159843340242466E-3</v>
      </c>
      <c r="AK53" s="167">
        <f>IF(AG53&gt;0,(J53-AG53)/AG53,"")</f>
        <v>-0.14096436852316307</v>
      </c>
      <c r="AL53" s="593">
        <f>IF(AH53&gt;0,(M53-AH53)/AH53,"")</f>
        <v>3.846935138969687E-3</v>
      </c>
      <c r="AM53" s="181"/>
      <c r="AN53" s="584"/>
      <c r="AO53" s="2254"/>
      <c r="AP53" s="2205"/>
      <c r="AQ53" s="2205"/>
      <c r="AR53" s="2205"/>
      <c r="AS53" s="2205"/>
      <c r="AT53" s="2205"/>
      <c r="AU53" s="2205"/>
      <c r="AV53" s="2205"/>
      <c r="AW53" s="2205"/>
      <c r="AX53" s="2205"/>
      <c r="AY53" s="2239"/>
      <c r="BA53" s="628">
        <v>22</v>
      </c>
    </row>
    <row r="54" spans="1:53" ht="30" customHeight="1">
      <c r="A54" s="365"/>
      <c r="B54" s="156" t="s">
        <v>138</v>
      </c>
      <c r="C54" s="196">
        <v>1</v>
      </c>
      <c r="D54" s="158">
        <v>6430.27</v>
      </c>
      <c r="E54" s="157"/>
      <c r="F54" s="844">
        <f>SUM(D54:E54)</f>
        <v>6430.27</v>
      </c>
      <c r="G54" s="835">
        <f>SUM(C54,F54)</f>
        <v>6431.27</v>
      </c>
      <c r="H54" s="158">
        <v>208.01300000000001</v>
      </c>
      <c r="I54" s="157">
        <v>15.8</v>
      </c>
      <c r="J54" s="182">
        <f>SUM(H54:I54)</f>
        <v>223.81300000000002</v>
      </c>
      <c r="K54" s="159">
        <f>SUM(C54,D54,H54)</f>
        <v>6639.2830000000004</v>
      </c>
      <c r="L54" s="128">
        <f>SUM(E54,I54)</f>
        <v>15.8</v>
      </c>
      <c r="M54" s="160">
        <f>SUM(K54:L54)</f>
        <v>6655.0830000000005</v>
      </c>
      <c r="N54" s="88"/>
      <c r="O54" s="147"/>
      <c r="P54" s="96"/>
      <c r="Q54" s="148"/>
      <c r="R54" s="88"/>
      <c r="S54" s="133"/>
      <c r="T54" s="372"/>
      <c r="U54" s="588"/>
      <c r="V54" s="161">
        <f>VLOOKUP($BA54,Early_Stats_Last_Year,VLOOKUP('Background Data'!$C$2,Inst_Tables,15,FALSE),FALSE)</f>
        <v>6290.7160000000003</v>
      </c>
      <c r="W54" s="162">
        <f>VLOOKUP($BA54,Early_Stats_Last_Year,VLOOKUP('Background Data'!$C$2,Inst_Tables,16,FALSE),FALSE)</f>
        <v>217.011</v>
      </c>
      <c r="X54" s="592">
        <f>SUM(V54:W54)</f>
        <v>6507.7270000000008</v>
      </c>
      <c r="Y54" s="513"/>
      <c r="Z54" s="163">
        <f>IF(V54&gt;0,(G54-V54)/V54,"")</f>
        <v>2.2343084634563075E-2</v>
      </c>
      <c r="AA54" s="164">
        <f>IF(W54&gt;0,(J54-W54)/W54,"")</f>
        <v>3.1344033251770743E-2</v>
      </c>
      <c r="AB54" s="496">
        <f>IF(X54&gt;0,(M54-X54)/X54,"")</f>
        <v>2.2643236263598602E-2</v>
      </c>
      <c r="AC54" s="498"/>
      <c r="AD54" s="374"/>
      <c r="AE54" s="98"/>
      <c r="AF54" s="165">
        <f>VLOOKUP($BA54,Final_Figures_Last_Year,VLOOKUP('Background Data'!$C$2,Inst_Tables,15,FALSE),FALSE)</f>
        <v>6280.3119999999954</v>
      </c>
      <c r="AG54" s="166">
        <f>VLOOKUP($BA54,Final_Figures_Last_Year,VLOOKUP('Background Data'!$C$2,Inst_Tables,16,FALSE),FALSE)</f>
        <v>227.69750000000025</v>
      </c>
      <c r="AH54" s="609">
        <f>SUM(AF54:AG54)</f>
        <v>6508.0094999999956</v>
      </c>
      <c r="AI54" s="614"/>
      <c r="AJ54" s="593">
        <f>IF(AF54&gt;0,(G54-AF54)/AF54,"")</f>
        <v>2.4036703908978597E-2</v>
      </c>
      <c r="AK54" s="167">
        <f>IF(AG54&gt;0,(J54-AG54)/AG54,"")</f>
        <v>-1.70599150188308E-2</v>
      </c>
      <c r="AL54" s="593">
        <f>IF(AH54&gt;0,(M54-AH54)/AH54,"")</f>
        <v>2.2598845315146679E-2</v>
      </c>
      <c r="AM54" s="181"/>
      <c r="AN54" s="584"/>
      <c r="AO54" s="2254"/>
      <c r="AP54" s="2205"/>
      <c r="AQ54" s="2205"/>
      <c r="AR54" s="2205"/>
      <c r="AS54" s="2205"/>
      <c r="AT54" s="2205"/>
      <c r="AU54" s="2205"/>
      <c r="AV54" s="2205"/>
      <c r="AW54" s="2205"/>
      <c r="AX54" s="2205"/>
      <c r="AY54" s="2239"/>
      <c r="BA54" s="628">
        <v>23</v>
      </c>
    </row>
    <row r="55" spans="1:53" ht="35.1" customHeight="1" thickBot="1">
      <c r="A55" s="365"/>
      <c r="B55" s="203" t="s">
        <v>2</v>
      </c>
      <c r="C55" s="966">
        <f>SUM(C35:C36,C53:C54)</f>
        <v>2</v>
      </c>
      <c r="D55" s="967">
        <f t="shared" ref="D55:M55" si="39">SUM(D35:D39,D41:D47,D49:D50,D52:D54)</f>
        <v>13302.700000000012</v>
      </c>
      <c r="E55" s="968">
        <f t="shared" si="39"/>
        <v>0</v>
      </c>
      <c r="F55" s="969">
        <f t="shared" si="39"/>
        <v>13302.700000000012</v>
      </c>
      <c r="G55" s="970">
        <f t="shared" si="39"/>
        <v>13304.700000000012</v>
      </c>
      <c r="H55" s="966">
        <f t="shared" si="39"/>
        <v>219.71700000000001</v>
      </c>
      <c r="I55" s="971">
        <f t="shared" si="39"/>
        <v>15.8</v>
      </c>
      <c r="J55" s="972">
        <f t="shared" si="39"/>
        <v>235.51700000000002</v>
      </c>
      <c r="K55" s="966">
        <f t="shared" si="39"/>
        <v>13524.417000000012</v>
      </c>
      <c r="L55" s="971">
        <f t="shared" si="39"/>
        <v>15.8</v>
      </c>
      <c r="M55" s="969">
        <f t="shared" si="39"/>
        <v>13540.217000000011</v>
      </c>
      <c r="N55" s="88"/>
      <c r="O55" s="172"/>
      <c r="P55" s="173"/>
      <c r="Q55" s="174"/>
      <c r="R55" s="88"/>
      <c r="S55" s="175"/>
      <c r="T55" s="372"/>
      <c r="U55" s="588"/>
      <c r="V55" s="204">
        <f>SUM(V35:V39,V41:V47,V49:V50,V52:V54)</f>
        <v>13152.900000000001</v>
      </c>
      <c r="W55" s="176">
        <f>SUM(W35:W39,W41:W47,W49:W50,W52:W54)</f>
        <v>234.32400000000001</v>
      </c>
      <c r="X55" s="176">
        <f>SUM(X35:X39,X41:X47,X49:X50,X52:X54)</f>
        <v>13387.224000000002</v>
      </c>
      <c r="Y55" s="493"/>
      <c r="Z55" s="177">
        <f>IF(V55&gt;0,(G55-V55)/V55,"")</f>
        <v>1.1541181032320642E-2</v>
      </c>
      <c r="AA55" s="178">
        <f>IF(W55&gt;0,(J55-W55)/W55,"")</f>
        <v>5.0912411874157659E-3</v>
      </c>
      <c r="AB55" s="497">
        <f>IF(X55&gt;0,(M55-X55)/X55,"")</f>
        <v>1.1428284161078463E-2</v>
      </c>
      <c r="AC55" s="499"/>
      <c r="AD55" s="374"/>
      <c r="AE55" s="98"/>
      <c r="AF55" s="922">
        <f>SUM(AF35:AF39,AF41:AF47,AF49:AF50,AF52:AF54)</f>
        <v>13081.400000000005</v>
      </c>
      <c r="AG55" s="923">
        <f>SUM(AG35:AG39,AG41:AG47,AG49:AG50,AG52:AG54)</f>
        <v>242.22700000000026</v>
      </c>
      <c r="AH55" s="923">
        <f t="shared" ref="AH55" si="40">SUM(AH35:AH39,AH41:AH47,AH49:AH50,AH52:AH54)</f>
        <v>13323.627000000006</v>
      </c>
      <c r="AI55" s="614"/>
      <c r="AJ55" s="603">
        <f>IF(AF55&gt;0,(G55-AF55)/AF55,"")</f>
        <v>1.7070038375097962E-2</v>
      </c>
      <c r="AK55" s="192">
        <f>IF(AG55&gt;0,(J55-AG55)/AG55,"")</f>
        <v>-2.7701288460824879E-2</v>
      </c>
      <c r="AL55" s="603">
        <f>IF(AH55&gt;0,(M55-AH55)/AH55,"")</f>
        <v>1.6256084022766886E-2</v>
      </c>
      <c r="AM55" s="181"/>
      <c r="AN55" s="584"/>
      <c r="AO55" s="2254"/>
      <c r="AP55" s="2205"/>
      <c r="AQ55" s="2205"/>
      <c r="AR55" s="2205"/>
      <c r="AS55" s="2205"/>
      <c r="AT55" s="2205"/>
      <c r="AU55" s="2205"/>
      <c r="AV55" s="2205"/>
      <c r="AW55" s="2205"/>
      <c r="AX55" s="2205"/>
      <c r="AY55" s="2239"/>
      <c r="BA55" s="630"/>
    </row>
    <row r="56" spans="1:53" ht="35.1" customHeight="1" thickBot="1">
      <c r="A56" s="365"/>
      <c r="B56" s="123" t="s">
        <v>81</v>
      </c>
      <c r="C56" s="901">
        <f>SUM(C18,C31,C55)</f>
        <v>2</v>
      </c>
      <c r="D56" s="206">
        <f t="shared" ref="D56:M56" si="41">SUM(D13,D18,D31,D55)</f>
        <v>16287.700000000012</v>
      </c>
      <c r="E56" s="205">
        <f t="shared" si="41"/>
        <v>60</v>
      </c>
      <c r="F56" s="129">
        <f t="shared" si="41"/>
        <v>16347.700000000012</v>
      </c>
      <c r="G56" s="836">
        <f t="shared" si="41"/>
        <v>16764.700000000012</v>
      </c>
      <c r="H56" s="206">
        <f t="shared" si="41"/>
        <v>795.01533499999994</v>
      </c>
      <c r="I56" s="207">
        <f t="shared" si="41"/>
        <v>78.599999999999994</v>
      </c>
      <c r="J56" s="205">
        <f t="shared" si="41"/>
        <v>873.61533500000007</v>
      </c>
      <c r="K56" s="208">
        <f t="shared" si="41"/>
        <v>17084.715335000012</v>
      </c>
      <c r="L56" s="207">
        <f t="shared" si="41"/>
        <v>138.6</v>
      </c>
      <c r="M56" s="129">
        <f t="shared" si="41"/>
        <v>17223.315335000014</v>
      </c>
      <c r="N56" s="88"/>
      <c r="O56" s="208">
        <f t="shared" ref="O56:P56" si="42">SUM(O16,O24,O28:O29,O35:O39,O41:O47,O49:O50)</f>
        <v>376</v>
      </c>
      <c r="P56" s="207">
        <f t="shared" si="42"/>
        <v>1</v>
      </c>
      <c r="Q56" s="129">
        <f>SUM(Q16,Q24,Q28:Q29,Q35:Q39,Q41:Q47,Q49:Q50)</f>
        <v>377</v>
      </c>
      <c r="R56" s="88"/>
      <c r="S56" s="901">
        <f>SUM(S16,S24,S28:S29,S35:S39,S41:S47,S49:S50)</f>
        <v>2796.127</v>
      </c>
      <c r="T56" s="372"/>
      <c r="U56" s="588"/>
      <c r="V56" s="209">
        <f>VLOOKUP($BA56,Early_Stats_Last_Year,VLOOKUP('Background Data'!$C$2,Inst_Tables,15,FALSE),FALSE)</f>
        <v>16086.900000000001</v>
      </c>
      <c r="W56" s="210">
        <f>VLOOKUP($BA56,Early_Stats_Last_Year,VLOOKUP('Background Data'!$C$2,Inst_Tables,16,FALSE),FALSE)</f>
        <v>916.27400000000011</v>
      </c>
      <c r="X56" s="210">
        <f>SUM(V56:W56)</f>
        <v>17003.174000000003</v>
      </c>
      <c r="Y56" s="493">
        <f>VLOOKUP($BA56,Early_Stats_Last_Year,VLOOKUP('Background Data'!$C$2,Inst_Tables,17,FALSE),FALSE)</f>
        <v>384</v>
      </c>
      <c r="Z56" s="177">
        <f>IF(V56&gt;0,(G56-V56)/V56,"")</f>
        <v>4.2133661550703375E-2</v>
      </c>
      <c r="AA56" s="178">
        <f>IF(W56&gt;0,(J56-W56)/W56,"")</f>
        <v>-4.6556668638420423E-2</v>
      </c>
      <c r="AB56" s="497">
        <f>IF(X56&gt;0,(M56-X56)/X56,"")</f>
        <v>1.2947072999430055E-2</v>
      </c>
      <c r="AC56" s="516"/>
      <c r="AD56" s="374"/>
      <c r="AE56" s="98"/>
      <c r="AF56" s="211">
        <f>VLOOKUP($BA56,Final_Figures_Last_Year,VLOOKUP('Background Data'!$C$2,Inst_Tables,15,FALSE),FALSE)</f>
        <v>15990.400000000005</v>
      </c>
      <c r="AG56" s="212">
        <f>VLOOKUP($BA56,Final_Figures_Last_Year,VLOOKUP('Background Data'!$C$2,Inst_Tables,16,FALSE),FALSE)</f>
        <v>937.7031089999989</v>
      </c>
      <c r="AH56" s="606">
        <f>SUM(AF56:AG56)</f>
        <v>16928.103109000003</v>
      </c>
      <c r="AI56" s="138">
        <f>SUM(AI16,AI22:AI29,AI35:AI37,AI39,AI41:AI47,AI49:AI50)</f>
        <v>372</v>
      </c>
      <c r="AJ56" s="924">
        <f>IF(AF56&gt;0,(G56-AF56)/AF56,"")</f>
        <v>4.842280368220972E-2</v>
      </c>
      <c r="AK56" s="925">
        <f>IF(AG56&gt;0,(J56-AG56)/AG56,"")</f>
        <v>-6.8345485244625442E-2</v>
      </c>
      <c r="AL56" s="924">
        <f>IF(AH56&gt;0,(M56-AH56)/AH56,"")</f>
        <v>1.7439179339772445E-2</v>
      </c>
      <c r="AM56" s="618"/>
      <c r="AN56" s="584"/>
      <c r="AO56" s="2254"/>
      <c r="AP56" s="2205"/>
      <c r="AQ56" s="2205"/>
      <c r="AR56" s="2205"/>
      <c r="AS56" s="2205"/>
      <c r="AT56" s="2205"/>
      <c r="AU56" s="2205"/>
      <c r="AV56" s="2205"/>
      <c r="AW56" s="2205"/>
      <c r="AX56" s="2205"/>
      <c r="AY56" s="2239"/>
      <c r="BA56" s="628">
        <v>24</v>
      </c>
    </row>
    <row r="57" spans="1:53" ht="24.95" customHeight="1">
      <c r="A57" s="597"/>
      <c r="B57" s="470"/>
      <c r="C57" s="470" t="s">
        <v>529</v>
      </c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372"/>
      <c r="U57" s="588"/>
      <c r="V57" s="216" t="s">
        <v>533</v>
      </c>
      <c r="W57" s="512"/>
      <c r="X57" s="214"/>
      <c r="Y57" s="214"/>
      <c r="Z57" s="213"/>
      <c r="AA57" s="213"/>
      <c r="AB57" s="213"/>
      <c r="AC57" s="213"/>
      <c r="AD57" s="374"/>
      <c r="AE57" s="98"/>
      <c r="AF57" s="98" t="s">
        <v>533</v>
      </c>
      <c r="AG57" s="215"/>
      <c r="AH57" s="215"/>
      <c r="AI57" s="215"/>
      <c r="AJ57" s="98"/>
      <c r="AK57" s="98"/>
      <c r="AL57" s="98"/>
      <c r="AM57" s="98"/>
      <c r="AN57" s="584"/>
      <c r="AO57" s="2254"/>
      <c r="AP57" s="2205"/>
      <c r="AQ57" s="2205"/>
      <c r="AR57" s="2205"/>
      <c r="AS57" s="2205"/>
      <c r="AT57" s="2205"/>
      <c r="AU57" s="2205"/>
      <c r="AV57" s="2205"/>
      <c r="AW57" s="2205"/>
      <c r="AX57" s="2205"/>
      <c r="AY57" s="2239"/>
      <c r="BA57" s="1272"/>
    </row>
    <row r="58" spans="1:53" ht="21.95" customHeight="1">
      <c r="A58" s="597"/>
      <c r="B58" s="470"/>
      <c r="C58" s="470" t="s">
        <v>528</v>
      </c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372"/>
      <c r="U58" s="588"/>
      <c r="V58" s="216" t="s">
        <v>531</v>
      </c>
      <c r="W58" s="214"/>
      <c r="X58" s="214"/>
      <c r="Y58" s="214"/>
      <c r="Z58" s="213"/>
      <c r="AA58" s="213"/>
      <c r="AB58" s="213"/>
      <c r="AC58" s="213"/>
      <c r="AD58" s="374"/>
      <c r="AE58" s="98"/>
      <c r="AF58" s="98" t="s">
        <v>531</v>
      </c>
      <c r="AG58" s="215"/>
      <c r="AH58" s="215"/>
      <c r="AI58" s="215"/>
      <c r="AJ58" s="98"/>
      <c r="AK58" s="98"/>
      <c r="AL58" s="98"/>
      <c r="AM58" s="98"/>
      <c r="AN58" s="584"/>
      <c r="AO58" s="2254"/>
      <c r="AP58" s="2205"/>
      <c r="AQ58" s="2205"/>
      <c r="AR58" s="2205"/>
      <c r="AS58" s="2205"/>
      <c r="AT58" s="2205"/>
      <c r="AU58" s="2205"/>
      <c r="AV58" s="2205"/>
      <c r="AW58" s="2205"/>
      <c r="AX58" s="2205"/>
      <c r="AY58" s="2239"/>
      <c r="BA58" s="1272"/>
    </row>
    <row r="59" spans="1:53" ht="21.95" customHeight="1">
      <c r="A59" s="597"/>
      <c r="B59" s="471"/>
      <c r="C59" s="471" t="s">
        <v>82</v>
      </c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372"/>
      <c r="U59" s="588"/>
      <c r="V59" s="214" t="s">
        <v>532</v>
      </c>
      <c r="W59" s="2164"/>
      <c r="X59" s="2164"/>
      <c r="Y59" s="2164"/>
      <c r="Z59" s="2164"/>
      <c r="AA59" s="2164"/>
      <c r="AB59" s="2164"/>
      <c r="AC59" s="2164"/>
      <c r="AD59" s="2165"/>
      <c r="AE59" s="2166"/>
      <c r="AF59" s="98" t="s">
        <v>532</v>
      </c>
      <c r="AG59" s="2166"/>
      <c r="AH59" s="2166"/>
      <c r="AI59" s="2166"/>
      <c r="AJ59" s="98"/>
      <c r="AK59" s="98"/>
      <c r="AL59" s="98"/>
      <c r="AM59" s="98"/>
      <c r="AN59" s="584"/>
      <c r="AO59" s="2254"/>
      <c r="AP59" s="2205"/>
      <c r="AQ59" s="2205"/>
      <c r="AR59" s="2205"/>
      <c r="AS59" s="2205"/>
      <c r="AT59" s="2205"/>
      <c r="AU59" s="2205"/>
      <c r="AV59" s="2205"/>
      <c r="AW59" s="2205"/>
      <c r="AX59" s="2205"/>
      <c r="AY59" s="2239"/>
      <c r="BA59" s="1272"/>
    </row>
    <row r="60" spans="1:53">
      <c r="A60" s="369"/>
      <c r="B60" s="2167"/>
      <c r="C60" s="2167"/>
      <c r="D60" s="2167"/>
      <c r="E60" s="2167"/>
      <c r="F60" s="2167"/>
      <c r="G60" s="2167"/>
      <c r="H60" s="2167"/>
      <c r="I60" s="2167"/>
      <c r="J60" s="2167"/>
      <c r="K60" s="2167"/>
      <c r="L60" s="2167"/>
      <c r="M60" s="2167"/>
      <c r="N60" s="2167"/>
      <c r="O60" s="2167"/>
      <c r="P60" s="2167"/>
      <c r="Q60" s="2167"/>
      <c r="R60" s="2167"/>
      <c r="S60" s="2167"/>
      <c r="T60" s="375"/>
      <c r="U60" s="376"/>
      <c r="V60" s="2155"/>
      <c r="W60" s="2155"/>
      <c r="X60" s="2155"/>
      <c r="Y60" s="2155"/>
      <c r="Z60" s="2155"/>
      <c r="AA60" s="2155"/>
      <c r="AB60" s="2155"/>
      <c r="AC60" s="2155"/>
      <c r="AD60" s="377"/>
      <c r="AE60" s="2161"/>
      <c r="AF60" s="2161"/>
      <c r="AG60" s="2161"/>
      <c r="AH60" s="2161"/>
      <c r="AI60" s="2161"/>
      <c r="AJ60" s="2161"/>
      <c r="AK60" s="2161"/>
      <c r="AL60" s="2161"/>
      <c r="AM60" s="2161"/>
      <c r="AN60" s="598"/>
      <c r="AO60" s="2263"/>
      <c r="AP60" s="2264"/>
      <c r="AQ60" s="2264"/>
      <c r="AR60" s="2264"/>
      <c r="AS60" s="2264"/>
      <c r="AT60" s="2264"/>
      <c r="AU60" s="2264"/>
      <c r="AV60" s="2264"/>
      <c r="AW60" s="2264"/>
      <c r="AX60" s="2264"/>
      <c r="AY60" s="2265"/>
    </row>
  </sheetData>
  <sheetProtection password="E23E" sheet="1" objects="1" scenarios="1"/>
  <mergeCells count="38">
    <mergeCell ref="C6:M6"/>
    <mergeCell ref="O6:Q7"/>
    <mergeCell ref="K7:M7"/>
    <mergeCell ref="Y6:Y9"/>
    <mergeCell ref="Z6:AC6"/>
    <mergeCell ref="Z8:Z9"/>
    <mergeCell ref="AA8:AA9"/>
    <mergeCell ref="Z7:AB7"/>
    <mergeCell ref="AC7:AC9"/>
    <mergeCell ref="AQ6:AS6"/>
    <mergeCell ref="AT6:AT9"/>
    <mergeCell ref="AU6:AX6"/>
    <mergeCell ref="AQ7:AQ9"/>
    <mergeCell ref="AR7:AR9"/>
    <mergeCell ref="AU7:AU9"/>
    <mergeCell ref="AV7:AV9"/>
    <mergeCell ref="AX7:AX9"/>
    <mergeCell ref="AJ7:AJ9"/>
    <mergeCell ref="AK7:AK9"/>
    <mergeCell ref="AI6:AI9"/>
    <mergeCell ref="AM7:AM9"/>
    <mergeCell ref="AJ6:AM6"/>
    <mergeCell ref="BA6:BB7"/>
    <mergeCell ref="BA8:BA9"/>
    <mergeCell ref="C3:E3"/>
    <mergeCell ref="V7:V9"/>
    <mergeCell ref="W7:W9"/>
    <mergeCell ref="V6:X6"/>
    <mergeCell ref="S6:S9"/>
    <mergeCell ref="C7:G7"/>
    <mergeCell ref="H7:J7"/>
    <mergeCell ref="K8:K9"/>
    <mergeCell ref="O8:O9"/>
    <mergeCell ref="D8:F8"/>
    <mergeCell ref="H8:H9"/>
    <mergeCell ref="AF6:AH6"/>
    <mergeCell ref="AF7:AF9"/>
    <mergeCell ref="AG7:AG9"/>
  </mergeCells>
  <dataValidations count="3">
    <dataValidation allowBlank="1" sqref="B6 G1:G3 H10:H12 V1:V4 B9 O1:Q3 R7:R12 R1:R4 P4:Q5 G4:J4 I1:J3 D8 K1:L4 K10:K12 B13:B56 H56:M56 R5:T6 T1:T4 O4:O6 AC7 V6:V7 O8 P8:Q11 Z6:Z8 Z5:AC5 AA8:AB8 H7:H8 AF4 K7:K8 AK7:AL7 AG58:AG59 AF6:AF7 AJ6:AJ7 AF5:AL5 L8:N12 O12:Q12 O10:O11 AG7:AH7 BA10:BA12 G5:N5 W7:X7 BB31:BB56 AS10:AW12 AM4:AM5 H48:I48 O48:P48 S10:S39 O40:P40 H40:I40 O17:P21 H18:I21 O30:P34 O13:P15 H14:I15 I8:I12 D9:F12 H51:I51 C6:C8 C10:C16 D14:F15 D18:F21 AO14:AY39 D40:F40 D48:F48 D51:F51 H55:I55 C55:F56 AI59 D25:F25 J8:J21 K13:M23 H25:M25 K26:M27 T7:T39 U1:U39 J32:M55 O51:P56 C18:C29 O25:P25 Q13:R39 C31:F34 N13:N56 G8:G56 C37:C52 H31:M31 H32:I34 J29:M30 AD4:AE39 AF10:AL39 V10:AC39 W57:W58 V59 BJ1:EL3 AM7:AN39 AN4:AN6 AP4:AQ4 AV7:AW7 AQ6:AQ7 AU6:AU7 AQ5:AW5 AR7:AS7 AX4:AX5 BB28 AP5:AP13 AN2:BI3 AS13:AX13 AZ7:AZ39 Q40:AZ56 AO4:AO13 AQ10:AR13 AY7:AY13 AX7:AX12 BB4:BB5 BC7:EJ56 AY4:BA6 BC4:EI6 BB10:BB16 BB19 BB22:BB25 AG57:AI57 AF59"/>
    <dataValidation type="whole" operator="greaterThanOrEqual" allowBlank="1" showInputMessage="1" showErrorMessage="1" errorTitle="ERROR!" error="Invalid Entry" sqref="F49:F50 F52:F54 F35:F39 F13 F16:F17 F26:F30 F22:F24 M24 J22:J24 M28 J26:J28 F41:F47">
      <formula1>0</formula1>
    </dataValidation>
    <dataValidation type="decimal" operator="greaterThanOrEqual" allowBlank="1" showInputMessage="1" showErrorMessage="1" errorTitle="ERROR!" error="Invalid Entry" sqref="D13:E13 H13:I13 D16:E16 H16:I17 O16:P16 C17:E17 C53:E54 O49:P50 C30 C35:C36 O26:P29 D49:E50 H49:I50 D52:E52 H52:I54 D35:E39 O35:P39 H35:I39 D22:E24 K24:L24 H22:I24 K28:L28 H26:I30 D26:E30 O22:P24 O41:P47 D41:E47 H41:I47">
      <formula1>0</formula1>
    </dataValidation>
  </dataValidations>
  <pageMargins left="0.19685039370078741" right="0.19685039370078741" top="0.19685039370078741" bottom="0.39370078740157483" header="0" footer="0"/>
  <pageSetup paperSize="8" scale="35" orientation="landscape" r:id="rId1"/>
  <headerFooter alignWithMargins="0"/>
  <rowBreaks count="1" manualBreakCount="1">
    <brk id="31" min="1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zoomScale="90" zoomScaleNormal="90" workbookViewId="0"/>
  </sheetViews>
  <sheetFormatPr defaultColWidth="10.7109375" defaultRowHeight="18.95" customHeight="1"/>
  <cols>
    <col min="1" max="1" width="2.7109375" style="631" customWidth="1"/>
    <col min="2" max="2" width="52.42578125" style="631" customWidth="1"/>
    <col min="3" max="5" width="12.7109375" style="641" customWidth="1"/>
    <col min="6" max="6" width="13.7109375" style="641" customWidth="1"/>
    <col min="7" max="7" width="12.7109375" style="641" customWidth="1"/>
    <col min="8" max="10" width="12.7109375" style="631" customWidth="1"/>
    <col min="11" max="11" width="25.7109375" style="631" customWidth="1"/>
    <col min="12" max="16384" width="10.7109375" style="631"/>
  </cols>
  <sheetData>
    <row r="1" spans="1:12" ht="30" customHeight="1">
      <c r="A1" s="2401"/>
      <c r="B1" s="575" t="s">
        <v>309</v>
      </c>
      <c r="C1" s="2402"/>
      <c r="D1" s="2402"/>
      <c r="E1" s="2402"/>
      <c r="F1" s="2402"/>
      <c r="G1" s="2402"/>
      <c r="H1" s="2403"/>
      <c r="I1" s="2403"/>
      <c r="J1" s="2403"/>
      <c r="K1" s="2404"/>
      <c r="L1" s="228"/>
    </row>
    <row r="2" spans="1:12" ht="9.9499999999999993" customHeight="1" thickBot="1">
      <c r="A2" s="1628"/>
      <c r="B2" s="337"/>
      <c r="C2" s="449"/>
      <c r="D2" s="449"/>
      <c r="E2" s="449"/>
      <c r="F2" s="449"/>
      <c r="G2" s="449"/>
      <c r="H2" s="229"/>
      <c r="I2" s="229"/>
      <c r="J2" s="229"/>
      <c r="K2" s="2405"/>
      <c r="L2" s="228"/>
    </row>
    <row r="3" spans="1:12" ht="30" customHeight="1" thickBot="1">
      <c r="A3" s="1628"/>
      <c r="B3" s="412" t="s">
        <v>0</v>
      </c>
      <c r="C3" s="2567" t="str">
        <f>VLOOKUP('Background Data'!$C$2,Inst_Tables,2,FALSE)</f>
        <v>Glasgow, University of</v>
      </c>
      <c r="D3" s="2568"/>
      <c r="E3" s="2569"/>
      <c r="F3" s="258"/>
      <c r="G3" s="449"/>
      <c r="H3" s="229"/>
      <c r="I3" s="229"/>
      <c r="J3" s="229"/>
      <c r="K3" s="2405"/>
      <c r="L3" s="228"/>
    </row>
    <row r="4" spans="1:12" ht="35.1" customHeight="1">
      <c r="A4" s="1628"/>
      <c r="B4" s="245" t="s">
        <v>457</v>
      </c>
      <c r="C4" s="243"/>
      <c r="D4" s="243"/>
      <c r="E4" s="243"/>
      <c r="F4" s="243"/>
      <c r="G4" s="243"/>
      <c r="H4" s="244"/>
      <c r="I4" s="244"/>
      <c r="J4" s="244"/>
      <c r="K4" s="2405"/>
      <c r="L4" s="228"/>
    </row>
    <row r="5" spans="1:12" s="642" customFormat="1" ht="30" customHeight="1">
      <c r="A5" s="1820"/>
      <c r="B5" s="11" t="s">
        <v>508</v>
      </c>
      <c r="C5" s="243"/>
      <c r="D5" s="243"/>
      <c r="E5" s="243"/>
      <c r="F5" s="243"/>
      <c r="G5" s="243"/>
      <c r="H5" s="244"/>
      <c r="I5" s="244"/>
      <c r="J5" s="244"/>
      <c r="K5" s="2405"/>
      <c r="L5" s="2399"/>
    </row>
    <row r="6" spans="1:12" s="633" customFormat="1" ht="30" customHeight="1">
      <c r="A6" s="1821"/>
      <c r="B6" s="245" t="s">
        <v>452</v>
      </c>
      <c r="C6" s="246"/>
      <c r="D6" s="246"/>
      <c r="E6" s="246"/>
      <c r="F6" s="246"/>
      <c r="G6" s="246"/>
      <c r="H6" s="246"/>
      <c r="I6" s="246"/>
      <c r="J6" s="244"/>
      <c r="K6" s="2405"/>
      <c r="L6" s="1377"/>
    </row>
    <row r="7" spans="1:12" s="633" customFormat="1" ht="15" customHeight="1" thickBot="1">
      <c r="A7" s="1821"/>
      <c r="B7" s="247"/>
      <c r="C7" s="247"/>
      <c r="D7" s="247"/>
      <c r="E7" s="247"/>
      <c r="F7" s="247"/>
      <c r="G7" s="247"/>
      <c r="H7" s="247"/>
      <c r="I7" s="247"/>
      <c r="J7" s="244"/>
      <c r="K7" s="2405"/>
      <c r="L7" s="1377"/>
    </row>
    <row r="8" spans="1:12" ht="30" customHeight="1">
      <c r="A8" s="1628"/>
      <c r="B8" s="355"/>
      <c r="C8" s="2558" t="s">
        <v>324</v>
      </c>
      <c r="D8" s="2558"/>
      <c r="E8" s="2558"/>
      <c r="F8" s="2559" t="s">
        <v>509</v>
      </c>
      <c r="G8" s="2561" t="s">
        <v>85</v>
      </c>
      <c r="H8" s="2563"/>
      <c r="I8" s="2559" t="s">
        <v>418</v>
      </c>
      <c r="J8" s="244"/>
      <c r="K8" s="2405"/>
      <c r="L8" s="228"/>
    </row>
    <row r="9" spans="1:12" ht="65.099999999999994" customHeight="1">
      <c r="A9" s="1628"/>
      <c r="B9" s="1822" t="s">
        <v>108</v>
      </c>
      <c r="C9" s="1345" t="s">
        <v>419</v>
      </c>
      <c r="D9" s="2406" t="s">
        <v>420</v>
      </c>
      <c r="E9" s="1823" t="s">
        <v>2</v>
      </c>
      <c r="F9" s="2560"/>
      <c r="G9" s="1824"/>
      <c r="H9" s="2407"/>
      <c r="I9" s="2560"/>
      <c r="J9" s="244"/>
      <c r="K9" s="2405"/>
      <c r="L9" s="228"/>
    </row>
    <row r="10" spans="1:12" ht="30" customHeight="1">
      <c r="A10" s="1628"/>
      <c r="B10" s="1825"/>
      <c r="C10" s="1826" t="s">
        <v>17</v>
      </c>
      <c r="D10" s="2408" t="s">
        <v>17</v>
      </c>
      <c r="E10" s="1827" t="s">
        <v>17</v>
      </c>
      <c r="F10" s="1828" t="s">
        <v>17</v>
      </c>
      <c r="G10" s="1829" t="s">
        <v>17</v>
      </c>
      <c r="H10" s="2409" t="s">
        <v>86</v>
      </c>
      <c r="I10" s="2560"/>
      <c r="J10" s="244"/>
      <c r="K10" s="2405"/>
      <c r="L10" s="228"/>
    </row>
    <row r="11" spans="1:12" ht="30" customHeight="1">
      <c r="A11" s="1628"/>
      <c r="B11" s="1825"/>
      <c r="C11" s="817" t="s">
        <v>56</v>
      </c>
      <c r="D11" s="817" t="s">
        <v>56</v>
      </c>
      <c r="E11" s="2392" t="s">
        <v>56</v>
      </c>
      <c r="F11" s="447" t="s">
        <v>56</v>
      </c>
      <c r="G11" s="1830" t="s">
        <v>55</v>
      </c>
      <c r="H11" s="2393" t="s">
        <v>55</v>
      </c>
      <c r="I11" s="2393" t="s">
        <v>55</v>
      </c>
      <c r="J11" s="244"/>
      <c r="K11" s="2405"/>
      <c r="L11" s="228"/>
    </row>
    <row r="12" spans="1:12" ht="30" customHeight="1" thickBot="1">
      <c r="A12" s="1628"/>
      <c r="B12" s="1831"/>
      <c r="C12" s="533">
        <v>1</v>
      </c>
      <c r="D12" s="820">
        <v>2</v>
      </c>
      <c r="E12" s="818">
        <v>3</v>
      </c>
      <c r="F12" s="534">
        <v>4</v>
      </c>
      <c r="G12" s="1832">
        <v>5</v>
      </c>
      <c r="H12" s="1833">
        <v>6</v>
      </c>
      <c r="I12" s="535">
        <v>7</v>
      </c>
      <c r="J12" s="244"/>
      <c r="K12" s="2405"/>
      <c r="L12" s="228"/>
    </row>
    <row r="13" spans="1:12" ht="35.1" customHeight="1">
      <c r="A13" s="1628"/>
      <c r="B13" s="1834" t="s">
        <v>79</v>
      </c>
      <c r="C13" s="1835"/>
      <c r="D13" s="1836"/>
      <c r="E13" s="1837"/>
      <c r="F13" s="1838"/>
      <c r="G13" s="1839"/>
      <c r="H13" s="2410"/>
      <c r="I13" s="251"/>
      <c r="J13" s="244"/>
      <c r="K13" s="2405"/>
      <c r="L13" s="228"/>
    </row>
    <row r="14" spans="1:12" ht="24.95" customHeight="1">
      <c r="A14" s="1628"/>
      <c r="B14" s="1840" t="s">
        <v>32</v>
      </c>
      <c r="C14" s="1841">
        <f>VLOOKUP('Background Data'!$C$2,Inst_FPs,11,FALSE)</f>
        <v>494.1</v>
      </c>
      <c r="D14" s="1842">
        <f>VLOOKUP('Background Data'!$C$2,Inst_FPs,23,FALSE)</f>
        <v>81</v>
      </c>
      <c r="E14" s="1843">
        <f>SUM(C14:D14)</f>
        <v>575.1</v>
      </c>
      <c r="F14" s="1844">
        <f>'T1 Main Table'!$M35</f>
        <v>531</v>
      </c>
      <c r="G14" s="1845">
        <f>F14-E14</f>
        <v>-44.100000000000023</v>
      </c>
      <c r="H14" s="1846">
        <f>IF(E14&gt;0,G14/E14,"")</f>
        <v>-7.6682316118935875E-2</v>
      </c>
      <c r="I14" s="2411" t="str">
        <f>IF(H14&lt;&gt;"",IF(H14&lt;-Control_Under_Tolerance,"YES","NO"),"")</f>
        <v>YES</v>
      </c>
      <c r="J14" s="244"/>
      <c r="K14" s="2405"/>
      <c r="L14" s="228"/>
    </row>
    <row r="15" spans="1:12" ht="24.95" customHeight="1">
      <c r="A15" s="1628"/>
      <c r="B15" s="1840" t="s">
        <v>5</v>
      </c>
      <c r="C15" s="1841">
        <f>VLOOKUP('Background Data'!$C$2,Inst_FPs,12,FALSE)</f>
        <v>305.8</v>
      </c>
      <c r="D15" s="1842">
        <f>VLOOKUP('Background Data'!$C$2,Inst_FPs,24,FALSE)</f>
        <v>20</v>
      </c>
      <c r="E15" s="1843">
        <f>SUM(C15:D15)</f>
        <v>325.8</v>
      </c>
      <c r="F15" s="1844">
        <f>'T1 Main Table'!$M37</f>
        <v>359</v>
      </c>
      <c r="G15" s="1845">
        <f>F15-E15</f>
        <v>33.199999999999989</v>
      </c>
      <c r="H15" s="1846">
        <f>IF(E15&gt;0,G15/E15,"")</f>
        <v>0.10190300798035601</v>
      </c>
      <c r="I15" s="2411" t="str">
        <f>IF(H15&lt;&gt;"",IF(H15&lt;-Control_Under_Tolerance,"YES","NO"),"")</f>
        <v>NO</v>
      </c>
      <c r="J15" s="244"/>
      <c r="K15" s="2405"/>
      <c r="L15" s="228"/>
    </row>
    <row r="16" spans="1:12" ht="24.95" customHeight="1">
      <c r="A16" s="1628"/>
      <c r="B16" s="1840" t="s">
        <v>520</v>
      </c>
      <c r="C16" s="1847">
        <v>0</v>
      </c>
      <c r="D16" s="1842">
        <f>VLOOKUP('Background Data'!$C$2,Inst_FPs,25,FALSE)</f>
        <v>0</v>
      </c>
      <c r="E16" s="1848">
        <f>SUM(C16:D16)</f>
        <v>0</v>
      </c>
      <c r="F16" s="1844">
        <f>'T1 Main Table'!$M38</f>
        <v>0</v>
      </c>
      <c r="G16" s="1845">
        <f>F16-E16</f>
        <v>0</v>
      </c>
      <c r="H16" s="1846" t="str">
        <f>IF(E16&gt;0,G16/E16,"")</f>
        <v/>
      </c>
      <c r="I16" s="2397" t="s">
        <v>274</v>
      </c>
      <c r="J16" s="244"/>
      <c r="K16" s="2405"/>
      <c r="L16" s="228"/>
    </row>
    <row r="17" spans="1:12" ht="24.95" customHeight="1">
      <c r="A17" s="1628"/>
      <c r="B17" s="1840" t="s">
        <v>33</v>
      </c>
      <c r="C17" s="1841">
        <f>VLOOKUP('Background Data'!$C$2,Inst_FPs,13,FALSE)</f>
        <v>209.1</v>
      </c>
      <c r="D17" s="1842">
        <f>VLOOKUP('Background Data'!$C$2,Inst_FPs,27,FALSE)</f>
        <v>0</v>
      </c>
      <c r="E17" s="1843">
        <f>SUM(C17:D17)</f>
        <v>209.1</v>
      </c>
      <c r="F17" s="1844">
        <f>'T1 Main Table'!$M36</f>
        <v>200</v>
      </c>
      <c r="G17" s="1845">
        <f>F17-E17</f>
        <v>-9.0999999999999943</v>
      </c>
      <c r="H17" s="1846">
        <f>IF(E17&gt;0,G17/E17,"")</f>
        <v>-4.3519846963175485E-2</v>
      </c>
      <c r="I17" s="2411" t="str">
        <f>IF(H17&lt;&gt;"",IF(H17&lt;-Control_Under_Tolerance,"YES","NO"),"")</f>
        <v>YES</v>
      </c>
      <c r="J17" s="244"/>
      <c r="K17" s="2405"/>
      <c r="L17" s="228"/>
    </row>
    <row r="18" spans="1:12" ht="24.95" customHeight="1" thickBot="1">
      <c r="A18" s="1628"/>
      <c r="B18" s="1840" t="s">
        <v>6</v>
      </c>
      <c r="C18" s="1849">
        <f>VLOOKUP('Background Data'!$C$2,Inst_FPs,14,FALSE)</f>
        <v>53</v>
      </c>
      <c r="D18" s="1850">
        <v>0</v>
      </c>
      <c r="E18" s="1851">
        <f>SUM(C18:D18)</f>
        <v>53</v>
      </c>
      <c r="F18" s="1852">
        <f>'T1 Main Table'!$M39</f>
        <v>61</v>
      </c>
      <c r="G18" s="1853">
        <f>F18-E18</f>
        <v>8</v>
      </c>
      <c r="H18" s="2412">
        <f>IF(E18&gt;0,G18/E18,"")</f>
        <v>0.15094339622641509</v>
      </c>
      <c r="I18" s="1854" t="str">
        <f>IF(H18&lt;&gt;"",IF(H18&lt;-Control_Under_Tolerance,"YES","NO"),"")</f>
        <v>NO</v>
      </c>
      <c r="J18" s="244"/>
      <c r="K18" s="2405"/>
      <c r="L18" s="228"/>
    </row>
    <row r="19" spans="1:12" ht="35.1" customHeight="1">
      <c r="A19" s="1628"/>
      <c r="B19" s="1855" t="s">
        <v>74</v>
      </c>
      <c r="C19" s="1856"/>
      <c r="D19" s="1856"/>
      <c r="E19" s="1857"/>
      <c r="F19" s="1858"/>
      <c r="G19" s="1859"/>
      <c r="H19" s="1860"/>
      <c r="I19" s="1861"/>
      <c r="J19" s="244"/>
      <c r="K19" s="2405"/>
      <c r="L19" s="228"/>
    </row>
    <row r="20" spans="1:12" ht="24.95" customHeight="1">
      <c r="A20" s="1628"/>
      <c r="B20" s="1840" t="s">
        <v>421</v>
      </c>
      <c r="C20" s="1862">
        <v>0</v>
      </c>
      <c r="D20" s="1842">
        <f>VLOOKUP('Background Data'!$C$2,Inst_FPs,28,FALSE)</f>
        <v>0</v>
      </c>
      <c r="E20" s="1848">
        <f>SUM(C20:D20)</f>
        <v>0</v>
      </c>
      <c r="F20" s="2076">
        <f>'T1 Main Table'!$M16+'T1 Main Table'!$M49</f>
        <v>0</v>
      </c>
      <c r="G20" s="2413">
        <f>F20-E20</f>
        <v>0</v>
      </c>
      <c r="H20" s="2412" t="str">
        <f>IF(E20&gt;0,G20/E20,"")</f>
        <v/>
      </c>
      <c r="I20" s="1854" t="str">
        <f>IF(H20&lt;&gt;"",IF(H20&lt;-Control_Under_Tolerance,"YES","NO"),"")</f>
        <v/>
      </c>
      <c r="J20" s="244"/>
      <c r="K20" s="2405"/>
      <c r="L20" s="228"/>
    </row>
    <row r="21" spans="1:12" ht="24.95" customHeight="1" thickBot="1">
      <c r="A21" s="1628"/>
      <c r="B21" s="1863" t="s">
        <v>422</v>
      </c>
      <c r="C21" s="1864">
        <f>VLOOKUP('Background Data'!$C$2,Inst_FPs,21,FALSE)</f>
        <v>146</v>
      </c>
      <c r="D21" s="519">
        <f>VLOOKUP('Background Data'!$C$2,Inst_FPs,29,FALSE)</f>
        <v>7</v>
      </c>
      <c r="E21" s="1865">
        <f t="shared" ref="E21" si="0">SUM(C21:D21)</f>
        <v>153</v>
      </c>
      <c r="F21" s="1866">
        <f>'T1 Main Table'!$M50</f>
        <v>141.167</v>
      </c>
      <c r="G21" s="1867">
        <f>F21-E21</f>
        <v>-11.832999999999998</v>
      </c>
      <c r="H21" s="1868">
        <f>IF(E21&gt;0,G21/E21,"")</f>
        <v>-7.7339869281045748E-2</v>
      </c>
      <c r="I21" s="1869" t="str">
        <f>IF(H21&lt;&gt;"",IF(H21&lt;-Control_Under_Tolerance,"YES","NO"),"")</f>
        <v>YES</v>
      </c>
      <c r="J21" s="623"/>
      <c r="K21" s="2405"/>
      <c r="L21" s="228"/>
    </row>
    <row r="22" spans="1:12" ht="35.1" customHeight="1">
      <c r="A22" s="1628"/>
      <c r="B22" s="1870" t="s">
        <v>329</v>
      </c>
      <c r="C22" s="1871"/>
      <c r="D22" s="1872"/>
      <c r="E22" s="1873"/>
      <c r="F22" s="1874"/>
      <c r="G22" s="1875"/>
      <c r="H22" s="2414"/>
      <c r="I22" s="1876"/>
      <c r="J22" s="244"/>
      <c r="K22" s="2405"/>
      <c r="L22" s="228"/>
    </row>
    <row r="23" spans="1:12" ht="24.95" customHeight="1">
      <c r="A23" s="1628"/>
      <c r="B23" s="1840" t="s">
        <v>423</v>
      </c>
      <c r="C23" s="1841">
        <f>VLOOKUP('Background Data'!$C$2,Inst_FPs,19,FALSE)</f>
        <v>70.3</v>
      </c>
      <c r="D23" s="1842">
        <f>VLOOKUP('Background Data'!$C$2,Inst_FPs,31,FALSE)</f>
        <v>116</v>
      </c>
      <c r="E23" s="1843">
        <f>SUM(C23:D23)</f>
        <v>186.3</v>
      </c>
      <c r="F23" s="1844">
        <f>'T1 Main Table'!$M24</f>
        <v>189.5</v>
      </c>
      <c r="G23" s="1845">
        <f>F23-E23</f>
        <v>3.1999999999999886</v>
      </c>
      <c r="H23" s="1846">
        <f>IF(E23&gt;0,G23/E23,"")</f>
        <v>1.7176596886741752E-2</v>
      </c>
      <c r="I23" s="2411" t="str">
        <f t="shared" ref="I23:I28" si="1">IF(H23&lt;&gt;"",IF(H23&lt;-Control_Under_Tolerance,"YES","NO"),"")</f>
        <v>NO</v>
      </c>
      <c r="J23" s="244"/>
      <c r="K23" s="2405"/>
      <c r="L23" s="228"/>
    </row>
    <row r="24" spans="1:12" ht="24.95" customHeight="1">
      <c r="A24" s="1628"/>
      <c r="B24" s="1840" t="s">
        <v>424</v>
      </c>
      <c r="C24" s="1841">
        <f>VLOOKUP('Background Data'!$C$2,Inst_FPs,20,FALSE)</f>
        <v>126.9</v>
      </c>
      <c r="D24" s="1842">
        <f>VLOOKUP('Background Data'!$C$2,Inst_FPs,32,FALSE)</f>
        <v>96</v>
      </c>
      <c r="E24" s="1848">
        <f>SUM(C24:D24)</f>
        <v>222.9</v>
      </c>
      <c r="F24" s="1844">
        <f>'T1 Main Table'!$M28</f>
        <v>227</v>
      </c>
      <c r="G24" s="1877">
        <f>F24-E24</f>
        <v>4.0999999999999943</v>
      </c>
      <c r="H24" s="1846">
        <f>IF(E24&gt;0,G24/E24,"")</f>
        <v>1.8393898609241788E-2</v>
      </c>
      <c r="I24" s="2411" t="str">
        <f t="shared" si="1"/>
        <v>NO</v>
      </c>
      <c r="J24" s="244"/>
      <c r="K24" s="2405"/>
      <c r="L24" s="228"/>
    </row>
    <row r="25" spans="1:12" ht="24.95" customHeight="1">
      <c r="A25" s="1628"/>
      <c r="B25" s="1840" t="s">
        <v>361</v>
      </c>
      <c r="C25" s="1841">
        <f>VLOOKUP('Background Data'!$C$2,Inst_FPs,15,FALSE)</f>
        <v>510.5</v>
      </c>
      <c r="D25" s="1842">
        <f>VLOOKUP('Background Data'!$C$2,Inst_FPs,30,FALSE)</f>
        <v>0</v>
      </c>
      <c r="E25" s="1843">
        <f t="shared" ref="E25:E28" si="2">SUM(C25:D25)</f>
        <v>510.5</v>
      </c>
      <c r="F25" s="1844">
        <f>'T1 Main Table'!$M41</f>
        <v>568.46</v>
      </c>
      <c r="G25" s="1845">
        <f t="shared" ref="G25:G28" si="3">F25-E25</f>
        <v>57.960000000000036</v>
      </c>
      <c r="H25" s="1846">
        <f t="shared" ref="H25:H28" si="4">IF(E25&gt;0,G25/E25,"")</f>
        <v>0.11353574926542613</v>
      </c>
      <c r="I25" s="2411" t="str">
        <f t="shared" si="1"/>
        <v>NO</v>
      </c>
      <c r="J25" s="244"/>
      <c r="K25" s="2405"/>
      <c r="L25" s="228"/>
    </row>
    <row r="26" spans="1:12" ht="24.95" customHeight="1">
      <c r="A26" s="1628"/>
      <c r="B26" s="1840" t="s">
        <v>20</v>
      </c>
      <c r="C26" s="1841">
        <f>VLOOKUP('Background Data'!$C$2,Inst_FPs,16,FALSE)</f>
        <v>0</v>
      </c>
      <c r="D26" s="1878">
        <v>0</v>
      </c>
      <c r="E26" s="1843">
        <f t="shared" si="2"/>
        <v>0</v>
      </c>
      <c r="F26" s="1844">
        <f>'T1 Main Table'!$M42</f>
        <v>0</v>
      </c>
      <c r="G26" s="1845">
        <f t="shared" si="3"/>
        <v>0</v>
      </c>
      <c r="H26" s="1846" t="str">
        <f t="shared" si="4"/>
        <v/>
      </c>
      <c r="I26" s="2411" t="str">
        <f t="shared" si="1"/>
        <v/>
      </c>
      <c r="J26" s="244"/>
      <c r="K26" s="2405"/>
      <c r="L26" s="228"/>
    </row>
    <row r="27" spans="1:12" ht="24.95" customHeight="1">
      <c r="A27" s="1628"/>
      <c r="B27" s="1840" t="s">
        <v>8</v>
      </c>
      <c r="C27" s="1841">
        <f>VLOOKUP('Background Data'!$C$2,Inst_FPs,17,FALSE)</f>
        <v>0</v>
      </c>
      <c r="D27" s="1878">
        <v>0</v>
      </c>
      <c r="E27" s="1843">
        <f t="shared" si="2"/>
        <v>0</v>
      </c>
      <c r="F27" s="1844">
        <f>'T1 Main Table'!$M43</f>
        <v>0</v>
      </c>
      <c r="G27" s="1845">
        <f t="shared" si="3"/>
        <v>0</v>
      </c>
      <c r="H27" s="1846" t="str">
        <f t="shared" si="4"/>
        <v/>
      </c>
      <c r="I27" s="2411" t="str">
        <f t="shared" si="1"/>
        <v/>
      </c>
      <c r="J27" s="244"/>
      <c r="K27" s="2405"/>
      <c r="L27" s="228"/>
    </row>
    <row r="28" spans="1:12" ht="24.95" customHeight="1">
      <c r="A28" s="1628"/>
      <c r="B28" s="1840" t="s">
        <v>22</v>
      </c>
      <c r="C28" s="1841">
        <f>VLOOKUP('Background Data'!$C$2,Inst_FPs,18,FALSE)</f>
        <v>95.1</v>
      </c>
      <c r="D28" s="1878">
        <v>0</v>
      </c>
      <c r="E28" s="1843">
        <f t="shared" si="2"/>
        <v>95.1</v>
      </c>
      <c r="F28" s="1844">
        <f>'T1 Main Table'!$M44</f>
        <v>82</v>
      </c>
      <c r="G28" s="1845">
        <f t="shared" si="3"/>
        <v>-13.099999999999994</v>
      </c>
      <c r="H28" s="1846">
        <f t="shared" si="4"/>
        <v>-0.13774973711882224</v>
      </c>
      <c r="I28" s="2411" t="str">
        <f t="shared" si="1"/>
        <v>YES</v>
      </c>
      <c r="J28" s="244"/>
      <c r="K28" s="2405"/>
      <c r="L28" s="228"/>
    </row>
    <row r="29" spans="1:12" ht="24.95" customHeight="1">
      <c r="A29" s="1628"/>
      <c r="B29" s="1870" t="s">
        <v>425</v>
      </c>
      <c r="C29" s="1879"/>
      <c r="D29" s="1880"/>
      <c r="E29" s="1881"/>
      <c r="F29" s="1882"/>
      <c r="G29" s="1883"/>
      <c r="H29" s="2415"/>
      <c r="I29" s="1876"/>
      <c r="J29" s="244"/>
      <c r="K29" s="2405"/>
      <c r="L29" s="228"/>
    </row>
    <row r="30" spans="1:12" ht="24.95" customHeight="1">
      <c r="A30" s="1628"/>
      <c r="B30" s="1840" t="s">
        <v>510</v>
      </c>
      <c r="C30" s="1841">
        <v>0</v>
      </c>
      <c r="D30" s="1878">
        <f>VLOOKUP('Background Data'!$C$2,Inst_FPs,34,FALSE)</f>
        <v>0</v>
      </c>
      <c r="E30" s="1843">
        <f t="shared" ref="E30:E32" si="5">SUM(C30:D30)</f>
        <v>0</v>
      </c>
      <c r="F30" s="1844">
        <f>'T1 Main Table'!$M45</f>
        <v>0</v>
      </c>
      <c r="G30" s="1845">
        <f t="shared" ref="G30:G32" si="6">F30-E30</f>
        <v>0</v>
      </c>
      <c r="H30" s="1846" t="str">
        <f t="shared" ref="H30:H32" si="7">IF(E30&gt;0,G30/E30,"")</f>
        <v/>
      </c>
      <c r="I30" s="2397" t="s">
        <v>274</v>
      </c>
      <c r="J30" s="244"/>
      <c r="K30" s="2405"/>
      <c r="L30" s="228"/>
    </row>
    <row r="31" spans="1:12" ht="24.95" customHeight="1">
      <c r="A31" s="1628"/>
      <c r="B31" s="1840" t="s">
        <v>511</v>
      </c>
      <c r="C31" s="1841">
        <v>0</v>
      </c>
      <c r="D31" s="1878">
        <f>VLOOKUP('Background Data'!$C$2,Inst_FPs,35,FALSE)</f>
        <v>0</v>
      </c>
      <c r="E31" s="1843">
        <f t="shared" si="5"/>
        <v>0</v>
      </c>
      <c r="F31" s="1844">
        <f>'T1 Main Table'!$M46</f>
        <v>0</v>
      </c>
      <c r="G31" s="1845">
        <f t="shared" si="6"/>
        <v>0</v>
      </c>
      <c r="H31" s="1846" t="str">
        <f t="shared" si="7"/>
        <v/>
      </c>
      <c r="I31" s="2397" t="s">
        <v>274</v>
      </c>
      <c r="J31" s="244"/>
      <c r="K31" s="2405"/>
      <c r="L31" s="228"/>
    </row>
    <row r="32" spans="1:12" ht="24.95" customHeight="1" thickBot="1">
      <c r="A32" s="1628"/>
      <c r="B32" s="1884" t="s">
        <v>512</v>
      </c>
      <c r="C32" s="1864">
        <v>0</v>
      </c>
      <c r="D32" s="1885">
        <f>VLOOKUP('Background Data'!$C$2,Inst_FPs,33,FALSE)</f>
        <v>60</v>
      </c>
      <c r="E32" s="1865">
        <f t="shared" si="5"/>
        <v>60</v>
      </c>
      <c r="F32" s="2098">
        <f>'T1 Main Table'!$M29+'T1 Main Table'!M$47</f>
        <v>60</v>
      </c>
      <c r="G32" s="1886">
        <f t="shared" si="6"/>
        <v>0</v>
      </c>
      <c r="H32" s="1868">
        <f t="shared" si="7"/>
        <v>0</v>
      </c>
      <c r="I32" s="2084" t="s">
        <v>274</v>
      </c>
      <c r="J32" s="244"/>
      <c r="K32" s="2405"/>
      <c r="L32" s="228"/>
    </row>
    <row r="33" spans="1:12" ht="24.95" customHeight="1">
      <c r="A33" s="2077"/>
      <c r="B33" s="2075" t="s">
        <v>525</v>
      </c>
      <c r="C33" s="2075"/>
      <c r="D33" s="2075"/>
      <c r="E33" s="2075"/>
      <c r="F33" s="2075"/>
      <c r="G33" s="2075"/>
      <c r="H33" s="2075"/>
      <c r="I33" s="2075"/>
      <c r="J33" s="2075"/>
      <c r="K33" s="2405"/>
      <c r="L33" s="228"/>
    </row>
    <row r="34" spans="1:12" ht="24.95" customHeight="1">
      <c r="A34" s="2077"/>
      <c r="B34" s="2075" t="s">
        <v>519</v>
      </c>
      <c r="C34" s="2075"/>
      <c r="D34" s="2075"/>
      <c r="E34" s="2075"/>
      <c r="F34" s="2075"/>
      <c r="G34" s="2075"/>
      <c r="H34" s="2075"/>
      <c r="I34" s="2075"/>
      <c r="J34" s="2075"/>
      <c r="K34" s="2405"/>
      <c r="L34" s="228"/>
    </row>
    <row r="35" spans="1:12" ht="15" customHeight="1">
      <c r="A35" s="1712"/>
      <c r="B35" s="275"/>
      <c r="C35" s="1887"/>
      <c r="D35" s="1887"/>
      <c r="E35" s="1887"/>
      <c r="F35" s="1887"/>
      <c r="G35" s="1887"/>
      <c r="H35" s="1887"/>
      <c r="I35" s="1888"/>
      <c r="J35" s="1888"/>
      <c r="K35" s="2405"/>
      <c r="L35" s="228"/>
    </row>
    <row r="36" spans="1:12" ht="20.100000000000001" customHeight="1">
      <c r="A36" s="1628"/>
      <c r="B36" s="245" t="s">
        <v>310</v>
      </c>
      <c r="C36" s="246"/>
      <c r="D36" s="246"/>
      <c r="E36" s="246"/>
      <c r="F36" s="246"/>
      <c r="G36" s="246"/>
      <c r="H36" s="246"/>
      <c r="I36" s="244"/>
      <c r="J36" s="244"/>
      <c r="K36" s="2405"/>
      <c r="L36" s="228"/>
    </row>
    <row r="37" spans="1:12" ht="24.95" customHeight="1">
      <c r="A37" s="1628"/>
      <c r="B37" s="245" t="s">
        <v>453</v>
      </c>
      <c r="C37" s="246"/>
      <c r="D37" s="246"/>
      <c r="E37" s="246"/>
      <c r="F37" s="246"/>
      <c r="G37" s="246"/>
      <c r="H37" s="246"/>
      <c r="I37" s="244"/>
      <c r="J37" s="244"/>
      <c r="K37" s="2405"/>
      <c r="L37" s="228"/>
    </row>
    <row r="38" spans="1:12" ht="9.9499999999999993" customHeight="1" thickBot="1">
      <c r="A38" s="1628"/>
      <c r="B38" s="246"/>
      <c r="C38" s="246"/>
      <c r="D38" s="246"/>
      <c r="E38" s="246"/>
      <c r="F38" s="246"/>
      <c r="G38" s="246"/>
      <c r="H38" s="246"/>
      <c r="I38" s="244"/>
      <c r="J38" s="244"/>
      <c r="K38" s="2405"/>
      <c r="L38" s="228"/>
    </row>
    <row r="39" spans="1:12" ht="30" customHeight="1">
      <c r="A39" s="1628"/>
      <c r="B39" s="2555" t="s">
        <v>109</v>
      </c>
      <c r="C39" s="2558" t="s">
        <v>428</v>
      </c>
      <c r="D39" s="2558"/>
      <c r="E39" s="2558"/>
      <c r="F39" s="2558"/>
      <c r="G39" s="2559" t="s">
        <v>429</v>
      </c>
      <c r="H39" s="2561" t="s">
        <v>85</v>
      </c>
      <c r="I39" s="2562"/>
      <c r="J39" s="2559" t="s">
        <v>418</v>
      </c>
      <c r="K39" s="2405"/>
      <c r="L39" s="228"/>
    </row>
    <row r="40" spans="1:12" ht="60" customHeight="1">
      <c r="A40" s="1628"/>
      <c r="B40" s="2556"/>
      <c r="C40" s="1345" t="s">
        <v>419</v>
      </c>
      <c r="D40" s="1889" t="s">
        <v>420</v>
      </c>
      <c r="E40" s="2416" t="s">
        <v>430</v>
      </c>
      <c r="F40" s="1890" t="s">
        <v>2</v>
      </c>
      <c r="G40" s="2560"/>
      <c r="H40" s="2417"/>
      <c r="I40" s="1891"/>
      <c r="J40" s="2560"/>
      <c r="K40" s="2405"/>
      <c r="L40" s="228"/>
    </row>
    <row r="41" spans="1:12" ht="30" customHeight="1">
      <c r="A41" s="1628"/>
      <c r="B41" s="2557"/>
      <c r="C41" s="1826" t="s">
        <v>17</v>
      </c>
      <c r="D41" s="1827" t="s">
        <v>17</v>
      </c>
      <c r="E41" s="2408" t="s">
        <v>17</v>
      </c>
      <c r="F41" s="1892" t="s">
        <v>17</v>
      </c>
      <c r="G41" s="1828" t="s">
        <v>17</v>
      </c>
      <c r="H41" s="1829" t="s">
        <v>17</v>
      </c>
      <c r="I41" s="105" t="s">
        <v>86</v>
      </c>
      <c r="J41" s="2560"/>
      <c r="K41" s="2405"/>
      <c r="L41" s="228"/>
    </row>
    <row r="42" spans="1:12" ht="30" customHeight="1">
      <c r="A42" s="1628"/>
      <c r="B42" s="1893"/>
      <c r="C42" s="817" t="s">
        <v>56</v>
      </c>
      <c r="D42" s="2418" t="s">
        <v>56</v>
      </c>
      <c r="E42" s="2418" t="s">
        <v>56</v>
      </c>
      <c r="F42" s="2392" t="s">
        <v>56</v>
      </c>
      <c r="G42" s="447" t="s">
        <v>56</v>
      </c>
      <c r="H42" s="1830" t="s">
        <v>55</v>
      </c>
      <c r="I42" s="2393" t="s">
        <v>55</v>
      </c>
      <c r="J42" s="447" t="s">
        <v>55</v>
      </c>
      <c r="K42" s="2405"/>
      <c r="L42" s="228"/>
    </row>
    <row r="43" spans="1:12" ht="30" customHeight="1" thickBot="1">
      <c r="A43" s="1628"/>
      <c r="B43" s="1831"/>
      <c r="C43" s="533">
        <v>1</v>
      </c>
      <c r="D43" s="820">
        <v>2</v>
      </c>
      <c r="E43" s="820">
        <v>3</v>
      </c>
      <c r="F43" s="819">
        <v>4</v>
      </c>
      <c r="G43" s="534">
        <v>5</v>
      </c>
      <c r="H43" s="1832">
        <v>6</v>
      </c>
      <c r="I43" s="535">
        <v>7</v>
      </c>
      <c r="J43" s="534">
        <v>8</v>
      </c>
      <c r="K43" s="2405"/>
      <c r="L43" s="228"/>
    </row>
    <row r="44" spans="1:12" ht="35.1" customHeight="1">
      <c r="A44" s="1628"/>
      <c r="B44" s="1894" t="s">
        <v>513</v>
      </c>
      <c r="C44" s="1895">
        <v>0</v>
      </c>
      <c r="D44" s="2419">
        <f>VLOOKUP('Background Data'!$C$2,Inst_FPs,26,FALSE)</f>
        <v>20</v>
      </c>
      <c r="E44" s="2419">
        <v>0</v>
      </c>
      <c r="F44" s="1896">
        <f>SUM(C44:E44)</f>
        <v>20</v>
      </c>
      <c r="G44" s="1897">
        <f>'T1 Main Table'!M52</f>
        <v>23</v>
      </c>
      <c r="H44" s="1898">
        <f>G44-F44</f>
        <v>3</v>
      </c>
      <c r="I44" s="1899">
        <f>IF(F44&gt;0,H44/F44,"")</f>
        <v>0.15</v>
      </c>
      <c r="J44" s="1828" t="s">
        <v>274</v>
      </c>
      <c r="K44" s="2405"/>
      <c r="L44" s="228"/>
    </row>
    <row r="45" spans="1:12" ht="35.1" customHeight="1" thickBot="1">
      <c r="A45" s="1628"/>
      <c r="B45" s="2398" t="s">
        <v>514</v>
      </c>
      <c r="C45" s="1901">
        <f>VLOOKUP('Background Data'!$C$2,Inst_FPs,10,FALSE)</f>
        <v>12187.699999999997</v>
      </c>
      <c r="D45" s="1902">
        <f>VLOOKUP('Background Data'!$C$2,Inst_FPs,36,FALSE)+VLOOKUP('Background Data'!$C$2,Inst_FPs,37,FALSE)</f>
        <v>40.200000000000003</v>
      </c>
      <c r="E45" s="1902">
        <f>VLOOKUP('Background Data'!$C$2,Inst_FPs,6,FALSE)+VLOOKUP('Background Data'!$C$2,Inst_FPs,7,FALSE)</f>
        <v>0</v>
      </c>
      <c r="F45" s="1903">
        <f>SUM(C45:E45)</f>
        <v>12227.899999999998</v>
      </c>
      <c r="G45" s="1866">
        <f>SUM('T1 Main Table'!$M$17,'T1 Main Table'!$M$30,'T1 Main Table'!$M$53,'T1 Main Table'!$M$54)</f>
        <v>13119.888335000011</v>
      </c>
      <c r="H45" s="1904">
        <f>G45-F45</f>
        <v>891.98833500001274</v>
      </c>
      <c r="I45" s="1905">
        <f>IF(F45&gt;0,H45/F45,"")</f>
        <v>7.2946976586332313E-2</v>
      </c>
      <c r="J45" s="2084" t="str">
        <f>IF(I45&lt;-Non_control_Under_Tolerance,"YES","NO")</f>
        <v>NO</v>
      </c>
      <c r="K45" s="2405"/>
      <c r="L45" s="228"/>
    </row>
    <row r="46" spans="1:12" ht="24.95" customHeight="1">
      <c r="A46" s="1628"/>
      <c r="B46" s="930" t="s">
        <v>526</v>
      </c>
      <c r="C46" s="252"/>
      <c r="D46" s="252"/>
      <c r="E46" s="252"/>
      <c r="F46" s="252"/>
      <c r="G46" s="252"/>
      <c r="H46" s="252"/>
      <c r="I46" s="244"/>
      <c r="J46" s="244"/>
      <c r="K46" s="2405"/>
      <c r="L46" s="228"/>
    </row>
    <row r="47" spans="1:12" s="638" customFormat="1" ht="24.95" customHeight="1">
      <c r="A47" s="1712"/>
      <c r="B47" s="930" t="s">
        <v>524</v>
      </c>
      <c r="C47" s="1887"/>
      <c r="D47" s="1887"/>
      <c r="E47" s="1887"/>
      <c r="F47" s="1887"/>
      <c r="G47" s="1887"/>
      <c r="H47" s="1887"/>
      <c r="I47" s="1888"/>
      <c r="J47" s="1888"/>
      <c r="K47" s="2420"/>
      <c r="L47" s="2400"/>
    </row>
    <row r="48" spans="1:12" ht="24.95" customHeight="1">
      <c r="A48" s="1628"/>
      <c r="B48" s="245" t="s">
        <v>454</v>
      </c>
      <c r="C48" s="252"/>
      <c r="D48" s="252"/>
      <c r="E48" s="252"/>
      <c r="F48" s="252"/>
      <c r="G48" s="252"/>
      <c r="H48" s="252"/>
      <c r="I48" s="244"/>
      <c r="J48" s="244"/>
      <c r="K48" s="2405"/>
      <c r="L48" s="228"/>
    </row>
    <row r="49" spans="1:12" ht="24.95" customHeight="1">
      <c r="A49" s="1628"/>
      <c r="B49" s="245" t="s">
        <v>455</v>
      </c>
      <c r="C49" s="246"/>
      <c r="D49" s="246"/>
      <c r="E49" s="246"/>
      <c r="F49" s="50"/>
      <c r="G49" s="50"/>
      <c r="H49" s="50"/>
      <c r="I49" s="244"/>
      <c r="J49" s="244"/>
      <c r="K49" s="2405"/>
      <c r="L49" s="228"/>
    </row>
    <row r="50" spans="1:12" ht="24.95" customHeight="1">
      <c r="A50" s="1628"/>
      <c r="B50" s="245" t="s">
        <v>456</v>
      </c>
      <c r="C50" s="246"/>
      <c r="D50" s="246"/>
      <c r="E50" s="246"/>
      <c r="F50" s="50"/>
      <c r="G50" s="50"/>
      <c r="H50" s="50"/>
      <c r="I50" s="244"/>
      <c r="J50" s="244"/>
      <c r="K50" s="2405"/>
      <c r="L50" s="228"/>
    </row>
    <row r="51" spans="1:12" ht="9.9499999999999993" customHeight="1" thickBot="1">
      <c r="A51" s="1628"/>
      <c r="B51" s="247"/>
      <c r="C51" s="247"/>
      <c r="D51" s="247"/>
      <c r="E51" s="247"/>
      <c r="F51" s="254"/>
      <c r="G51" s="254"/>
      <c r="H51" s="50"/>
      <c r="I51" s="244"/>
      <c r="J51" s="244"/>
      <c r="K51" s="2405"/>
      <c r="L51" s="228"/>
    </row>
    <row r="52" spans="1:12" ht="80.099999999999994" customHeight="1">
      <c r="A52" s="1628"/>
      <c r="B52" s="2394" t="s">
        <v>110</v>
      </c>
      <c r="C52" s="255" t="s">
        <v>431</v>
      </c>
      <c r="D52" s="1907" t="s">
        <v>516</v>
      </c>
      <c r="E52" s="2564" t="s">
        <v>236</v>
      </c>
      <c r="F52" s="2565"/>
      <c r="G52" s="1908" t="s">
        <v>432</v>
      </c>
      <c r="H52" s="253"/>
      <c r="I52" s="623"/>
      <c r="J52" s="244"/>
      <c r="K52" s="2405"/>
      <c r="L52" s="228"/>
    </row>
    <row r="53" spans="1:12" ht="30" customHeight="1">
      <c r="A53" s="1628"/>
      <c r="B53" s="1909"/>
      <c r="C53" s="1892" t="s">
        <v>17</v>
      </c>
      <c r="D53" s="1827" t="s">
        <v>17</v>
      </c>
      <c r="E53" s="1829" t="s">
        <v>17</v>
      </c>
      <c r="F53" s="2421" t="s">
        <v>86</v>
      </c>
      <c r="G53" s="1910"/>
      <c r="H53" s="229"/>
      <c r="I53" s="623"/>
      <c r="J53" s="244"/>
      <c r="K53" s="2405"/>
      <c r="L53" s="228"/>
    </row>
    <row r="54" spans="1:12" ht="30" customHeight="1">
      <c r="A54" s="1628"/>
      <c r="B54" s="1909"/>
      <c r="C54" s="2392" t="s">
        <v>56</v>
      </c>
      <c r="D54" s="1911" t="s">
        <v>56</v>
      </c>
      <c r="E54" s="1830" t="s">
        <v>55</v>
      </c>
      <c r="F54" s="2422" t="s">
        <v>55</v>
      </c>
      <c r="G54" s="2393" t="s">
        <v>55</v>
      </c>
      <c r="H54" s="229"/>
      <c r="I54" s="623"/>
      <c r="J54" s="244"/>
      <c r="K54" s="2405"/>
      <c r="L54" s="228"/>
    </row>
    <row r="55" spans="1:12" ht="30" customHeight="1" thickBot="1">
      <c r="A55" s="1628"/>
      <c r="B55" s="1912"/>
      <c r="C55" s="1913">
        <v>1</v>
      </c>
      <c r="D55" s="1914">
        <v>2</v>
      </c>
      <c r="E55" s="1915">
        <v>3</v>
      </c>
      <c r="F55" s="2423">
        <v>4</v>
      </c>
      <c r="G55" s="1916">
        <v>5</v>
      </c>
      <c r="H55" s="229"/>
      <c r="I55" s="244"/>
      <c r="J55" s="244"/>
      <c r="K55" s="2405"/>
      <c r="L55" s="228"/>
    </row>
    <row r="56" spans="1:12" ht="45" customHeight="1">
      <c r="A56" s="1628"/>
      <c r="B56" s="1917" t="s">
        <v>433</v>
      </c>
      <c r="C56" s="1918"/>
      <c r="D56" s="1919"/>
      <c r="E56" s="1920"/>
      <c r="F56" s="1921"/>
      <c r="G56" s="1922"/>
      <c r="H56" s="229"/>
      <c r="I56" s="244"/>
      <c r="J56" s="244"/>
      <c r="K56" s="2405"/>
      <c r="L56" s="228"/>
    </row>
    <row r="57" spans="1:12" ht="30" customHeight="1">
      <c r="A57" s="1628"/>
      <c r="B57" s="1840" t="s">
        <v>434</v>
      </c>
      <c r="C57" s="2424">
        <f>VLOOKUP('Background Data'!$C$2,Inst_FPs,39,FALSE)</f>
        <v>1203</v>
      </c>
      <c r="D57" s="2425">
        <f>SUM('T1 Main Table'!$S$35,'T1 Main Table'!$S$37,'T1 Main Table'!$S$38)</f>
        <v>1181</v>
      </c>
      <c r="E57" s="1923">
        <f>D57-C57</f>
        <v>-22</v>
      </c>
      <c r="F57" s="1924">
        <f>IF(C57&gt;0,E57/C57,"")</f>
        <v>-1.828761429758936E-2</v>
      </c>
      <c r="G57" s="2426" t="str">
        <f>IF(F57&lt;&gt;"",IF(C57&gt;=100,IF(F57&gt;Consol_Tolerance,"Yes","No"),IF(E57&gt;Control_Consol_Tolerance_FTE,"Yes","No")),"")</f>
        <v>No</v>
      </c>
      <c r="H57" s="229"/>
      <c r="I57" s="244"/>
      <c r="J57" s="244"/>
      <c r="K57" s="2405"/>
      <c r="L57" s="228"/>
    </row>
    <row r="58" spans="1:12" ht="30" customHeight="1">
      <c r="A58" s="1628"/>
      <c r="B58" s="1840" t="s">
        <v>435</v>
      </c>
      <c r="C58" s="2424">
        <f>VLOOKUP('Background Data'!$C$2,Inst_FPs,40,FALSE)</f>
        <v>330</v>
      </c>
      <c r="D58" s="2425">
        <f>SUM('T1 Main Table'!$S$36,'T1 Main Table'!$S$39)</f>
        <v>328</v>
      </c>
      <c r="E58" s="1923">
        <f>D58-C58</f>
        <v>-2</v>
      </c>
      <c r="F58" s="1924">
        <f>IF(C58&gt;0,E58/C58,"")</f>
        <v>-6.0606060606060606E-3</v>
      </c>
      <c r="G58" s="2426" t="str">
        <f>IF(F58&lt;&gt;"",IF(F58&gt;Dentistry_Consol_Tolerance,"Yes","No"),"")</f>
        <v>No</v>
      </c>
      <c r="H58" s="229"/>
      <c r="I58" s="244"/>
      <c r="J58" s="244"/>
      <c r="K58" s="2405"/>
      <c r="L58" s="228"/>
    </row>
    <row r="59" spans="1:12" ht="35.1" customHeight="1">
      <c r="A59" s="1628"/>
      <c r="B59" s="1840" t="s">
        <v>436</v>
      </c>
      <c r="C59" s="229"/>
      <c r="D59" s="2427"/>
      <c r="E59" s="1925"/>
      <c r="F59" s="256"/>
      <c r="G59" s="2428"/>
      <c r="H59" s="229"/>
      <c r="I59" s="246"/>
      <c r="J59" s="244"/>
      <c r="K59" s="2405"/>
      <c r="L59" s="228"/>
    </row>
    <row r="60" spans="1:12" ht="30" customHeight="1">
      <c r="A60" s="1628"/>
      <c r="B60" s="1926" t="s">
        <v>18</v>
      </c>
      <c r="C60" s="2424">
        <f>VLOOKUP('Background Data'!$C$2,Inst_FPs,41,FALSE)</f>
        <v>699</v>
      </c>
      <c r="D60" s="2425">
        <f>SUM('T1 Main Table'!$S$24,'T1 Main Table'!$S$41,'T1 Main Table'!$S$45)</f>
        <v>765.96</v>
      </c>
      <c r="E60" s="1923">
        <f>D60-C60</f>
        <v>66.960000000000036</v>
      </c>
      <c r="F60" s="1924">
        <f>IF(C60&gt;0,E60/C60,"")</f>
        <v>9.5793991416309066E-2</v>
      </c>
      <c r="G60" s="2426" t="str">
        <f>IF(F60&lt;&gt;"",IF(C60&gt;=100,IF(F60&gt;Consol_Tolerance,"Yes","No"),IF(E60&gt;Control_Consol_Tolerance_FTE,"Yes","No")),"")</f>
        <v>No</v>
      </c>
      <c r="H60" s="229"/>
      <c r="I60" s="246"/>
      <c r="J60" s="244"/>
      <c r="K60" s="2405"/>
      <c r="L60" s="228"/>
    </row>
    <row r="61" spans="1:12" ht="30" customHeight="1">
      <c r="A61" s="1628"/>
      <c r="B61" s="1926" t="s">
        <v>19</v>
      </c>
      <c r="C61" s="2424">
        <f>VLOOKUP('Background Data'!$C$2,Inst_FPs,42,FALSE)</f>
        <v>382</v>
      </c>
      <c r="D61" s="2425">
        <f>SUM('T1 Main Table'!$S$28,'T1 Main Table'!$S$29,'T1 Main Table'!$S$42,'T1 Main Table'!$S$43,'T1 Main Table'!$S$44,'T1 Main Table'!$S$46,'T1 Main Table'!$S$47)</f>
        <v>374</v>
      </c>
      <c r="E61" s="1923">
        <f>D61-C61</f>
        <v>-8</v>
      </c>
      <c r="F61" s="1924">
        <f>IF(C61&gt;0,E61/C61,"")</f>
        <v>-2.0942408376963352E-2</v>
      </c>
      <c r="G61" s="2426" t="str">
        <f>IF(F61&lt;&gt;"",IF(C61&gt;=100,IF(F61&gt;Consol_Tolerance,"Yes","No"),IF(E61&gt;Control_Consol_Tolerance_FTE,"Yes","No")),"")</f>
        <v>No</v>
      </c>
      <c r="H61" s="229"/>
      <c r="I61" s="246"/>
      <c r="J61" s="244"/>
      <c r="K61" s="2405"/>
      <c r="L61" s="228"/>
    </row>
    <row r="62" spans="1:12" ht="30" customHeight="1" thickBot="1">
      <c r="A62" s="1628"/>
      <c r="B62" s="1884" t="s">
        <v>136</v>
      </c>
      <c r="C62" s="1901">
        <f>VLOOKUP('Background Data'!$C$2,Inst_FPs,43,FALSE)</f>
        <v>160</v>
      </c>
      <c r="D62" s="1927">
        <f>SUM('T1 Main Table'!$S$16,'T1 Main Table'!$S$49,'T1 Main Table'!$S$50)</f>
        <v>147.167</v>
      </c>
      <c r="E62" s="1904">
        <f>D62-C62</f>
        <v>-12.832999999999998</v>
      </c>
      <c r="F62" s="1928">
        <f>IF(C62&gt;0,E62/C62,"")</f>
        <v>-8.0206249999999993E-2</v>
      </c>
      <c r="G62" s="1929" t="str">
        <f>IF(F62&lt;&gt;"",IF(C62&gt;=100,IF(F62&gt;Consol_Tolerance,"Yes","No"),IF(E62&gt;Control_Consol_Tolerance_FTE,"Yes","No")),"")</f>
        <v>No</v>
      </c>
      <c r="H62" s="229"/>
      <c r="I62" s="246"/>
      <c r="J62" s="244"/>
      <c r="K62" s="2405"/>
      <c r="L62" s="228"/>
    </row>
    <row r="63" spans="1:12" ht="35.1" customHeight="1">
      <c r="A63" s="1628"/>
      <c r="B63" s="1834" t="s">
        <v>111</v>
      </c>
      <c r="C63" s="1930"/>
      <c r="D63" s="1931"/>
      <c r="E63" s="1932"/>
      <c r="F63" s="1933"/>
      <c r="G63" s="1934"/>
      <c r="H63" s="229"/>
      <c r="I63" s="246"/>
      <c r="J63" s="244"/>
      <c r="K63" s="2405"/>
      <c r="L63" s="228"/>
    </row>
    <row r="64" spans="1:12" ht="30" customHeight="1" thickBot="1">
      <c r="A64" s="1628"/>
      <c r="B64" s="1884" t="s">
        <v>132</v>
      </c>
      <c r="C64" s="1901">
        <f>VLOOKUP('Background Data'!$C$2,Inst_FPs,44,FALSE)</f>
        <v>11120</v>
      </c>
      <c r="D64" s="1927">
        <f>SUM('T1 Main Table'!$F$52,'T1 Main Table'!$F$53,'T1 Main Table'!$F$54)</f>
        <v>11363.700000000012</v>
      </c>
      <c r="E64" s="1904">
        <f>D64-C64</f>
        <v>243.70000000001164</v>
      </c>
      <c r="F64" s="1928">
        <f>IF(C64&gt;0,E64/C64,"")</f>
        <v>2.1915467625900329E-2</v>
      </c>
      <c r="G64" s="1929" t="str">
        <f>IF(F64&lt;&gt;"",IF(F64&gt;Consol_Tolerance,"Yes","No"),"")</f>
        <v>No</v>
      </c>
      <c r="H64" s="229"/>
      <c r="I64" s="246"/>
      <c r="J64" s="244"/>
      <c r="K64" s="2405"/>
      <c r="L64" s="228"/>
    </row>
    <row r="65" spans="1:12" ht="18.95" customHeight="1">
      <c r="A65" s="350"/>
      <c r="B65" s="450"/>
      <c r="C65" s="451"/>
      <c r="D65" s="451"/>
      <c r="E65" s="451"/>
      <c r="F65" s="451"/>
      <c r="G65" s="451"/>
      <c r="H65" s="1935"/>
      <c r="I65" s="1935"/>
      <c r="J65" s="2078"/>
      <c r="K65" s="2420"/>
      <c r="L65" s="228"/>
    </row>
    <row r="66" spans="1:12" ht="24.95" customHeight="1">
      <c r="A66" s="1641"/>
      <c r="B66" s="2431" t="s">
        <v>487</v>
      </c>
      <c r="C66" s="2432"/>
      <c r="D66" s="2432"/>
      <c r="E66" s="2432"/>
      <c r="F66" s="2432"/>
      <c r="G66" s="2433"/>
      <c r="H66" s="2433"/>
      <c r="I66" s="2434"/>
      <c r="J66" s="2435"/>
      <c r="K66" s="2436"/>
      <c r="L66" s="228"/>
    </row>
    <row r="67" spans="1:12" ht="9.9499999999999993" customHeight="1" thickBot="1">
      <c r="A67" s="1628"/>
      <c r="B67" s="246"/>
      <c r="C67" s="246"/>
      <c r="D67" s="246"/>
      <c r="E67" s="246"/>
      <c r="F67" s="50"/>
      <c r="G67" s="1887"/>
      <c r="H67" s="1887"/>
      <c r="I67" s="1936"/>
      <c r="J67" s="1936"/>
      <c r="K67" s="2420"/>
      <c r="L67" s="228"/>
    </row>
    <row r="68" spans="1:12" ht="99.95" customHeight="1">
      <c r="A68" s="1628"/>
      <c r="B68" s="2394" t="s">
        <v>110</v>
      </c>
      <c r="C68" s="255" t="s">
        <v>437</v>
      </c>
      <c r="D68" s="248" t="s">
        <v>438</v>
      </c>
      <c r="E68" s="2566" t="s">
        <v>439</v>
      </c>
      <c r="F68" s="2565"/>
      <c r="G68" s="1887"/>
      <c r="H68" s="1887"/>
      <c r="I68" s="1937"/>
      <c r="J68" s="1936"/>
      <c r="K68" s="2420"/>
      <c r="L68" s="228"/>
    </row>
    <row r="69" spans="1:12" ht="30" customHeight="1">
      <c r="A69" s="1628"/>
      <c r="B69" s="1909"/>
      <c r="C69" s="1892" t="s">
        <v>17</v>
      </c>
      <c r="D69" s="2421" t="s">
        <v>17</v>
      </c>
      <c r="E69" s="2429" t="s">
        <v>17</v>
      </c>
      <c r="F69" s="1900" t="s">
        <v>86</v>
      </c>
      <c r="G69" s="1887"/>
      <c r="H69" s="1887"/>
      <c r="I69" s="1937"/>
      <c r="J69" s="1936"/>
      <c r="K69" s="2420"/>
      <c r="L69" s="228"/>
    </row>
    <row r="70" spans="1:12" ht="30" customHeight="1">
      <c r="A70" s="1628"/>
      <c r="B70" s="1909"/>
      <c r="C70" s="2392" t="s">
        <v>56</v>
      </c>
      <c r="D70" s="2422" t="s">
        <v>56</v>
      </c>
      <c r="E70" s="1830" t="s">
        <v>55</v>
      </c>
      <c r="F70" s="2393" t="s">
        <v>55</v>
      </c>
      <c r="G70" s="1887"/>
      <c r="H70" s="1887"/>
      <c r="I70" s="1937"/>
      <c r="J70" s="1936"/>
      <c r="K70" s="2420"/>
      <c r="L70" s="228"/>
    </row>
    <row r="71" spans="1:12" ht="30" customHeight="1" thickBot="1">
      <c r="A71" s="1628"/>
      <c r="B71" s="1912"/>
      <c r="C71" s="1913">
        <v>1</v>
      </c>
      <c r="D71" s="2423">
        <v>2</v>
      </c>
      <c r="E71" s="1915">
        <v>3</v>
      </c>
      <c r="F71" s="1916">
        <v>4</v>
      </c>
      <c r="G71" s="1906"/>
      <c r="H71" s="1887"/>
      <c r="I71" s="1936"/>
      <c r="J71" s="1936"/>
      <c r="K71" s="2420"/>
      <c r="L71" s="228"/>
    </row>
    <row r="72" spans="1:12" ht="35.1" customHeight="1">
      <c r="A72" s="1628"/>
      <c r="B72" s="1938" t="s">
        <v>79</v>
      </c>
      <c r="C72" s="1939"/>
      <c r="D72" s="1940"/>
      <c r="E72" s="1941"/>
      <c r="F72" s="1940"/>
      <c r="G72" s="1942"/>
      <c r="H72" s="1906"/>
      <c r="I72" s="1888"/>
      <c r="J72" s="244"/>
      <c r="K72" s="2405"/>
      <c r="L72" s="228"/>
    </row>
    <row r="73" spans="1:12" ht="24.95" customHeight="1">
      <c r="A73" s="1628"/>
      <c r="B73" s="1840" t="s">
        <v>522</v>
      </c>
      <c r="C73" s="1841">
        <f>VLOOKUP('Background Data'!$C$2,Inst_FPs,45,FALSE)</f>
        <v>220</v>
      </c>
      <c r="D73" s="1943">
        <f>'Table 3 Med,Dent'!$D$22+'Table 3 Med,Dent'!$D$23</f>
        <v>241</v>
      </c>
      <c r="E73" s="1944">
        <f>D73-C73</f>
        <v>21</v>
      </c>
      <c r="F73" s="1945">
        <f>IF(C73&gt;0,E73/C73,"")</f>
        <v>9.5454545454545459E-2</v>
      </c>
      <c r="G73" s="1946"/>
      <c r="H73" s="1947"/>
      <c r="I73" s="1887"/>
      <c r="J73" s="244"/>
      <c r="K73" s="2405"/>
      <c r="L73" s="228"/>
    </row>
    <row r="74" spans="1:12" ht="24.95" customHeight="1">
      <c r="A74" s="1628"/>
      <c r="B74" s="1840" t="s">
        <v>523</v>
      </c>
      <c r="C74" s="1841">
        <f>VLOOKUP('Background Data'!$C$2,Inst_FPs,46,FALSE)</f>
        <v>0</v>
      </c>
      <c r="D74" s="1943">
        <f>'Table 3 Med,Dent'!$C$22+'Table 3 Med,Dent'!$C$23</f>
        <v>0</v>
      </c>
      <c r="E74" s="1944">
        <f>D74-C74</f>
        <v>0</v>
      </c>
      <c r="F74" s="1945" t="str">
        <f>IF(C74&gt;0,E74/C74,"")</f>
        <v/>
      </c>
      <c r="G74" s="1946"/>
      <c r="H74" s="1947"/>
      <c r="I74" s="1887"/>
      <c r="J74" s="244"/>
      <c r="K74" s="2405"/>
      <c r="L74" s="228"/>
    </row>
    <row r="75" spans="1:12" ht="24.95" customHeight="1" thickBot="1">
      <c r="A75" s="1628"/>
      <c r="B75" s="1840" t="s">
        <v>137</v>
      </c>
      <c r="C75" s="1849">
        <f>VLOOKUP('Background Data'!$C$2,Inst_FPs,47,FALSE)</f>
        <v>67</v>
      </c>
      <c r="D75" s="1948">
        <f>IF('Background Data'!$C$2&lt;&gt;1,'Table 3 Med,Dent'!$C$67,'Table 3 Med,Dent'!$E$67)</f>
        <v>67</v>
      </c>
      <c r="E75" s="1944">
        <f>D75-C75</f>
        <v>0</v>
      </c>
      <c r="F75" s="1945">
        <f>IF(C75&gt;0,E75/C75,"")</f>
        <v>0</v>
      </c>
      <c r="G75" s="1946"/>
      <c r="H75" s="1947"/>
      <c r="I75" s="1887"/>
      <c r="J75" s="244"/>
      <c r="K75" s="2405"/>
      <c r="L75" s="228"/>
    </row>
    <row r="76" spans="1:12" ht="35.1" customHeight="1">
      <c r="A76" s="1628"/>
      <c r="B76" s="1855" t="s">
        <v>74</v>
      </c>
      <c r="C76" s="1856"/>
      <c r="D76" s="1949"/>
      <c r="E76" s="1950"/>
      <c r="F76" s="1949"/>
      <c r="G76" s="1946"/>
      <c r="H76" s="1947"/>
      <c r="I76" s="1888"/>
      <c r="J76" s="244"/>
      <c r="K76" s="2405"/>
      <c r="L76" s="228"/>
    </row>
    <row r="77" spans="1:12" ht="24.95" customHeight="1">
      <c r="A77" s="1628"/>
      <c r="B77" s="1840" t="s">
        <v>421</v>
      </c>
      <c r="C77" s="1841">
        <f>VLOOKUP('Background Data'!$C$2,Inst_FPs,48,FALSE)</f>
        <v>0</v>
      </c>
      <c r="D77" s="1943">
        <f>'Table 4a Nurse and Midwy 3 Yr'!$M$47</f>
        <v>0</v>
      </c>
      <c r="E77" s="1944">
        <f t="shared" ref="E77:E78" si="8">D77-C77</f>
        <v>0</v>
      </c>
      <c r="F77" s="1945" t="str">
        <f t="shared" ref="F77:F78" si="9">IF(C77&gt;0,E77/C77,"")</f>
        <v/>
      </c>
      <c r="G77" s="1946"/>
      <c r="H77" s="1947"/>
      <c r="I77" s="1887"/>
      <c r="J77" s="244"/>
      <c r="K77" s="2405"/>
      <c r="L77" s="228"/>
    </row>
    <row r="78" spans="1:12" ht="24.95" customHeight="1" thickBot="1">
      <c r="A78" s="1628"/>
      <c r="B78" s="1863" t="s">
        <v>422</v>
      </c>
      <c r="C78" s="1864">
        <f>VLOOKUP('Background Data'!$C$2,Inst_FPs,49,FALSE)</f>
        <v>50</v>
      </c>
      <c r="D78" s="1951">
        <f>'Table 4b Nurse 4 Year'!$E$12</f>
        <v>44</v>
      </c>
      <c r="E78" s="1952">
        <f t="shared" si="8"/>
        <v>-6</v>
      </c>
      <c r="F78" s="1953">
        <f t="shared" si="9"/>
        <v>-0.12</v>
      </c>
      <c r="G78" s="1946"/>
      <c r="H78" s="1947"/>
      <c r="I78" s="1887"/>
      <c r="J78" s="623"/>
      <c r="K78" s="2405"/>
      <c r="L78" s="228"/>
    </row>
    <row r="79" spans="1:12" ht="35.1" customHeight="1">
      <c r="A79" s="1628"/>
      <c r="B79" s="1870" t="s">
        <v>329</v>
      </c>
      <c r="C79" s="1871"/>
      <c r="D79" s="1954"/>
      <c r="E79" s="1955"/>
      <c r="F79" s="1956"/>
      <c r="G79" s="1946"/>
      <c r="H79" s="1947"/>
      <c r="I79" s="1888"/>
      <c r="J79" s="244"/>
      <c r="K79" s="2405"/>
      <c r="L79" s="228"/>
    </row>
    <row r="80" spans="1:12" ht="24.95" customHeight="1">
      <c r="A80" s="1628"/>
      <c r="B80" s="1840" t="s">
        <v>423</v>
      </c>
      <c r="C80" s="1841">
        <f>VLOOKUP('Background Data'!$C$2,Inst_FPs,54,FALSE)</f>
        <v>187</v>
      </c>
      <c r="D80" s="1943">
        <f>'T2a ITE'!$G$27</f>
        <v>186</v>
      </c>
      <c r="E80" s="1944">
        <f t="shared" ref="E80:E85" si="10">D80-C80</f>
        <v>-1</v>
      </c>
      <c r="F80" s="1945">
        <f t="shared" ref="F80:F85" si="11">IF(C80&gt;0,E80/C80,"")</f>
        <v>-5.3475935828877002E-3</v>
      </c>
      <c r="G80" s="1946"/>
      <c r="H80" s="1947"/>
      <c r="I80" s="1887"/>
      <c r="J80" s="244"/>
      <c r="K80" s="2405"/>
      <c r="L80" s="228"/>
    </row>
    <row r="81" spans="1:12" ht="24.95" customHeight="1">
      <c r="A81" s="1628"/>
      <c r="B81" s="1840" t="s">
        <v>424</v>
      </c>
      <c r="C81" s="1841">
        <f>VLOOKUP('Background Data'!$C$2,Inst_FPs,55,FALSE)</f>
        <v>227</v>
      </c>
      <c r="D81" s="1943">
        <f>'T2a ITE'!$G$41</f>
        <v>225</v>
      </c>
      <c r="E81" s="1944">
        <f t="shared" si="10"/>
        <v>-2</v>
      </c>
      <c r="F81" s="1945">
        <f t="shared" si="11"/>
        <v>-8.8105726872246704E-3</v>
      </c>
      <c r="G81" s="1946"/>
      <c r="H81" s="1947"/>
      <c r="I81" s="1887"/>
      <c r="J81" s="244"/>
      <c r="K81" s="2405"/>
      <c r="L81" s="228"/>
    </row>
    <row r="82" spans="1:12" ht="24.95" customHeight="1">
      <c r="A82" s="1628"/>
      <c r="B82" s="1840" t="s">
        <v>361</v>
      </c>
      <c r="C82" s="1841">
        <f>VLOOKUP('Background Data'!$C$2,Inst_FPs,50,FALSE)</f>
        <v>134</v>
      </c>
      <c r="D82" s="1943">
        <f>'T2a ITE'!$G$43</f>
        <v>136</v>
      </c>
      <c r="E82" s="1944">
        <f t="shared" si="10"/>
        <v>2</v>
      </c>
      <c r="F82" s="1945">
        <f t="shared" si="11"/>
        <v>1.4925373134328358E-2</v>
      </c>
      <c r="G82" s="1946"/>
      <c r="H82" s="1947"/>
      <c r="I82" s="1887"/>
      <c r="J82" s="244"/>
      <c r="K82" s="2405"/>
      <c r="L82" s="228"/>
    </row>
    <row r="83" spans="1:12" ht="24.95" customHeight="1">
      <c r="A83" s="1628"/>
      <c r="B83" s="1840" t="s">
        <v>20</v>
      </c>
      <c r="C83" s="1841">
        <f>VLOOKUP('Background Data'!$C$2,Inst_FPs,51,FALSE)</f>
        <v>0</v>
      </c>
      <c r="D83" s="1957">
        <f>'T2a ITE'!$G$46</f>
        <v>0</v>
      </c>
      <c r="E83" s="1944">
        <f t="shared" si="10"/>
        <v>0</v>
      </c>
      <c r="F83" s="1945" t="str">
        <f t="shared" si="11"/>
        <v/>
      </c>
      <c r="G83" s="1946"/>
      <c r="H83" s="1947"/>
      <c r="I83" s="1887"/>
      <c r="J83" s="244"/>
      <c r="K83" s="2405"/>
      <c r="L83" s="228"/>
    </row>
    <row r="84" spans="1:12" ht="24.95" customHeight="1">
      <c r="A84" s="1628"/>
      <c r="B84" s="1840" t="s">
        <v>8</v>
      </c>
      <c r="C84" s="1841">
        <f>VLOOKUP('Background Data'!$C$2,Inst_FPs,52,FALSE)</f>
        <v>0</v>
      </c>
      <c r="D84" s="1943">
        <f>'T2a ITE'!$G$47</f>
        <v>0</v>
      </c>
      <c r="E84" s="1944">
        <f t="shared" si="10"/>
        <v>0</v>
      </c>
      <c r="F84" s="1945" t="str">
        <f t="shared" si="11"/>
        <v/>
      </c>
      <c r="G84" s="1946"/>
      <c r="H84" s="1947"/>
      <c r="I84" s="1887"/>
      <c r="J84" s="244"/>
      <c r="K84" s="2405"/>
      <c r="L84" s="228"/>
    </row>
    <row r="85" spans="1:12" ht="24.95" customHeight="1">
      <c r="A85" s="1628"/>
      <c r="B85" s="1840" t="s">
        <v>22</v>
      </c>
      <c r="C85" s="1841">
        <f>VLOOKUP('Background Data'!$C$2,Inst_FPs,53,FALSE)</f>
        <v>33</v>
      </c>
      <c r="D85" s="1943">
        <f>'T2a ITE'!$G$48</f>
        <v>19</v>
      </c>
      <c r="E85" s="1944">
        <f t="shared" si="10"/>
        <v>-14</v>
      </c>
      <c r="F85" s="1945">
        <f t="shared" si="11"/>
        <v>-0.42424242424242425</v>
      </c>
      <c r="G85" s="1946"/>
      <c r="H85" s="1947"/>
      <c r="I85" s="1887"/>
      <c r="J85" s="244"/>
      <c r="K85" s="2405"/>
      <c r="L85" s="228"/>
    </row>
    <row r="86" spans="1:12" ht="24.95" customHeight="1">
      <c r="A86" s="1628"/>
      <c r="B86" s="1870" t="s">
        <v>425</v>
      </c>
      <c r="C86" s="1879"/>
      <c r="D86" s="1958"/>
      <c r="E86" s="1959"/>
      <c r="F86" s="1960"/>
      <c r="G86" s="1946"/>
      <c r="H86" s="1947"/>
      <c r="I86" s="1888"/>
      <c r="J86" s="244"/>
      <c r="K86" s="2405"/>
      <c r="L86" s="228"/>
    </row>
    <row r="87" spans="1:12" ht="24.95" customHeight="1">
      <c r="A87" s="1628"/>
      <c r="B87" s="1840" t="s">
        <v>426</v>
      </c>
      <c r="C87" s="1841">
        <f>VLOOKUP('Background Data'!$C$2,Inst_FPs,57,FALSE)</f>
        <v>0</v>
      </c>
      <c r="D87" s="1957">
        <f>'T2a ITE'!$G$57</f>
        <v>0</v>
      </c>
      <c r="E87" s="1944">
        <f t="shared" ref="E87:E89" si="12">D87-C87</f>
        <v>0</v>
      </c>
      <c r="F87" s="1945" t="str">
        <f t="shared" ref="F87:F89" si="13">IF(C87&gt;0,E87/C87,"")</f>
        <v/>
      </c>
      <c r="G87" s="1946"/>
      <c r="H87" s="1947"/>
      <c r="I87" s="1887"/>
      <c r="J87" s="244"/>
      <c r="K87" s="2405"/>
      <c r="L87" s="228"/>
    </row>
    <row r="88" spans="1:12" ht="24.95" customHeight="1">
      <c r="A88" s="1628"/>
      <c r="B88" s="1840" t="s">
        <v>427</v>
      </c>
      <c r="C88" s="1841">
        <f>VLOOKUP('Background Data'!$C$2,Inst_FPs,58,FALSE)</f>
        <v>0</v>
      </c>
      <c r="D88" s="1957">
        <f>'T2a ITE'!$G$58</f>
        <v>0</v>
      </c>
      <c r="E88" s="1944">
        <f t="shared" si="12"/>
        <v>0</v>
      </c>
      <c r="F88" s="1945" t="str">
        <f t="shared" si="13"/>
        <v/>
      </c>
      <c r="G88" s="1946"/>
      <c r="H88" s="1947"/>
      <c r="I88" s="1887"/>
      <c r="J88" s="244"/>
      <c r="K88" s="2405"/>
      <c r="L88" s="228"/>
    </row>
    <row r="89" spans="1:12" ht="24.95" customHeight="1" thickBot="1">
      <c r="A89" s="1628"/>
      <c r="B89" s="1884" t="s">
        <v>407</v>
      </c>
      <c r="C89" s="1864">
        <f>VLOOKUP('Background Data'!$C$2,Inst_FPs,56,FALSE)</f>
        <v>60</v>
      </c>
      <c r="D89" s="1951">
        <f>'T2a ITE'!$G$69</f>
        <v>60</v>
      </c>
      <c r="E89" s="1961">
        <f t="shared" si="12"/>
        <v>0</v>
      </c>
      <c r="F89" s="1962">
        <f t="shared" si="13"/>
        <v>0</v>
      </c>
      <c r="G89" s="1946"/>
      <c r="H89" s="1947"/>
      <c r="I89" s="1887"/>
      <c r="J89" s="244"/>
      <c r="K89" s="2405"/>
      <c r="L89" s="228"/>
    </row>
    <row r="90" spans="1:12" ht="24.95" customHeight="1">
      <c r="A90" s="2485"/>
      <c r="B90" s="2452" t="s">
        <v>534</v>
      </c>
      <c r="C90" s="2452"/>
      <c r="D90" s="2452"/>
      <c r="E90" s="2452"/>
      <c r="F90" s="2452"/>
      <c r="G90" s="2452"/>
      <c r="H90" s="2452"/>
      <c r="I90" s="2452"/>
      <c r="J90" s="2452"/>
      <c r="K90" s="2453"/>
      <c r="L90" s="228"/>
    </row>
    <row r="91" spans="1:12" ht="18.95" customHeight="1">
      <c r="A91" s="224"/>
      <c r="B91" s="224"/>
      <c r="C91" s="2438"/>
      <c r="D91" s="2438"/>
      <c r="E91" s="2438"/>
      <c r="F91" s="2438"/>
      <c r="G91" s="275"/>
      <c r="H91" s="275"/>
      <c r="I91" s="275"/>
      <c r="J91" s="224"/>
      <c r="K91" s="224"/>
      <c r="L91" s="228"/>
    </row>
    <row r="92" spans="1:12" ht="18.95" customHeight="1">
      <c r="A92" s="224"/>
      <c r="B92" s="224"/>
      <c r="C92" s="2438"/>
      <c r="D92" s="2438"/>
      <c r="E92" s="2438"/>
      <c r="F92" s="2438"/>
      <c r="G92" s="275"/>
      <c r="H92" s="275"/>
      <c r="I92" s="275"/>
      <c r="J92" s="224"/>
      <c r="K92" s="224"/>
      <c r="L92" s="228"/>
    </row>
    <row r="93" spans="1:12" s="630" customFormat="1" ht="18.95" customHeight="1">
      <c r="A93" s="224"/>
      <c r="B93" s="224"/>
      <c r="C93" s="2438"/>
      <c r="D93" s="2438"/>
      <c r="E93" s="2438"/>
      <c r="F93" s="2438"/>
      <c r="G93" s="2438"/>
      <c r="H93" s="224"/>
      <c r="I93" s="224"/>
      <c r="J93" s="224"/>
      <c r="K93" s="224"/>
      <c r="L93" s="224"/>
    </row>
    <row r="94" spans="1:12" s="630" customFormat="1" ht="18.95" customHeight="1">
      <c r="C94" s="2439"/>
      <c r="D94" s="2439"/>
      <c r="E94" s="2439"/>
      <c r="F94" s="2439"/>
      <c r="G94" s="2439"/>
    </row>
    <row r="95" spans="1:12" s="630" customFormat="1" ht="24.95" hidden="1" customHeight="1">
      <c r="A95" s="2081"/>
      <c r="B95" s="2079" t="s">
        <v>105</v>
      </c>
      <c r="C95" s="2080"/>
      <c r="D95" s="2080"/>
      <c r="E95" s="2439"/>
      <c r="F95" s="2439"/>
      <c r="G95" s="2439"/>
      <c r="H95" s="1272"/>
      <c r="I95" s="1272"/>
      <c r="J95" s="1272"/>
      <c r="K95" s="1272"/>
    </row>
    <row r="96" spans="1:12" s="630" customFormat="1" ht="24.95" hidden="1" customHeight="1">
      <c r="A96" s="2081"/>
      <c r="B96" s="2081" t="s">
        <v>106</v>
      </c>
      <c r="C96" s="2082">
        <v>0.03</v>
      </c>
      <c r="D96" s="2080"/>
      <c r="E96" s="2439"/>
      <c r="F96" s="2439"/>
      <c r="G96" s="2439"/>
      <c r="H96" s="1272"/>
      <c r="I96" s="1272"/>
      <c r="J96" s="1272"/>
      <c r="K96" s="1272"/>
    </row>
    <row r="97" spans="1:11" s="630" customFormat="1" ht="24.95" hidden="1" customHeight="1">
      <c r="A97" s="2081"/>
      <c r="B97" s="2081" t="s">
        <v>107</v>
      </c>
      <c r="C97" s="2082">
        <v>0.02</v>
      </c>
      <c r="D97" s="2080"/>
      <c r="E97" s="2439"/>
      <c r="F97" s="2439"/>
      <c r="G97" s="2439"/>
      <c r="H97" s="1272"/>
      <c r="I97" s="1272"/>
      <c r="J97" s="1272"/>
      <c r="K97" s="1272"/>
    </row>
    <row r="98" spans="1:11" s="630" customFormat="1" ht="24.95" hidden="1" customHeight="1">
      <c r="A98" s="2081"/>
      <c r="B98" s="2081" t="s">
        <v>517</v>
      </c>
      <c r="C98" s="2082">
        <v>0.05</v>
      </c>
      <c r="D98" s="2080"/>
      <c r="E98" s="2439"/>
      <c r="F98" s="2439"/>
      <c r="G98" s="2439"/>
      <c r="H98" s="1272"/>
      <c r="I98" s="1272"/>
      <c r="J98" s="1272"/>
      <c r="K98" s="1272"/>
    </row>
    <row r="99" spans="1:11" s="630" customFormat="1" ht="24.95" hidden="1" customHeight="1">
      <c r="A99" s="2081"/>
      <c r="B99" s="2081" t="s">
        <v>133</v>
      </c>
      <c r="C99" s="2082">
        <v>0.1</v>
      </c>
      <c r="D99" s="2080"/>
      <c r="E99" s="2439"/>
      <c r="F99" s="2439"/>
      <c r="G99" s="2439"/>
      <c r="H99" s="1272"/>
      <c r="I99" s="1272"/>
      <c r="J99" s="1272"/>
      <c r="K99" s="1272"/>
    </row>
    <row r="100" spans="1:11" s="630" customFormat="1" ht="24.95" hidden="1" customHeight="1">
      <c r="A100" s="2081"/>
      <c r="B100" s="2081" t="s">
        <v>518</v>
      </c>
      <c r="C100" s="2083">
        <v>10</v>
      </c>
      <c r="D100" s="2080"/>
      <c r="E100" s="2439"/>
      <c r="F100" s="2439"/>
      <c r="G100" s="2439"/>
      <c r="H100" s="1272"/>
      <c r="I100" s="1272"/>
      <c r="J100" s="1272"/>
      <c r="K100" s="1272"/>
    </row>
    <row r="101" spans="1:11" s="630" customFormat="1" ht="18.95" customHeight="1">
      <c r="C101" s="2439"/>
      <c r="D101" s="2439"/>
      <c r="E101" s="2439"/>
      <c r="F101" s="2439"/>
      <c r="G101" s="2439"/>
    </row>
    <row r="102" spans="1:11" s="630" customFormat="1" ht="18.95" customHeight="1">
      <c r="C102" s="2439"/>
      <c r="D102" s="2439"/>
      <c r="E102" s="2439"/>
      <c r="F102" s="2439"/>
      <c r="G102" s="2439"/>
    </row>
  </sheetData>
  <sheetProtection password="E23E" sheet="1" objects="1" scenarios="1"/>
  <mergeCells count="12">
    <mergeCell ref="G8:H8"/>
    <mergeCell ref="I8:I10"/>
    <mergeCell ref="E52:F52"/>
    <mergeCell ref="E68:F68"/>
    <mergeCell ref="C3:E3"/>
    <mergeCell ref="C8:E8"/>
    <mergeCell ref="F8:F9"/>
    <mergeCell ref="B39:B41"/>
    <mergeCell ref="C39:F39"/>
    <mergeCell ref="G39:G40"/>
    <mergeCell ref="H39:I39"/>
    <mergeCell ref="J39:J41"/>
  </mergeCells>
  <conditionalFormatting sqref="G56:G57">
    <cfRule type="cellIs" dxfId="123" priority="13" operator="equal">
      <formula>"YES"</formula>
    </cfRule>
  </conditionalFormatting>
  <conditionalFormatting sqref="I20 I23:I28 I14:I15 G56:G57 I73:I75 I17:I18">
    <cfRule type="cellIs" dxfId="122" priority="12" operator="equal">
      <formula>"YES"</formula>
    </cfRule>
  </conditionalFormatting>
  <conditionalFormatting sqref="J45">
    <cfRule type="cellIs" dxfId="121" priority="11" operator="equal">
      <formula>"YES"</formula>
    </cfRule>
  </conditionalFormatting>
  <conditionalFormatting sqref="G64 G60:G62">
    <cfRule type="cellIs" dxfId="120" priority="10" operator="equal">
      <formula>"YES"</formula>
    </cfRule>
  </conditionalFormatting>
  <conditionalFormatting sqref="G64 G60:G62">
    <cfRule type="cellIs" dxfId="119" priority="9" operator="equal">
      <formula>"YES"</formula>
    </cfRule>
  </conditionalFormatting>
  <conditionalFormatting sqref="B1:B2">
    <cfRule type="expression" dxfId="118" priority="8" stopIfTrue="1">
      <formula>#REF!=0</formula>
    </cfRule>
  </conditionalFormatting>
  <conditionalFormatting sqref="I21">
    <cfRule type="cellIs" dxfId="117" priority="7" operator="equal">
      <formula>"YES"</formula>
    </cfRule>
  </conditionalFormatting>
  <conditionalFormatting sqref="I77 I80:I85">
    <cfRule type="cellIs" dxfId="116" priority="5" operator="equal">
      <formula>"YES"</formula>
    </cfRule>
  </conditionalFormatting>
  <conditionalFormatting sqref="I87:I89">
    <cfRule type="cellIs" dxfId="115" priority="3" operator="equal">
      <formula>"YES"</formula>
    </cfRule>
  </conditionalFormatting>
  <conditionalFormatting sqref="I78">
    <cfRule type="cellIs" dxfId="114" priority="4" operator="equal">
      <formula>"YES"</formula>
    </cfRule>
  </conditionalFormatting>
  <conditionalFormatting sqref="G58">
    <cfRule type="cellIs" dxfId="113" priority="2" operator="equal">
      <formula>"YES"</formula>
    </cfRule>
  </conditionalFormatting>
  <conditionalFormatting sqref="G58">
    <cfRule type="cellIs" dxfId="112" priority="1" operator="equal">
      <formula>"YES"</formula>
    </cfRule>
  </conditionalFormatting>
  <dataValidations count="1">
    <dataValidation allowBlank="1" sqref="G54:G55 C52:E54 B52 I8 H4:I5 B45:C45 G52 D55:F55 E62:G62 F53:F54 B56 C55:C56 C64:G64 B57:C57 C58 D60:G61 C3 K4:FK5 K8:FI15 C46:H48 G17:H32 B8:B9 F8 B35:H35 H9:H16 B13:B15 C8:C15 D9:E15 G8:G16 B16:E32 D43:I43 E41:E42 I35:J38 B39:B40 G39 F40:F42 D40:D42 H39:H40 C39:C44 G41:I42 G44:I45 J39 D44:E44 I11:I32 B58:B65 C60:C62 C68:E70 B68 G68 F69:F70 F10:F32 D56:G58 I67:I74 J67:J71 H72:H74 G70:G74 B72:B74 B75:FI89 K35:FK35 I66:J66 J72:FI74 J4:J15 K6:FH7 B46:B47 J42:J65 I46:I58 J16:FI32 C71:F74"/>
  </dataValidations>
  <pageMargins left="0.19685039370078741" right="0.19685039370078741" top="0.19685039370078741" bottom="0.39370078740157483" header="0" footer="0"/>
  <pageSetup paperSize="8" scale="44" orientation="portrait" r:id="rId1"/>
  <headerFooter alignWithMargins="0"/>
  <rowBreaks count="2" manualBreakCount="2">
    <brk id="35" max="9" man="1"/>
    <brk id="6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V71"/>
  <sheetViews>
    <sheetView zoomScale="80" zoomScaleNormal="80" workbookViewId="0"/>
  </sheetViews>
  <sheetFormatPr defaultColWidth="9.140625" defaultRowHeight="15"/>
  <cols>
    <col min="1" max="1" width="2.7109375" style="631" customWidth="1"/>
    <col min="2" max="2" width="40.7109375" style="631" customWidth="1"/>
    <col min="3" max="7" width="12.7109375" style="631" customWidth="1"/>
    <col min="8" max="8" width="15.7109375" style="631" customWidth="1"/>
    <col min="9" max="9" width="3.7109375" style="1272" customWidth="1"/>
    <col min="10" max="15" width="12.7109375" style="631" customWidth="1"/>
    <col min="16" max="17" width="4.7109375" style="633" customWidth="1"/>
    <col min="18" max="18" width="33.28515625" style="631" customWidth="1"/>
    <col min="19" max="20" width="12.7109375" style="631" customWidth="1"/>
    <col min="21" max="21" width="25.7109375" style="631" customWidth="1"/>
    <col min="22" max="22" width="5.7109375" style="631" customWidth="1"/>
    <col min="23" max="16384" width="9.140625" style="631"/>
  </cols>
  <sheetData>
    <row r="1" spans="1:22" ht="39.950000000000003" customHeight="1">
      <c r="A1" s="563"/>
      <c r="B1" s="241" t="str">
        <f>IF(H4=0,"Your Institution Does Not Complete This Table","")</f>
        <v/>
      </c>
      <c r="C1" s="2"/>
      <c r="D1" s="2"/>
      <c r="E1" s="2"/>
      <c r="F1" s="2"/>
      <c r="G1" s="2"/>
      <c r="H1" s="2"/>
      <c r="I1" s="275"/>
      <c r="J1" s="2"/>
      <c r="K1" s="2"/>
      <c r="L1" s="2"/>
      <c r="M1" s="2"/>
      <c r="N1" s="2"/>
      <c r="O1" s="2"/>
      <c r="P1" s="3"/>
      <c r="Q1" s="3"/>
      <c r="R1" s="2"/>
      <c r="S1" s="2"/>
      <c r="T1" s="2"/>
      <c r="U1" s="2"/>
      <c r="V1" s="228"/>
    </row>
    <row r="2" spans="1:22" ht="30" customHeight="1">
      <c r="A2" s="1641"/>
      <c r="B2" s="1342" t="s">
        <v>298</v>
      </c>
      <c r="C2" s="1664"/>
      <c r="D2" s="2359"/>
      <c r="E2" s="2359"/>
      <c r="F2" s="1664"/>
      <c r="G2" s="1664"/>
      <c r="H2" s="1664"/>
      <c r="I2" s="1678"/>
      <c r="J2" s="1664"/>
      <c r="K2" s="1664"/>
      <c r="L2" s="1664"/>
      <c r="M2" s="1664"/>
      <c r="N2" s="1664"/>
      <c r="O2" s="1672"/>
      <c r="P2" s="1673"/>
      <c r="Q2" s="351"/>
      <c r="R2" s="5"/>
      <c r="S2" s="5"/>
      <c r="T2" s="5"/>
      <c r="U2" s="5"/>
      <c r="V2" s="228"/>
    </row>
    <row r="3" spans="1:22" ht="15" customHeight="1" thickBot="1">
      <c r="A3" s="1628"/>
      <c r="B3" s="378"/>
      <c r="C3" s="6"/>
      <c r="D3" s="6"/>
      <c r="E3" s="6"/>
      <c r="F3" s="6"/>
      <c r="G3" s="6"/>
      <c r="H3" s="6"/>
      <c r="I3" s="1665"/>
      <c r="J3" s="6"/>
      <c r="K3" s="6"/>
      <c r="L3" s="6"/>
      <c r="M3" s="6"/>
      <c r="N3" s="6"/>
      <c r="O3" s="6"/>
      <c r="P3" s="1674"/>
      <c r="Q3" s="16"/>
      <c r="R3" s="5"/>
      <c r="S3" s="5"/>
      <c r="T3" s="5"/>
      <c r="U3" s="5"/>
      <c r="V3" s="228"/>
    </row>
    <row r="4" spans="1:22" ht="35.1" customHeight="1" thickBot="1">
      <c r="A4" s="1628"/>
      <c r="B4" s="826" t="s">
        <v>0</v>
      </c>
      <c r="C4" s="2579" t="str">
        <f>VLOOKUP('Background Data'!$C$2,Inst_Tables,2,FALSE)</f>
        <v>Glasgow, University of</v>
      </c>
      <c r="D4" s="2580"/>
      <c r="E4" s="2580"/>
      <c r="F4" s="2580"/>
      <c r="G4" s="2581"/>
      <c r="H4" s="825">
        <f>VLOOKUP('Background Data'!$C$2,Inst_Tables,3,FALSE)</f>
        <v>1</v>
      </c>
      <c r="I4" s="1679"/>
      <c r="J4" s="7"/>
      <c r="K4" s="224"/>
      <c r="L4" s="6"/>
      <c r="M4" s="6"/>
      <c r="N4" s="6"/>
      <c r="O4" s="6"/>
      <c r="P4" s="1674"/>
      <c r="Q4" s="16"/>
      <c r="R4" s="5"/>
      <c r="S4" s="5"/>
      <c r="T4" s="5"/>
      <c r="U4" s="5"/>
      <c r="V4" s="228"/>
    </row>
    <row r="5" spans="1:22" ht="30" customHeight="1">
      <c r="A5" s="1628"/>
      <c r="B5" s="11" t="s">
        <v>283</v>
      </c>
      <c r="C5" s="8"/>
      <c r="D5" s="8"/>
      <c r="E5" s="8"/>
      <c r="F5" s="8"/>
      <c r="G5" s="9"/>
      <c r="H5" s="9"/>
      <c r="I5" s="275"/>
      <c r="J5" s="10"/>
      <c r="K5" s="6"/>
      <c r="L5" s="6"/>
      <c r="M5" s="6"/>
      <c r="N5" s="6"/>
      <c r="O5" s="6"/>
      <c r="P5" s="1674"/>
      <c r="Q5" s="16"/>
      <c r="R5" s="5"/>
      <c r="S5" s="5"/>
      <c r="T5" s="5"/>
      <c r="U5" s="5"/>
      <c r="V5" s="228"/>
    </row>
    <row r="6" spans="1:22" ht="24.95" customHeight="1">
      <c r="A6" s="1628"/>
      <c r="B6" s="11" t="s">
        <v>494</v>
      </c>
      <c r="C6" s="8"/>
      <c r="D6" s="8"/>
      <c r="E6" s="8"/>
      <c r="F6" s="8"/>
      <c r="G6" s="9"/>
      <c r="H6" s="9"/>
      <c r="I6" s="275"/>
      <c r="J6" s="10"/>
      <c r="K6" s="6"/>
      <c r="L6" s="6"/>
      <c r="M6" s="6"/>
      <c r="N6" s="6"/>
      <c r="O6" s="6"/>
      <c r="P6" s="1674"/>
      <c r="Q6" s="16"/>
      <c r="R6" s="5"/>
      <c r="S6" s="5"/>
      <c r="T6" s="5"/>
      <c r="U6" s="5"/>
      <c r="V6" s="228"/>
    </row>
    <row r="7" spans="1:22" ht="15" customHeight="1" thickBot="1">
      <c r="A7" s="1628"/>
      <c r="B7" s="379"/>
      <c r="C7" s="6"/>
      <c r="D7" s="6"/>
      <c r="E7" s="6"/>
      <c r="F7" s="6"/>
      <c r="G7" s="352"/>
      <c r="H7" s="6"/>
      <c r="I7" s="1665"/>
      <c r="J7" s="6"/>
      <c r="K7" s="6"/>
      <c r="L7" s="6"/>
      <c r="M7" s="6"/>
      <c r="N7" s="6"/>
      <c r="O7" s="6"/>
      <c r="P7" s="1674"/>
      <c r="Q7" s="16"/>
      <c r="R7" s="5"/>
      <c r="S7" s="5"/>
      <c r="T7" s="5"/>
      <c r="U7" s="5"/>
      <c r="V7" s="228"/>
    </row>
    <row r="8" spans="1:22" ht="35.1" customHeight="1">
      <c r="A8" s="1628"/>
      <c r="B8" s="381"/>
      <c r="C8" s="2589" t="s">
        <v>299</v>
      </c>
      <c r="D8" s="2590"/>
      <c r="E8" s="2590"/>
      <c r="F8" s="2590"/>
      <c r="G8" s="2590"/>
      <c r="H8" s="2591"/>
      <c r="I8" s="1665"/>
      <c r="J8" s="2585" t="s">
        <v>292</v>
      </c>
      <c r="K8" s="2586"/>
      <c r="L8" s="2586"/>
      <c r="M8" s="2586"/>
      <c r="N8" s="2586"/>
      <c r="O8" s="2587"/>
      <c r="P8" s="1674"/>
      <c r="Q8" s="16"/>
      <c r="R8" s="5"/>
      <c r="S8" s="5"/>
      <c r="T8" s="5"/>
      <c r="U8" s="5"/>
      <c r="V8" s="228"/>
    </row>
    <row r="9" spans="1:22" ht="35.1" customHeight="1">
      <c r="A9" s="1628"/>
      <c r="B9" s="2576" t="s">
        <v>165</v>
      </c>
      <c r="C9" s="2594" t="s">
        <v>143</v>
      </c>
      <c r="D9" s="2595"/>
      <c r="E9" s="2596"/>
      <c r="F9" s="2577" t="s">
        <v>134</v>
      </c>
      <c r="G9" s="2578" t="s">
        <v>235</v>
      </c>
      <c r="H9" s="2592" t="s">
        <v>398</v>
      </c>
      <c r="I9" s="1680"/>
      <c r="J9" s="2582" t="s">
        <v>27</v>
      </c>
      <c r="K9" s="2583"/>
      <c r="L9" s="2583"/>
      <c r="M9" s="2583"/>
      <c r="N9" s="2583"/>
      <c r="O9" s="2584"/>
      <c r="P9" s="1674"/>
      <c r="Q9" s="16"/>
      <c r="R9" s="5"/>
      <c r="S9" s="5"/>
      <c r="T9" s="5"/>
      <c r="U9" s="5"/>
      <c r="V9" s="228"/>
    </row>
    <row r="10" spans="1:22" ht="45" customHeight="1" thickBot="1">
      <c r="A10" s="1628"/>
      <c r="B10" s="2576"/>
      <c r="C10" s="2358" t="s">
        <v>491</v>
      </c>
      <c r="D10" s="2360" t="s">
        <v>492</v>
      </c>
      <c r="E10" s="2364" t="s">
        <v>2</v>
      </c>
      <c r="F10" s="2577"/>
      <c r="G10" s="2578"/>
      <c r="H10" s="2593"/>
      <c r="I10" s="1665"/>
      <c r="J10" s="1742">
        <v>1</v>
      </c>
      <c r="K10" s="1743" t="s">
        <v>13</v>
      </c>
      <c r="L10" s="1743" t="s">
        <v>14</v>
      </c>
      <c r="M10" s="1743" t="s">
        <v>15</v>
      </c>
      <c r="N10" s="1744" t="s">
        <v>16</v>
      </c>
      <c r="O10" s="1745" t="s">
        <v>2</v>
      </c>
      <c r="P10" s="1675"/>
      <c r="Q10" s="21"/>
      <c r="R10" s="2588" t="s">
        <v>403</v>
      </c>
      <c r="S10" s="2588"/>
      <c r="T10" s="2588"/>
      <c r="U10" s="2588"/>
      <c r="V10" s="228"/>
    </row>
    <row r="11" spans="1:22" ht="24.95" customHeight="1">
      <c r="A11" s="1628"/>
      <c r="B11" s="382"/>
      <c r="C11" s="14" t="s">
        <v>17</v>
      </c>
      <c r="D11" s="2386" t="s">
        <v>17</v>
      </c>
      <c r="E11" s="2387" t="s">
        <v>17</v>
      </c>
      <c r="F11" s="1980" t="s">
        <v>17</v>
      </c>
      <c r="G11" s="1668" t="s">
        <v>17</v>
      </c>
      <c r="H11" s="658" t="s">
        <v>26</v>
      </c>
      <c r="I11" s="1665"/>
      <c r="J11" s="14" t="s">
        <v>17</v>
      </c>
      <c r="K11" s="1666" t="s">
        <v>17</v>
      </c>
      <c r="L11" s="1666" t="s">
        <v>17</v>
      </c>
      <c r="M11" s="1666" t="s">
        <v>17</v>
      </c>
      <c r="N11" s="1667" t="s">
        <v>17</v>
      </c>
      <c r="O11" s="1668" t="s">
        <v>17</v>
      </c>
      <c r="P11" s="1675"/>
      <c r="Q11" s="13"/>
      <c r="R11" s="2572" t="s">
        <v>159</v>
      </c>
      <c r="S11" s="2574" t="s">
        <v>166</v>
      </c>
      <c r="T11" s="2574"/>
      <c r="U11" s="2575"/>
      <c r="V11" s="228"/>
    </row>
    <row r="12" spans="1:22" ht="24.95" customHeight="1">
      <c r="A12" s="1628"/>
      <c r="B12" s="383"/>
      <c r="C12" s="29" t="s">
        <v>30</v>
      </c>
      <c r="D12" s="1676" t="s">
        <v>30</v>
      </c>
      <c r="E12" s="1670" t="s">
        <v>55</v>
      </c>
      <c r="F12" s="1676" t="s">
        <v>30</v>
      </c>
      <c r="G12" s="1670" t="s">
        <v>55</v>
      </c>
      <c r="H12" s="659" t="s">
        <v>30</v>
      </c>
      <c r="I12" s="1665"/>
      <c r="J12" s="29" t="s">
        <v>30</v>
      </c>
      <c r="K12" s="1669" t="s">
        <v>30</v>
      </c>
      <c r="L12" s="1669" t="s">
        <v>30</v>
      </c>
      <c r="M12" s="1669" t="s">
        <v>30</v>
      </c>
      <c r="N12" s="1669" t="s">
        <v>30</v>
      </c>
      <c r="O12" s="1670" t="s">
        <v>55</v>
      </c>
      <c r="P12" s="1674"/>
      <c r="Q12" s="16"/>
      <c r="R12" s="2573"/>
      <c r="S12" s="1729" t="s">
        <v>59</v>
      </c>
      <c r="T12" s="2570" t="s">
        <v>167</v>
      </c>
      <c r="U12" s="1718" t="s">
        <v>68</v>
      </c>
      <c r="V12" s="228"/>
    </row>
    <row r="13" spans="1:22" ht="24.95" customHeight="1" thickBot="1">
      <c r="A13" s="1628"/>
      <c r="B13" s="384"/>
      <c r="C13" s="520">
        <v>1</v>
      </c>
      <c r="D13" s="532">
        <v>2</v>
      </c>
      <c r="E13" s="660">
        <v>3</v>
      </c>
      <c r="F13" s="532">
        <v>4</v>
      </c>
      <c r="G13" s="522">
        <v>5</v>
      </c>
      <c r="H13" s="660">
        <v>6</v>
      </c>
      <c r="I13" s="1681"/>
      <c r="J13" s="520">
        <v>7</v>
      </c>
      <c r="K13" s="521">
        <v>8</v>
      </c>
      <c r="L13" s="521">
        <v>9</v>
      </c>
      <c r="M13" s="521">
        <v>10</v>
      </c>
      <c r="N13" s="521">
        <v>11</v>
      </c>
      <c r="O13" s="522">
        <v>12</v>
      </c>
      <c r="P13" s="1674"/>
      <c r="Q13" s="16"/>
      <c r="R13" s="1730"/>
      <c r="S13" s="1968"/>
      <c r="T13" s="2571"/>
      <c r="U13" s="1967"/>
      <c r="V13" s="228"/>
    </row>
    <row r="14" spans="1:22" s="1272" customFormat="1" ht="15" customHeight="1">
      <c r="A14" s="1712"/>
      <c r="B14" s="1665"/>
      <c r="C14" s="1665"/>
      <c r="D14" s="1665"/>
      <c r="E14" s="1665"/>
      <c r="F14" s="1665"/>
      <c r="G14" s="1665"/>
      <c r="H14" s="1665"/>
      <c r="I14" s="1665"/>
      <c r="J14" s="1665"/>
      <c r="K14" s="1665"/>
      <c r="L14" s="1665"/>
      <c r="M14" s="1665"/>
      <c r="N14" s="1665"/>
      <c r="O14" s="1665"/>
      <c r="P14" s="1963"/>
      <c r="Q14" s="1711"/>
      <c r="R14" s="275"/>
      <c r="S14" s="275"/>
      <c r="T14" s="275"/>
      <c r="U14" s="275"/>
      <c r="V14" s="275"/>
    </row>
    <row r="15" spans="1:22" ht="30" customHeight="1" thickBot="1">
      <c r="A15" s="1628"/>
      <c r="B15" s="2277" t="s">
        <v>99</v>
      </c>
      <c r="C15" s="2454"/>
      <c r="D15" s="2454"/>
      <c r="E15" s="2454"/>
      <c r="F15" s="2454"/>
      <c r="G15" s="2455"/>
      <c r="H15" s="2455"/>
      <c r="I15" s="1665"/>
      <c r="J15" s="2456"/>
      <c r="K15" s="2456"/>
      <c r="L15" s="2456"/>
      <c r="M15" s="2456"/>
      <c r="N15" s="2456"/>
      <c r="O15" s="2456"/>
      <c r="P15" s="1674"/>
      <c r="Q15" s="16"/>
      <c r="R15" s="1320"/>
      <c r="S15" s="1320"/>
      <c r="T15" s="1320"/>
      <c r="U15" s="1320"/>
      <c r="V15" s="228"/>
    </row>
    <row r="16" spans="1:22" ht="24.95" customHeight="1" thickBot="1">
      <c r="A16" s="1628"/>
      <c r="B16" s="385" t="s">
        <v>483</v>
      </c>
      <c r="C16" s="1693"/>
      <c r="D16" s="431"/>
      <c r="E16" s="431"/>
      <c r="F16" s="431"/>
      <c r="G16" s="1694"/>
      <c r="H16" s="1710"/>
      <c r="I16" s="1665"/>
      <c r="J16" s="1695"/>
      <c r="K16" s="44"/>
      <c r="L16" s="44"/>
      <c r="M16" s="44"/>
      <c r="N16" s="44"/>
      <c r="O16" s="1696"/>
      <c r="P16" s="1674"/>
      <c r="Q16" s="16"/>
      <c r="R16" s="331"/>
      <c r="S16" s="331"/>
      <c r="T16" s="331"/>
      <c r="U16" s="331"/>
      <c r="V16" s="228"/>
    </row>
    <row r="17" spans="1:22" ht="24.95" customHeight="1">
      <c r="A17" s="1628"/>
      <c r="B17" s="2100" t="s">
        <v>42</v>
      </c>
      <c r="C17" s="1683">
        <v>181</v>
      </c>
      <c r="D17" s="2361">
        <v>3</v>
      </c>
      <c r="E17" s="2367">
        <f>SUM(C17:D17)</f>
        <v>184</v>
      </c>
      <c r="F17" s="1490">
        <v>2</v>
      </c>
      <c r="G17" s="1684">
        <f>SUM(E17:F17)</f>
        <v>186</v>
      </c>
      <c r="H17" s="1736">
        <v>3</v>
      </c>
      <c r="I17" s="275"/>
      <c r="J17" s="1685">
        <v>189</v>
      </c>
      <c r="K17" s="1701"/>
      <c r="L17" s="1702"/>
      <c r="M17" s="1702"/>
      <c r="N17" s="1703"/>
      <c r="O17" s="1684">
        <f>J17</f>
        <v>189</v>
      </c>
      <c r="P17" s="1677"/>
      <c r="Q17" s="19"/>
      <c r="R17" s="1731" t="str">
        <f>IF(AND(E17&gt;0,O17=0),"No enrolments",IF(AND(E17=0,O17&gt;0),"No intake",IF(AND(E17&gt;O17,O17&gt;0),"Intake larger than enrolments","OK")))</f>
        <v>OK</v>
      </c>
      <c r="S17" s="1969">
        <f>'T1 Main Table'!$G$22</f>
        <v>189</v>
      </c>
      <c r="T17" s="1724">
        <f>O17-S17</f>
        <v>0</v>
      </c>
      <c r="U17" s="1725" t="str">
        <f>IF(ABS(T17)&gt;0.1,"Does not equal Table 1","OK")</f>
        <v>OK</v>
      </c>
      <c r="V17" s="228"/>
    </row>
    <row r="18" spans="1:22" ht="24.95" customHeight="1" thickBot="1">
      <c r="A18" s="1628"/>
      <c r="B18" s="2100" t="s">
        <v>31</v>
      </c>
      <c r="C18" s="1683">
        <v>0</v>
      </c>
      <c r="D18" s="2361"/>
      <c r="E18" s="2367">
        <f>SUM(C18:D18)</f>
        <v>0</v>
      </c>
      <c r="F18" s="1490"/>
      <c r="G18" s="1684">
        <f>SUM(E18:F18)</f>
        <v>0</v>
      </c>
      <c r="H18" s="1736"/>
      <c r="I18" s="275"/>
      <c r="J18" s="1685">
        <v>0.5</v>
      </c>
      <c r="K18" s="1484"/>
      <c r="L18" s="1704"/>
      <c r="M18" s="1702"/>
      <c r="N18" s="1703"/>
      <c r="O18" s="1684">
        <f>SUM(J18:K18)</f>
        <v>0.5</v>
      </c>
      <c r="P18" s="1677"/>
      <c r="Q18" s="19"/>
      <c r="R18" s="1732" t="str">
        <f>IF(AND(E18&gt;0,O18=0),"No enrolments",IF(AND(E18=0,O18&gt;0),"No intake",IF(AND(E18&gt;O18,O18&gt;0),"Intake larger than enrolments",IF(AND(E18=O18,K18&gt;0),"Intake same as enrolments?","OK"))))</f>
        <v>No intake</v>
      </c>
      <c r="S18" s="2268">
        <f>'T1 Main Table'!$J$22</f>
        <v>0.5</v>
      </c>
      <c r="T18" s="2269">
        <f>O18-S18</f>
        <v>0</v>
      </c>
      <c r="U18" s="1318" t="str">
        <f>IF(ABS(T18)&gt;0.1,"Does not equal Table 1","OK")</f>
        <v>OK</v>
      </c>
      <c r="V18" s="228"/>
    </row>
    <row r="19" spans="1:22" ht="24.95" customHeight="1">
      <c r="A19" s="1628"/>
      <c r="B19" s="386" t="s">
        <v>2</v>
      </c>
      <c r="C19" s="2370">
        <f t="shared" ref="C19:H19" si="0">SUM(C17:C18)</f>
        <v>181</v>
      </c>
      <c r="D19" s="2371">
        <f t="shared" si="0"/>
        <v>3</v>
      </c>
      <c r="E19" s="2372">
        <f t="shared" si="0"/>
        <v>184</v>
      </c>
      <c r="F19" s="2371">
        <f t="shared" si="0"/>
        <v>2</v>
      </c>
      <c r="G19" s="2373">
        <f t="shared" si="0"/>
        <v>186</v>
      </c>
      <c r="H19" s="2374">
        <f t="shared" si="0"/>
        <v>3</v>
      </c>
      <c r="I19" s="1665"/>
      <c r="J19" s="1687">
        <f>SUM(J17:J18)</f>
        <v>189.5</v>
      </c>
      <c r="K19" s="1688">
        <f>K18</f>
        <v>0</v>
      </c>
      <c r="L19" s="1704"/>
      <c r="M19" s="1702"/>
      <c r="N19" s="1703"/>
      <c r="O19" s="1684">
        <f>SUM(O17:O18)</f>
        <v>189.5</v>
      </c>
      <c r="P19" s="1677"/>
      <c r="Q19" s="19"/>
      <c r="R19" s="1727"/>
      <c r="S19" s="1452"/>
      <c r="T19" s="1452"/>
      <c r="U19" s="1452"/>
      <c r="V19" s="228"/>
    </row>
    <row r="20" spans="1:22" ht="24.95" customHeight="1" thickBot="1">
      <c r="A20" s="1628"/>
      <c r="B20" s="2377" t="s">
        <v>399</v>
      </c>
      <c r="C20" s="1697"/>
      <c r="D20" s="2363"/>
      <c r="E20" s="2366"/>
      <c r="F20" s="2363"/>
      <c r="G20" s="2378"/>
      <c r="H20" s="2379"/>
      <c r="I20" s="1665"/>
      <c r="J20" s="1699"/>
      <c r="K20" s="1700"/>
      <c r="L20" s="1700"/>
      <c r="M20" s="1700"/>
      <c r="N20" s="1700"/>
      <c r="O20" s="1698"/>
      <c r="P20" s="1674"/>
      <c r="Q20" s="16"/>
      <c r="R20" s="2270"/>
      <c r="S20" s="276"/>
      <c r="T20" s="276"/>
      <c r="U20" s="276"/>
      <c r="V20" s="228"/>
    </row>
    <row r="21" spans="1:22" ht="24.95" customHeight="1">
      <c r="A21" s="1628"/>
      <c r="B21" s="2100" t="s">
        <v>42</v>
      </c>
      <c r="C21" s="1683"/>
      <c r="D21" s="2361"/>
      <c r="E21" s="2367">
        <f>SUM(C21:D21)</f>
        <v>0</v>
      </c>
      <c r="F21" s="2361"/>
      <c r="G21" s="2365">
        <f>SUM(E21:F21)</f>
        <v>0</v>
      </c>
      <c r="H21" s="1736"/>
      <c r="I21" s="275"/>
      <c r="J21" s="1685"/>
      <c r="K21" s="1701"/>
      <c r="L21" s="1702"/>
      <c r="M21" s="1702"/>
      <c r="N21" s="1703"/>
      <c r="O21" s="1684">
        <f>J21</f>
        <v>0</v>
      </c>
      <c r="P21" s="1677"/>
      <c r="Q21" s="19"/>
      <c r="R21" s="1731" t="str">
        <f>IF(AND(E21&gt;0,O21=0),"No enrolments",IF(AND(E21=0,O21&gt;0),"No intake",IF(AND(E21&gt;O21,O21&gt;0),"Intake larger than enrolments","OK")))</f>
        <v>OK</v>
      </c>
      <c r="S21" s="1969">
        <f>'T1 Main Table'!$G$23</f>
        <v>0</v>
      </c>
      <c r="T21" s="1724">
        <f>O21-S21</f>
        <v>0</v>
      </c>
      <c r="U21" s="1725" t="str">
        <f>IF(ABS(T21)&gt;0.1,"Does not equal Table 1","OK")</f>
        <v>OK</v>
      </c>
      <c r="V21" s="228"/>
    </row>
    <row r="22" spans="1:22" ht="24.95" customHeight="1" thickBot="1">
      <c r="A22" s="1628"/>
      <c r="B22" s="2100" t="s">
        <v>31</v>
      </c>
      <c r="C22" s="1683"/>
      <c r="D22" s="2361"/>
      <c r="E22" s="2367">
        <f>SUM(C22:D22)</f>
        <v>0</v>
      </c>
      <c r="F22" s="2361"/>
      <c r="G22" s="2365">
        <f>SUM(E22:F22)</f>
        <v>0</v>
      </c>
      <c r="H22" s="1736"/>
      <c r="I22" s="275"/>
      <c r="J22" s="1685"/>
      <c r="K22" s="1484"/>
      <c r="L22" s="1704"/>
      <c r="M22" s="1702"/>
      <c r="N22" s="1703"/>
      <c r="O22" s="1684">
        <f>SUM(J22:K22)</f>
        <v>0</v>
      </c>
      <c r="P22" s="1677"/>
      <c r="Q22" s="19"/>
      <c r="R22" s="1733" t="str">
        <f>IF(AND(E22&gt;0,O22=0),"No enrolments",IF(AND(E22=0,O22&gt;0),"No intake",IF(AND(E22&gt;O22,O22&gt;0),"Intake larger than enrolments",IF(AND(E22=O22,K22&gt;0),"Intake same as enrolments?","OK"))))</f>
        <v>OK</v>
      </c>
      <c r="S22" s="1976">
        <f>'T1 Main Table'!$J$23</f>
        <v>0</v>
      </c>
      <c r="T22" s="1740">
        <f>O22-S22</f>
        <v>0</v>
      </c>
      <c r="U22" s="26" t="str">
        <f>IF(ABS(T22)&gt;0.1,"Does not equal Table 1","OK")</f>
        <v>OK</v>
      </c>
      <c r="V22" s="228"/>
    </row>
    <row r="23" spans="1:22" ht="24.95" customHeight="1">
      <c r="A23" s="1628"/>
      <c r="B23" s="2380" t="s">
        <v>2</v>
      </c>
      <c r="C23" s="1686">
        <f t="shared" ref="C23:H23" si="1">SUM(C21:C22)</f>
        <v>0</v>
      </c>
      <c r="D23" s="2362">
        <f t="shared" si="1"/>
        <v>0</v>
      </c>
      <c r="E23" s="2367">
        <f t="shared" si="1"/>
        <v>0</v>
      </c>
      <c r="F23" s="2362">
        <f t="shared" si="1"/>
        <v>0</v>
      </c>
      <c r="G23" s="2365">
        <f t="shared" si="1"/>
        <v>0</v>
      </c>
      <c r="H23" s="1737">
        <f t="shared" si="1"/>
        <v>0</v>
      </c>
      <c r="I23" s="1665"/>
      <c r="J23" s="1687">
        <f>SUM(J21:J22)</f>
        <v>0</v>
      </c>
      <c r="K23" s="1688">
        <f>K22</f>
        <v>0</v>
      </c>
      <c r="L23" s="1704"/>
      <c r="M23" s="1702"/>
      <c r="N23" s="1703"/>
      <c r="O23" s="1684">
        <f>SUM(O21:O22)</f>
        <v>0</v>
      </c>
      <c r="P23" s="1677"/>
      <c r="Q23" s="19"/>
      <c r="R23" s="1320"/>
      <c r="S23" s="276"/>
      <c r="T23" s="276"/>
      <c r="U23" s="276"/>
      <c r="V23" s="228"/>
    </row>
    <row r="24" spans="1:22" ht="24.95" customHeight="1">
      <c r="A24" s="1628"/>
      <c r="B24" s="385" t="s">
        <v>400</v>
      </c>
      <c r="C24" s="2375"/>
      <c r="D24" s="415"/>
      <c r="E24" s="2376"/>
      <c r="F24" s="415"/>
      <c r="G24" s="1694"/>
      <c r="H24" s="1710"/>
      <c r="I24" s="1665"/>
      <c r="J24" s="1699"/>
      <c r="K24" s="1700"/>
      <c r="L24" s="1700"/>
      <c r="M24" s="1700"/>
      <c r="N24" s="1700"/>
      <c r="O24" s="1698"/>
      <c r="P24" s="1674"/>
      <c r="Q24" s="414"/>
      <c r="R24" s="275"/>
      <c r="S24" s="275"/>
      <c r="T24" s="275"/>
      <c r="U24" s="275"/>
      <c r="V24" s="228"/>
    </row>
    <row r="25" spans="1:22" ht="24.95" customHeight="1">
      <c r="A25" s="1628"/>
      <c r="B25" s="2100" t="s">
        <v>42</v>
      </c>
      <c r="C25" s="2368">
        <f>SUM(C17,C21)</f>
        <v>181</v>
      </c>
      <c r="D25" s="746">
        <f>SUM(D17,D21)</f>
        <v>3</v>
      </c>
      <c r="E25" s="2367">
        <f>SUM(C25:D25)</f>
        <v>184</v>
      </c>
      <c r="F25" s="1709">
        <f>SUM(F17,F21)</f>
        <v>2</v>
      </c>
      <c r="G25" s="1684">
        <f>SUM(E25:F25)</f>
        <v>186</v>
      </c>
      <c r="H25" s="1738">
        <f>SUM(H17,H21)</f>
        <v>3</v>
      </c>
      <c r="I25" s="275"/>
      <c r="J25" s="1708">
        <f>SUM(J17,J21)</f>
        <v>189</v>
      </c>
      <c r="K25" s="1701"/>
      <c r="L25" s="1702"/>
      <c r="M25" s="1702"/>
      <c r="N25" s="1703"/>
      <c r="O25" s="1684">
        <f>J25</f>
        <v>189</v>
      </c>
      <c r="P25" s="1677"/>
      <c r="Q25" s="1723"/>
      <c r="R25" s="275"/>
      <c r="S25" s="275"/>
      <c r="T25" s="275"/>
      <c r="U25" s="275"/>
      <c r="V25" s="228"/>
    </row>
    <row r="26" spans="1:22" ht="24.95" customHeight="1">
      <c r="A26" s="1628"/>
      <c r="B26" s="2100" t="s">
        <v>31</v>
      </c>
      <c r="C26" s="2368">
        <f>SUM(C18,C22)</f>
        <v>0</v>
      </c>
      <c r="D26" s="746">
        <f>SUM(D18,D22)</f>
        <v>0</v>
      </c>
      <c r="E26" s="2367">
        <f>SUM(C26:D26)</f>
        <v>0</v>
      </c>
      <c r="F26" s="1709">
        <f>SUM(F18,F22)</f>
        <v>0</v>
      </c>
      <c r="G26" s="1684">
        <f>SUM(E26:F26)</f>
        <v>0</v>
      </c>
      <c r="H26" s="1738">
        <f>SUM(H18,H22)</f>
        <v>0</v>
      </c>
      <c r="I26" s="275"/>
      <c r="J26" s="1708">
        <f>SUM(J18,J22)</f>
        <v>0.5</v>
      </c>
      <c r="K26" s="1709">
        <f>SUM(K18,K22)</f>
        <v>0</v>
      </c>
      <c r="L26" s="1704"/>
      <c r="M26" s="1702"/>
      <c r="N26" s="1703"/>
      <c r="O26" s="1684">
        <f>SUM(J26:K26)</f>
        <v>0.5</v>
      </c>
      <c r="P26" s="1677"/>
      <c r="Q26" s="1723"/>
      <c r="R26" s="275"/>
      <c r="S26" s="275"/>
      <c r="T26" s="275"/>
      <c r="U26" s="275"/>
      <c r="V26" s="228"/>
    </row>
    <row r="27" spans="1:22" ht="24.95" customHeight="1" thickBot="1">
      <c r="A27" s="1628"/>
      <c r="B27" s="387" t="s">
        <v>2</v>
      </c>
      <c r="C27" s="2369">
        <f t="shared" ref="C27:H27" si="2">SUM(C25:C26)</f>
        <v>181</v>
      </c>
      <c r="D27" s="1692">
        <f t="shared" si="2"/>
        <v>3</v>
      </c>
      <c r="E27" s="1741">
        <f t="shared" si="2"/>
        <v>184</v>
      </c>
      <c r="F27" s="1690">
        <f t="shared" si="2"/>
        <v>2</v>
      </c>
      <c r="G27" s="1691">
        <f t="shared" si="2"/>
        <v>186</v>
      </c>
      <c r="H27" s="1739">
        <f t="shared" si="2"/>
        <v>3</v>
      </c>
      <c r="I27" s="1665"/>
      <c r="J27" s="1689">
        <f>SUM(J25:J26)</f>
        <v>189.5</v>
      </c>
      <c r="K27" s="1692">
        <f>K26</f>
        <v>0</v>
      </c>
      <c r="L27" s="1705"/>
      <c r="M27" s="1706"/>
      <c r="N27" s="1707"/>
      <c r="O27" s="1691">
        <f>SUM(J27:K27)</f>
        <v>189.5</v>
      </c>
      <c r="P27" s="1677"/>
      <c r="Q27" s="1711"/>
      <c r="R27" s="275"/>
      <c r="S27" s="275"/>
      <c r="T27" s="275"/>
      <c r="U27" s="275"/>
      <c r="V27" s="228"/>
    </row>
    <row r="28" spans="1:22" s="1272" customFormat="1" ht="15" customHeight="1">
      <c r="A28" s="1712"/>
      <c r="B28" s="1665"/>
      <c r="C28" s="1665"/>
      <c r="D28" s="1665"/>
      <c r="E28" s="1665"/>
      <c r="F28" s="1665"/>
      <c r="G28" s="1665"/>
      <c r="H28" s="1665"/>
      <c r="I28" s="1665"/>
      <c r="J28" s="1665"/>
      <c r="K28" s="1665"/>
      <c r="L28" s="1665"/>
      <c r="M28" s="1665"/>
      <c r="N28" s="1665"/>
      <c r="O28" s="1665"/>
      <c r="P28" s="1963"/>
      <c r="Q28" s="1711"/>
      <c r="R28" s="275"/>
      <c r="S28" s="275"/>
      <c r="T28" s="275"/>
      <c r="U28" s="275"/>
      <c r="V28" s="275"/>
    </row>
    <row r="29" spans="1:22" s="630" customFormat="1" ht="30" customHeight="1" thickBot="1">
      <c r="A29" s="1628"/>
      <c r="B29" s="2277" t="s">
        <v>100</v>
      </c>
      <c r="C29" s="2454"/>
      <c r="D29" s="2454"/>
      <c r="E29" s="2454"/>
      <c r="F29" s="2454"/>
      <c r="G29" s="2455"/>
      <c r="H29" s="2455"/>
      <c r="I29" s="1665"/>
      <c r="J29" s="2456"/>
      <c r="K29" s="2456"/>
      <c r="L29" s="2456"/>
      <c r="M29" s="2456"/>
      <c r="N29" s="2456"/>
      <c r="O29" s="2456"/>
      <c r="P29" s="16"/>
      <c r="Q29" s="1665"/>
      <c r="R29" s="275"/>
      <c r="S29" s="275"/>
      <c r="T29" s="275"/>
      <c r="U29" s="275"/>
      <c r="V29" s="224"/>
    </row>
    <row r="30" spans="1:22" ht="24.95" customHeight="1" thickBot="1">
      <c r="A30" s="1628"/>
      <c r="B30" s="385" t="s">
        <v>483</v>
      </c>
      <c r="C30" s="1693"/>
      <c r="D30" s="431"/>
      <c r="E30" s="431"/>
      <c r="F30" s="431"/>
      <c r="G30" s="1694"/>
      <c r="H30" s="1710"/>
      <c r="I30" s="1665"/>
      <c r="J30" s="1695"/>
      <c r="K30" s="44"/>
      <c r="L30" s="44"/>
      <c r="M30" s="44"/>
      <c r="N30" s="44"/>
      <c r="O30" s="1696"/>
      <c r="P30" s="1674"/>
      <c r="Q30" s="1665"/>
      <c r="R30" s="1726"/>
      <c r="S30" s="1726"/>
      <c r="T30" s="1726"/>
      <c r="U30" s="1726"/>
      <c r="V30" s="228"/>
    </row>
    <row r="31" spans="1:22" ht="24.95" customHeight="1">
      <c r="A31" s="1628"/>
      <c r="B31" s="2100" t="s">
        <v>42</v>
      </c>
      <c r="C31" s="1683">
        <v>211</v>
      </c>
      <c r="D31" s="2361">
        <v>9</v>
      </c>
      <c r="E31" s="2367">
        <f>SUM(C31:D31)</f>
        <v>220</v>
      </c>
      <c r="F31" s="1490">
        <v>5</v>
      </c>
      <c r="G31" s="1684">
        <f>SUM(E31:F31)</f>
        <v>225</v>
      </c>
      <c r="H31" s="1736">
        <v>2</v>
      </c>
      <c r="I31" s="275"/>
      <c r="J31" s="1685">
        <v>226</v>
      </c>
      <c r="K31" s="1701"/>
      <c r="L31" s="1702"/>
      <c r="M31" s="1702"/>
      <c r="N31" s="1703"/>
      <c r="O31" s="1684">
        <f>J31</f>
        <v>226</v>
      </c>
      <c r="P31" s="1677"/>
      <c r="Q31" s="1711"/>
      <c r="R31" s="1731" t="str">
        <f>IF(AND(E31&gt;0,O31=0),"No enrolments",IF(AND(E31=0,O31&gt;0),"No intake",IF(AND(E31&gt;O31,O31&gt;0),"Intake larger than enrolments","OK")))</f>
        <v>OK</v>
      </c>
      <c r="S31" s="1969">
        <f>'T1 Main Table'!$G$26</f>
        <v>226</v>
      </c>
      <c r="T31" s="1724">
        <f>O31-S31</f>
        <v>0</v>
      </c>
      <c r="U31" s="1725" t="str">
        <f>IF(ABS(T31)&gt;0.1,"Does not equal Table 1","OK")</f>
        <v>OK</v>
      </c>
      <c r="V31" s="228"/>
    </row>
    <row r="32" spans="1:22" ht="24.95" customHeight="1" thickBot="1">
      <c r="A32" s="1628"/>
      <c r="B32" s="2100" t="s">
        <v>31</v>
      </c>
      <c r="C32" s="1683">
        <v>0</v>
      </c>
      <c r="D32" s="2361"/>
      <c r="E32" s="2367">
        <f>SUM(C32:D32)</f>
        <v>0</v>
      </c>
      <c r="F32" s="1490"/>
      <c r="G32" s="1684">
        <f>SUM(E32:F32)</f>
        <v>0</v>
      </c>
      <c r="H32" s="1736"/>
      <c r="I32" s="275"/>
      <c r="J32" s="1685">
        <v>1</v>
      </c>
      <c r="K32" s="1484"/>
      <c r="L32" s="1704"/>
      <c r="M32" s="1702"/>
      <c r="N32" s="1703"/>
      <c r="O32" s="1684">
        <f>SUM(J32:K32)</f>
        <v>1</v>
      </c>
      <c r="P32" s="1677"/>
      <c r="Q32" s="1711"/>
      <c r="R32" s="1733" t="str">
        <f>IF(AND(E32&gt;0,O32=0),"No enrolments",IF(AND(E32=0,O32&gt;0),"No intake",IF(AND(E32&gt;O32,O32&gt;0),"Intake larger than enrolments",IF(AND(E32=O32,K32&gt;0),"Intake same as enrolments?","OK"))))</f>
        <v>No intake</v>
      </c>
      <c r="S32" s="1976">
        <f>'T1 Main Table'!$J$26</f>
        <v>1</v>
      </c>
      <c r="T32" s="1740">
        <f>O32-S32</f>
        <v>0</v>
      </c>
      <c r="U32" s="26" t="str">
        <f>IF(ABS(T32)&gt;0.1,"Does not equal Table 1","OK")</f>
        <v>OK</v>
      </c>
      <c r="V32" s="228"/>
    </row>
    <row r="33" spans="1:22" ht="24.95" customHeight="1">
      <c r="A33" s="1628"/>
      <c r="B33" s="386" t="s">
        <v>2</v>
      </c>
      <c r="C33" s="2370">
        <f t="shared" ref="C33:H33" si="3">SUM(C31:C32)</f>
        <v>211</v>
      </c>
      <c r="D33" s="2371">
        <f t="shared" si="3"/>
        <v>9</v>
      </c>
      <c r="E33" s="2372">
        <f t="shared" si="3"/>
        <v>220</v>
      </c>
      <c r="F33" s="2371">
        <f t="shared" si="3"/>
        <v>5</v>
      </c>
      <c r="G33" s="2373">
        <f t="shared" si="3"/>
        <v>225</v>
      </c>
      <c r="H33" s="2374">
        <f t="shared" si="3"/>
        <v>2</v>
      </c>
      <c r="I33" s="1665"/>
      <c r="J33" s="1687">
        <f>SUM(J31:J32)</f>
        <v>227</v>
      </c>
      <c r="K33" s="1688">
        <f>K32</f>
        <v>0</v>
      </c>
      <c r="L33" s="1704"/>
      <c r="M33" s="1702"/>
      <c r="N33" s="1703"/>
      <c r="O33" s="1684">
        <f>SUM(O31:O32)</f>
        <v>227</v>
      </c>
      <c r="P33" s="1677"/>
      <c r="Q33" s="1711"/>
      <c r="R33" s="1727"/>
      <c r="S33" s="1452"/>
      <c r="T33" s="1452"/>
      <c r="U33" s="1452"/>
      <c r="V33" s="228"/>
    </row>
    <row r="34" spans="1:22" ht="24.95" customHeight="1" thickBot="1">
      <c r="A34" s="1628"/>
      <c r="B34" s="2377" t="s">
        <v>399</v>
      </c>
      <c r="C34" s="1697"/>
      <c r="D34" s="2363"/>
      <c r="E34" s="2366"/>
      <c r="F34" s="2363"/>
      <c r="G34" s="2378"/>
      <c r="H34" s="2379"/>
      <c r="I34" s="1665"/>
      <c r="J34" s="1699"/>
      <c r="K34" s="1700"/>
      <c r="L34" s="1700"/>
      <c r="M34" s="1700"/>
      <c r="N34" s="1700"/>
      <c r="O34" s="1698"/>
      <c r="P34" s="1674"/>
      <c r="Q34" s="1665"/>
      <c r="R34" s="2270"/>
      <c r="S34" s="276"/>
      <c r="T34" s="276"/>
      <c r="U34" s="276"/>
      <c r="V34" s="228"/>
    </row>
    <row r="35" spans="1:22" ht="24.95" customHeight="1">
      <c r="A35" s="1628"/>
      <c r="B35" s="2100" t="s">
        <v>42</v>
      </c>
      <c r="C35" s="1683"/>
      <c r="D35" s="2361"/>
      <c r="E35" s="2367">
        <f>SUM(C35:D35)</f>
        <v>0</v>
      </c>
      <c r="F35" s="2361"/>
      <c r="G35" s="2365">
        <f>SUM(E35:F35)</f>
        <v>0</v>
      </c>
      <c r="H35" s="1736"/>
      <c r="I35" s="275"/>
      <c r="J35" s="1685"/>
      <c r="K35" s="1701"/>
      <c r="L35" s="1702"/>
      <c r="M35" s="1702"/>
      <c r="N35" s="1703"/>
      <c r="O35" s="1684">
        <f>J35</f>
        <v>0</v>
      </c>
      <c r="P35" s="1677"/>
      <c r="Q35" s="1711"/>
      <c r="R35" s="1731" t="str">
        <f>IF(AND(E35&gt;0,O35=0),"No enrolments",IF(AND(E35=0,O35&gt;0),"No intake",IF(AND(E35&gt;O35,O35&gt;0),"Intake larger than enrolments","OK")))</f>
        <v>OK</v>
      </c>
      <c r="S35" s="1969">
        <f>'T1 Main Table'!$G$27</f>
        <v>0</v>
      </c>
      <c r="T35" s="1724">
        <f>O35-S35</f>
        <v>0</v>
      </c>
      <c r="U35" s="1725" t="str">
        <f>IF(ABS(T35)&gt;0.1,"Does not equal Table 1","OK")</f>
        <v>OK</v>
      </c>
      <c r="V35" s="228"/>
    </row>
    <row r="36" spans="1:22" ht="24.95" customHeight="1" thickBot="1">
      <c r="A36" s="1628"/>
      <c r="B36" s="2100" t="s">
        <v>31</v>
      </c>
      <c r="C36" s="1683"/>
      <c r="D36" s="2361"/>
      <c r="E36" s="2367">
        <f>SUM(C36:D36)</f>
        <v>0</v>
      </c>
      <c r="F36" s="2361"/>
      <c r="G36" s="2365">
        <f>SUM(E36:F36)</f>
        <v>0</v>
      </c>
      <c r="H36" s="1736"/>
      <c r="I36" s="275"/>
      <c r="J36" s="1685"/>
      <c r="K36" s="1484"/>
      <c r="L36" s="1704"/>
      <c r="M36" s="1702"/>
      <c r="N36" s="1703"/>
      <c r="O36" s="1684">
        <f>SUM(J36:K36)</f>
        <v>0</v>
      </c>
      <c r="P36" s="1677"/>
      <c r="Q36" s="1711"/>
      <c r="R36" s="1733" t="str">
        <f>IF(AND(E36&gt;0,O36=0),"No enrolments",IF(AND(E36=0,O36&gt;0),"No intake",IF(AND(E36&gt;O36,O36&gt;0),"Intake larger than enrolments",IF(AND(E36=O36,K36&gt;0),"Intake same as enrolments?","OK"))))</f>
        <v>OK</v>
      </c>
      <c r="S36" s="1976">
        <f>'T1 Main Table'!$J$27</f>
        <v>0</v>
      </c>
      <c r="T36" s="1740">
        <f>O36-S36</f>
        <v>0</v>
      </c>
      <c r="U36" s="26" t="str">
        <f>IF(ABS(T36)&gt;0.1,"Does not equal Table 1","OK")</f>
        <v>OK</v>
      </c>
      <c r="V36" s="228"/>
    </row>
    <row r="37" spans="1:22" ht="24.95" customHeight="1">
      <c r="A37" s="1628"/>
      <c r="B37" s="2380" t="s">
        <v>2</v>
      </c>
      <c r="C37" s="1686">
        <f t="shared" ref="C37:H37" si="4">SUM(C35:C36)</f>
        <v>0</v>
      </c>
      <c r="D37" s="2362">
        <f t="shared" si="4"/>
        <v>0</v>
      </c>
      <c r="E37" s="2367">
        <f t="shared" si="4"/>
        <v>0</v>
      </c>
      <c r="F37" s="2362">
        <f t="shared" si="4"/>
        <v>0</v>
      </c>
      <c r="G37" s="2365">
        <f t="shared" si="4"/>
        <v>0</v>
      </c>
      <c r="H37" s="1737">
        <f t="shared" si="4"/>
        <v>0</v>
      </c>
      <c r="I37" s="1665"/>
      <c r="J37" s="1687">
        <f>SUM(J35:J36)</f>
        <v>0</v>
      </c>
      <c r="K37" s="1688">
        <f>K36</f>
        <v>0</v>
      </c>
      <c r="L37" s="1704"/>
      <c r="M37" s="1702"/>
      <c r="N37" s="1703"/>
      <c r="O37" s="1684">
        <f>SUM(O35:O36)</f>
        <v>0</v>
      </c>
      <c r="P37" s="1677"/>
      <c r="Q37" s="1711"/>
      <c r="R37" s="1320"/>
      <c r="S37" s="276"/>
      <c r="T37" s="276"/>
      <c r="U37" s="276"/>
      <c r="V37" s="228"/>
    </row>
    <row r="38" spans="1:22" ht="24.95" customHeight="1">
      <c r="A38" s="1628"/>
      <c r="B38" s="385" t="s">
        <v>400</v>
      </c>
      <c r="C38" s="2375"/>
      <c r="D38" s="415"/>
      <c r="E38" s="2376"/>
      <c r="F38" s="415"/>
      <c r="G38" s="1694"/>
      <c r="H38" s="1710"/>
      <c r="I38" s="1665"/>
      <c r="J38" s="1699"/>
      <c r="K38" s="1700"/>
      <c r="L38" s="1700"/>
      <c r="M38" s="1700"/>
      <c r="N38" s="1700"/>
      <c r="O38" s="1698"/>
      <c r="P38" s="1674"/>
      <c r="Q38" s="1665"/>
      <c r="R38" s="275"/>
      <c r="S38" s="275"/>
      <c r="T38" s="275"/>
      <c r="U38" s="275"/>
      <c r="V38" s="228"/>
    </row>
    <row r="39" spans="1:22" ht="24.95" customHeight="1">
      <c r="A39" s="1628"/>
      <c r="B39" s="2100" t="s">
        <v>42</v>
      </c>
      <c r="C39" s="2368">
        <f>SUM(C31,C35)</f>
        <v>211</v>
      </c>
      <c r="D39" s="746">
        <f>SUM(D31,D35)</f>
        <v>9</v>
      </c>
      <c r="E39" s="2367">
        <f>SUM(C39:D39)</f>
        <v>220</v>
      </c>
      <c r="F39" s="1709">
        <f>SUM(F31,F35)</f>
        <v>5</v>
      </c>
      <c r="G39" s="1684">
        <f>SUM(E39:F39)</f>
        <v>225</v>
      </c>
      <c r="H39" s="1738">
        <f>SUM(H31,H35)</f>
        <v>2</v>
      </c>
      <c r="I39" s="275"/>
      <c r="J39" s="1708">
        <f>SUM(J31,J35)</f>
        <v>226</v>
      </c>
      <c r="K39" s="1701"/>
      <c r="L39" s="1702"/>
      <c r="M39" s="1702"/>
      <c r="N39" s="1703"/>
      <c r="O39" s="1684">
        <f>J39</f>
        <v>226</v>
      </c>
      <c r="P39" s="1677"/>
      <c r="Q39" s="1711"/>
      <c r="R39" s="275"/>
      <c r="S39" s="275"/>
      <c r="T39" s="275"/>
      <c r="U39" s="275"/>
      <c r="V39" s="228"/>
    </row>
    <row r="40" spans="1:22" ht="24.95" customHeight="1">
      <c r="A40" s="1628"/>
      <c r="B40" s="2100" t="s">
        <v>31</v>
      </c>
      <c r="C40" s="2368">
        <f>SUM(C32,C36)</f>
        <v>0</v>
      </c>
      <c r="D40" s="746">
        <f>SUM(D32,D36)</f>
        <v>0</v>
      </c>
      <c r="E40" s="2367">
        <f>SUM(C40:D40)</f>
        <v>0</v>
      </c>
      <c r="F40" s="1709">
        <f>SUM(F32,F36)</f>
        <v>0</v>
      </c>
      <c r="G40" s="1684">
        <f>SUM(E40:F40)</f>
        <v>0</v>
      </c>
      <c r="H40" s="1738">
        <f>SUM(H32,H36)</f>
        <v>0</v>
      </c>
      <c r="I40" s="275"/>
      <c r="J40" s="1708">
        <f>SUM(J32,J36)</f>
        <v>1</v>
      </c>
      <c r="K40" s="1709">
        <f>SUM(K32,K36)</f>
        <v>0</v>
      </c>
      <c r="L40" s="1704"/>
      <c r="M40" s="1702"/>
      <c r="N40" s="1703"/>
      <c r="O40" s="1684">
        <f>SUM(J40:K40)</f>
        <v>1</v>
      </c>
      <c r="P40" s="1677"/>
      <c r="Q40" s="1711"/>
      <c r="R40" s="275"/>
      <c r="S40" s="275"/>
      <c r="T40" s="275"/>
      <c r="U40" s="275"/>
      <c r="V40" s="228"/>
    </row>
    <row r="41" spans="1:22" ht="24.95" customHeight="1" thickBot="1">
      <c r="A41" s="1628"/>
      <c r="B41" s="387" t="s">
        <v>2</v>
      </c>
      <c r="C41" s="2369">
        <f t="shared" ref="C41:H41" si="5">SUM(C39:C40)</f>
        <v>211</v>
      </c>
      <c r="D41" s="1692">
        <f t="shared" si="5"/>
        <v>9</v>
      </c>
      <c r="E41" s="1741">
        <f t="shared" si="5"/>
        <v>220</v>
      </c>
      <c r="F41" s="1690">
        <f t="shared" si="5"/>
        <v>5</v>
      </c>
      <c r="G41" s="1691">
        <f t="shared" si="5"/>
        <v>225</v>
      </c>
      <c r="H41" s="1739">
        <f t="shared" si="5"/>
        <v>2</v>
      </c>
      <c r="I41" s="1665"/>
      <c r="J41" s="1689">
        <f>SUM(J39:J40)</f>
        <v>227</v>
      </c>
      <c r="K41" s="1692">
        <f>K40</f>
        <v>0</v>
      </c>
      <c r="L41" s="1705"/>
      <c r="M41" s="1706"/>
      <c r="N41" s="1707"/>
      <c r="O41" s="1691">
        <f>SUM(J41:K41)</f>
        <v>227</v>
      </c>
      <c r="P41" s="1677"/>
      <c r="Q41" s="1711"/>
      <c r="R41" s="275"/>
      <c r="S41" s="275"/>
      <c r="T41" s="275"/>
      <c r="U41" s="275"/>
      <c r="V41" s="228"/>
    </row>
    <row r="42" spans="1:22" ht="15" customHeight="1" thickBot="1">
      <c r="A42" s="1712"/>
      <c r="B42" s="1713"/>
      <c r="C42" s="1714"/>
      <c r="D42" s="1714"/>
      <c r="E42" s="1714"/>
      <c r="F42" s="1714"/>
      <c r="G42" s="1714"/>
      <c r="H42" s="1714"/>
      <c r="I42" s="1665"/>
      <c r="J42" s="1714"/>
      <c r="K42" s="1714"/>
      <c r="L42" s="1714"/>
      <c r="M42" s="1714"/>
      <c r="N42" s="1714"/>
      <c r="O42" s="1714"/>
      <c r="P42" s="1963"/>
      <c r="Q42" s="1711"/>
      <c r="R42" s="275"/>
      <c r="S42" s="275"/>
      <c r="T42" s="275"/>
      <c r="U42" s="275"/>
      <c r="V42" s="228"/>
    </row>
    <row r="43" spans="1:22" ht="30" customHeight="1" thickBot="1">
      <c r="A43" s="1628"/>
      <c r="B43" s="2099" t="s">
        <v>361</v>
      </c>
      <c r="C43" s="1721">
        <v>136</v>
      </c>
      <c r="D43" s="1373"/>
      <c r="E43" s="2381">
        <f>SUM(C43:D43)</f>
        <v>136</v>
      </c>
      <c r="F43" s="1373"/>
      <c r="G43" s="22">
        <f>SUM(E43:F43)</f>
        <v>136</v>
      </c>
      <c r="H43" s="2395">
        <v>2</v>
      </c>
      <c r="I43" s="275"/>
      <c r="J43" s="1722">
        <v>134</v>
      </c>
      <c r="K43" s="1375">
        <v>132</v>
      </c>
      <c r="L43" s="1375">
        <v>118</v>
      </c>
      <c r="M43" s="1375">
        <v>127.46</v>
      </c>
      <c r="N43" s="1375">
        <v>57</v>
      </c>
      <c r="O43" s="22">
        <f>SUM(J43:N43)</f>
        <v>568.46</v>
      </c>
      <c r="P43" s="1677"/>
      <c r="Q43" s="1711"/>
      <c r="R43" s="1734" t="str">
        <f>IF(AND(E43&gt;0,O43=0),"No enrolments",IF(AND(E43=0,O43&gt;0),"No intake",IF(AND(E43&gt;O43,O43&gt;0),"Intake larger than enrolments",IF(AND(E43=O43,SUM(K43:M43)&gt;0),"Intake same as enrolments?","OK"))))</f>
        <v>OK</v>
      </c>
      <c r="S43" s="1975">
        <f>'T1 Main Table'!$M$41</f>
        <v>568.46</v>
      </c>
      <c r="T43" s="1728">
        <f>O43-S43</f>
        <v>0</v>
      </c>
      <c r="U43" s="1971" t="str">
        <f>IF(ABS(T43)&gt;0.1,"Does not equal Table 1","OK")</f>
        <v>OK</v>
      </c>
      <c r="V43" s="228"/>
    </row>
    <row r="44" spans="1:22" ht="15" customHeight="1">
      <c r="A44" s="1712"/>
      <c r="B44" s="1665"/>
      <c r="C44" s="1678"/>
      <c r="D44" s="1678"/>
      <c r="E44" s="1665"/>
      <c r="F44" s="1678"/>
      <c r="G44" s="1678"/>
      <c r="H44" s="1678"/>
      <c r="I44" s="1665"/>
      <c r="J44" s="1678"/>
      <c r="K44" s="1678"/>
      <c r="L44" s="1678"/>
      <c r="M44" s="1678"/>
      <c r="N44" s="1678"/>
      <c r="O44" s="1678"/>
      <c r="P44" s="1963"/>
      <c r="Q44" s="1711"/>
      <c r="R44" s="275"/>
      <c r="S44" s="275"/>
      <c r="T44" s="275"/>
      <c r="U44" s="275"/>
      <c r="V44" s="228"/>
    </row>
    <row r="45" spans="1:22" ht="30" customHeight="1" thickBot="1">
      <c r="A45" s="1628"/>
      <c r="B45" s="2277" t="s">
        <v>401</v>
      </c>
      <c r="C45" s="2454"/>
      <c r="D45" s="2454"/>
      <c r="E45" s="2454"/>
      <c r="F45" s="2454"/>
      <c r="G45" s="2455"/>
      <c r="H45" s="1662"/>
      <c r="I45" s="1665"/>
      <c r="J45" s="2456"/>
      <c r="K45" s="2456"/>
      <c r="L45" s="2456"/>
      <c r="M45" s="2456"/>
      <c r="N45" s="2456"/>
      <c r="O45" s="2456"/>
      <c r="P45" s="1674"/>
      <c r="Q45" s="1665"/>
      <c r="R45" s="275"/>
      <c r="S45" s="275"/>
      <c r="T45" s="275"/>
      <c r="U45" s="275"/>
      <c r="V45" s="228"/>
    </row>
    <row r="46" spans="1:22" ht="30" customHeight="1">
      <c r="A46" s="1628"/>
      <c r="B46" s="385" t="s">
        <v>20</v>
      </c>
      <c r="C46" s="2044"/>
      <c r="D46" s="2045"/>
      <c r="E46" s="2382">
        <f>SUM(C46:D46)</f>
        <v>0</v>
      </c>
      <c r="F46" s="2045"/>
      <c r="G46" s="2046">
        <f>SUM(E46:F46)</f>
        <v>0</v>
      </c>
      <c r="H46" s="1671"/>
      <c r="I46" s="1665"/>
      <c r="J46" s="2047"/>
      <c r="K46" s="2048"/>
      <c r="L46" s="2048"/>
      <c r="M46" s="2048"/>
      <c r="N46" s="2049"/>
      <c r="O46" s="2046">
        <f>SUM(J46:M46)</f>
        <v>0</v>
      </c>
      <c r="P46" s="1677"/>
      <c r="Q46" s="1711"/>
      <c r="R46" s="1731" t="str">
        <f>IF(AND(E46&gt;0,O46=0),"No enrolments",IF(AND(E46=0,O46&gt;0),"No intake",IF(AND(E46&gt;O46,O46&gt;0),"Intake larger than enrolments",IF(AND(E46=O46,SUM(K46:M46)&gt;0),"Intake same as enrolments?","OK"))))</f>
        <v>OK</v>
      </c>
      <c r="S46" s="1969">
        <f>'T1 Main Table'!$M$42</f>
        <v>0</v>
      </c>
      <c r="T46" s="1724">
        <f t="shared" ref="T46:T48" si="6">O46-S46</f>
        <v>0</v>
      </c>
      <c r="U46" s="1972" t="str">
        <f t="shared" ref="U46:U48" si="7">IF(ABS(T46)&gt;0.1,"Does not equal Table 1","OK")</f>
        <v>OK</v>
      </c>
      <c r="V46" s="228"/>
    </row>
    <row r="47" spans="1:22" ht="30" customHeight="1">
      <c r="A47" s="1628"/>
      <c r="B47" s="385" t="s">
        <v>21</v>
      </c>
      <c r="C47" s="1683"/>
      <c r="D47" s="2361"/>
      <c r="E47" s="2367">
        <f>SUM(C47:D47)</f>
        <v>0</v>
      </c>
      <c r="F47" s="1490"/>
      <c r="G47" s="661">
        <f>SUM(E47:F47)</f>
        <v>0</v>
      </c>
      <c r="H47" s="1671"/>
      <c r="I47" s="1665"/>
      <c r="J47" s="1685"/>
      <c r="K47" s="1484"/>
      <c r="L47" s="1484"/>
      <c r="M47" s="1484"/>
      <c r="N47" s="1715"/>
      <c r="O47" s="661">
        <f>SUM(J47:M47)</f>
        <v>0</v>
      </c>
      <c r="P47" s="1677"/>
      <c r="Q47" s="1711"/>
      <c r="R47" s="1732" t="str">
        <f>IF(AND(E47&gt;0,O47=0),"No enrolments",IF(AND(E47=0,O47&gt;0),"No intake",IF(AND(E47&gt;O47,O47&gt;0),"Intake larger than enrolments",IF(AND(E47=O47,SUM(K47:M47)&gt;0),"Intake same as enrolments?","OK"))))</f>
        <v>OK</v>
      </c>
      <c r="S47" s="1970">
        <f>'T1 Main Table'!$M$43</f>
        <v>0</v>
      </c>
      <c r="T47" s="263">
        <f t="shared" si="6"/>
        <v>0</v>
      </c>
      <c r="U47" s="1973" t="str">
        <f t="shared" si="7"/>
        <v>OK</v>
      </c>
      <c r="V47" s="228"/>
    </row>
    <row r="48" spans="1:22" ht="30" customHeight="1" thickBot="1">
      <c r="A48" s="1628"/>
      <c r="B48" s="2099" t="s">
        <v>22</v>
      </c>
      <c r="C48" s="1721">
        <v>18</v>
      </c>
      <c r="D48" s="1373">
        <v>1</v>
      </c>
      <c r="E48" s="1741">
        <f>SUM(C48:D48)</f>
        <v>19</v>
      </c>
      <c r="F48" s="1373"/>
      <c r="G48" s="22">
        <f>SUM(E48:F48)</f>
        <v>19</v>
      </c>
      <c r="H48" s="1671"/>
      <c r="I48" s="1665"/>
      <c r="J48" s="1722">
        <v>19</v>
      </c>
      <c r="K48" s="1375">
        <v>19</v>
      </c>
      <c r="L48" s="1375">
        <v>20</v>
      </c>
      <c r="M48" s="1375">
        <v>24</v>
      </c>
      <c r="N48" s="1716"/>
      <c r="O48" s="22">
        <f>SUM(J48:M48)</f>
        <v>82</v>
      </c>
      <c r="P48" s="1677"/>
      <c r="Q48" s="1711"/>
      <c r="R48" s="1733" t="str">
        <f>IF(AND(E48&gt;0,O48=0),"No enrolments",IF(AND(E48=0,O48&gt;0),"No intake",IF(AND(E48&gt;O48,O48&gt;0),"Intake larger than enrolments",IF(AND(E48=O48,SUM(K48:M48)&gt;0),"Intake same as enrolments?","OK"))))</f>
        <v>OK</v>
      </c>
      <c r="S48" s="1976">
        <f>'T1 Main Table'!$M$44</f>
        <v>82</v>
      </c>
      <c r="T48" s="1740">
        <f t="shared" si="6"/>
        <v>0</v>
      </c>
      <c r="U48" s="1974" t="str">
        <f t="shared" si="7"/>
        <v>OK</v>
      </c>
      <c r="V48" s="228"/>
    </row>
    <row r="49" spans="1:22" ht="9.9499999999999993" customHeight="1">
      <c r="A49" s="1712"/>
      <c r="B49" s="1665"/>
      <c r="C49" s="1665"/>
      <c r="D49" s="1665"/>
      <c r="E49" s="1665"/>
      <c r="F49" s="1665"/>
      <c r="G49" s="1665"/>
      <c r="H49" s="1665"/>
      <c r="I49" s="1665"/>
      <c r="J49" s="1665"/>
      <c r="K49" s="1665"/>
      <c r="L49" s="1665"/>
      <c r="M49" s="1665"/>
      <c r="N49" s="1665"/>
      <c r="O49" s="1665"/>
      <c r="P49" s="1963"/>
      <c r="Q49" s="1711"/>
      <c r="R49" s="275"/>
      <c r="S49" s="275"/>
      <c r="T49" s="275"/>
      <c r="U49" s="275"/>
      <c r="V49" s="228"/>
    </row>
    <row r="50" spans="1:22" s="630" customFormat="1" ht="15" customHeight="1">
      <c r="A50" s="1712"/>
      <c r="B50" s="1665"/>
      <c r="C50" s="1665"/>
      <c r="D50" s="1665"/>
      <c r="E50" s="1665"/>
      <c r="F50" s="1665"/>
      <c r="G50" s="1665"/>
      <c r="H50" s="1665"/>
      <c r="I50" s="1665"/>
      <c r="J50" s="1665"/>
      <c r="K50" s="1665"/>
      <c r="L50" s="1665"/>
      <c r="M50" s="1665"/>
      <c r="N50" s="1665"/>
      <c r="O50" s="1665"/>
      <c r="P50" s="1963"/>
      <c r="Q50" s="1711"/>
      <c r="R50" s="275"/>
      <c r="S50" s="275"/>
      <c r="T50" s="275"/>
      <c r="U50" s="275"/>
      <c r="V50" s="224"/>
    </row>
    <row r="51" spans="1:22" ht="30" customHeight="1" thickBot="1">
      <c r="A51" s="1628"/>
      <c r="B51" s="2277" t="s">
        <v>23</v>
      </c>
      <c r="C51" s="2454"/>
      <c r="D51" s="2454"/>
      <c r="E51" s="2454"/>
      <c r="F51" s="2454"/>
      <c r="G51" s="2455"/>
      <c r="H51" s="2455"/>
      <c r="I51" s="1665"/>
      <c r="J51" s="2456"/>
      <c r="K51" s="2456"/>
      <c r="L51" s="2456"/>
      <c r="M51" s="2456"/>
      <c r="N51" s="2456"/>
      <c r="O51" s="2456"/>
      <c r="P51" s="1674"/>
      <c r="Q51" s="1665"/>
      <c r="R51" s="275"/>
      <c r="S51" s="275"/>
      <c r="T51" s="275"/>
      <c r="U51" s="275"/>
      <c r="V51" s="228"/>
    </row>
    <row r="52" spans="1:22" ht="30" customHeight="1" thickBot="1">
      <c r="A52" s="1628"/>
      <c r="B52" s="385" t="s">
        <v>483</v>
      </c>
      <c r="C52" s="1693"/>
      <c r="D52" s="431"/>
      <c r="E52" s="431"/>
      <c r="F52" s="431"/>
      <c r="G52" s="1694"/>
      <c r="H52" s="1710"/>
      <c r="I52" s="275"/>
      <c r="J52" s="1695"/>
      <c r="K52" s="44"/>
      <c r="L52" s="44"/>
      <c r="M52" s="44"/>
      <c r="N52" s="44"/>
      <c r="O52" s="1696"/>
      <c r="P52" s="1677"/>
      <c r="Q52" s="1711"/>
      <c r="R52" s="275"/>
      <c r="S52" s="275"/>
      <c r="T52" s="275"/>
      <c r="U52" s="275"/>
      <c r="V52" s="228"/>
    </row>
    <row r="53" spans="1:22" ht="30" customHeight="1">
      <c r="A53" s="1628"/>
      <c r="B53" s="386" t="s">
        <v>18</v>
      </c>
      <c r="C53" s="1683">
        <v>55</v>
      </c>
      <c r="D53" s="2361"/>
      <c r="E53" s="2367">
        <f>SUM(C53:D53)</f>
        <v>55</v>
      </c>
      <c r="F53" s="1490"/>
      <c r="G53" s="1684">
        <f>SUM(E53:F53)</f>
        <v>55</v>
      </c>
      <c r="H53" s="1736"/>
      <c r="I53" s="275"/>
      <c r="J53" s="1685">
        <v>55</v>
      </c>
      <c r="K53" s="1484">
        <v>44</v>
      </c>
      <c r="L53" s="1484">
        <v>39</v>
      </c>
      <c r="M53" s="1484">
        <v>33</v>
      </c>
      <c r="N53" s="1484"/>
      <c r="O53" s="1684">
        <f>SUM(J53:N53)</f>
        <v>171</v>
      </c>
      <c r="P53" s="1677"/>
      <c r="Q53" s="1711"/>
      <c r="R53" s="2267" t="str">
        <f>IF(AND(E53&gt;0,O53=0),"No enrolments",IF(AND(E53=0,O53&gt;0),"No intake",IF(AND(E53&gt;O53,O53&gt;0),"Intake larger than enrolments",IF(AND(E53=O53,SUM(K53:N53)&gt;0),"Intake same as enrolments?","OK"))))</f>
        <v>OK</v>
      </c>
      <c r="S53" s="275"/>
      <c r="T53" s="275"/>
      <c r="U53" s="275"/>
      <c r="V53" s="228"/>
    </row>
    <row r="54" spans="1:22" ht="30" customHeight="1" thickBot="1">
      <c r="A54" s="1628"/>
      <c r="B54" s="386" t="s">
        <v>19</v>
      </c>
      <c r="C54" s="1683">
        <v>16</v>
      </c>
      <c r="D54" s="2361"/>
      <c r="E54" s="2367">
        <f>SUM(C54:D54)</f>
        <v>16</v>
      </c>
      <c r="F54" s="1490"/>
      <c r="G54" s="1684">
        <f>SUM(E54:F54)</f>
        <v>16</v>
      </c>
      <c r="H54" s="1736"/>
      <c r="I54" s="275"/>
      <c r="J54" s="1685">
        <v>17</v>
      </c>
      <c r="K54" s="1484">
        <v>14</v>
      </c>
      <c r="L54" s="1484">
        <v>11</v>
      </c>
      <c r="M54" s="1484">
        <v>4</v>
      </c>
      <c r="N54" s="1484"/>
      <c r="O54" s="1684">
        <f>SUM(J54:N54)</f>
        <v>46</v>
      </c>
      <c r="P54" s="1677"/>
      <c r="Q54" s="1711"/>
      <c r="R54" s="1733" t="str">
        <f>IF(AND(E54&gt;0,O54=0),"No enrolments",IF(AND(E54=0,O54&gt;0),"No intake",IF(AND(E54&gt;O54,O54&gt;0),"Intake larger than enrolments",IF(AND(E54=O54,SUM(K54:N54)&gt;0),"Intake same as enrolments?","OK"))))</f>
        <v>OK</v>
      </c>
      <c r="S54" s="275"/>
      <c r="T54" s="275"/>
      <c r="U54" s="275"/>
      <c r="V54" s="228"/>
    </row>
    <row r="55" spans="1:22" ht="30" customHeight="1">
      <c r="A55" s="1628"/>
      <c r="B55" s="386" t="s">
        <v>2</v>
      </c>
      <c r="C55" s="1686">
        <f t="shared" ref="C55:H55" si="8">SUM(C53:C54)</f>
        <v>71</v>
      </c>
      <c r="D55" s="1688">
        <f t="shared" si="8"/>
        <v>0</v>
      </c>
      <c r="E55" s="2367">
        <f t="shared" si="8"/>
        <v>71</v>
      </c>
      <c r="F55" s="2371">
        <f t="shared" si="8"/>
        <v>0</v>
      </c>
      <c r="G55" s="2373">
        <f t="shared" si="8"/>
        <v>71</v>
      </c>
      <c r="H55" s="2374">
        <f t="shared" si="8"/>
        <v>0</v>
      </c>
      <c r="I55" s="275"/>
      <c r="J55" s="1687">
        <f>SUM(J53:J54)</f>
        <v>72</v>
      </c>
      <c r="K55" s="1688">
        <f>SUM(K53:K54)</f>
        <v>58</v>
      </c>
      <c r="L55" s="1688">
        <f>SUM(L53:L54)</f>
        <v>50</v>
      </c>
      <c r="M55" s="1688">
        <f>SUM(M53:M54)</f>
        <v>37</v>
      </c>
      <c r="N55" s="1688">
        <f>SUM(N53:N54)</f>
        <v>0</v>
      </c>
      <c r="O55" s="1684">
        <f>SUM(J55:N55)</f>
        <v>217</v>
      </c>
      <c r="P55" s="1677"/>
      <c r="Q55" s="1711"/>
      <c r="R55" s="275"/>
      <c r="S55" s="275"/>
      <c r="T55" s="275"/>
      <c r="U55" s="275"/>
      <c r="V55" s="228"/>
    </row>
    <row r="56" spans="1:22" ht="30" customHeight="1" thickBot="1">
      <c r="A56" s="1628"/>
      <c r="B56" s="2377" t="s">
        <v>399</v>
      </c>
      <c r="C56" s="1697"/>
      <c r="D56" s="2363"/>
      <c r="E56" s="2366"/>
      <c r="F56" s="2363"/>
      <c r="G56" s="2378"/>
      <c r="H56" s="2379"/>
      <c r="I56" s="275"/>
      <c r="J56" s="1699"/>
      <c r="K56" s="1700"/>
      <c r="L56" s="1700"/>
      <c r="M56" s="1700"/>
      <c r="N56" s="1700"/>
      <c r="O56" s="1698"/>
      <c r="P56" s="1677"/>
      <c r="Q56" s="1711"/>
      <c r="R56" s="275"/>
      <c r="S56" s="275"/>
      <c r="T56" s="275"/>
      <c r="U56" s="275"/>
      <c r="V56" s="228"/>
    </row>
    <row r="57" spans="1:22" ht="30" customHeight="1">
      <c r="A57" s="1628"/>
      <c r="B57" s="386" t="s">
        <v>18</v>
      </c>
      <c r="C57" s="1683"/>
      <c r="D57" s="2361"/>
      <c r="E57" s="2367">
        <f>SUM(C57:D57)</f>
        <v>0</v>
      </c>
      <c r="F57" s="2361"/>
      <c r="G57" s="1684">
        <f>SUM(E57:F57)</f>
        <v>0</v>
      </c>
      <c r="H57" s="1736"/>
      <c r="I57" s="275"/>
      <c r="J57" s="1685"/>
      <c r="K57" s="1484"/>
      <c r="L57" s="1484"/>
      <c r="M57" s="1484"/>
      <c r="N57" s="1484"/>
      <c r="O57" s="1684">
        <f>SUM(J57:N57)</f>
        <v>0</v>
      </c>
      <c r="P57" s="1677"/>
      <c r="Q57" s="1711"/>
      <c r="R57" s="2267" t="str">
        <f>IF(AND(E57&gt;0,O57=0),"No enrolments",IF(AND(E57=0,O57&gt;0),"No intake",IF(AND(E57&gt;O57,O57&gt;0),"Intake larger than enrolments",IF(AND(E57=O57,SUM(K57:N57)&gt;0),"Intake same as enrolments?","OK"))))</f>
        <v>OK</v>
      </c>
      <c r="S57" s="1969">
        <f>'T1 Main Table'!$M$45</f>
        <v>0</v>
      </c>
      <c r="T57" s="1724">
        <f t="shared" ref="T57:T58" si="9">O57-S57</f>
        <v>0</v>
      </c>
      <c r="U57" s="1725" t="str">
        <f t="shared" ref="U57:U58" si="10">IF(ABS(T57)&gt;0.1,"Does not equal Table 1","OK")</f>
        <v>OK</v>
      </c>
      <c r="V57" s="228"/>
    </row>
    <row r="58" spans="1:22" ht="30" customHeight="1" thickBot="1">
      <c r="A58" s="1628"/>
      <c r="B58" s="386" t="s">
        <v>19</v>
      </c>
      <c r="C58" s="1683"/>
      <c r="D58" s="2361"/>
      <c r="E58" s="2367">
        <f>SUM(C58:D58)</f>
        <v>0</v>
      </c>
      <c r="F58" s="2361"/>
      <c r="G58" s="1684">
        <f>SUM(E58:F58)</f>
        <v>0</v>
      </c>
      <c r="H58" s="1736"/>
      <c r="I58" s="275"/>
      <c r="J58" s="1685"/>
      <c r="K58" s="1484"/>
      <c r="L58" s="1484"/>
      <c r="M58" s="1484"/>
      <c r="N58" s="1484"/>
      <c r="O58" s="1684">
        <f>SUM(J58:N58)</f>
        <v>0</v>
      </c>
      <c r="P58" s="1677"/>
      <c r="Q58" s="1711"/>
      <c r="R58" s="1733" t="str">
        <f>IF(AND(E58&gt;0,O58=0),"No enrolments",IF(AND(E58=0,O58&gt;0),"No intake",IF(AND(E58&gt;O58,O58&gt;0),"Intake larger than enrolments",IF(AND(E58=O58,SUM(K58:N58)&gt;0),"Intake same as enrolments?","OK"))))</f>
        <v>OK</v>
      </c>
      <c r="S58" s="1976">
        <f>'T1 Main Table'!$M$46</f>
        <v>0</v>
      </c>
      <c r="T58" s="1740">
        <f t="shared" si="9"/>
        <v>0</v>
      </c>
      <c r="U58" s="26" t="str">
        <f t="shared" si="10"/>
        <v>OK</v>
      </c>
      <c r="V58" s="228"/>
    </row>
    <row r="59" spans="1:22" ht="30" customHeight="1">
      <c r="A59" s="1628"/>
      <c r="B59" s="2380" t="s">
        <v>2</v>
      </c>
      <c r="C59" s="1686">
        <f t="shared" ref="C59:H59" si="11">SUM(C57:C58)</f>
        <v>0</v>
      </c>
      <c r="D59" s="1688">
        <f t="shared" si="11"/>
        <v>0</v>
      </c>
      <c r="E59" s="2367">
        <f t="shared" si="11"/>
        <v>0</v>
      </c>
      <c r="F59" s="2362">
        <f t="shared" si="11"/>
        <v>0</v>
      </c>
      <c r="G59" s="2365">
        <f t="shared" si="11"/>
        <v>0</v>
      </c>
      <c r="H59" s="1737">
        <f t="shared" si="11"/>
        <v>0</v>
      </c>
      <c r="I59" s="275"/>
      <c r="J59" s="1687">
        <f>SUM(J57:J58)</f>
        <v>0</v>
      </c>
      <c r="K59" s="1688">
        <f>SUM(K57:K58)</f>
        <v>0</v>
      </c>
      <c r="L59" s="1688">
        <f>SUM(L57:L58)</f>
        <v>0</v>
      </c>
      <c r="M59" s="1688">
        <f>SUM(M57:M58)</f>
        <v>0</v>
      </c>
      <c r="N59" s="1688">
        <f>SUM(N57:N58)</f>
        <v>0</v>
      </c>
      <c r="O59" s="1684">
        <f>SUM(J59:N59)</f>
        <v>0</v>
      </c>
      <c r="P59" s="1677"/>
      <c r="Q59" s="1711"/>
      <c r="R59" s="275"/>
      <c r="S59" s="275"/>
      <c r="T59" s="275"/>
      <c r="U59" s="275"/>
      <c r="V59" s="228"/>
    </row>
    <row r="60" spans="1:22" ht="30" customHeight="1">
      <c r="A60" s="1628"/>
      <c r="B60" s="385" t="s">
        <v>404</v>
      </c>
      <c r="C60" s="2375"/>
      <c r="D60" s="415"/>
      <c r="E60" s="2376"/>
      <c r="F60" s="415"/>
      <c r="G60" s="1694"/>
      <c r="H60" s="1710"/>
      <c r="I60" s="275"/>
      <c r="J60" s="1699"/>
      <c r="K60" s="1700"/>
      <c r="L60" s="1700"/>
      <c r="M60" s="1700"/>
      <c r="N60" s="1700"/>
      <c r="O60" s="1698"/>
      <c r="P60" s="1677"/>
      <c r="Q60" s="1711"/>
      <c r="R60" s="275"/>
      <c r="S60" s="275"/>
      <c r="T60" s="275"/>
      <c r="U60" s="275"/>
      <c r="V60" s="228"/>
    </row>
    <row r="61" spans="1:22" ht="30" customHeight="1">
      <c r="A61" s="1628"/>
      <c r="B61" s="386" t="s">
        <v>18</v>
      </c>
      <c r="C61" s="2368">
        <f>SUM(C53,C57)</f>
        <v>55</v>
      </c>
      <c r="D61" s="746">
        <f>SUM(D53,D57)</f>
        <v>0</v>
      </c>
      <c r="E61" s="2367">
        <f>SUM(C61:D61)</f>
        <v>55</v>
      </c>
      <c r="F61" s="1709">
        <f>SUM(F53,F57)</f>
        <v>0</v>
      </c>
      <c r="G61" s="1684">
        <f>SUM(E61:F61)</f>
        <v>55</v>
      </c>
      <c r="H61" s="1738">
        <f>SUM(H53,H57)</f>
        <v>0</v>
      </c>
      <c r="I61" s="275"/>
      <c r="J61" s="1708">
        <f>SUM(J53,J57)</f>
        <v>55</v>
      </c>
      <c r="K61" s="1709">
        <f>SUM(K53,K57)</f>
        <v>44</v>
      </c>
      <c r="L61" s="1709">
        <f t="shared" ref="L61:N61" si="12">SUM(L53,L57)</f>
        <v>39</v>
      </c>
      <c r="M61" s="1709">
        <f t="shared" si="12"/>
        <v>33</v>
      </c>
      <c r="N61" s="1709">
        <f t="shared" si="12"/>
        <v>0</v>
      </c>
      <c r="O61" s="1684">
        <f>SUM(J61:N61)</f>
        <v>171</v>
      </c>
      <c r="P61" s="1677"/>
      <c r="Q61" s="1711"/>
      <c r="R61" s="275"/>
      <c r="S61" s="275"/>
      <c r="T61" s="275"/>
      <c r="U61" s="275"/>
      <c r="V61" s="228"/>
    </row>
    <row r="62" spans="1:22" ht="30" customHeight="1">
      <c r="A62" s="1628"/>
      <c r="B62" s="386" t="s">
        <v>19</v>
      </c>
      <c r="C62" s="2368">
        <f>SUM(C54,C58)</f>
        <v>16</v>
      </c>
      <c r="D62" s="746">
        <f>SUM(D54,D58)</f>
        <v>0</v>
      </c>
      <c r="E62" s="2367">
        <f>SUM(C62:D62)</f>
        <v>16</v>
      </c>
      <c r="F62" s="1709">
        <f>SUM(F54,F58)</f>
        <v>0</v>
      </c>
      <c r="G62" s="1684">
        <f>SUM(E62:F62)</f>
        <v>16</v>
      </c>
      <c r="H62" s="1738">
        <f>SUM(H54,H58)</f>
        <v>0</v>
      </c>
      <c r="I62" s="275"/>
      <c r="J62" s="1708">
        <f>SUM(J54,J58)</f>
        <v>17</v>
      </c>
      <c r="K62" s="1709">
        <f>SUM(K54,K58)</f>
        <v>14</v>
      </c>
      <c r="L62" s="1709">
        <f t="shared" ref="L62:N62" si="13">SUM(L54,L58)</f>
        <v>11</v>
      </c>
      <c r="M62" s="1709">
        <f t="shared" si="13"/>
        <v>4</v>
      </c>
      <c r="N62" s="1709">
        <f t="shared" si="13"/>
        <v>0</v>
      </c>
      <c r="O62" s="1684">
        <f>SUM(J62:N62)</f>
        <v>46</v>
      </c>
      <c r="P62" s="1677"/>
      <c r="Q62" s="1711"/>
      <c r="R62" s="275"/>
      <c r="S62" s="275"/>
      <c r="T62" s="275"/>
      <c r="U62" s="275"/>
      <c r="V62" s="228"/>
    </row>
    <row r="63" spans="1:22" ht="30" customHeight="1" thickBot="1">
      <c r="A63" s="1628"/>
      <c r="B63" s="387" t="s">
        <v>2</v>
      </c>
      <c r="C63" s="2369">
        <f t="shared" ref="C63:H63" si="14">SUM(C61:C62)</f>
        <v>71</v>
      </c>
      <c r="D63" s="1692">
        <f t="shared" si="14"/>
        <v>0</v>
      </c>
      <c r="E63" s="1741">
        <f t="shared" si="14"/>
        <v>71</v>
      </c>
      <c r="F63" s="1690">
        <f t="shared" si="14"/>
        <v>0</v>
      </c>
      <c r="G63" s="1691">
        <f t="shared" si="14"/>
        <v>71</v>
      </c>
      <c r="H63" s="1739">
        <f t="shared" si="14"/>
        <v>0</v>
      </c>
      <c r="I63" s="1713"/>
      <c r="J63" s="1689">
        <f>SUM(J61:J62)</f>
        <v>72</v>
      </c>
      <c r="K63" s="1692">
        <f t="shared" ref="K63:N63" si="15">SUM(K61:K62)</f>
        <v>58</v>
      </c>
      <c r="L63" s="1692">
        <f t="shared" si="15"/>
        <v>50</v>
      </c>
      <c r="M63" s="1692">
        <f t="shared" si="15"/>
        <v>37</v>
      </c>
      <c r="N63" s="1692">
        <f t="shared" si="15"/>
        <v>0</v>
      </c>
      <c r="O63" s="1741">
        <f>SUM(J63:N63)</f>
        <v>217</v>
      </c>
      <c r="P63" s="1677"/>
      <c r="Q63" s="1723"/>
      <c r="R63" s="353"/>
      <c r="S63" s="275"/>
      <c r="T63" s="275"/>
      <c r="U63" s="275"/>
      <c r="V63" s="228"/>
    </row>
    <row r="64" spans="1:22" ht="9.9499999999999993" customHeight="1">
      <c r="A64" s="350"/>
      <c r="B64" s="60"/>
      <c r="C64" s="27"/>
      <c r="D64" s="27"/>
      <c r="E64" s="27"/>
      <c r="F64" s="27"/>
      <c r="G64" s="27"/>
      <c r="H64" s="27"/>
      <c r="I64" s="1682"/>
      <c r="J64" s="27"/>
      <c r="K64" s="27"/>
      <c r="L64" s="27"/>
      <c r="M64" s="27"/>
      <c r="N64" s="27"/>
      <c r="O64" s="27"/>
      <c r="P64" s="1964"/>
      <c r="Q64" s="414"/>
      <c r="R64" s="353"/>
      <c r="S64" s="353"/>
      <c r="T64" s="353"/>
      <c r="U64" s="353"/>
      <c r="V64" s="228"/>
    </row>
    <row r="65" spans="1:22" ht="9.9499999999999993" customHeight="1">
      <c r="A65" s="1628"/>
      <c r="B65" s="224"/>
      <c r="C65" s="223"/>
      <c r="D65" s="223"/>
      <c r="E65" s="223"/>
      <c r="F65" s="223"/>
      <c r="G65" s="223"/>
      <c r="H65" s="223"/>
      <c r="I65" s="275"/>
      <c r="J65" s="223"/>
      <c r="K65" s="223"/>
      <c r="L65" s="223"/>
      <c r="M65" s="223"/>
      <c r="N65" s="223"/>
      <c r="O65" s="223"/>
      <c r="P65" s="1965"/>
      <c r="Q65" s="353"/>
      <c r="R65" s="353"/>
      <c r="S65" s="353"/>
      <c r="T65" s="353"/>
      <c r="U65" s="353"/>
      <c r="V65" s="228"/>
    </row>
    <row r="66" spans="1:22" ht="30" customHeight="1" thickBot="1">
      <c r="A66" s="1628"/>
      <c r="B66" s="2277" t="s">
        <v>402</v>
      </c>
      <c r="C66" s="2454"/>
      <c r="D66" s="2454"/>
      <c r="E66" s="2454"/>
      <c r="F66" s="2454"/>
      <c r="G66" s="2455"/>
      <c r="H66" s="1665"/>
      <c r="I66" s="1665"/>
      <c r="J66" s="2456"/>
      <c r="K66" s="2456"/>
      <c r="L66" s="2456"/>
      <c r="M66" s="2456"/>
      <c r="N66" s="2456"/>
      <c r="O66" s="2456"/>
      <c r="P66" s="1674"/>
      <c r="Q66" s="1665"/>
      <c r="R66" s="275"/>
      <c r="S66" s="275"/>
      <c r="T66" s="275"/>
      <c r="U66" s="275"/>
      <c r="V66" s="228"/>
    </row>
    <row r="67" spans="1:22" ht="30" customHeight="1">
      <c r="A67" s="1628"/>
      <c r="B67" s="385" t="s">
        <v>9</v>
      </c>
      <c r="C67" s="2044">
        <v>60</v>
      </c>
      <c r="D67" s="2045"/>
      <c r="E67" s="2367">
        <f>SUM(C67:D67)</f>
        <v>60</v>
      </c>
      <c r="F67" s="2045"/>
      <c r="G67" s="2046">
        <f>SUM(E67:F67)</f>
        <v>60</v>
      </c>
      <c r="H67" s="2038"/>
      <c r="I67" s="2037"/>
      <c r="J67" s="2047">
        <v>60</v>
      </c>
      <c r="K67" s="2048"/>
      <c r="L67" s="2050"/>
      <c r="M67" s="2050"/>
      <c r="N67" s="2050"/>
      <c r="O67" s="2046">
        <f>SUM(J67:K67)</f>
        <v>60</v>
      </c>
      <c r="P67" s="1677"/>
      <c r="Q67" s="1711"/>
      <c r="R67" s="2267" t="str">
        <f>IF(AND(E67&gt;0,O67=0),"No enrolments",IF(AND(E67=0,O67&gt;0),"No intake",IF(AND(E67&gt;O67,O67&gt;0),"Intake larger than enrolments",IF(AND(E67=O67,SUM(K67:K67)&gt;0),"Intake same as enrolments?","OK"))))</f>
        <v>OK</v>
      </c>
      <c r="S67" s="1969">
        <f>'T1 Main Table'!$M$29</f>
        <v>60</v>
      </c>
      <c r="T67" s="1724">
        <f t="shared" ref="T67:T68" si="16">O67-S67</f>
        <v>0</v>
      </c>
      <c r="U67" s="1725" t="str">
        <f t="shared" ref="U67:U68" si="17">IF(ABS(T67)&gt;0.1,"Does not equal Table 1","OK")</f>
        <v>OK</v>
      </c>
      <c r="V67" s="228"/>
    </row>
    <row r="68" spans="1:22" ht="30" customHeight="1" thickBot="1">
      <c r="A68" s="1628"/>
      <c r="B68" s="2099" t="s">
        <v>11</v>
      </c>
      <c r="C68" s="1721"/>
      <c r="D68" s="1373"/>
      <c r="E68" s="2367">
        <f>SUM(C68:D68)</f>
        <v>0</v>
      </c>
      <c r="F68" s="1373"/>
      <c r="G68" s="22">
        <f>SUM(E68:F68)</f>
        <v>0</v>
      </c>
      <c r="H68" s="2038"/>
      <c r="I68" s="2037"/>
      <c r="J68" s="1722"/>
      <c r="K68" s="1375"/>
      <c r="L68" s="1375"/>
      <c r="M68" s="1375"/>
      <c r="N68" s="1735"/>
      <c r="O68" s="22">
        <f>SUM(J68:M68)</f>
        <v>0</v>
      </c>
      <c r="P68" s="1677"/>
      <c r="Q68" s="1711"/>
      <c r="R68" s="1733" t="str">
        <f>IF(AND(E68&gt;0,O68=0),"No enrolments",IF(AND(E68=0,O68&gt;0),"No intake",IF(AND(E68&gt;O68,O68&gt;0),"Intake larger than enrolments",IF(AND(E68=O68,SUM(K68:N68)&gt;0),"Intake same as enrolments?","OK"))))</f>
        <v>OK</v>
      </c>
      <c r="S68" s="1976">
        <f>'T1 Main Table'!$M$47</f>
        <v>0</v>
      </c>
      <c r="T68" s="1740">
        <f t="shared" si="16"/>
        <v>0</v>
      </c>
      <c r="U68" s="26" t="str">
        <f t="shared" si="17"/>
        <v>OK</v>
      </c>
      <c r="V68" s="228"/>
    </row>
    <row r="69" spans="1:22" ht="30" customHeight="1" thickBot="1">
      <c r="A69" s="1628"/>
      <c r="B69" s="2099" t="s">
        <v>2</v>
      </c>
      <c r="C69" s="2383">
        <f>SUM(C67:C68)</f>
        <v>60</v>
      </c>
      <c r="D69" s="2384">
        <f t="shared" ref="D69" si="18">SUM(D67:D68)</f>
        <v>0</v>
      </c>
      <c r="E69" s="2381">
        <f>SUM(E67:E68)</f>
        <v>60</v>
      </c>
      <c r="F69" s="1690">
        <f>SUM(F67:F68)</f>
        <v>0</v>
      </c>
      <c r="G69" s="1691">
        <f>SUM(G67:G68)</f>
        <v>60</v>
      </c>
      <c r="H69" s="1680"/>
      <c r="I69" s="2037"/>
      <c r="J69" s="1689">
        <f>SUM(J67:J68)</f>
        <v>60</v>
      </c>
      <c r="K69" s="1692">
        <f t="shared" ref="K69:M69" si="19">SUM(K67:K68)</f>
        <v>0</v>
      </c>
      <c r="L69" s="1692">
        <f t="shared" si="19"/>
        <v>0</v>
      </c>
      <c r="M69" s="1692">
        <f t="shared" si="19"/>
        <v>0</v>
      </c>
      <c r="N69" s="2039"/>
      <c r="O69" s="1741">
        <f>SUM(J69:M69)</f>
        <v>60</v>
      </c>
      <c r="P69" s="1677"/>
      <c r="Q69" s="1723"/>
      <c r="R69" s="353"/>
      <c r="S69" s="275"/>
      <c r="T69" s="275"/>
      <c r="U69" s="275"/>
      <c r="V69" s="228"/>
    </row>
    <row r="70" spans="1:22" ht="20.100000000000001" customHeight="1">
      <c r="A70" s="350"/>
      <c r="B70" s="431"/>
      <c r="C70" s="1966"/>
      <c r="D70" s="1966"/>
      <c r="E70" s="1966"/>
      <c r="F70" s="1966"/>
      <c r="G70" s="27"/>
      <c r="H70" s="27"/>
      <c r="I70" s="1682"/>
      <c r="J70" s="27"/>
      <c r="K70" s="27"/>
      <c r="L70" s="27"/>
      <c r="M70" s="27"/>
      <c r="N70" s="27"/>
      <c r="O70" s="27"/>
      <c r="P70" s="1964"/>
      <c r="Q70" s="1665"/>
      <c r="R70" s="275"/>
      <c r="S70" s="275"/>
      <c r="T70" s="275"/>
      <c r="U70" s="275"/>
      <c r="V70" s="228"/>
    </row>
    <row r="71" spans="1:22" ht="20.100000000000001" customHeight="1">
      <c r="A71" s="228"/>
      <c r="B71" s="228"/>
      <c r="C71" s="228"/>
      <c r="D71" s="228"/>
      <c r="E71" s="228"/>
      <c r="F71" s="228"/>
      <c r="G71" s="228"/>
      <c r="H71" s="228"/>
      <c r="I71" s="275"/>
      <c r="J71" s="228"/>
      <c r="K71" s="228"/>
      <c r="L71" s="228"/>
      <c r="M71" s="228"/>
      <c r="N71" s="228"/>
      <c r="O71" s="228"/>
      <c r="P71" s="1377"/>
      <c r="Q71" s="1377"/>
      <c r="R71" s="228"/>
      <c r="S71" s="228"/>
      <c r="T71" s="228"/>
      <c r="U71" s="228"/>
      <c r="V71" s="228"/>
    </row>
  </sheetData>
  <sheetProtection password="E23E" sheet="1" objects="1" scenarios="1"/>
  <mergeCells count="13">
    <mergeCell ref="C4:G4"/>
    <mergeCell ref="J9:O9"/>
    <mergeCell ref="J8:O8"/>
    <mergeCell ref="R10:U10"/>
    <mergeCell ref="C8:H8"/>
    <mergeCell ref="H9:H10"/>
    <mergeCell ref="C9:E9"/>
    <mergeCell ref="T12:T13"/>
    <mergeCell ref="R11:R12"/>
    <mergeCell ref="S11:U11"/>
    <mergeCell ref="B9:B10"/>
    <mergeCell ref="F9:F10"/>
    <mergeCell ref="G9:G10"/>
  </mergeCells>
  <conditionalFormatting sqref="A1:P1">
    <cfRule type="expression" dxfId="111" priority="185" stopIfTrue="1">
      <formula>$H$4=0</formula>
    </cfRule>
  </conditionalFormatting>
  <conditionalFormatting sqref="C17:D18 C21:D22 F17:F18 F21:F22 H17:H18 H21:H22 J17 J18:K18 J21 J22:K22 C31:D32 C35:D36 F31:F32 F35:F36 H31:H32 H35:H36 J31 J32:K32 J35 J36:K36 C43:D43 F43 H43 C46:D48 F46:F48 J46:M48 C53:D54 F53:F54 H53:H54 J53:N54 C57:D58 F57:F58 H57:H58 J57:N58 C67:D68 F67:F68 J67:K67 J68:M68 J43:N43">
    <cfRule type="expression" dxfId="110" priority="31">
      <formula>$H$4=1</formula>
    </cfRule>
  </conditionalFormatting>
  <conditionalFormatting sqref="L53:N53">
    <cfRule type="expression" dxfId="109" priority="22">
      <formula>$H$4=1</formula>
    </cfRule>
  </conditionalFormatting>
  <conditionalFormatting sqref="K57">
    <cfRule type="expression" dxfId="108" priority="20">
      <formula>$H$4=1</formula>
    </cfRule>
  </conditionalFormatting>
  <conditionalFormatting sqref="L58:N58">
    <cfRule type="expression" dxfId="107" priority="19">
      <formula>$H$4=1</formula>
    </cfRule>
  </conditionalFormatting>
  <conditionalFormatting sqref="J53:J54">
    <cfRule type="expression" dxfId="106" priority="25">
      <formula>$H$4=1</formula>
    </cfRule>
  </conditionalFormatting>
  <conditionalFormatting sqref="K53">
    <cfRule type="expression" dxfId="105" priority="24">
      <formula>$H$4=1</formula>
    </cfRule>
  </conditionalFormatting>
  <conditionalFormatting sqref="L54:N54">
    <cfRule type="expression" dxfId="104" priority="23">
      <formula>$H$4=1</formula>
    </cfRule>
  </conditionalFormatting>
  <conditionalFormatting sqref="J57:J58">
    <cfRule type="expression" dxfId="103" priority="21">
      <formula>$H$4=1</formula>
    </cfRule>
  </conditionalFormatting>
  <conditionalFormatting sqref="L57:N57">
    <cfRule type="expression" dxfId="102" priority="18">
      <formula>$H$4=1</formula>
    </cfRule>
  </conditionalFormatting>
  <conditionalFormatting sqref="R17:R18 R21:R22 U17:U18 U31:U32 R43 U43 R46:R48 U46:U48">
    <cfRule type="expression" dxfId="101" priority="14">
      <formula>R17&lt;&gt;"OK"</formula>
    </cfRule>
  </conditionalFormatting>
  <conditionalFormatting sqref="R31:R32 R35:R36">
    <cfRule type="expression" dxfId="100" priority="13">
      <formula>R31&lt;&gt;"OK"</formula>
    </cfRule>
  </conditionalFormatting>
  <conditionalFormatting sqref="R53:R54">
    <cfRule type="expression" dxfId="99" priority="6">
      <formula>R53&lt;&gt;"OK"</formula>
    </cfRule>
  </conditionalFormatting>
  <conditionalFormatting sqref="U57:U58">
    <cfRule type="expression" dxfId="98" priority="10">
      <formula>U57&lt;&gt;"OK"</formula>
    </cfRule>
  </conditionalFormatting>
  <conditionalFormatting sqref="R57:R58">
    <cfRule type="expression" dxfId="97" priority="5">
      <formula>R57&lt;&gt;"OK"</formula>
    </cfRule>
  </conditionalFormatting>
  <conditionalFormatting sqref="U67:U68">
    <cfRule type="expression" dxfId="96" priority="8">
      <formula>U67&lt;&gt;"OK"</formula>
    </cfRule>
  </conditionalFormatting>
  <conditionalFormatting sqref="R67:R68">
    <cfRule type="expression" dxfId="95" priority="4">
      <formula>R67&lt;&gt;"OK"</formula>
    </cfRule>
  </conditionalFormatting>
  <conditionalFormatting sqref="U35:U36">
    <cfRule type="expression" dxfId="94" priority="3">
      <formula>U35&lt;&gt;"OK"</formula>
    </cfRule>
  </conditionalFormatting>
  <conditionalFormatting sqref="U21:U22">
    <cfRule type="expression" dxfId="93" priority="2">
      <formula>U21&lt;&gt;"OK"</formula>
    </cfRule>
  </conditionalFormatting>
  <conditionalFormatting sqref="C31:D32 C35:D36 F31:F32 F35:F36 H31:H32 H35:H36">
    <cfRule type="expression" dxfId="92" priority="1">
      <formula>$H$4=1</formula>
    </cfRule>
  </conditionalFormatting>
  <dataValidations count="2">
    <dataValidation type="decimal" operator="greaterThanOrEqual" allowBlank="1" showInputMessage="1" showErrorMessage="1" errorTitle="ERROR!" error="Invalid Entry" sqref="L68:M68 J17 J18:K18 J43:M43 C43:F43 C61:F62 J46:M48 H39:H40 C17:F18 J21 J22:K22 C21:F22 J25:J26 H25:H26 K26 J39:J40 J31 J32:K32 J53:N54 J35 J36:K36 J61:N62 C39:F40 C25:F26 K40 J67:K68 J57:N58 C57:F58 C46:F48 C53:F54 C31:F32 C35:F36 H61:H62 C67:F68">
      <formula1>0</formula1>
    </dataValidation>
    <dataValidation type="whole" operator="greaterThanOrEqual" allowBlank="1" showInputMessage="1" showErrorMessage="1" sqref="H17:I18 I39:I40 H43:I43 H21:I22 I25:I26 H31:I32 H57:H58 I52:I62 H53:H54 H35:I36">
      <formula1>0</formula1>
    </dataValidation>
  </dataValidations>
  <pageMargins left="0.19685039370078741" right="0.19685039370078741" top="0.19685039370078741" bottom="0.39370078740157483" header="0" footer="0"/>
  <pageSetup paperSize="9" scale="39" fitToWidth="0" orientation="portrait" r:id="rId1"/>
  <headerFooter alignWithMargins="0"/>
  <rowBreaks count="2" manualBreakCount="2">
    <brk id="28" max="13" man="1"/>
    <brk id="50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B19"/>
  <sheetViews>
    <sheetView zoomScale="80" zoomScaleNormal="80" workbookViewId="0"/>
  </sheetViews>
  <sheetFormatPr defaultColWidth="9.140625" defaultRowHeight="15"/>
  <cols>
    <col min="1" max="1" width="2.7109375" style="631" customWidth="1"/>
    <col min="2" max="2" width="43.140625" style="631" customWidth="1"/>
    <col min="3" max="12" width="10.7109375" style="631" customWidth="1"/>
    <col min="13" max="14" width="11.7109375" style="631" customWidth="1"/>
    <col min="15" max="15" width="10.7109375" style="631" customWidth="1"/>
    <col min="16" max="16" width="2.7109375" style="631" customWidth="1"/>
    <col min="17" max="21" width="15.7109375" style="631" customWidth="1"/>
    <col min="22" max="22" width="4" style="631" customWidth="1"/>
    <col min="23" max="27" width="16.7109375" style="631" customWidth="1"/>
    <col min="28" max="16384" width="9.140625" style="631"/>
  </cols>
  <sheetData>
    <row r="1" spans="1:28" ht="39.950000000000003" customHeight="1">
      <c r="A1" s="228"/>
      <c r="B1" s="241" t="str">
        <f>IF(G4=0,"Your Institution Does Not Complete This Table","")</f>
        <v>Your Institution Does Not Complete This Table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28"/>
      <c r="X1" s="228"/>
      <c r="Y1" s="228"/>
      <c r="Z1" s="228"/>
      <c r="AA1" s="228"/>
      <c r="AB1" s="228"/>
    </row>
    <row r="2" spans="1:28" ht="30" customHeight="1">
      <c r="A2" s="380"/>
      <c r="B2" s="334" t="s">
        <v>300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2"/>
      <c r="P2" s="16"/>
      <c r="Q2" s="5"/>
      <c r="R2" s="5"/>
      <c r="S2" s="5"/>
      <c r="T2" s="5"/>
      <c r="U2" s="5"/>
      <c r="V2" s="5"/>
      <c r="W2" s="228"/>
      <c r="X2" s="228"/>
      <c r="Y2" s="228"/>
      <c r="Z2" s="228"/>
      <c r="AA2" s="228"/>
      <c r="AB2" s="228"/>
    </row>
    <row r="3" spans="1:28" ht="15" customHeight="1" thickBot="1">
      <c r="A3" s="341"/>
      <c r="B3" s="388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8"/>
      <c r="P3" s="16"/>
      <c r="Q3" s="5"/>
      <c r="R3" s="5"/>
      <c r="S3" s="5"/>
      <c r="T3" s="5"/>
      <c r="U3" s="5"/>
      <c r="V3" s="5"/>
      <c r="W3" s="228"/>
      <c r="X3" s="228"/>
      <c r="Y3" s="228"/>
      <c r="Z3" s="228"/>
      <c r="AA3" s="228"/>
      <c r="AB3" s="228"/>
    </row>
    <row r="4" spans="1:28" ht="35.1" customHeight="1" thickBot="1">
      <c r="A4" s="341"/>
      <c r="B4" s="412" t="s">
        <v>0</v>
      </c>
      <c r="C4" s="2579" t="str">
        <f>VLOOKUP('Background Data'!$C$2,Inst_Tables,2,FALSE)</f>
        <v>Glasgow, University of</v>
      </c>
      <c r="D4" s="2580"/>
      <c r="E4" s="2580"/>
      <c r="F4" s="2581"/>
      <c r="G4" s="825">
        <f>VLOOKUP('Background Data'!$C$2,Inst_Tables,4,FALSE)</f>
        <v>0</v>
      </c>
      <c r="H4" s="224"/>
      <c r="I4" s="6"/>
      <c r="J4" s="6"/>
      <c r="K4" s="6"/>
      <c r="L4" s="6"/>
      <c r="M4" s="6"/>
      <c r="N4" s="6"/>
      <c r="O4" s="18"/>
      <c r="P4" s="16"/>
      <c r="Q4" s="5"/>
      <c r="R4" s="5"/>
      <c r="S4" s="5"/>
      <c r="T4" s="5"/>
      <c r="U4" s="5"/>
      <c r="V4" s="5"/>
      <c r="W4" s="228"/>
      <c r="X4" s="228"/>
      <c r="Y4" s="228"/>
      <c r="Z4" s="228"/>
      <c r="AA4" s="228"/>
      <c r="AB4" s="228"/>
    </row>
    <row r="5" spans="1:28" ht="30" customHeight="1">
      <c r="A5" s="341"/>
      <c r="B5" s="389" t="s">
        <v>284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  <c r="P5" s="16"/>
      <c r="Q5" s="5"/>
      <c r="R5" s="5"/>
      <c r="S5" s="5"/>
      <c r="T5" s="5"/>
      <c r="U5" s="5"/>
      <c r="V5" s="5"/>
      <c r="W5" s="228"/>
      <c r="X5" s="228"/>
      <c r="Y5" s="228"/>
      <c r="Z5" s="228"/>
      <c r="AA5" s="228"/>
      <c r="AB5" s="228"/>
    </row>
    <row r="6" spans="1:28" ht="30" customHeight="1">
      <c r="A6" s="341"/>
      <c r="B6" s="390" t="s">
        <v>495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  <c r="P6" s="16"/>
      <c r="Q6" s="5"/>
      <c r="R6" s="5"/>
      <c r="S6" s="5"/>
      <c r="T6" s="5"/>
      <c r="U6" s="5"/>
      <c r="V6" s="5"/>
      <c r="W6" s="228"/>
      <c r="X6" s="228"/>
      <c r="Y6" s="228"/>
      <c r="Z6" s="228"/>
      <c r="AA6" s="228"/>
      <c r="AB6" s="228"/>
    </row>
    <row r="7" spans="1:28" ht="15" customHeight="1" thickBot="1">
      <c r="A7" s="341"/>
      <c r="B7" s="39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  <c r="P7" s="16"/>
      <c r="Q7" s="5"/>
      <c r="R7" s="5"/>
      <c r="S7" s="5"/>
      <c r="T7" s="5"/>
      <c r="U7" s="5"/>
      <c r="V7" s="5"/>
      <c r="W7" s="228"/>
      <c r="X7" s="228"/>
      <c r="Y7" s="228"/>
      <c r="Z7" s="228"/>
      <c r="AA7" s="228"/>
      <c r="AB7" s="228"/>
    </row>
    <row r="8" spans="1:28" ht="35.1" customHeight="1">
      <c r="A8" s="341"/>
      <c r="B8" s="392"/>
      <c r="C8" s="2599" t="s">
        <v>27</v>
      </c>
      <c r="D8" s="2590"/>
      <c r="E8" s="2590"/>
      <c r="F8" s="2590"/>
      <c r="G8" s="2590"/>
      <c r="H8" s="2590"/>
      <c r="I8" s="2590"/>
      <c r="J8" s="2590"/>
      <c r="K8" s="2590"/>
      <c r="L8" s="2590"/>
      <c r="M8" s="2590"/>
      <c r="N8" s="2591"/>
      <c r="O8" s="18"/>
      <c r="P8" s="16"/>
      <c r="Q8" s="5"/>
      <c r="R8" s="5"/>
      <c r="S8" s="5"/>
      <c r="T8" s="5"/>
      <c r="U8" s="5"/>
      <c r="V8" s="5"/>
      <c r="W8" s="228"/>
      <c r="X8" s="228"/>
      <c r="Y8" s="228"/>
      <c r="Z8" s="228"/>
      <c r="AA8" s="228"/>
      <c r="AB8" s="228"/>
    </row>
    <row r="9" spans="1:28" ht="35.1" customHeight="1">
      <c r="A9" s="341"/>
      <c r="B9" s="393" t="s">
        <v>168</v>
      </c>
      <c r="C9" s="33" t="s">
        <v>24</v>
      </c>
      <c r="D9" s="34"/>
      <c r="E9" s="33">
        <v>2</v>
      </c>
      <c r="F9" s="34"/>
      <c r="G9" s="33">
        <v>3</v>
      </c>
      <c r="H9" s="34"/>
      <c r="I9" s="33">
        <v>4</v>
      </c>
      <c r="J9" s="34"/>
      <c r="K9" s="1984">
        <v>5</v>
      </c>
      <c r="L9" s="1985"/>
      <c r="M9" s="2597" t="s">
        <v>2</v>
      </c>
      <c r="N9" s="2598"/>
      <c r="O9" s="18"/>
      <c r="P9" s="16"/>
      <c r="Q9" s="5"/>
      <c r="R9" s="5"/>
      <c r="S9" s="5"/>
      <c r="T9" s="5"/>
      <c r="U9" s="5"/>
      <c r="V9" s="5"/>
      <c r="W9" s="228"/>
      <c r="X9" s="228"/>
      <c r="Y9" s="228"/>
      <c r="Z9" s="228"/>
      <c r="AA9" s="228"/>
      <c r="AB9" s="228"/>
    </row>
    <row r="10" spans="1:28" ht="35.1" customHeight="1">
      <c r="A10" s="341"/>
      <c r="B10" s="394"/>
      <c r="C10" s="12" t="s">
        <v>17</v>
      </c>
      <c r="D10" s="35" t="s">
        <v>61</v>
      </c>
      <c r="E10" s="12" t="s">
        <v>17</v>
      </c>
      <c r="F10" s="35" t="s">
        <v>61</v>
      </c>
      <c r="G10" s="12" t="s">
        <v>17</v>
      </c>
      <c r="H10" s="35" t="s">
        <v>61</v>
      </c>
      <c r="I10" s="12" t="s">
        <v>17</v>
      </c>
      <c r="J10" s="35" t="s">
        <v>61</v>
      </c>
      <c r="K10" s="1986" t="s">
        <v>17</v>
      </c>
      <c r="L10" s="1987" t="s">
        <v>61</v>
      </c>
      <c r="M10" s="1979" t="s">
        <v>17</v>
      </c>
      <c r="N10" s="36" t="s">
        <v>61</v>
      </c>
      <c r="O10" s="13"/>
      <c r="P10" s="16"/>
      <c r="Q10" s="37" t="s">
        <v>459</v>
      </c>
      <c r="R10" s="5"/>
      <c r="S10" s="5"/>
      <c r="T10" s="5"/>
      <c r="U10" s="5"/>
      <c r="V10" s="5"/>
      <c r="W10" s="37" t="s">
        <v>458</v>
      </c>
      <c r="X10" s="5"/>
      <c r="Y10" s="5"/>
      <c r="Z10" s="5"/>
      <c r="AA10" s="5"/>
      <c r="AB10" s="228"/>
    </row>
    <row r="11" spans="1:28" ht="35.1" customHeight="1">
      <c r="A11" s="341"/>
      <c r="B11" s="394"/>
      <c r="C11" s="15" t="s">
        <v>30</v>
      </c>
      <c r="D11" s="422" t="s">
        <v>30</v>
      </c>
      <c r="E11" s="15" t="s">
        <v>30</v>
      </c>
      <c r="F11" s="422" t="s">
        <v>30</v>
      </c>
      <c r="G11" s="15" t="s">
        <v>30</v>
      </c>
      <c r="H11" s="422" t="s">
        <v>30</v>
      </c>
      <c r="I11" s="15" t="s">
        <v>30</v>
      </c>
      <c r="J11" s="422" t="s">
        <v>30</v>
      </c>
      <c r="K11" s="1666" t="s">
        <v>30</v>
      </c>
      <c r="L11" s="658" t="s">
        <v>30</v>
      </c>
      <c r="M11" s="1980" t="s">
        <v>55</v>
      </c>
      <c r="N11" s="65" t="s">
        <v>55</v>
      </c>
      <c r="O11" s="13"/>
      <c r="P11" s="16"/>
      <c r="Q11" s="38" t="s">
        <v>63</v>
      </c>
      <c r="R11" s="38" t="s">
        <v>64</v>
      </c>
      <c r="S11" s="38" t="s">
        <v>65</v>
      </c>
      <c r="T11" s="38" t="s">
        <v>66</v>
      </c>
      <c r="U11" s="38" t="s">
        <v>67</v>
      </c>
      <c r="V11" s="5"/>
      <c r="W11" s="38" t="s">
        <v>63</v>
      </c>
      <c r="X11" s="38" t="s">
        <v>64</v>
      </c>
      <c r="Y11" s="38" t="s">
        <v>65</v>
      </c>
      <c r="Z11" s="38" t="s">
        <v>66</v>
      </c>
      <c r="AA11" s="38" t="s">
        <v>67</v>
      </c>
      <c r="AB11" s="228"/>
    </row>
    <row r="12" spans="1:28" ht="30" customHeight="1" thickBot="1">
      <c r="A12" s="341"/>
      <c r="B12" s="395"/>
      <c r="C12" s="507">
        <v>1</v>
      </c>
      <c r="D12" s="507">
        <v>2</v>
      </c>
      <c r="E12" s="507">
        <v>3</v>
      </c>
      <c r="F12" s="507">
        <v>4</v>
      </c>
      <c r="G12" s="507">
        <v>5</v>
      </c>
      <c r="H12" s="507">
        <v>6</v>
      </c>
      <c r="I12" s="507">
        <v>7</v>
      </c>
      <c r="J12" s="507">
        <v>8</v>
      </c>
      <c r="K12" s="507">
        <v>9</v>
      </c>
      <c r="L12" s="510">
        <v>10</v>
      </c>
      <c r="M12" s="1981">
        <v>11</v>
      </c>
      <c r="N12" s="510">
        <v>12</v>
      </c>
      <c r="O12" s="13"/>
      <c r="P12" s="16"/>
      <c r="Q12" s="38"/>
      <c r="R12" s="38"/>
      <c r="S12" s="38"/>
      <c r="T12" s="38"/>
      <c r="U12" s="38"/>
      <c r="V12" s="5"/>
      <c r="W12" s="38"/>
      <c r="X12" s="38"/>
      <c r="Y12" s="38"/>
      <c r="Z12" s="38"/>
      <c r="AA12" s="38"/>
      <c r="AB12" s="228"/>
    </row>
    <row r="13" spans="1:28" ht="45" customHeight="1">
      <c r="A13" s="341"/>
      <c r="B13" s="393" t="s">
        <v>11</v>
      </c>
      <c r="C13" s="1495"/>
      <c r="D13" s="1496"/>
      <c r="E13" s="1497"/>
      <c r="F13" s="1498"/>
      <c r="G13" s="1495"/>
      <c r="H13" s="1496"/>
      <c r="I13" s="1497"/>
      <c r="J13" s="1498"/>
      <c r="K13" s="1495"/>
      <c r="L13" s="1988"/>
      <c r="M13" s="1982">
        <f>SUM(C13,E13,G13,I13,K13)</f>
        <v>0</v>
      </c>
      <c r="N13" s="39">
        <f>SUM(D13,F13,H13,J13,L13)</f>
        <v>0</v>
      </c>
      <c r="O13" s="18"/>
      <c r="P13" s="16"/>
      <c r="Q13" s="40" t="str">
        <f>IF(C13&lt;=D13,"OK","FTE larger than Headcount")</f>
        <v>OK</v>
      </c>
      <c r="R13" s="41" t="str">
        <f>IF(E13&lt;=F13,"OK","FTE larger than Headcount")</f>
        <v>OK</v>
      </c>
      <c r="S13" s="41" t="str">
        <f>IF(G13&lt;=H13,"OK","FTE larger than Headcount")</f>
        <v>OK</v>
      </c>
      <c r="T13" s="41" t="str">
        <f>IF(I13&lt;=J13,"OK","FTE larger than Headcount")</f>
        <v>OK</v>
      </c>
      <c r="U13" s="2121" t="str">
        <f>IF(K13&lt;=L13,"OK","FTE larger than Headcount")</f>
        <v>OK</v>
      </c>
      <c r="V13" s="5"/>
      <c r="W13" s="47" t="str">
        <f>IF(OR((COUNTBLANK(C13:D13)=1),AND(MAX(C13,D13)&gt;0,MIN(C13,D13)=0)),"Only one of FTE and Headcount is non-zero","OK")</f>
        <v>OK</v>
      </c>
      <c r="X13" s="48" t="str">
        <f>IF(OR((COUNTBLANK(E13:F13)=1),AND(MAX(E13,F13)&gt;0,MIN(E13,F13)=0)),"Only one of FTE and Headcount is non-zero","OK")</f>
        <v>OK</v>
      </c>
      <c r="Y13" s="48" t="str">
        <f>IF(OR((COUNTBLANK(G13:H13)=1),AND(MAX(G13,H13)&gt;0,MIN(G13,H13)=0)),"Only one of FTE and Headcount is non-zero","OK")</f>
        <v>OK</v>
      </c>
      <c r="Z13" s="48" t="str">
        <f>IF(OR((COUNTBLANK(I13:J13)=1),AND(MAX(I13,J13)&gt;0,MIN(I13,J13)=0)),"Only one of FTE and Headcount is non-zero","OK")</f>
        <v>OK</v>
      </c>
      <c r="AA13" s="49" t="str">
        <f>IF(OR((COUNTBLANK(K13:L13)=1),AND(MAX(K13,L13)&gt;0,MIN(K13,L13)=0)),"Only one of FTE and Headcount is non-zero","OK")</f>
        <v>OK</v>
      </c>
      <c r="AB13" s="228"/>
    </row>
    <row r="14" spans="1:28" ht="45" customHeight="1" thickBot="1">
      <c r="A14" s="341"/>
      <c r="B14" s="2120" t="s">
        <v>157</v>
      </c>
      <c r="C14" s="1499"/>
      <c r="D14" s="1500"/>
      <c r="E14" s="1501"/>
      <c r="F14" s="1502"/>
      <c r="G14" s="1499"/>
      <c r="H14" s="1500"/>
      <c r="I14" s="1501"/>
      <c r="J14" s="1502"/>
      <c r="K14" s="1499"/>
      <c r="L14" s="1989"/>
      <c r="M14" s="1983">
        <f>SUM(C14,E14,G14,I14,K14)</f>
        <v>0</v>
      </c>
      <c r="N14" s="942">
        <f>SUM(D14,F14,H14,J14,L14)</f>
        <v>0</v>
      </c>
      <c r="O14" s="18"/>
      <c r="P14" s="16"/>
      <c r="Q14" s="42" t="str">
        <f>IF(C14&lt;=D14,"OK","FTE larger than Headcount")</f>
        <v>OK</v>
      </c>
      <c r="R14" s="43" t="str">
        <f>IF(E14&lt;=F14,"OK","FTE larger than Headcount")</f>
        <v>OK</v>
      </c>
      <c r="S14" s="43" t="str">
        <f>IF(G14&lt;=H14,"OK","FTE larger than Headcount")</f>
        <v>OK</v>
      </c>
      <c r="T14" s="43" t="str">
        <f>IF(I14&lt;=J14,"OK","FTE larger than Headcount")</f>
        <v>OK</v>
      </c>
      <c r="U14" s="2122" t="str">
        <f>IF(K14&lt;=L14,"OK","FTE larger than Headcount")</f>
        <v>OK</v>
      </c>
      <c r="V14" s="5"/>
      <c r="W14" s="51" t="str">
        <f>IF(OR((COUNTBLANK(C14:D14)=1),AND(MAX(C14,D14)&gt;0,MIN(C14,D14)=0)),"Only one of FTE and Headcount is non-zero","OK")</f>
        <v>OK</v>
      </c>
      <c r="X14" s="52" t="str">
        <f>IF(OR((COUNTBLANK(E14:F14)=1),AND(MAX(E14,F14)&gt;0,MIN(E14,F14)=0)),"Only one of FTE and Headcount is non-zero","OK")</f>
        <v>OK</v>
      </c>
      <c r="Y14" s="52" t="str">
        <f>IF(OR((COUNTBLANK(G14:H14)=1),AND(MAX(G14,H14)&gt;0,MIN(G14,H14)=0)),"Only one of FTE and Headcount is non-zero","OK")</f>
        <v>OK</v>
      </c>
      <c r="Z14" s="52" t="str">
        <f>IF(OR((COUNTBLANK(I14:J14)=1),AND(MAX(I14,J14)&gt;0,MIN(I14,J14)=0)),"Only one of FTE and Headcount is non-zero","OK")</f>
        <v>OK</v>
      </c>
      <c r="AA14" s="53" t="str">
        <f>IF(OR((COUNTBLANK(K14:L14)=1),AND(MAX(K14,L14)&gt;0,MIN(K14,L14)=0)),"Only one of FTE and Headcount is non-zero","OK")</f>
        <v>OK</v>
      </c>
      <c r="AB14" s="228"/>
    </row>
    <row r="15" spans="1:28" ht="30" customHeight="1">
      <c r="A15" s="350"/>
      <c r="B15" s="391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5"/>
      <c r="P15" s="414"/>
      <c r="Q15" s="1377"/>
      <c r="R15" s="1377"/>
      <c r="S15" s="1377"/>
      <c r="T15" s="1377"/>
      <c r="U15" s="1377"/>
      <c r="V15" s="1377"/>
      <c r="W15" s="228"/>
      <c r="X15" s="228"/>
      <c r="Y15" s="228"/>
      <c r="Z15" s="228"/>
      <c r="AA15" s="228"/>
      <c r="AB15" s="228"/>
    </row>
    <row r="16" spans="1:28" ht="33.75" customHeight="1">
      <c r="A16" s="228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353"/>
      <c r="Q16" s="2119"/>
      <c r="R16" s="2119"/>
      <c r="S16" s="2119"/>
      <c r="T16" s="2119"/>
      <c r="U16" s="2119"/>
      <c r="V16" s="1377"/>
      <c r="W16" s="228"/>
      <c r="X16" s="228"/>
      <c r="Y16" s="228"/>
      <c r="Z16" s="228"/>
      <c r="AA16" s="228"/>
      <c r="AB16" s="228"/>
    </row>
    <row r="17" spans="2:14" ht="12.75" customHeight="1">
      <c r="B17" s="630"/>
      <c r="C17" s="632"/>
      <c r="D17" s="632"/>
      <c r="E17" s="632"/>
      <c r="F17" s="632"/>
      <c r="G17" s="632"/>
      <c r="H17" s="632"/>
      <c r="I17" s="632"/>
      <c r="J17" s="632"/>
      <c r="K17" s="632"/>
      <c r="L17" s="632"/>
      <c r="M17" s="632"/>
      <c r="N17" s="632"/>
    </row>
    <row r="18" spans="2:14">
      <c r="C18" s="632"/>
      <c r="D18" s="632"/>
      <c r="E18" s="632"/>
      <c r="F18" s="632"/>
      <c r="G18" s="632"/>
      <c r="H18" s="632"/>
      <c r="I18" s="632"/>
      <c r="J18" s="632"/>
      <c r="K18" s="632"/>
      <c r="L18" s="632"/>
      <c r="M18" s="632"/>
      <c r="N18" s="632"/>
    </row>
    <row r="19" spans="2:14">
      <c r="C19" s="632"/>
      <c r="D19" s="632"/>
      <c r="E19" s="632"/>
      <c r="F19" s="632"/>
      <c r="G19" s="632"/>
      <c r="H19" s="632"/>
      <c r="I19" s="632"/>
      <c r="J19" s="632"/>
      <c r="K19" s="632"/>
      <c r="L19" s="632"/>
      <c r="M19" s="632"/>
      <c r="N19" s="632"/>
    </row>
  </sheetData>
  <sheetProtection password="E23E" sheet="1" objects="1" scenarios="1"/>
  <mergeCells count="3">
    <mergeCell ref="M9:N9"/>
    <mergeCell ref="C4:F4"/>
    <mergeCell ref="C8:N8"/>
  </mergeCells>
  <conditionalFormatting sqref="B3:D3">
    <cfRule type="expression" dxfId="91" priority="15" stopIfTrue="1">
      <formula>#REF!=0</formula>
    </cfRule>
  </conditionalFormatting>
  <conditionalFormatting sqref="B4:C4">
    <cfRule type="expression" dxfId="90" priority="19" stopIfTrue="1">
      <formula>#REF!=0</formula>
    </cfRule>
  </conditionalFormatting>
  <conditionalFormatting sqref="B5">
    <cfRule type="expression" dxfId="89" priority="2" stopIfTrue="1">
      <formula>#REF!=0</formula>
    </cfRule>
  </conditionalFormatting>
  <conditionalFormatting sqref="C13:L14">
    <cfRule type="expression" dxfId="88" priority="83" stopIfTrue="1">
      <formula>$G$4=1</formula>
    </cfRule>
  </conditionalFormatting>
  <conditionalFormatting sqref="A1:O1">
    <cfRule type="expression" dxfId="87" priority="86" stopIfTrue="1">
      <formula>$G$4=0</formula>
    </cfRule>
  </conditionalFormatting>
  <conditionalFormatting sqref="Q13:U14 W13:AA14">
    <cfRule type="expression" dxfId="86" priority="1">
      <formula>Q13&lt;&gt;"OK"</formula>
    </cfRule>
  </conditionalFormatting>
  <dataValidations count="3">
    <dataValidation allowBlank="1" sqref="C12:N12 W13:AA14 Q16:U16"/>
    <dataValidation type="whole" operator="greaterThanOrEqual" allowBlank="1" showInputMessage="1" showErrorMessage="1" errorTitle="ERROR!" error="Invalid Entry" sqref="L13:L14 J13:J14 H13:H14 F13:F14 D13:D14">
      <formula1>0</formula1>
    </dataValidation>
    <dataValidation type="decimal" operator="greaterThanOrEqual" allowBlank="1" showInputMessage="1" showErrorMessage="1" errorTitle="ERROR!" error="Invalid Entry" sqref="K13:K14 C13:C14 E13:E14 G13:G14 I13:I14">
      <formula1>0</formula1>
    </dataValidation>
  </dataValidations>
  <pageMargins left="0.19685039370078741" right="0.19685039370078741" top="0.19685039370078741" bottom="0.39370078740157483" header="0" footer="0"/>
  <pageSetup paperSize="9" scale="7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25"/>
  <sheetViews>
    <sheetView zoomScale="80" zoomScaleNormal="80" workbookViewId="0"/>
  </sheetViews>
  <sheetFormatPr defaultColWidth="9.140625" defaultRowHeight="15"/>
  <cols>
    <col min="1" max="1" width="2.7109375" style="631" customWidth="1"/>
    <col min="2" max="2" width="24.7109375" style="631" customWidth="1"/>
    <col min="3" max="5" width="16.7109375" style="631" customWidth="1"/>
    <col min="6" max="6" width="5.7109375" style="631" customWidth="1"/>
    <col min="7" max="16384" width="9.140625" style="631"/>
  </cols>
  <sheetData>
    <row r="1" spans="1:7" ht="39.950000000000003" customHeight="1">
      <c r="A1" s="228"/>
      <c r="B1" s="241" t="str">
        <f>IF(F4=0,"Your Institution Does Not Complete This Table","")</f>
        <v/>
      </c>
      <c r="C1" s="2"/>
      <c r="D1" s="2"/>
      <c r="E1" s="2"/>
      <c r="F1" s="2"/>
      <c r="G1" s="228"/>
    </row>
    <row r="2" spans="1:7" ht="30" customHeight="1">
      <c r="A2" s="380"/>
      <c r="B2" s="334" t="s">
        <v>462</v>
      </c>
      <c r="C2" s="4"/>
      <c r="D2" s="4"/>
      <c r="E2" s="4"/>
      <c r="F2" s="260"/>
      <c r="G2" s="228"/>
    </row>
    <row r="3" spans="1:7" ht="15" customHeight="1" thickBot="1">
      <c r="A3" s="341"/>
      <c r="B3" s="46"/>
      <c r="C3" s="54"/>
      <c r="D3" s="54"/>
      <c r="E3" s="54"/>
      <c r="F3" s="55"/>
      <c r="G3" s="228"/>
    </row>
    <row r="4" spans="1:7" ht="35.1" customHeight="1" thickBot="1">
      <c r="A4" s="341"/>
      <c r="B4" s="397" t="s">
        <v>0</v>
      </c>
      <c r="C4" s="2579" t="str">
        <f>VLOOKUP('Background Data'!$C$2,Inst_Tables,2,FALSE)</f>
        <v>Glasgow, University of</v>
      </c>
      <c r="D4" s="2580"/>
      <c r="E4" s="2581"/>
      <c r="F4" s="259">
        <f>VLOOKUP('Background Data'!$C$2,Inst_Tables,5,FALSE)</f>
        <v>1</v>
      </c>
      <c r="G4" s="228"/>
    </row>
    <row r="5" spans="1:7" ht="35.1" customHeight="1">
      <c r="A5" s="341"/>
      <c r="B5" s="398" t="s">
        <v>285</v>
      </c>
      <c r="C5" s="57"/>
      <c r="D5" s="17"/>
      <c r="E5" s="17"/>
      <c r="F5" s="59"/>
      <c r="G5" s="228"/>
    </row>
    <row r="6" spans="1:7" ht="30" customHeight="1">
      <c r="A6" s="341"/>
      <c r="B6" s="390" t="s">
        <v>496</v>
      </c>
      <c r="C6" s="57"/>
      <c r="D6" s="17"/>
      <c r="E6" s="17"/>
      <c r="F6" s="59"/>
      <c r="G6" s="228"/>
    </row>
    <row r="7" spans="1:7" ht="15" customHeight="1" thickBot="1">
      <c r="A7" s="341"/>
      <c r="B7" s="390"/>
      <c r="C7" s="57"/>
      <c r="D7" s="17"/>
      <c r="E7" s="17"/>
      <c r="F7" s="59"/>
      <c r="G7" s="228"/>
    </row>
    <row r="8" spans="1:7" ht="60" customHeight="1">
      <c r="A8" s="341"/>
      <c r="B8" s="399"/>
      <c r="C8" s="2600" t="s">
        <v>460</v>
      </c>
      <c r="D8" s="2600"/>
      <c r="E8" s="2601"/>
      <c r="F8" s="18"/>
      <c r="G8" s="228"/>
    </row>
    <row r="9" spans="1:7" ht="39.950000000000003" customHeight="1">
      <c r="A9" s="341"/>
      <c r="B9" s="400" t="s">
        <v>25</v>
      </c>
      <c r="C9" s="66" t="s">
        <v>220</v>
      </c>
      <c r="D9" s="1998" t="s">
        <v>221</v>
      </c>
      <c r="E9" s="1987" t="s">
        <v>2</v>
      </c>
      <c r="F9" s="18"/>
      <c r="G9" s="228"/>
    </row>
    <row r="10" spans="1:7" ht="30" customHeight="1">
      <c r="A10" s="341"/>
      <c r="B10" s="401"/>
      <c r="C10" s="63" t="s">
        <v>26</v>
      </c>
      <c r="D10" s="1999" t="s">
        <v>26</v>
      </c>
      <c r="E10" s="429" t="s">
        <v>26</v>
      </c>
      <c r="F10" s="18"/>
      <c r="G10" s="228"/>
    </row>
    <row r="11" spans="1:7" ht="30" customHeight="1">
      <c r="A11" s="341"/>
      <c r="B11" s="402"/>
      <c r="C11" s="63" t="s">
        <v>30</v>
      </c>
      <c r="D11" s="1999" t="s">
        <v>30</v>
      </c>
      <c r="E11" s="429" t="s">
        <v>3</v>
      </c>
      <c r="F11" s="18"/>
      <c r="G11" s="228"/>
    </row>
    <row r="12" spans="1:7" ht="30" customHeight="1" thickBot="1">
      <c r="A12" s="341"/>
      <c r="B12" s="403"/>
      <c r="C12" s="523">
        <v>1</v>
      </c>
      <c r="D12" s="524">
        <v>2</v>
      </c>
      <c r="E12" s="689">
        <v>3</v>
      </c>
      <c r="F12" s="18"/>
      <c r="G12" s="228"/>
    </row>
    <row r="13" spans="1:7" ht="35.1" customHeight="1">
      <c r="A13" s="341"/>
      <c r="B13" s="404" t="s">
        <v>18</v>
      </c>
      <c r="C13" s="1503">
        <v>308</v>
      </c>
      <c r="D13" s="2000">
        <v>78</v>
      </c>
      <c r="E13" s="1995">
        <f>SUM(C13,D13)</f>
        <v>386</v>
      </c>
      <c r="F13" s="13"/>
      <c r="G13" s="228"/>
    </row>
    <row r="14" spans="1:7" ht="35.1" customHeight="1" thickBot="1">
      <c r="A14" s="341"/>
      <c r="B14" s="1990" t="s">
        <v>19</v>
      </c>
      <c r="C14" s="1991">
        <v>104</v>
      </c>
      <c r="D14" s="2001">
        <v>77</v>
      </c>
      <c r="E14" s="1996">
        <f>SUM(C14,D14)</f>
        <v>181</v>
      </c>
      <c r="F14" s="13"/>
      <c r="G14" s="228"/>
    </row>
    <row r="15" spans="1:7" ht="35.1" customHeight="1" thickBot="1">
      <c r="A15" s="341"/>
      <c r="B15" s="1992" t="s">
        <v>2</v>
      </c>
      <c r="C15" s="1993">
        <f>SUM(C13:C14)</f>
        <v>412</v>
      </c>
      <c r="D15" s="1994">
        <f>SUM(D13:D14)</f>
        <v>155</v>
      </c>
      <c r="E15" s="1997">
        <f>SUM(E13:E14)</f>
        <v>567</v>
      </c>
      <c r="F15" s="13"/>
      <c r="G15" s="228"/>
    </row>
    <row r="16" spans="1:7" ht="24.95" customHeight="1">
      <c r="A16" s="350"/>
      <c r="B16" s="60"/>
      <c r="C16" s="60"/>
      <c r="D16" s="61"/>
      <c r="E16" s="61"/>
      <c r="F16" s="62"/>
      <c r="G16" s="228"/>
    </row>
    <row r="17" spans="2:10" s="633" customFormat="1" ht="12" customHeight="1">
      <c r="B17" s="634"/>
    </row>
    <row r="18" spans="2:10">
      <c r="D18" s="632"/>
      <c r="E18" s="632"/>
      <c r="F18" s="632"/>
      <c r="G18" s="632"/>
      <c r="H18" s="632"/>
      <c r="I18" s="632"/>
      <c r="J18" s="632"/>
    </row>
    <row r="19" spans="2:10">
      <c r="D19" s="632"/>
      <c r="E19" s="632"/>
      <c r="F19" s="632"/>
      <c r="G19" s="632"/>
      <c r="H19" s="632"/>
      <c r="I19" s="632"/>
      <c r="J19" s="632"/>
    </row>
    <row r="20" spans="2:10">
      <c r="D20" s="632"/>
      <c r="E20" s="632"/>
      <c r="F20" s="632"/>
      <c r="G20" s="632"/>
      <c r="H20" s="632"/>
      <c r="I20" s="632"/>
      <c r="J20" s="632"/>
    </row>
    <row r="25" spans="2:10" ht="12.75" customHeight="1"/>
  </sheetData>
  <sheetProtection password="E23E" sheet="1" objects="1" scenarios="1"/>
  <mergeCells count="2">
    <mergeCell ref="C8:E8"/>
    <mergeCell ref="C4:E4"/>
  </mergeCells>
  <conditionalFormatting sqref="B2">
    <cfRule type="expression" dxfId="85" priority="1" stopIfTrue="1">
      <formula>#REF!=0</formula>
    </cfRule>
  </conditionalFormatting>
  <conditionalFormatting sqref="A1:G1">
    <cfRule type="expression" dxfId="84" priority="86" stopIfTrue="1">
      <formula>$F$4=0</formula>
    </cfRule>
  </conditionalFormatting>
  <conditionalFormatting sqref="C13:D14">
    <cfRule type="expression" dxfId="83" priority="88" stopIfTrue="1">
      <formula>$F$4=1</formula>
    </cfRule>
  </conditionalFormatting>
  <dataValidations count="1">
    <dataValidation type="whole" operator="greaterThanOrEqual" allowBlank="1" showInputMessage="1" showErrorMessage="1" errorTitle="ERROR!" error="Invalid Entry" sqref="C13:D14">
      <formula1>0</formula1>
    </dataValidation>
  </dataValidations>
  <pageMargins left="0.39370078740157483" right="0.39370078740157483" top="0.19685039370078741" bottom="0.39370078740157483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zoomScale="80" zoomScaleNormal="80" workbookViewId="0"/>
  </sheetViews>
  <sheetFormatPr defaultColWidth="9.140625" defaultRowHeight="15"/>
  <cols>
    <col min="1" max="1" width="2.7109375" style="631" customWidth="1"/>
    <col min="2" max="2" width="35.7109375" style="631" customWidth="1"/>
    <col min="3" max="3" width="12.7109375" style="631" customWidth="1"/>
    <col min="4" max="4" width="7.7109375" style="630" customWidth="1"/>
    <col min="5" max="6" width="35.7109375" style="631" customWidth="1"/>
    <col min="7" max="7" width="12.7109375" style="631" customWidth="1"/>
    <col min="8" max="8" width="7.7109375" style="631" customWidth="1"/>
    <col min="9" max="9" width="12.7109375" style="631" customWidth="1"/>
    <col min="10" max="11" width="4.7109375" style="631" customWidth="1"/>
    <col min="12" max="12" width="29.7109375" style="631" customWidth="1"/>
    <col min="13" max="13" width="5.7109375" style="631" customWidth="1"/>
    <col min="14" max="14" width="12.7109375" style="631" customWidth="1"/>
    <col min="15" max="15" width="13.7109375" style="631" customWidth="1"/>
    <col min="16" max="16" width="30.7109375" style="631" customWidth="1"/>
    <col min="17" max="16384" width="9.140625" style="631"/>
  </cols>
  <sheetData>
    <row r="1" spans="1:17" ht="39.950000000000003" customHeight="1">
      <c r="A1" s="228"/>
      <c r="B1" s="241" t="str">
        <f>IF($D$5=0,"Your Institution Does Not Complete This Table","")</f>
        <v/>
      </c>
      <c r="C1" s="2"/>
      <c r="D1" s="229"/>
      <c r="E1" s="2"/>
      <c r="F1" s="2"/>
      <c r="G1" s="2"/>
      <c r="H1" s="2"/>
      <c r="I1" s="2"/>
      <c r="J1" s="2"/>
      <c r="K1" s="2"/>
      <c r="L1" s="3"/>
      <c r="M1" s="2"/>
      <c r="N1" s="228"/>
      <c r="O1" s="228"/>
      <c r="P1" s="228"/>
      <c r="Q1" s="228"/>
    </row>
    <row r="2" spans="1:17" ht="30" customHeight="1">
      <c r="A2" s="1641"/>
      <c r="B2" s="1342" t="s">
        <v>463</v>
      </c>
      <c r="C2" s="1642"/>
      <c r="D2" s="1632"/>
      <c r="E2" s="1632"/>
      <c r="F2" s="1632"/>
      <c r="G2" s="1632"/>
      <c r="H2" s="1632"/>
      <c r="I2" s="1632"/>
      <c r="J2" s="680"/>
      <c r="K2" s="1624"/>
      <c r="L2" s="16"/>
      <c r="M2" s="5"/>
      <c r="N2" s="228"/>
      <c r="O2" s="228"/>
      <c r="P2" s="228"/>
      <c r="Q2" s="228"/>
    </row>
    <row r="3" spans="1:17" ht="15" customHeight="1">
      <c r="A3" s="1628"/>
      <c r="B3" s="388"/>
      <c r="C3" s="6"/>
      <c r="D3" s="6"/>
      <c r="E3" s="6"/>
      <c r="F3" s="6"/>
      <c r="G3" s="6"/>
      <c r="H3" s="6"/>
      <c r="I3" s="6"/>
      <c r="J3" s="1643"/>
      <c r="K3" s="6"/>
      <c r="L3" s="16"/>
      <c r="M3" s="5"/>
      <c r="N3" s="228"/>
      <c r="O3" s="228"/>
      <c r="P3" s="228"/>
      <c r="Q3" s="228"/>
    </row>
    <row r="4" spans="1:17" ht="35.1" customHeight="1" thickBot="1">
      <c r="A4" s="1628"/>
      <c r="B4" s="412" t="s">
        <v>0</v>
      </c>
      <c r="C4" s="6"/>
      <c r="D4" s="6"/>
      <c r="E4" s="6"/>
      <c r="F4" s="6"/>
      <c r="G4" s="6"/>
      <c r="H4" s="6"/>
      <c r="I4" s="6"/>
      <c r="J4" s="1643"/>
      <c r="K4" s="6"/>
      <c r="L4" s="16"/>
      <c r="M4" s="5"/>
      <c r="N4" s="228"/>
      <c r="O4" s="228"/>
      <c r="P4" s="228"/>
      <c r="Q4" s="228"/>
    </row>
    <row r="5" spans="1:17" ht="35.1" customHeight="1" thickBot="1">
      <c r="A5" s="1628"/>
      <c r="B5" s="2579" t="str">
        <f>VLOOKUP('Background Data'!$C$2,Inst_Tables,2,FALSE)</f>
        <v>Glasgow, University of</v>
      </c>
      <c r="C5" s="2581"/>
      <c r="D5" s="1637">
        <f>VLOOKUP('Background Data'!$C$2,Inst_Tables,6,FALSE)</f>
        <v>1</v>
      </c>
      <c r="E5" s="6"/>
      <c r="F5" s="6"/>
      <c r="G5" s="6"/>
      <c r="H5" s="6"/>
      <c r="I5" s="6"/>
      <c r="J5" s="1643"/>
      <c r="K5" s="6"/>
      <c r="L5" s="16"/>
      <c r="M5" s="5"/>
      <c r="N5" s="228"/>
      <c r="O5" s="228"/>
      <c r="P5" s="228"/>
      <c r="Q5" s="228"/>
    </row>
    <row r="6" spans="1:17" ht="30" customHeight="1">
      <c r="A6" s="1628"/>
      <c r="B6" s="389" t="s">
        <v>481</v>
      </c>
      <c r="C6" s="17"/>
      <c r="D6" s="17"/>
      <c r="E6" s="17"/>
      <c r="F6" s="17"/>
      <c r="G6" s="17"/>
      <c r="H6" s="17"/>
      <c r="I6" s="17"/>
      <c r="J6" s="1629"/>
      <c r="K6" s="17"/>
      <c r="L6" s="16"/>
      <c r="M6" s="5"/>
      <c r="N6" s="228"/>
      <c r="O6" s="228"/>
      <c r="P6" s="228"/>
      <c r="Q6" s="228"/>
    </row>
    <row r="7" spans="1:17" ht="24.95" customHeight="1">
      <c r="A7" s="1628"/>
      <c r="B7" s="389" t="s">
        <v>482</v>
      </c>
      <c r="C7" s="17"/>
      <c r="D7" s="17"/>
      <c r="E7" s="17"/>
      <c r="F7" s="17"/>
      <c r="G7" s="17"/>
      <c r="H7" s="17"/>
      <c r="I7" s="17"/>
      <c r="J7" s="1629"/>
      <c r="K7" s="17"/>
      <c r="L7" s="16"/>
      <c r="M7" s="5"/>
      <c r="N7" s="228"/>
      <c r="O7" s="228"/>
      <c r="P7" s="228"/>
      <c r="Q7" s="228"/>
    </row>
    <row r="8" spans="1:17" ht="30" customHeight="1">
      <c r="A8" s="1628"/>
      <c r="B8" s="390" t="s">
        <v>497</v>
      </c>
      <c r="C8" s="17"/>
      <c r="D8" s="17"/>
      <c r="E8" s="17"/>
      <c r="F8" s="17"/>
      <c r="G8" s="17"/>
      <c r="H8" s="17"/>
      <c r="I8" s="17"/>
      <c r="J8" s="1629"/>
      <c r="K8" s="17"/>
      <c r="L8" s="17"/>
      <c r="M8" s="17"/>
      <c r="N8" s="1662"/>
      <c r="O8" s="228"/>
      <c r="P8" s="228"/>
      <c r="Q8" s="228"/>
    </row>
    <row r="9" spans="1:17" ht="15" customHeight="1">
      <c r="A9" s="1628"/>
      <c r="B9" s="390"/>
      <c r="C9" s="17"/>
      <c r="D9" s="17"/>
      <c r="E9" s="17"/>
      <c r="F9" s="17"/>
      <c r="G9" s="17"/>
      <c r="H9" s="17"/>
      <c r="I9" s="17"/>
      <c r="J9" s="1629"/>
      <c r="K9" s="17"/>
      <c r="L9" s="16"/>
      <c r="M9" s="5"/>
      <c r="N9" s="228"/>
      <c r="O9" s="228"/>
      <c r="P9" s="228"/>
      <c r="Q9" s="228"/>
    </row>
    <row r="10" spans="1:17" s="630" customFormat="1" ht="20.100000000000001" customHeight="1">
      <c r="A10" s="1628"/>
      <c r="B10" s="11" t="s">
        <v>389</v>
      </c>
      <c r="C10" s="17"/>
      <c r="D10" s="17"/>
      <c r="E10" s="11" t="s">
        <v>390</v>
      </c>
      <c r="F10" s="17"/>
      <c r="G10" s="17"/>
      <c r="H10" s="17"/>
      <c r="I10" s="1638" t="s">
        <v>392</v>
      </c>
      <c r="J10" s="1629"/>
      <c r="K10" s="17"/>
      <c r="L10" s="11" t="s">
        <v>395</v>
      </c>
      <c r="M10" s="1631"/>
      <c r="N10" s="1663" t="s">
        <v>461</v>
      </c>
      <c r="O10" s="224"/>
      <c r="P10" s="224"/>
      <c r="Q10" s="224"/>
    </row>
    <row r="11" spans="1:17" ht="9.9499999999999993" customHeight="1" thickBot="1">
      <c r="A11" s="1628"/>
      <c r="B11" s="390"/>
      <c r="C11" s="17"/>
      <c r="D11" s="17"/>
      <c r="E11" s="17"/>
      <c r="F11" s="17"/>
      <c r="G11" s="17"/>
      <c r="H11" s="17"/>
      <c r="I11" s="17"/>
      <c r="J11" s="1629"/>
      <c r="K11" s="17"/>
      <c r="L11" s="16"/>
      <c r="M11" s="5"/>
      <c r="N11" s="228"/>
      <c r="O11" s="228"/>
      <c r="P11" s="228"/>
      <c r="Q11" s="228"/>
    </row>
    <row r="12" spans="1:17" ht="30" customHeight="1" thickBot="1">
      <c r="A12" s="1628"/>
      <c r="B12" s="1640" t="s">
        <v>181</v>
      </c>
      <c r="C12" s="1630" t="s">
        <v>17</v>
      </c>
      <c r="D12" s="1625"/>
      <c r="E12" s="1633" t="s">
        <v>393</v>
      </c>
      <c r="F12" s="1633" t="s">
        <v>394</v>
      </c>
      <c r="G12" s="1630" t="s">
        <v>17</v>
      </c>
      <c r="H12" s="1625"/>
      <c r="I12" s="1630" t="s">
        <v>2</v>
      </c>
      <c r="J12" s="1644"/>
      <c r="K12" s="1625"/>
      <c r="L12" s="2602" t="s">
        <v>397</v>
      </c>
      <c r="M12" s="1655"/>
      <c r="N12" s="353"/>
      <c r="O12" s="228"/>
      <c r="P12" s="228"/>
      <c r="Q12" s="228"/>
    </row>
    <row r="13" spans="1:17" ht="30" customHeight="1">
      <c r="A13" s="1628"/>
      <c r="B13" s="423"/>
      <c r="C13" s="428" t="s">
        <v>30</v>
      </c>
      <c r="D13" s="1625"/>
      <c r="E13" s="428" t="s">
        <v>391</v>
      </c>
      <c r="F13" s="428" t="s">
        <v>391</v>
      </c>
      <c r="G13" s="428" t="s">
        <v>30</v>
      </c>
      <c r="H13" s="1625"/>
      <c r="I13" s="428" t="s">
        <v>17</v>
      </c>
      <c r="J13" s="1644"/>
      <c r="K13" s="1625"/>
      <c r="L13" s="2603"/>
      <c r="M13" s="1655"/>
      <c r="N13" s="1660" t="s">
        <v>201</v>
      </c>
      <c r="O13" s="2604" t="s">
        <v>202</v>
      </c>
      <c r="P13" s="1661" t="s">
        <v>68</v>
      </c>
      <c r="Q13" s="228"/>
    </row>
    <row r="14" spans="1:17" ht="24.95" customHeight="1" thickBot="1">
      <c r="A14" s="1628"/>
      <c r="B14" s="424"/>
      <c r="C14" s="534">
        <v>1</v>
      </c>
      <c r="D14" s="1626"/>
      <c r="E14" s="534">
        <v>2</v>
      </c>
      <c r="F14" s="534">
        <v>3</v>
      </c>
      <c r="G14" s="534">
        <v>4</v>
      </c>
      <c r="H14" s="1626"/>
      <c r="I14" s="534">
        <v>5</v>
      </c>
      <c r="J14" s="1645"/>
      <c r="K14" s="1626"/>
      <c r="L14" s="1717"/>
      <c r="M14" s="1655"/>
      <c r="N14" s="1658"/>
      <c r="O14" s="2605"/>
      <c r="P14" s="1659"/>
      <c r="Q14" s="228"/>
    </row>
    <row r="15" spans="1:17" ht="24.95" customHeight="1" thickBot="1">
      <c r="A15" s="1628"/>
      <c r="B15" s="425" t="s">
        <v>182</v>
      </c>
      <c r="C15" s="1647">
        <v>26</v>
      </c>
      <c r="D15" s="1627"/>
      <c r="E15" s="1650"/>
      <c r="F15" s="1650"/>
      <c r="G15" s="1647"/>
      <c r="H15" s="1627"/>
      <c r="I15" s="1639"/>
      <c r="J15" s="1646"/>
      <c r="K15" s="1627"/>
      <c r="L15" s="2123" t="str">
        <f>IF(AND(E15&lt;&gt;"",F15=""),"No Second Subject",IF(AND(F15&lt;&gt;"",E15=""),"No First Subject",IF(AND(E15="",F15="",G15&gt;0),"No Subjects",IF(AND(E15&lt;&gt;"",F15&lt;&gt;"",OR(G15="",G15&lt;=0)),"No FTE","OK"))))</f>
        <v>OK</v>
      </c>
      <c r="M15" s="1655"/>
      <c r="N15" s="1656">
        <f>'T2a ITE'!$G$33</f>
        <v>225</v>
      </c>
      <c r="O15" s="433">
        <f>I35-N15</f>
        <v>0</v>
      </c>
      <c r="P15" s="1657" t="str">
        <f>IF(ABS(O15)&gt;0.1,"Does not equal Table 2a","OK")</f>
        <v>OK</v>
      </c>
      <c r="Q15" s="228"/>
    </row>
    <row r="16" spans="1:17" ht="24.95" customHeight="1">
      <c r="A16" s="1628"/>
      <c r="B16" s="426" t="s">
        <v>183</v>
      </c>
      <c r="C16" s="1648">
        <v>13</v>
      </c>
      <c r="D16" s="1627"/>
      <c r="E16" s="1651"/>
      <c r="F16" s="1651"/>
      <c r="G16" s="1648"/>
      <c r="H16" s="1627"/>
      <c r="I16" s="1639"/>
      <c r="J16" s="1646"/>
      <c r="K16" s="1627"/>
      <c r="L16" s="2124" t="str">
        <f t="shared" ref="L16:L34" si="0">IF(AND(E16&lt;&gt;"",F16=""),"No Second Subject",IF(AND(F16&lt;&gt;"",E16=""),"No First Subject",IF(AND(E16="",F16="",G16&gt;0),"No Subjects",IF(AND(E16&lt;&gt;"",F16&lt;&gt;"",OR(G16="",G16&lt;=0)),"No FTE","OK"))))</f>
        <v>OK</v>
      </c>
      <c r="M16" s="1655"/>
      <c r="N16" s="353"/>
      <c r="O16" s="353"/>
      <c r="P16" s="353"/>
      <c r="Q16" s="228"/>
    </row>
    <row r="17" spans="1:17" ht="24.95" customHeight="1">
      <c r="A17" s="1628"/>
      <c r="B17" s="426" t="s">
        <v>184</v>
      </c>
      <c r="C17" s="1648">
        <v>24</v>
      </c>
      <c r="D17" s="1627"/>
      <c r="E17" s="1651"/>
      <c r="F17" s="1651"/>
      <c r="G17" s="1648"/>
      <c r="H17" s="1627"/>
      <c r="I17" s="1639"/>
      <c r="J17" s="1646"/>
      <c r="K17" s="1627"/>
      <c r="L17" s="2124" t="str">
        <f t="shared" si="0"/>
        <v>OK</v>
      </c>
      <c r="M17" s="1655"/>
      <c r="N17" s="353"/>
      <c r="O17" s="353"/>
      <c r="P17" s="353"/>
      <c r="Q17" s="228"/>
    </row>
    <row r="18" spans="1:17" ht="24.95" customHeight="1">
      <c r="A18" s="1628"/>
      <c r="B18" s="426" t="s">
        <v>185</v>
      </c>
      <c r="C18" s="1648">
        <v>10</v>
      </c>
      <c r="D18" s="1627"/>
      <c r="E18" s="1651"/>
      <c r="F18" s="1651"/>
      <c r="G18" s="1648"/>
      <c r="H18" s="1627"/>
      <c r="I18" s="1639"/>
      <c r="J18" s="1646"/>
      <c r="K18" s="1627"/>
      <c r="L18" s="2124" t="str">
        <f t="shared" si="0"/>
        <v>OK</v>
      </c>
      <c r="M18" s="1655"/>
      <c r="N18" s="353"/>
      <c r="O18" s="228"/>
      <c r="P18" s="228"/>
      <c r="Q18" s="228"/>
    </row>
    <row r="19" spans="1:17" ht="24.95" customHeight="1">
      <c r="A19" s="1628"/>
      <c r="B19" s="426" t="s">
        <v>186</v>
      </c>
      <c r="C19" s="1648">
        <v>16</v>
      </c>
      <c r="D19" s="1627"/>
      <c r="E19" s="1651"/>
      <c r="F19" s="1651"/>
      <c r="G19" s="1648"/>
      <c r="H19" s="1627"/>
      <c r="I19" s="1639"/>
      <c r="J19" s="1646"/>
      <c r="K19" s="1627"/>
      <c r="L19" s="2124" t="str">
        <f t="shared" si="0"/>
        <v>OK</v>
      </c>
      <c r="M19" s="1655"/>
      <c r="N19" s="353"/>
      <c r="O19" s="228"/>
      <c r="P19" s="228"/>
      <c r="Q19" s="228"/>
    </row>
    <row r="20" spans="1:17" ht="24.95" customHeight="1">
      <c r="A20" s="1628"/>
      <c r="B20" s="426" t="s">
        <v>187</v>
      </c>
      <c r="C20" s="1648"/>
      <c r="D20" s="1627"/>
      <c r="E20" s="1651"/>
      <c r="F20" s="1651"/>
      <c r="G20" s="1648"/>
      <c r="H20" s="1627"/>
      <c r="I20" s="1639"/>
      <c r="J20" s="1646"/>
      <c r="K20" s="1627"/>
      <c r="L20" s="2124" t="str">
        <f t="shared" si="0"/>
        <v>OK</v>
      </c>
      <c r="M20" s="1655"/>
      <c r="N20" s="353"/>
      <c r="O20" s="228"/>
      <c r="P20" s="228"/>
      <c r="Q20" s="228"/>
    </row>
    <row r="21" spans="1:17" ht="24.95" customHeight="1">
      <c r="A21" s="1628"/>
      <c r="B21" s="426" t="s">
        <v>188</v>
      </c>
      <c r="C21" s="1648">
        <v>34</v>
      </c>
      <c r="D21" s="1627"/>
      <c r="E21" s="1651"/>
      <c r="F21" s="1651"/>
      <c r="G21" s="1648"/>
      <c r="H21" s="1627"/>
      <c r="I21" s="1639"/>
      <c r="J21" s="1646"/>
      <c r="K21" s="1627"/>
      <c r="L21" s="2124" t="str">
        <f t="shared" si="0"/>
        <v>OK</v>
      </c>
      <c r="M21" s="1655"/>
      <c r="N21" s="353"/>
      <c r="O21" s="228"/>
      <c r="P21" s="228"/>
      <c r="Q21" s="228"/>
    </row>
    <row r="22" spans="1:17" ht="24.95" customHeight="1">
      <c r="A22" s="1628"/>
      <c r="B22" s="426" t="s">
        <v>189</v>
      </c>
      <c r="C22" s="1648"/>
      <c r="D22" s="1627"/>
      <c r="E22" s="1651"/>
      <c r="F22" s="1651"/>
      <c r="G22" s="1648"/>
      <c r="H22" s="1627"/>
      <c r="I22" s="1639"/>
      <c r="J22" s="1646"/>
      <c r="K22" s="1627"/>
      <c r="L22" s="2124" t="str">
        <f t="shared" si="0"/>
        <v>OK</v>
      </c>
      <c r="M22" s="1655"/>
      <c r="N22" s="353"/>
      <c r="O22" s="228"/>
      <c r="P22" s="228"/>
      <c r="Q22" s="228"/>
    </row>
    <row r="23" spans="1:17" ht="24.95" customHeight="1">
      <c r="A23" s="1628"/>
      <c r="B23" s="426" t="s">
        <v>190</v>
      </c>
      <c r="C23" s="1648">
        <v>5</v>
      </c>
      <c r="D23" s="1627"/>
      <c r="E23" s="1651"/>
      <c r="F23" s="1651"/>
      <c r="G23" s="1648"/>
      <c r="H23" s="1627"/>
      <c r="I23" s="1639"/>
      <c r="J23" s="1646"/>
      <c r="K23" s="1627"/>
      <c r="L23" s="2124" t="str">
        <f t="shared" si="0"/>
        <v>OK</v>
      </c>
      <c r="M23" s="1655"/>
      <c r="N23" s="353"/>
      <c r="O23" s="228"/>
      <c r="P23" s="228"/>
      <c r="Q23" s="228"/>
    </row>
    <row r="24" spans="1:17" ht="24.95" customHeight="1">
      <c r="A24" s="1628"/>
      <c r="B24" s="426" t="s">
        <v>191</v>
      </c>
      <c r="C24" s="1648">
        <v>17</v>
      </c>
      <c r="D24" s="1627"/>
      <c r="E24" s="1651"/>
      <c r="F24" s="1651"/>
      <c r="G24" s="1648"/>
      <c r="H24" s="1627"/>
      <c r="I24" s="1639"/>
      <c r="J24" s="1646"/>
      <c r="K24" s="1627"/>
      <c r="L24" s="2124" t="str">
        <f t="shared" si="0"/>
        <v>OK</v>
      </c>
      <c r="M24" s="1655"/>
      <c r="N24" s="353"/>
      <c r="O24" s="228"/>
      <c r="P24" s="228"/>
      <c r="Q24" s="228"/>
    </row>
    <row r="25" spans="1:17" ht="24.95" customHeight="1">
      <c r="A25" s="1628"/>
      <c r="B25" s="426" t="s">
        <v>192</v>
      </c>
      <c r="C25" s="1648"/>
      <c r="D25" s="1627"/>
      <c r="E25" s="1651"/>
      <c r="F25" s="1651"/>
      <c r="G25" s="1648"/>
      <c r="H25" s="1627"/>
      <c r="I25" s="1639"/>
      <c r="J25" s="1646"/>
      <c r="K25" s="1627"/>
      <c r="L25" s="2124" t="str">
        <f t="shared" si="0"/>
        <v>OK</v>
      </c>
      <c r="M25" s="1655"/>
      <c r="N25" s="353"/>
      <c r="O25" s="228"/>
      <c r="P25" s="228"/>
      <c r="Q25" s="228"/>
    </row>
    <row r="26" spans="1:17" ht="24.95" customHeight="1">
      <c r="A26" s="1628"/>
      <c r="B26" s="426" t="s">
        <v>193</v>
      </c>
      <c r="C26" s="1648">
        <v>26</v>
      </c>
      <c r="D26" s="1627"/>
      <c r="E26" s="1651"/>
      <c r="F26" s="1651"/>
      <c r="G26" s="1648"/>
      <c r="H26" s="1627"/>
      <c r="I26" s="1639"/>
      <c r="J26" s="1646"/>
      <c r="K26" s="1627"/>
      <c r="L26" s="2124" t="str">
        <f t="shared" si="0"/>
        <v>OK</v>
      </c>
      <c r="M26" s="1655"/>
      <c r="N26" s="353"/>
      <c r="O26" s="228"/>
      <c r="P26" s="228"/>
      <c r="Q26" s="228"/>
    </row>
    <row r="27" spans="1:17" ht="24.95" customHeight="1">
      <c r="A27" s="1628"/>
      <c r="B27" s="426" t="s">
        <v>194</v>
      </c>
      <c r="C27" s="1648">
        <v>23</v>
      </c>
      <c r="D27" s="1627"/>
      <c r="E27" s="1651"/>
      <c r="F27" s="1651"/>
      <c r="G27" s="1648"/>
      <c r="H27" s="1627"/>
      <c r="I27" s="1639"/>
      <c r="J27" s="1646"/>
      <c r="K27" s="1627"/>
      <c r="L27" s="2124" t="str">
        <f t="shared" si="0"/>
        <v>OK</v>
      </c>
      <c r="M27" s="1655"/>
      <c r="N27" s="353"/>
      <c r="O27" s="228"/>
      <c r="P27" s="228"/>
      <c r="Q27" s="228"/>
    </row>
    <row r="28" spans="1:17" ht="24.95" customHeight="1">
      <c r="A28" s="1628"/>
      <c r="B28" s="426" t="s">
        <v>195</v>
      </c>
      <c r="C28" s="1648">
        <v>12</v>
      </c>
      <c r="D28" s="1627"/>
      <c r="E28" s="1651"/>
      <c r="F28" s="1651"/>
      <c r="G28" s="1648"/>
      <c r="H28" s="1627"/>
      <c r="I28" s="1639"/>
      <c r="J28" s="1646"/>
      <c r="K28" s="1627"/>
      <c r="L28" s="2124" t="str">
        <f t="shared" si="0"/>
        <v>OK</v>
      </c>
      <c r="M28" s="1655"/>
      <c r="N28" s="353"/>
      <c r="O28" s="228"/>
      <c r="P28" s="228"/>
      <c r="Q28" s="228"/>
    </row>
    <row r="29" spans="1:17" ht="24.95" customHeight="1">
      <c r="A29" s="1628"/>
      <c r="B29" s="426" t="s">
        <v>196</v>
      </c>
      <c r="C29" s="1648"/>
      <c r="D29" s="1627"/>
      <c r="E29" s="1651"/>
      <c r="F29" s="1651"/>
      <c r="G29" s="1648"/>
      <c r="H29" s="1627"/>
      <c r="I29" s="1639"/>
      <c r="J29" s="1646"/>
      <c r="K29" s="1627"/>
      <c r="L29" s="2124" t="str">
        <f t="shared" si="0"/>
        <v>OK</v>
      </c>
      <c r="M29" s="1655"/>
      <c r="N29" s="353"/>
      <c r="O29" s="228"/>
      <c r="P29" s="228"/>
      <c r="Q29" s="228"/>
    </row>
    <row r="30" spans="1:17" ht="24.95" customHeight="1">
      <c r="A30" s="1628"/>
      <c r="B30" s="426" t="s">
        <v>197</v>
      </c>
      <c r="C30" s="1648"/>
      <c r="D30" s="1627"/>
      <c r="E30" s="1651"/>
      <c r="F30" s="1651"/>
      <c r="G30" s="1648"/>
      <c r="H30" s="1627"/>
      <c r="I30" s="1639"/>
      <c r="J30" s="1646"/>
      <c r="K30" s="1627"/>
      <c r="L30" s="2124" t="str">
        <f t="shared" si="0"/>
        <v>OK</v>
      </c>
      <c r="M30" s="1655"/>
      <c r="N30" s="353"/>
      <c r="O30" s="228"/>
      <c r="P30" s="228"/>
      <c r="Q30" s="228"/>
    </row>
    <row r="31" spans="1:17" ht="24.95" customHeight="1">
      <c r="A31" s="1628"/>
      <c r="B31" s="426" t="s">
        <v>200</v>
      </c>
      <c r="C31" s="1648">
        <v>11</v>
      </c>
      <c r="D31" s="1627"/>
      <c r="E31" s="1651"/>
      <c r="F31" s="1651"/>
      <c r="G31" s="1648"/>
      <c r="H31" s="1627"/>
      <c r="I31" s="1639"/>
      <c r="J31" s="1646"/>
      <c r="K31" s="1627"/>
      <c r="L31" s="2124" t="str">
        <f t="shared" si="0"/>
        <v>OK</v>
      </c>
      <c r="M31" s="1655"/>
      <c r="N31" s="353"/>
      <c r="O31" s="228"/>
      <c r="P31" s="228"/>
      <c r="Q31" s="228"/>
    </row>
    <row r="32" spans="1:17" ht="24.95" customHeight="1">
      <c r="A32" s="1628"/>
      <c r="B32" s="667" t="s">
        <v>242</v>
      </c>
      <c r="C32" s="1648"/>
      <c r="D32" s="1627"/>
      <c r="E32" s="1651"/>
      <c r="F32" s="1651"/>
      <c r="G32" s="1648"/>
      <c r="H32" s="1627"/>
      <c r="I32" s="1639"/>
      <c r="J32" s="1646"/>
      <c r="K32" s="1627"/>
      <c r="L32" s="2124" t="str">
        <f t="shared" si="0"/>
        <v>OK</v>
      </c>
      <c r="M32" s="1655"/>
      <c r="N32" s="353"/>
      <c r="O32" s="228"/>
      <c r="P32" s="228"/>
      <c r="Q32" s="228"/>
    </row>
    <row r="33" spans="1:17" ht="24.95" customHeight="1">
      <c r="A33" s="1628"/>
      <c r="B33" s="426" t="s">
        <v>198</v>
      </c>
      <c r="C33" s="1648">
        <v>8</v>
      </c>
      <c r="D33" s="1627"/>
      <c r="E33" s="1651"/>
      <c r="F33" s="1651"/>
      <c r="G33" s="1648"/>
      <c r="H33" s="1627"/>
      <c r="I33" s="1639"/>
      <c r="J33" s="1646"/>
      <c r="K33" s="1627"/>
      <c r="L33" s="2124" t="str">
        <f t="shared" si="0"/>
        <v>OK</v>
      </c>
      <c r="M33" s="1655"/>
      <c r="N33" s="353"/>
      <c r="O33" s="228"/>
      <c r="P33" s="228"/>
      <c r="Q33" s="228"/>
    </row>
    <row r="34" spans="1:17" ht="24.95" customHeight="1" thickBot="1">
      <c r="A34" s="1628"/>
      <c r="B34" s="1634" t="s">
        <v>199</v>
      </c>
      <c r="C34" s="1649"/>
      <c r="D34" s="1627"/>
      <c r="E34" s="1652"/>
      <c r="F34" s="1652"/>
      <c r="G34" s="1653"/>
      <c r="H34" s="1627"/>
      <c r="I34" s="1639"/>
      <c r="J34" s="1646"/>
      <c r="K34" s="1627"/>
      <c r="L34" s="2125" t="str">
        <f t="shared" si="0"/>
        <v>OK</v>
      </c>
      <c r="M34" s="1655"/>
      <c r="N34" s="353"/>
      <c r="O34" s="228"/>
      <c r="P34" s="228"/>
      <c r="Q34" s="228"/>
    </row>
    <row r="35" spans="1:17" ht="30" customHeight="1" thickBot="1">
      <c r="A35" s="1628"/>
      <c r="B35" s="427" t="s">
        <v>2</v>
      </c>
      <c r="C35" s="430">
        <f>SUM(C15:C34)</f>
        <v>225</v>
      </c>
      <c r="D35" s="1627"/>
      <c r="E35" s="1635" t="s">
        <v>2</v>
      </c>
      <c r="F35" s="1636"/>
      <c r="G35" s="725">
        <f>SUM(G15:G34)</f>
        <v>0</v>
      </c>
      <c r="H35" s="1627"/>
      <c r="I35" s="725">
        <f>SUM(C35,G35)</f>
        <v>225</v>
      </c>
      <c r="J35" s="1646"/>
      <c r="K35" s="1627"/>
      <c r="L35" s="353"/>
      <c r="M35" s="353"/>
      <c r="N35" s="353"/>
      <c r="O35" s="228"/>
      <c r="P35" s="228"/>
      <c r="Q35" s="228"/>
    </row>
    <row r="36" spans="1:17" ht="20.100000000000001" customHeight="1">
      <c r="A36" s="350"/>
      <c r="B36" s="431"/>
      <c r="C36" s="44"/>
      <c r="D36" s="44"/>
      <c r="E36" s="44"/>
      <c r="F36" s="44"/>
      <c r="G36" s="44"/>
      <c r="H36" s="44"/>
      <c r="I36" s="44"/>
      <c r="J36" s="45"/>
      <c r="K36" s="17"/>
      <c r="L36" s="1320"/>
      <c r="M36" s="1320"/>
      <c r="N36" s="353"/>
      <c r="O36" s="228"/>
      <c r="P36" s="228"/>
      <c r="Q36" s="228"/>
    </row>
    <row r="37" spans="1:17" ht="20.100000000000001" customHeight="1">
      <c r="A37" s="228"/>
      <c r="B37" s="228"/>
      <c r="C37" s="228"/>
      <c r="D37" s="224"/>
      <c r="E37" s="228"/>
      <c r="F37" s="228"/>
      <c r="G37" s="228"/>
      <c r="H37" s="228"/>
      <c r="I37" s="228"/>
      <c r="J37" s="228"/>
      <c r="K37" s="228"/>
      <c r="L37" s="353"/>
      <c r="M37" s="353"/>
      <c r="N37" s="353"/>
      <c r="O37" s="228"/>
      <c r="P37" s="228"/>
      <c r="Q37" s="228"/>
    </row>
    <row r="38" spans="1:17">
      <c r="L38" s="634"/>
      <c r="M38" s="634"/>
      <c r="N38" s="634"/>
    </row>
    <row r="39" spans="1:17">
      <c r="L39" s="634"/>
      <c r="M39" s="634"/>
      <c r="N39" s="634"/>
    </row>
  </sheetData>
  <sheetProtection password="E23E" sheet="1" objects="1" scenarios="1"/>
  <mergeCells count="3">
    <mergeCell ref="L12:L13"/>
    <mergeCell ref="O13:O14"/>
    <mergeCell ref="B5:C5"/>
  </mergeCells>
  <conditionalFormatting sqref="A1:J1">
    <cfRule type="expression" dxfId="82" priority="310">
      <formula>$D$5=0</formula>
    </cfRule>
  </conditionalFormatting>
  <conditionalFormatting sqref="G1">
    <cfRule type="expression" dxfId="81" priority="5">
      <formula>#REF!=0</formula>
    </cfRule>
  </conditionalFormatting>
  <conditionalFormatting sqref="C15:C34 E15:G34">
    <cfRule type="expression" dxfId="80" priority="3">
      <formula>$D$5=1</formula>
    </cfRule>
  </conditionalFormatting>
  <conditionalFormatting sqref="L15:L34">
    <cfRule type="expression" dxfId="79" priority="2">
      <formula>L15&lt;&gt;"OK"</formula>
    </cfRule>
  </conditionalFormatting>
  <conditionalFormatting sqref="P15">
    <cfRule type="expression" dxfId="78" priority="1">
      <formula>P15&lt;&gt;"OK"</formula>
    </cfRule>
  </conditionalFormatting>
  <dataValidations count="4">
    <dataValidation type="decimal" operator="greaterThanOrEqual" allowBlank="1" showInputMessage="1" showErrorMessage="1" errorTitle="ERROR!" error="Invalid Entry" sqref="C15:C34 G15:G34">
      <formula1>0</formula1>
    </dataValidation>
    <dataValidation type="custom" allowBlank="1" showErrorMessage="1" errorTitle="Number less than 0" error="You are trying to enter a number which is less than 0, please re-enter a valid number." sqref="C35 F35:G35">
      <formula1>C35&gt;=0</formula1>
    </dataValidation>
    <dataValidation allowBlank="1" sqref="C14:K14"/>
    <dataValidation type="list" allowBlank="1" showInputMessage="1" showErrorMessage="1" sqref="E15:F34">
      <formula1>$B$15:$B$34</formula1>
    </dataValidation>
  </dataValidations>
  <pageMargins left="0.19685039370078741" right="0.19685039370078741" top="0.19685039370078741" bottom="0.39370078740157483" header="0" footer="0"/>
  <pageSetup paperSize="9"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8"/>
  <sheetViews>
    <sheetView zoomScale="80" zoomScaleNormal="80" workbookViewId="0"/>
  </sheetViews>
  <sheetFormatPr defaultColWidth="9.140625" defaultRowHeight="15"/>
  <cols>
    <col min="1" max="1" width="2.7109375" style="770" customWidth="1"/>
    <col min="2" max="2" width="100.7109375" style="770" customWidth="1"/>
    <col min="3" max="7" width="12.7109375" style="770" customWidth="1"/>
    <col min="8" max="8" width="3.7109375" style="1765" customWidth="1"/>
    <col min="9" max="14" width="11.7109375" style="770" customWidth="1"/>
    <col min="15" max="16" width="4.7109375" style="1007" customWidth="1"/>
    <col min="17" max="17" width="33.28515625" style="631" customWidth="1"/>
    <col min="18" max="18" width="25.7109375" style="1765" customWidth="1"/>
    <col min="19" max="19" width="6" style="770" customWidth="1"/>
    <col min="20" max="16384" width="9.140625" style="770"/>
  </cols>
  <sheetData>
    <row r="1" spans="1:19" ht="39.950000000000003" customHeight="1">
      <c r="A1" s="973"/>
      <c r="B1" s="974" t="str">
        <f>IF(H4=0,"Your Institution Does Not Complete This Table","")</f>
        <v/>
      </c>
      <c r="C1" s="975"/>
      <c r="D1" s="975"/>
      <c r="E1" s="975"/>
      <c r="F1" s="975"/>
      <c r="G1" s="975"/>
      <c r="H1" s="1746"/>
      <c r="I1" s="975"/>
      <c r="J1" s="975"/>
      <c r="K1" s="975"/>
      <c r="L1" s="975"/>
      <c r="M1" s="975"/>
      <c r="N1" s="975"/>
      <c r="O1" s="976"/>
      <c r="P1" s="976"/>
      <c r="Q1" s="2"/>
      <c r="R1" s="1746"/>
      <c r="S1" s="975"/>
    </row>
    <row r="2" spans="1:19" ht="30" customHeight="1">
      <c r="A2" s="2281"/>
      <c r="B2" s="2282" t="s">
        <v>301</v>
      </c>
      <c r="C2" s="2283"/>
      <c r="D2" s="2283"/>
      <c r="E2" s="2283"/>
      <c r="F2" s="2283"/>
      <c r="G2" s="2283"/>
      <c r="H2" s="2284"/>
      <c r="I2" s="2283"/>
      <c r="J2" s="2283"/>
      <c r="K2" s="2283"/>
      <c r="L2" s="2283"/>
      <c r="M2" s="2283"/>
      <c r="N2" s="2285"/>
      <c r="O2" s="2286"/>
      <c r="P2" s="978"/>
      <c r="Q2" s="5"/>
      <c r="R2" s="1977"/>
      <c r="S2" s="979"/>
    </row>
    <row r="3" spans="1:19" ht="15" customHeight="1" thickBot="1">
      <c r="A3" s="1749"/>
      <c r="B3" s="980"/>
      <c r="C3" s="981"/>
      <c r="D3" s="981"/>
      <c r="E3" s="981"/>
      <c r="F3" s="981"/>
      <c r="G3" s="981"/>
      <c r="H3" s="1750"/>
      <c r="I3" s="981"/>
      <c r="J3" s="981"/>
      <c r="K3" s="981"/>
      <c r="L3" s="981"/>
      <c r="M3" s="981"/>
      <c r="N3" s="981"/>
      <c r="O3" s="982"/>
      <c r="P3" s="983"/>
      <c r="Q3" s="5"/>
      <c r="R3" s="1977"/>
      <c r="S3" s="979"/>
    </row>
    <row r="4" spans="1:19" ht="35.1" customHeight="1" thickBot="1">
      <c r="A4" s="1749"/>
      <c r="B4" s="984" t="s">
        <v>0</v>
      </c>
      <c r="C4" s="2606" t="str">
        <f>VLOOKUP('Background Data'!$C$2,Inst_Tables,2,FALSE)</f>
        <v>Glasgow, University of</v>
      </c>
      <c r="D4" s="2607"/>
      <c r="E4" s="2607"/>
      <c r="F4" s="2607"/>
      <c r="G4" s="2608"/>
      <c r="H4" s="985">
        <f>VLOOKUP('Background Data'!$C$2,Inst_Tables,7,FALSE)</f>
        <v>1</v>
      </c>
      <c r="I4" s="981"/>
      <c r="J4" s="784"/>
      <c r="K4" s="981"/>
      <c r="L4" s="981"/>
      <c r="M4" s="981"/>
      <c r="N4" s="981"/>
      <c r="O4" s="982"/>
      <c r="P4" s="983"/>
      <c r="Q4" s="5"/>
      <c r="R4" s="1977"/>
      <c r="S4" s="979"/>
    </row>
    <row r="5" spans="1:19" ht="30" customHeight="1">
      <c r="A5" s="1749"/>
      <c r="B5" s="986" t="s">
        <v>448</v>
      </c>
      <c r="C5" s="987"/>
      <c r="D5" s="987"/>
      <c r="E5" s="987"/>
      <c r="F5" s="987"/>
      <c r="G5" s="988"/>
      <c r="H5" s="1746"/>
      <c r="I5" s="989"/>
      <c r="J5" s="981"/>
      <c r="K5" s="981"/>
      <c r="L5" s="981"/>
      <c r="M5" s="981"/>
      <c r="N5" s="981"/>
      <c r="O5" s="982"/>
      <c r="P5" s="983"/>
      <c r="Q5" s="5"/>
      <c r="R5" s="1977"/>
      <c r="S5" s="979"/>
    </row>
    <row r="6" spans="1:19" ht="24.95" customHeight="1">
      <c r="A6" s="1749"/>
      <c r="B6" s="11" t="s">
        <v>498</v>
      </c>
      <c r="C6" s="987"/>
      <c r="D6" s="987"/>
      <c r="E6" s="987"/>
      <c r="F6" s="987"/>
      <c r="G6" s="988"/>
      <c r="H6" s="1746"/>
      <c r="I6" s="989"/>
      <c r="J6" s="981"/>
      <c r="K6" s="981"/>
      <c r="L6" s="981"/>
      <c r="M6" s="981"/>
      <c r="N6" s="981"/>
      <c r="O6" s="982"/>
      <c r="P6" s="983"/>
      <c r="Q6" s="5"/>
      <c r="R6" s="1977"/>
      <c r="S6" s="979"/>
    </row>
    <row r="7" spans="1:19" ht="15" customHeight="1" thickBot="1">
      <c r="A7" s="1749"/>
      <c r="B7" s="990"/>
      <c r="C7" s="981"/>
      <c r="D7" s="981"/>
      <c r="E7" s="981"/>
      <c r="F7" s="981"/>
      <c r="G7" s="991"/>
      <c r="H7" s="1750"/>
      <c r="I7" s="981"/>
      <c r="J7" s="981"/>
      <c r="K7" s="981"/>
      <c r="L7" s="981"/>
      <c r="M7" s="981"/>
      <c r="N7" s="981"/>
      <c r="O7" s="982"/>
      <c r="P7" s="983"/>
      <c r="Q7" s="5"/>
      <c r="R7" s="1977"/>
      <c r="S7" s="979"/>
    </row>
    <row r="8" spans="1:19" ht="35.1" customHeight="1">
      <c r="A8" s="1749"/>
      <c r="B8" s="992"/>
      <c r="C8" s="2609" t="s">
        <v>299</v>
      </c>
      <c r="D8" s="2610"/>
      <c r="E8" s="2610"/>
      <c r="F8" s="2610"/>
      <c r="G8" s="2611"/>
      <c r="H8" s="1750"/>
      <c r="I8" s="2612" t="s">
        <v>292</v>
      </c>
      <c r="J8" s="2613"/>
      <c r="K8" s="2613"/>
      <c r="L8" s="2613"/>
      <c r="M8" s="2613"/>
      <c r="N8" s="2614"/>
      <c r="O8" s="982"/>
      <c r="P8" s="983"/>
      <c r="Q8" s="5"/>
      <c r="R8" s="1977"/>
      <c r="S8" s="979"/>
    </row>
    <row r="9" spans="1:19" ht="35.1" customHeight="1">
      <c r="A9" s="1749"/>
      <c r="B9" s="2617" t="s">
        <v>499</v>
      </c>
      <c r="C9" s="2594" t="s">
        <v>143</v>
      </c>
      <c r="D9" s="2595"/>
      <c r="E9" s="2596"/>
      <c r="F9" s="2619" t="s">
        <v>134</v>
      </c>
      <c r="G9" s="2620" t="s">
        <v>235</v>
      </c>
      <c r="H9" s="1750"/>
      <c r="I9" s="2622" t="s">
        <v>27</v>
      </c>
      <c r="J9" s="2623"/>
      <c r="K9" s="2623"/>
      <c r="L9" s="2623"/>
      <c r="M9" s="2623"/>
      <c r="N9" s="2624"/>
      <c r="O9" s="982"/>
      <c r="P9" s="983"/>
      <c r="Q9" s="2270" t="s">
        <v>473</v>
      </c>
      <c r="R9" s="1977"/>
      <c r="S9" s="979"/>
    </row>
    <row r="10" spans="1:19" ht="39.950000000000003" customHeight="1" thickBot="1">
      <c r="A10" s="1749"/>
      <c r="B10" s="2618"/>
      <c r="C10" s="2358" t="s">
        <v>491</v>
      </c>
      <c r="D10" s="2360" t="s">
        <v>492</v>
      </c>
      <c r="E10" s="2364" t="s">
        <v>2</v>
      </c>
      <c r="F10" s="2619"/>
      <c r="G10" s="2621"/>
      <c r="H10" s="1766"/>
      <c r="I10" s="2287">
        <v>1</v>
      </c>
      <c r="J10" s="2288" t="s">
        <v>13</v>
      </c>
      <c r="K10" s="2288" t="s">
        <v>14</v>
      </c>
      <c r="L10" s="2288" t="s">
        <v>15</v>
      </c>
      <c r="M10" s="2289" t="s">
        <v>16</v>
      </c>
      <c r="N10" s="2290" t="s">
        <v>151</v>
      </c>
      <c r="O10" s="993"/>
      <c r="P10" s="994"/>
      <c r="Q10" s="1978"/>
      <c r="R10" s="1977"/>
      <c r="S10" s="979"/>
    </row>
    <row r="11" spans="1:19" ht="24.95" customHeight="1">
      <c r="A11" s="1749"/>
      <c r="B11" s="995"/>
      <c r="C11" s="14" t="s">
        <v>17</v>
      </c>
      <c r="D11" s="2386" t="s">
        <v>17</v>
      </c>
      <c r="E11" s="2387" t="s">
        <v>17</v>
      </c>
      <c r="F11" s="1751" t="s">
        <v>17</v>
      </c>
      <c r="G11" s="1752" t="s">
        <v>17</v>
      </c>
      <c r="H11" s="1766"/>
      <c r="I11" s="996" t="s">
        <v>17</v>
      </c>
      <c r="J11" s="1751" t="s">
        <v>17</v>
      </c>
      <c r="K11" s="1751" t="s">
        <v>17</v>
      </c>
      <c r="L11" s="1751" t="s">
        <v>17</v>
      </c>
      <c r="M11" s="1767" t="s">
        <v>17</v>
      </c>
      <c r="N11" s="1752" t="s">
        <v>17</v>
      </c>
      <c r="O11" s="993"/>
      <c r="P11" s="994"/>
      <c r="Q11" s="2615" t="s">
        <v>474</v>
      </c>
      <c r="R11" s="1977"/>
      <c r="S11" s="979"/>
    </row>
    <row r="12" spans="1:19" ht="24.95" customHeight="1" thickBot="1">
      <c r="A12" s="1749"/>
      <c r="B12" s="997"/>
      <c r="C12" s="29" t="s">
        <v>30</v>
      </c>
      <c r="D12" s="1676" t="s">
        <v>30</v>
      </c>
      <c r="E12" s="1670" t="s">
        <v>55</v>
      </c>
      <c r="F12" s="999" t="s">
        <v>30</v>
      </c>
      <c r="G12" s="1753" t="s">
        <v>55</v>
      </c>
      <c r="H12" s="1768"/>
      <c r="I12" s="998" t="s">
        <v>30</v>
      </c>
      <c r="J12" s="1754" t="s">
        <v>30</v>
      </c>
      <c r="K12" s="1754" t="s">
        <v>30</v>
      </c>
      <c r="L12" s="1754" t="s">
        <v>30</v>
      </c>
      <c r="M12" s="1754" t="s">
        <v>30</v>
      </c>
      <c r="N12" s="1753" t="s">
        <v>55</v>
      </c>
      <c r="O12" s="982"/>
      <c r="P12" s="983"/>
      <c r="Q12" s="2616"/>
      <c r="R12" s="1977"/>
      <c r="S12" s="1000"/>
    </row>
    <row r="13" spans="1:19" ht="26.25" customHeight="1" thickBot="1">
      <c r="A13" s="1749"/>
      <c r="B13" s="1001"/>
      <c r="C13" s="520">
        <v>1</v>
      </c>
      <c r="D13" s="532">
        <v>2</v>
      </c>
      <c r="E13" s="660">
        <v>3</v>
      </c>
      <c r="F13" s="1003">
        <v>4</v>
      </c>
      <c r="G13" s="1004">
        <v>5</v>
      </c>
      <c r="H13" s="1769"/>
      <c r="I13" s="1002">
        <v>6</v>
      </c>
      <c r="J13" s="1003">
        <v>7</v>
      </c>
      <c r="K13" s="1003">
        <v>8</v>
      </c>
      <c r="L13" s="1003">
        <v>9</v>
      </c>
      <c r="M13" s="1003">
        <v>10</v>
      </c>
      <c r="N13" s="1004">
        <v>11</v>
      </c>
      <c r="O13" s="982"/>
      <c r="P13" s="983"/>
      <c r="Q13" s="2270"/>
      <c r="R13" s="1977"/>
      <c r="S13" s="1000"/>
    </row>
    <row r="14" spans="1:19" ht="15" customHeight="1">
      <c r="A14" s="1749"/>
      <c r="B14" s="2275"/>
      <c r="C14" s="2276"/>
      <c r="D14" s="2276"/>
      <c r="E14" s="2276"/>
      <c r="F14" s="2276"/>
      <c r="G14" s="2276"/>
      <c r="H14" s="1755"/>
      <c r="I14" s="2276"/>
      <c r="J14" s="2276"/>
      <c r="K14" s="2276"/>
      <c r="L14" s="2276"/>
      <c r="M14" s="2276"/>
      <c r="N14" s="2276"/>
      <c r="O14" s="982"/>
      <c r="P14" s="983"/>
      <c r="Q14" s="224"/>
      <c r="R14" s="1977"/>
      <c r="S14" s="1000"/>
    </row>
    <row r="15" spans="1:19" ht="30" customHeight="1" thickBot="1">
      <c r="A15" s="1749"/>
      <c r="B15" s="2277" t="s">
        <v>99</v>
      </c>
      <c r="C15" s="2278"/>
      <c r="D15" s="2278"/>
      <c r="E15" s="2278"/>
      <c r="F15" s="2278"/>
      <c r="G15" s="2279"/>
      <c r="H15" s="1758"/>
      <c r="I15" s="2280"/>
      <c r="J15" s="2280"/>
      <c r="K15" s="2280"/>
      <c r="L15" s="2280"/>
      <c r="M15" s="2280"/>
      <c r="N15" s="2280"/>
      <c r="O15" s="982"/>
      <c r="P15" s="983"/>
      <c r="Q15" s="1320"/>
      <c r="R15" s="1977"/>
      <c r="S15" s="1000"/>
    </row>
    <row r="16" spans="1:19" ht="30" customHeight="1">
      <c r="A16" s="1749"/>
      <c r="B16" s="2051"/>
      <c r="C16" s="2052"/>
      <c r="D16" s="2053"/>
      <c r="E16" s="2389">
        <f>SUM(C16:D16)</f>
        <v>0</v>
      </c>
      <c r="F16" s="2053"/>
      <c r="G16" s="2054">
        <f>SUM(E16:F16)</f>
        <v>0</v>
      </c>
      <c r="H16" s="1758"/>
      <c r="I16" s="2052"/>
      <c r="J16" s="2055"/>
      <c r="K16" s="2056"/>
      <c r="L16" s="2057"/>
      <c r="M16" s="2058"/>
      <c r="N16" s="2059">
        <f>SUM(I16:J16)</f>
        <v>0</v>
      </c>
      <c r="O16" s="1005"/>
      <c r="P16" s="1006"/>
      <c r="Q16" s="1731" t="str">
        <f>IF(AND(E16&gt;0,N16=0),"No enrolments",IF(AND(E16=0,N16&gt;0),"No intake",IF(AND(E16&gt;N16,N16&gt;0),"Intake larger than enrolments",IF(AND(E16=N16,J16&gt;0),"Intake same as enrolments?","OK"))))</f>
        <v>OK</v>
      </c>
      <c r="R16" s="1977"/>
      <c r="S16" s="979"/>
    </row>
    <row r="17" spans="1:19" ht="30" customHeight="1">
      <c r="A17" s="1749"/>
      <c r="B17" s="1756"/>
      <c r="C17" s="1757"/>
      <c r="D17" s="2291"/>
      <c r="E17" s="2390">
        <f>SUM(C17:D17)</f>
        <v>0</v>
      </c>
      <c r="F17" s="2291"/>
      <c r="G17" s="2292">
        <f t="shared" ref="G17:G19" si="0">SUM(E17:F17)</f>
        <v>0</v>
      </c>
      <c r="H17" s="1758"/>
      <c r="I17" s="1757"/>
      <c r="J17" s="1759"/>
      <c r="K17" s="2293"/>
      <c r="L17" s="2294"/>
      <c r="M17" s="2295"/>
      <c r="N17" s="2296">
        <f t="shared" ref="N17:N20" si="1">SUM(I17:J17)</f>
        <v>0</v>
      </c>
      <c r="O17" s="1005"/>
      <c r="P17" s="1006"/>
      <c r="Q17" s="1732" t="str">
        <f>IF(AND(E17&gt;0,N17=0),"No enrolments",IF(AND(E17=0,N17&gt;0),"No intake",IF(AND(E17&gt;N17,N17&gt;0),"Intake larger than enrolments",IF(AND(E17=N17,J17&gt;0),"Intake same as enrolments?","OK"))))</f>
        <v>OK</v>
      </c>
      <c r="R17" s="1977"/>
      <c r="S17" s="979"/>
    </row>
    <row r="18" spans="1:19" ht="30" customHeight="1">
      <c r="A18" s="1749"/>
      <c r="B18" s="1756"/>
      <c r="C18" s="1757"/>
      <c r="D18" s="2291"/>
      <c r="E18" s="2390">
        <f>SUM(C18:D18)</f>
        <v>0</v>
      </c>
      <c r="F18" s="2291"/>
      <c r="G18" s="2292">
        <f t="shared" si="0"/>
        <v>0</v>
      </c>
      <c r="H18" s="1758"/>
      <c r="I18" s="1757"/>
      <c r="J18" s="1759"/>
      <c r="K18" s="2293"/>
      <c r="L18" s="2294"/>
      <c r="M18" s="2295"/>
      <c r="N18" s="2296">
        <f t="shared" si="1"/>
        <v>0</v>
      </c>
      <c r="O18" s="1005"/>
      <c r="P18" s="1006"/>
      <c r="Q18" s="1732" t="str">
        <f>IF(AND(E18&gt;0,N18=0),"No enrolments",IF(AND(E18=0,N18&gt;0),"No intake",IF(AND(E18&gt;N18,N18&gt;0),"Intake larger than enrolments",IF(AND(E18=N18,J18&gt;0),"Intake same as enrolments?","OK"))))</f>
        <v>OK</v>
      </c>
      <c r="R18" s="1977"/>
      <c r="S18" s="979"/>
    </row>
    <row r="19" spans="1:19" ht="30" customHeight="1">
      <c r="A19" s="1749"/>
      <c r="B19" s="1756"/>
      <c r="C19" s="1757"/>
      <c r="D19" s="2291"/>
      <c r="E19" s="2390">
        <f>SUM(C19:D19)</f>
        <v>0</v>
      </c>
      <c r="F19" s="2291"/>
      <c r="G19" s="2292">
        <f t="shared" si="0"/>
        <v>0</v>
      </c>
      <c r="H19" s="1758"/>
      <c r="I19" s="1757"/>
      <c r="J19" s="1759"/>
      <c r="K19" s="2293"/>
      <c r="L19" s="2294"/>
      <c r="M19" s="2295"/>
      <c r="N19" s="2296">
        <f t="shared" si="1"/>
        <v>0</v>
      </c>
      <c r="O19" s="1005"/>
      <c r="P19" s="1006"/>
      <c r="Q19" s="1732" t="str">
        <f>IF(AND(E19&gt;0,N19=0),"No enrolments",IF(AND(E19=0,N19&gt;0),"No intake",IF(AND(E19&gt;N19,N19&gt;0),"Intake larger than enrolments",IF(AND(E19=N19,J19&gt;0),"Intake same as enrolments?","OK"))))</f>
        <v>OK</v>
      </c>
      <c r="R19" s="1977"/>
      <c r="S19" s="979"/>
    </row>
    <row r="20" spans="1:19" ht="30" customHeight="1" thickBot="1">
      <c r="A20" s="1749"/>
      <c r="B20" s="2040"/>
      <c r="C20" s="2297"/>
      <c r="D20" s="2298"/>
      <c r="E20" s="2391">
        <f>SUM(C20:D20)</f>
        <v>0</v>
      </c>
      <c r="F20" s="2298"/>
      <c r="G20" s="2002">
        <f>SUM(E20:F20)</f>
        <v>0</v>
      </c>
      <c r="H20" s="1758"/>
      <c r="I20" s="2297"/>
      <c r="J20" s="2299"/>
      <c r="K20" s="2300"/>
      <c r="L20" s="2301"/>
      <c r="M20" s="2302"/>
      <c r="N20" s="2007">
        <f t="shared" si="1"/>
        <v>0</v>
      </c>
      <c r="O20" s="1005"/>
      <c r="P20" s="1006"/>
      <c r="Q20" s="2014" t="str">
        <f>IF(AND(E20&gt;0,N20=0),"No enrolments",IF(AND(E20=0,N20&gt;0),"No intake",IF(AND(E20&gt;N20,N20&gt;0),"Intake larger than enrolments",IF(AND(E20=N20,J20&gt;0),"Intake same as enrolments?","OK"))))</f>
        <v>OK</v>
      </c>
      <c r="R20" s="1977"/>
      <c r="S20" s="979"/>
    </row>
    <row r="21" spans="1:19" ht="30" customHeight="1" thickBot="1">
      <c r="A21" s="1749"/>
      <c r="B21" s="2003" t="s">
        <v>2</v>
      </c>
      <c r="C21" s="2004">
        <f>SUM(C16:C20)</f>
        <v>0</v>
      </c>
      <c r="D21" s="2008">
        <f>SUM(D16:D20)</f>
        <v>0</v>
      </c>
      <c r="E21" s="2388">
        <f>SUM(E16:E20)</f>
        <v>0</v>
      </c>
      <c r="F21" s="2005">
        <f>SUM(F16:F20)</f>
        <v>0</v>
      </c>
      <c r="G21" s="2006">
        <f>SUM(G16:G20)</f>
        <v>0</v>
      </c>
      <c r="H21" s="1750"/>
      <c r="I21" s="2004">
        <f t="shared" ref="I21:N21" si="2">SUM(I16:I20)</f>
        <v>0</v>
      </c>
      <c r="J21" s="2008">
        <f t="shared" si="2"/>
        <v>0</v>
      </c>
      <c r="K21" s="2009"/>
      <c r="L21" s="2010"/>
      <c r="M21" s="2011"/>
      <c r="N21" s="2006">
        <f t="shared" si="2"/>
        <v>0</v>
      </c>
      <c r="O21" s="1005"/>
      <c r="P21" s="1006"/>
      <c r="Q21" s="1727"/>
      <c r="R21" s="1977"/>
      <c r="S21" s="979"/>
    </row>
    <row r="22" spans="1:19" ht="9.9499999999999993" customHeight="1" thickBot="1">
      <c r="A22" s="1749"/>
      <c r="B22" s="1760"/>
      <c r="C22" s="1761"/>
      <c r="D22" s="1761"/>
      <c r="E22" s="1761"/>
      <c r="F22" s="1761"/>
      <c r="G22" s="1761"/>
      <c r="H22" s="1750"/>
      <c r="I22" s="1761"/>
      <c r="J22" s="1761"/>
      <c r="K22" s="1761"/>
      <c r="L22" s="1761"/>
      <c r="M22" s="1761"/>
      <c r="N22" s="1761"/>
      <c r="O22" s="1005"/>
      <c r="P22" s="1006"/>
      <c r="Q22" s="1320"/>
      <c r="R22" s="1977"/>
      <c r="S22" s="979"/>
    </row>
    <row r="23" spans="1:19" ht="30" customHeight="1" thickBot="1">
      <c r="A23" s="1749"/>
      <c r="B23" s="2003" t="s">
        <v>472</v>
      </c>
      <c r="C23" s="2271">
        <f>'T2a ITE'!C23</f>
        <v>0</v>
      </c>
      <c r="D23" s="2272">
        <f>'T2a ITE'!D23</f>
        <v>0</v>
      </c>
      <c r="E23" s="2273">
        <f>'T2a ITE'!E23</f>
        <v>0</v>
      </c>
      <c r="F23" s="2385">
        <f>'T2a ITE'!F23</f>
        <v>0</v>
      </c>
      <c r="G23" s="2273">
        <f>'T2a ITE'!G23</f>
        <v>0</v>
      </c>
      <c r="H23" s="1750"/>
      <c r="I23" s="2271">
        <f>'T2a ITE'!J23</f>
        <v>0</v>
      </c>
      <c r="J23" s="2272">
        <f>'T2a ITE'!K23</f>
        <v>0</v>
      </c>
      <c r="K23" s="2009"/>
      <c r="L23" s="2010"/>
      <c r="M23" s="2011"/>
      <c r="N23" s="2274">
        <f>'T2a ITE'!O23</f>
        <v>0</v>
      </c>
      <c r="O23" s="1005"/>
      <c r="P23" s="1006"/>
      <c r="Q23" s="1320"/>
      <c r="R23" s="1977"/>
      <c r="S23" s="979"/>
    </row>
    <row r="24" spans="1:19" ht="20.100000000000001" customHeight="1">
      <c r="A24" s="1749"/>
      <c r="B24" s="1760"/>
      <c r="C24" s="1761"/>
      <c r="D24" s="1761"/>
      <c r="E24" s="1761"/>
      <c r="F24" s="1761"/>
      <c r="G24" s="1761"/>
      <c r="H24" s="1750"/>
      <c r="I24" s="1761"/>
      <c r="J24" s="1761"/>
      <c r="K24" s="1761"/>
      <c r="L24" s="1761"/>
      <c r="M24" s="1761"/>
      <c r="N24" s="1761"/>
      <c r="O24" s="1005"/>
      <c r="P24" s="1006"/>
      <c r="Q24" s="1320"/>
      <c r="R24" s="1977"/>
      <c r="S24" s="979"/>
    </row>
    <row r="25" spans="1:19" ht="30" customHeight="1" thickBot="1">
      <c r="A25" s="1749"/>
      <c r="B25" s="2277" t="s">
        <v>100</v>
      </c>
      <c r="C25" s="2278"/>
      <c r="D25" s="2278"/>
      <c r="E25" s="2278"/>
      <c r="F25" s="2278"/>
      <c r="G25" s="2279"/>
      <c r="H25" s="1758"/>
      <c r="I25" s="2280"/>
      <c r="J25" s="2280"/>
      <c r="K25" s="2280"/>
      <c r="L25" s="2280"/>
      <c r="M25" s="2280"/>
      <c r="N25" s="2280"/>
      <c r="O25" s="982"/>
      <c r="P25" s="983"/>
      <c r="Q25" s="276"/>
      <c r="R25" s="1977"/>
      <c r="S25" s="1000"/>
    </row>
    <row r="26" spans="1:19" ht="30" customHeight="1">
      <c r="A26" s="1749"/>
      <c r="B26" s="2051"/>
      <c r="C26" s="2052"/>
      <c r="D26" s="2053"/>
      <c r="E26" s="2389">
        <f>SUM(C26:D26)</f>
        <v>0</v>
      </c>
      <c r="F26" s="2053"/>
      <c r="G26" s="2054">
        <f>SUM(E26:F26)</f>
        <v>0</v>
      </c>
      <c r="H26" s="1758"/>
      <c r="I26" s="2052"/>
      <c r="J26" s="2055"/>
      <c r="K26" s="2056"/>
      <c r="L26" s="2057"/>
      <c r="M26" s="2058"/>
      <c r="N26" s="2059">
        <f>SUM(I26:J26)</f>
        <v>0</v>
      </c>
      <c r="O26" s="1005"/>
      <c r="P26" s="1006"/>
      <c r="Q26" s="1731" t="str">
        <f>IF(AND(E26&gt;0,N26=0),"No enrolments",IF(AND(E26=0,N26&gt;0),"No intake",IF(AND(E26&gt;N26,N26&gt;0),"Intake larger than enrolments",IF(AND(E26=N26,J26&gt;0),"Intake same as enrolments?","OK"))))</f>
        <v>OK</v>
      </c>
      <c r="R26" s="1977"/>
      <c r="S26" s="979"/>
    </row>
    <row r="27" spans="1:19" ht="30" customHeight="1">
      <c r="A27" s="1749"/>
      <c r="B27" s="1756"/>
      <c r="C27" s="1757"/>
      <c r="D27" s="2291"/>
      <c r="E27" s="2390">
        <f>SUM(C27:D27)</f>
        <v>0</v>
      </c>
      <c r="F27" s="2291"/>
      <c r="G27" s="2292">
        <f t="shared" ref="G27:G29" si="3">SUM(E27:F27)</f>
        <v>0</v>
      </c>
      <c r="H27" s="1758"/>
      <c r="I27" s="1757"/>
      <c r="J27" s="1759"/>
      <c r="K27" s="2293"/>
      <c r="L27" s="2294"/>
      <c r="M27" s="2295"/>
      <c r="N27" s="2296">
        <f t="shared" ref="N27:N30" si="4">SUM(I27:J27)</f>
        <v>0</v>
      </c>
      <c r="O27" s="1005"/>
      <c r="P27" s="1006"/>
      <c r="Q27" s="1732" t="str">
        <f>IF(AND(E27&gt;0,N27=0),"No enrolments",IF(AND(E27=0,N27&gt;0),"No intake",IF(AND(E27&gt;N27,N27&gt;0),"Intake larger than enrolments",IF(AND(E27=N27,J27&gt;0),"Intake same as enrolments?","OK"))))</f>
        <v>OK</v>
      </c>
      <c r="R27" s="1977"/>
      <c r="S27" s="979"/>
    </row>
    <row r="28" spans="1:19" ht="30" customHeight="1">
      <c r="A28" s="1749"/>
      <c r="B28" s="1756"/>
      <c r="C28" s="1757"/>
      <c r="D28" s="2291"/>
      <c r="E28" s="2390">
        <f>SUM(C28:D28)</f>
        <v>0</v>
      </c>
      <c r="F28" s="2291"/>
      <c r="G28" s="2292">
        <f t="shared" si="3"/>
        <v>0</v>
      </c>
      <c r="H28" s="1758"/>
      <c r="I28" s="1757"/>
      <c r="J28" s="1759"/>
      <c r="K28" s="2293"/>
      <c r="L28" s="2294"/>
      <c r="M28" s="2295"/>
      <c r="N28" s="2296">
        <f t="shared" si="4"/>
        <v>0</v>
      </c>
      <c r="O28" s="1005"/>
      <c r="P28" s="1006"/>
      <c r="Q28" s="1732" t="str">
        <f>IF(AND(E28&gt;0,N28=0),"No enrolments",IF(AND(E28=0,N28&gt;0),"No intake",IF(AND(E28&gt;N28,N28&gt;0),"Intake larger than enrolments",IF(AND(E28=N28,J28&gt;0),"Intake same as enrolments?","OK"))))</f>
        <v>OK</v>
      </c>
      <c r="R28" s="1977"/>
      <c r="S28" s="979"/>
    </row>
    <row r="29" spans="1:19" ht="30" customHeight="1">
      <c r="A29" s="1749"/>
      <c r="B29" s="1756"/>
      <c r="C29" s="1757"/>
      <c r="D29" s="2291"/>
      <c r="E29" s="2390">
        <f>SUM(C29:D29)</f>
        <v>0</v>
      </c>
      <c r="F29" s="2291"/>
      <c r="G29" s="2292">
        <f t="shared" si="3"/>
        <v>0</v>
      </c>
      <c r="H29" s="1758"/>
      <c r="I29" s="1757"/>
      <c r="J29" s="1759"/>
      <c r="K29" s="2293"/>
      <c r="L29" s="2294"/>
      <c r="M29" s="2295"/>
      <c r="N29" s="2296">
        <f t="shared" si="4"/>
        <v>0</v>
      </c>
      <c r="O29" s="1005"/>
      <c r="P29" s="1006"/>
      <c r="Q29" s="1732" t="str">
        <f>IF(AND(E29&gt;0,N29=0),"No enrolments",IF(AND(E29=0,N29&gt;0),"No intake",IF(AND(E29&gt;N29,N29&gt;0),"Intake larger than enrolments",IF(AND(E29=N29,J29&gt;0),"Intake same as enrolments?","OK"))))</f>
        <v>OK</v>
      </c>
      <c r="R29" s="1977"/>
      <c r="S29" s="979"/>
    </row>
    <row r="30" spans="1:19" ht="30" customHeight="1" thickBot="1">
      <c r="A30" s="1749"/>
      <c r="B30" s="2040"/>
      <c r="C30" s="2297"/>
      <c r="D30" s="2298"/>
      <c r="E30" s="2391">
        <f>SUM(C30:D30)</f>
        <v>0</v>
      </c>
      <c r="F30" s="2298"/>
      <c r="G30" s="2002">
        <f>SUM(E30:F30)</f>
        <v>0</v>
      </c>
      <c r="H30" s="1758"/>
      <c r="I30" s="2297"/>
      <c r="J30" s="2299"/>
      <c r="K30" s="2300"/>
      <c r="L30" s="2301"/>
      <c r="M30" s="2302"/>
      <c r="N30" s="2007">
        <f t="shared" si="4"/>
        <v>0</v>
      </c>
      <c r="O30" s="1005"/>
      <c r="P30" s="1006"/>
      <c r="Q30" s="2014" t="str">
        <f>IF(AND(E30&gt;0,N30=0),"No enrolments",IF(AND(E30=0,N30&gt;0),"No intake",IF(AND(E30&gt;N30,N30&gt;0),"Intake larger than enrolments",IF(AND(E30=N30,J30&gt;0),"Intake same as enrolments?","OK"))))</f>
        <v>OK</v>
      </c>
      <c r="R30" s="1977"/>
      <c r="S30" s="979"/>
    </row>
    <row r="31" spans="1:19" ht="30" customHeight="1" thickBot="1">
      <c r="A31" s="1749"/>
      <c r="B31" s="2003" t="s">
        <v>2</v>
      </c>
      <c r="C31" s="2004">
        <f>SUM(C26:C30)</f>
        <v>0</v>
      </c>
      <c r="D31" s="2008">
        <f>SUM(D26:D30)</f>
        <v>0</v>
      </c>
      <c r="E31" s="2388">
        <f>SUM(E26:E30)</f>
        <v>0</v>
      </c>
      <c r="F31" s="2005">
        <f>SUM(F26:F30)</f>
        <v>0</v>
      </c>
      <c r="G31" s="2006">
        <f>SUM(G26:G30)</f>
        <v>0</v>
      </c>
      <c r="H31" s="1750"/>
      <c r="I31" s="2004">
        <f t="shared" ref="I31:J31" si="5">SUM(I26:I30)</f>
        <v>0</v>
      </c>
      <c r="J31" s="2008">
        <f t="shared" si="5"/>
        <v>0</v>
      </c>
      <c r="K31" s="2009"/>
      <c r="L31" s="2010"/>
      <c r="M31" s="2011"/>
      <c r="N31" s="2006">
        <f t="shared" ref="N31" si="6">SUM(N26:N30)</f>
        <v>0</v>
      </c>
      <c r="O31" s="1005"/>
      <c r="P31" s="1006"/>
      <c r="Q31" s="1727"/>
      <c r="R31" s="1977"/>
      <c r="S31" s="979"/>
    </row>
    <row r="32" spans="1:19" ht="9.9499999999999993" customHeight="1" thickBot="1">
      <c r="A32" s="1749"/>
      <c r="B32" s="1760"/>
      <c r="C32" s="1761"/>
      <c r="D32" s="1761"/>
      <c r="E32" s="1761"/>
      <c r="F32" s="1761"/>
      <c r="G32" s="1761"/>
      <c r="H32" s="1750"/>
      <c r="I32" s="1761"/>
      <c r="J32" s="1761"/>
      <c r="K32" s="1761"/>
      <c r="L32" s="1761"/>
      <c r="M32" s="1761"/>
      <c r="N32" s="1761"/>
      <c r="O32" s="1005"/>
      <c r="P32" s="1006"/>
      <c r="Q32" s="1320"/>
      <c r="R32" s="1977"/>
      <c r="S32" s="979"/>
    </row>
    <row r="33" spans="1:19" ht="30" customHeight="1" thickBot="1">
      <c r="A33" s="1749"/>
      <c r="B33" s="2003" t="s">
        <v>472</v>
      </c>
      <c r="C33" s="2271">
        <f>'T2a ITE'!C37</f>
        <v>0</v>
      </c>
      <c r="D33" s="2385">
        <f>'T2a ITE'!D37</f>
        <v>0</v>
      </c>
      <c r="E33" s="2385">
        <f>'T2a ITE'!E37</f>
        <v>0</v>
      </c>
      <c r="F33" s="2272">
        <f>'T2a ITE'!F37</f>
        <v>0</v>
      </c>
      <c r="G33" s="2273">
        <f>'T2a ITE'!G37</f>
        <v>0</v>
      </c>
      <c r="H33" s="1750"/>
      <c r="I33" s="2271">
        <f>'T2a ITE'!J37</f>
        <v>0</v>
      </c>
      <c r="J33" s="2272">
        <f>'T2a ITE'!K37</f>
        <v>0</v>
      </c>
      <c r="K33" s="2009"/>
      <c r="L33" s="2010"/>
      <c r="M33" s="2011"/>
      <c r="N33" s="2274">
        <f>'T2a ITE'!O37</f>
        <v>0</v>
      </c>
      <c r="O33" s="1005"/>
      <c r="P33" s="1006"/>
      <c r="Q33" s="1320"/>
      <c r="R33" s="1977"/>
      <c r="S33" s="979"/>
    </row>
    <row r="34" spans="1:19" ht="20.100000000000001" customHeight="1">
      <c r="A34" s="1749"/>
      <c r="B34" s="1760"/>
      <c r="C34" s="1761"/>
      <c r="D34" s="1761"/>
      <c r="E34" s="1761"/>
      <c r="F34" s="1761"/>
      <c r="G34" s="1761"/>
      <c r="H34" s="1750"/>
      <c r="I34" s="1761"/>
      <c r="J34" s="1761"/>
      <c r="K34" s="1761"/>
      <c r="L34" s="1761"/>
      <c r="M34" s="1761"/>
      <c r="N34" s="1761"/>
      <c r="O34" s="1005"/>
      <c r="P34" s="1006"/>
      <c r="Q34" s="1320"/>
      <c r="R34" s="1977"/>
      <c r="S34" s="979"/>
    </row>
    <row r="35" spans="1:19" ht="30" customHeight="1" thickBot="1">
      <c r="A35" s="1749"/>
      <c r="B35" s="2277" t="s">
        <v>405</v>
      </c>
      <c r="C35" s="2278"/>
      <c r="D35" s="2278"/>
      <c r="E35" s="2278"/>
      <c r="F35" s="2278"/>
      <c r="G35" s="2279"/>
      <c r="H35" s="1758"/>
      <c r="I35" s="2280"/>
      <c r="J35" s="2280"/>
      <c r="K35" s="2280"/>
      <c r="L35" s="2280"/>
      <c r="M35" s="2280"/>
      <c r="N35" s="2280"/>
      <c r="O35" s="982"/>
      <c r="P35" s="983"/>
      <c r="Q35" s="276"/>
      <c r="R35" s="1977"/>
      <c r="S35" s="1000"/>
    </row>
    <row r="36" spans="1:19" ht="30" customHeight="1">
      <c r="A36" s="1749"/>
      <c r="B36" s="2051"/>
      <c r="C36" s="2052"/>
      <c r="D36" s="2053"/>
      <c r="E36" s="2389">
        <f>SUM(C36:D36)</f>
        <v>0</v>
      </c>
      <c r="F36" s="2053"/>
      <c r="G36" s="2054">
        <f>SUM(C36:F36)</f>
        <v>0</v>
      </c>
      <c r="H36" s="1758"/>
      <c r="I36" s="2052"/>
      <c r="J36" s="2055"/>
      <c r="K36" s="2055"/>
      <c r="L36" s="2055"/>
      <c r="M36" s="2060"/>
      <c r="N36" s="2059">
        <f>SUM(I36:M36)</f>
        <v>0</v>
      </c>
      <c r="O36" s="1005"/>
      <c r="P36" s="1006"/>
      <c r="Q36" s="1731" t="str">
        <f>IF(AND(E36&gt;0,N36=0),"No enrolments",IF(AND(E36=0,N36&gt;0),"No intake",IF(AND(E36&gt;N36,N36&gt;0),"Intake larger than enrolments",IF(AND(E36=N36,SUM(J36:M36)&gt;0),"Intake same as enrolments?","OK"))))</f>
        <v>OK</v>
      </c>
      <c r="R36" s="1977"/>
      <c r="S36" s="979"/>
    </row>
    <row r="37" spans="1:19" ht="30" customHeight="1">
      <c r="A37" s="1749"/>
      <c r="B37" s="1756"/>
      <c r="C37" s="1757"/>
      <c r="D37" s="2291"/>
      <c r="E37" s="2390">
        <f>SUM(C37:D37)</f>
        <v>0</v>
      </c>
      <c r="F37" s="2291"/>
      <c r="G37" s="2292">
        <f>SUM(C37:F37)</f>
        <v>0</v>
      </c>
      <c r="H37" s="1758"/>
      <c r="I37" s="1757"/>
      <c r="J37" s="1759"/>
      <c r="K37" s="1759"/>
      <c r="L37" s="1759"/>
      <c r="M37" s="2303"/>
      <c r="N37" s="2296">
        <f t="shared" ref="N37:N40" si="7">SUM(I37:M37)</f>
        <v>0</v>
      </c>
      <c r="O37" s="1005"/>
      <c r="P37" s="1006"/>
      <c r="Q37" s="1732" t="str">
        <f>IF(AND(E37&gt;0,N37=0),"No enrolments",IF(AND(E37=0,N37&gt;0),"No intake",IF(AND(E37&gt;N37,N37&gt;0),"Intake larger than enrolments",IF(AND(E37=N37,SUM(J37:M37)&gt;0),"Intake same as enrolments?","OK"))))</f>
        <v>OK</v>
      </c>
      <c r="R37" s="1977"/>
      <c r="S37" s="979"/>
    </row>
    <row r="38" spans="1:19" ht="30" customHeight="1">
      <c r="A38" s="1749"/>
      <c r="B38" s="1756"/>
      <c r="C38" s="1757"/>
      <c r="D38" s="2291"/>
      <c r="E38" s="2390">
        <f>SUM(C38:D38)</f>
        <v>0</v>
      </c>
      <c r="F38" s="2291"/>
      <c r="G38" s="2292">
        <f>SUM(C38:F38)</f>
        <v>0</v>
      </c>
      <c r="H38" s="1758"/>
      <c r="I38" s="1757"/>
      <c r="J38" s="1759"/>
      <c r="K38" s="1759"/>
      <c r="L38" s="1759"/>
      <c r="M38" s="2303"/>
      <c r="N38" s="2296">
        <f t="shared" si="7"/>
        <v>0</v>
      </c>
      <c r="O38" s="1005"/>
      <c r="P38" s="1006"/>
      <c r="Q38" s="1732" t="str">
        <f>IF(AND(E38&gt;0,N38=0),"No enrolments",IF(AND(E38=0,N38&gt;0),"No intake",IF(AND(E38&gt;N38,N38&gt;0),"Intake larger than enrolments",IF(AND(E38=N38,SUM(J38:M38)&gt;0),"Intake same as enrolments?","OK"))))</f>
        <v>OK</v>
      </c>
      <c r="R38" s="1977"/>
      <c r="S38" s="979"/>
    </row>
    <row r="39" spans="1:19" ht="30" customHeight="1">
      <c r="A39" s="1749"/>
      <c r="B39" s="1756"/>
      <c r="C39" s="1757"/>
      <c r="D39" s="2291"/>
      <c r="E39" s="2390">
        <f>SUM(C39:D39)</f>
        <v>0</v>
      </c>
      <c r="F39" s="2291"/>
      <c r="G39" s="2292">
        <f>SUM(C39:F39)</f>
        <v>0</v>
      </c>
      <c r="H39" s="1758"/>
      <c r="I39" s="1757"/>
      <c r="J39" s="1759"/>
      <c r="K39" s="1759"/>
      <c r="L39" s="1759"/>
      <c r="M39" s="2303"/>
      <c r="N39" s="2296">
        <f t="shared" si="7"/>
        <v>0</v>
      </c>
      <c r="O39" s="1005"/>
      <c r="P39" s="1006"/>
      <c r="Q39" s="1732" t="str">
        <f>IF(AND(E39&gt;0,N39=0),"No enrolments",IF(AND(E39=0,N39&gt;0),"No intake",IF(AND(E39&gt;N39,N39&gt;0),"Intake larger than enrolments",IF(AND(E39=N39,SUM(J39:M39)&gt;0),"Intake same as enrolments?","OK"))))</f>
        <v>OK</v>
      </c>
      <c r="R39" s="1977"/>
      <c r="S39" s="979"/>
    </row>
    <row r="40" spans="1:19" ht="30" customHeight="1" thickBot="1">
      <c r="A40" s="1749"/>
      <c r="B40" s="2040"/>
      <c r="C40" s="2297"/>
      <c r="D40" s="2298"/>
      <c r="E40" s="2391">
        <f>SUM(C40:D40)</f>
        <v>0</v>
      </c>
      <c r="F40" s="2298"/>
      <c r="G40" s="2002">
        <f>SUM(C40:F40)</f>
        <v>0</v>
      </c>
      <c r="H40" s="1758"/>
      <c r="I40" s="2297"/>
      <c r="J40" s="2299"/>
      <c r="K40" s="2299"/>
      <c r="L40" s="2299"/>
      <c r="M40" s="2304"/>
      <c r="N40" s="2007">
        <f t="shared" si="7"/>
        <v>0</v>
      </c>
      <c r="O40" s="1005"/>
      <c r="P40" s="1006"/>
      <c r="Q40" s="2014" t="str">
        <f>IF(AND(E40&gt;0,N40=0),"No enrolments",IF(AND(E40=0,N40&gt;0),"No intake",IF(AND(E40&gt;N40,N40&gt;0),"Intake larger than enrolments",IF(AND(E40=N40,SUM(J40:M40)&gt;0),"Intake same as enrolments?","OK"))))</f>
        <v>OK</v>
      </c>
      <c r="R40" s="1977"/>
      <c r="S40" s="979"/>
    </row>
    <row r="41" spans="1:19" ht="30" customHeight="1" thickBot="1">
      <c r="A41" s="1749"/>
      <c r="B41" s="2003" t="s">
        <v>2</v>
      </c>
      <c r="C41" s="2004">
        <f>SUM(C36:C40)</f>
        <v>0</v>
      </c>
      <c r="D41" s="2008">
        <f>SUM(D36:D40)</f>
        <v>0</v>
      </c>
      <c r="E41" s="2388">
        <f>SUM(E36:E40)</f>
        <v>0</v>
      </c>
      <c r="F41" s="2005">
        <f>SUM(F36:F40)</f>
        <v>0</v>
      </c>
      <c r="G41" s="2006">
        <f>SUM(G36:G40)</f>
        <v>0</v>
      </c>
      <c r="H41" s="1750"/>
      <c r="I41" s="2004">
        <f t="shared" ref="I41:N41" si="8">SUM(I36:I40)</f>
        <v>0</v>
      </c>
      <c r="J41" s="2008">
        <f t="shared" si="8"/>
        <v>0</v>
      </c>
      <c r="K41" s="2008">
        <f t="shared" si="8"/>
        <v>0</v>
      </c>
      <c r="L41" s="2008">
        <f t="shared" si="8"/>
        <v>0</v>
      </c>
      <c r="M41" s="2008">
        <f t="shared" si="8"/>
        <v>0</v>
      </c>
      <c r="N41" s="2006">
        <f t="shared" si="8"/>
        <v>0</v>
      </c>
      <c r="O41" s="1005"/>
      <c r="P41" s="1006"/>
      <c r="Q41" s="1727"/>
      <c r="R41" s="1977"/>
      <c r="S41" s="979"/>
    </row>
    <row r="42" spans="1:19" ht="9.9499999999999993" customHeight="1" thickBot="1">
      <c r="A42" s="1749"/>
      <c r="B42" s="1760"/>
      <c r="C42" s="1761"/>
      <c r="D42" s="1761"/>
      <c r="E42" s="1761"/>
      <c r="F42" s="1761"/>
      <c r="G42" s="1761"/>
      <c r="H42" s="1750"/>
      <c r="I42" s="1761"/>
      <c r="J42" s="1761"/>
      <c r="K42" s="1761"/>
      <c r="L42" s="1761"/>
      <c r="M42" s="1761"/>
      <c r="N42" s="1761"/>
      <c r="O42" s="1005"/>
      <c r="P42" s="1006"/>
      <c r="Q42" s="1320"/>
      <c r="R42" s="1977"/>
      <c r="S42" s="979"/>
    </row>
    <row r="43" spans="1:19" ht="30" customHeight="1" thickBot="1">
      <c r="A43" s="1749"/>
      <c r="B43" s="2003" t="s">
        <v>472</v>
      </c>
      <c r="C43" s="2271">
        <f>'T2a ITE'!C57</f>
        <v>0</v>
      </c>
      <c r="D43" s="2385">
        <f>'T2a ITE'!D57</f>
        <v>0</v>
      </c>
      <c r="E43" s="2273">
        <f>'T2a ITE'!E57</f>
        <v>0</v>
      </c>
      <c r="F43" s="2385">
        <f>'T2a ITE'!F57</f>
        <v>0</v>
      </c>
      <c r="G43" s="2273">
        <f>'T2a ITE'!G57</f>
        <v>0</v>
      </c>
      <c r="H43" s="1750"/>
      <c r="I43" s="2271">
        <f>'T2a ITE'!J57</f>
        <v>0</v>
      </c>
      <c r="J43" s="2272">
        <f>'T2a ITE'!K57</f>
        <v>0</v>
      </c>
      <c r="K43" s="2272">
        <f>'T2a ITE'!L57</f>
        <v>0</v>
      </c>
      <c r="L43" s="2272">
        <f>'T2a ITE'!M57</f>
        <v>0</v>
      </c>
      <c r="M43" s="2272">
        <f>'T2a ITE'!N57</f>
        <v>0</v>
      </c>
      <c r="N43" s="2274">
        <f>'T2a ITE'!O57</f>
        <v>0</v>
      </c>
      <c r="O43" s="1005"/>
      <c r="P43" s="1006"/>
      <c r="Q43" s="1320"/>
      <c r="R43" s="1977"/>
      <c r="S43" s="979"/>
    </row>
    <row r="44" spans="1:19" ht="20.100000000000001" customHeight="1">
      <c r="A44" s="1749"/>
      <c r="B44" s="1760"/>
      <c r="C44" s="1761"/>
      <c r="D44" s="1761"/>
      <c r="E44" s="1761"/>
      <c r="F44" s="1761"/>
      <c r="G44" s="1761"/>
      <c r="H44" s="1750"/>
      <c r="I44" s="1761"/>
      <c r="J44" s="1761"/>
      <c r="K44" s="1761"/>
      <c r="L44" s="1761"/>
      <c r="M44" s="1761"/>
      <c r="N44" s="1761"/>
      <c r="O44" s="1005"/>
      <c r="P44" s="1006"/>
      <c r="Q44" s="1320"/>
      <c r="R44" s="1977"/>
      <c r="S44" s="979"/>
    </row>
    <row r="45" spans="1:19" ht="30" customHeight="1" thickBot="1">
      <c r="A45" s="1749"/>
      <c r="B45" s="2277" t="s">
        <v>406</v>
      </c>
      <c r="C45" s="2278"/>
      <c r="D45" s="2278"/>
      <c r="E45" s="2278"/>
      <c r="F45" s="2278"/>
      <c r="G45" s="2279"/>
      <c r="H45" s="1758"/>
      <c r="I45" s="2280"/>
      <c r="J45" s="2280"/>
      <c r="K45" s="2280"/>
      <c r="L45" s="2280"/>
      <c r="M45" s="2280"/>
      <c r="N45" s="2280"/>
      <c r="O45" s="982"/>
      <c r="P45" s="983"/>
      <c r="Q45" s="276"/>
      <c r="R45" s="1977"/>
      <c r="S45" s="1000"/>
    </row>
    <row r="46" spans="1:19" ht="30" customHeight="1">
      <c r="A46" s="1749"/>
      <c r="B46" s="2051"/>
      <c r="C46" s="2052"/>
      <c r="D46" s="2053"/>
      <c r="E46" s="2389">
        <f>SUM(C46:D46)</f>
        <v>0</v>
      </c>
      <c r="F46" s="2053"/>
      <c r="G46" s="2054">
        <f>SUM(C46:F46)</f>
        <v>0</v>
      </c>
      <c r="H46" s="1758"/>
      <c r="I46" s="2061"/>
      <c r="J46" s="2055"/>
      <c r="K46" s="2055"/>
      <c r="L46" s="2055"/>
      <c r="M46" s="2060"/>
      <c r="N46" s="2059">
        <f>SUM(I46:M46)</f>
        <v>0</v>
      </c>
      <c r="O46" s="1005"/>
      <c r="P46" s="1006"/>
      <c r="Q46" s="1731" t="str">
        <f>IF(AND(E46&gt;0,N46=0),"No enrolments",IF(AND(E46=0,N46&gt;0),"No intake",IF(AND(E46&gt;N46,N46&gt;0),"Intake larger than enrolments",IF(AND(E46=N46,SUM(J46:M46)&gt;0),"Intake same as enrolments?","OK"))))</f>
        <v>OK</v>
      </c>
      <c r="R46" s="1977"/>
      <c r="S46" s="979"/>
    </row>
    <row r="47" spans="1:19" ht="30" customHeight="1">
      <c r="A47" s="1749"/>
      <c r="B47" s="1756"/>
      <c r="C47" s="1757"/>
      <c r="D47" s="2291"/>
      <c r="E47" s="2390">
        <f>SUM(C47:D47)</f>
        <v>0</v>
      </c>
      <c r="F47" s="2291"/>
      <c r="G47" s="2292">
        <f>SUM(C47:F47)</f>
        <v>0</v>
      </c>
      <c r="H47" s="1758"/>
      <c r="I47" s="2041"/>
      <c r="J47" s="1759"/>
      <c r="K47" s="1759"/>
      <c r="L47" s="1759"/>
      <c r="M47" s="2303"/>
      <c r="N47" s="2296">
        <f t="shared" ref="N47:N50" si="9">SUM(I47:M47)</f>
        <v>0</v>
      </c>
      <c r="O47" s="1005"/>
      <c r="P47" s="1006"/>
      <c r="Q47" s="1732" t="str">
        <f>IF(AND(E47&gt;0,N47=0),"No enrolments",IF(AND(E47=0,N47&gt;0),"No intake",IF(AND(E47&gt;N47,N47&gt;0),"Intake larger than enrolments",IF(AND(E47=N47,SUM(J47:M47)&gt;0),"Intake same as enrolments?","OK"))))</f>
        <v>OK</v>
      </c>
      <c r="R47" s="1977"/>
      <c r="S47" s="979"/>
    </row>
    <row r="48" spans="1:19" ht="30" customHeight="1">
      <c r="A48" s="1749"/>
      <c r="B48" s="1756"/>
      <c r="C48" s="1757"/>
      <c r="D48" s="2291"/>
      <c r="E48" s="2390">
        <f>SUM(C48:D48)</f>
        <v>0</v>
      </c>
      <c r="F48" s="2291"/>
      <c r="G48" s="2292">
        <f>SUM(C48:F48)</f>
        <v>0</v>
      </c>
      <c r="H48" s="1758"/>
      <c r="I48" s="2041"/>
      <c r="J48" s="1759"/>
      <c r="K48" s="1759"/>
      <c r="L48" s="1759"/>
      <c r="M48" s="2303"/>
      <c r="N48" s="2296">
        <f t="shared" si="9"/>
        <v>0</v>
      </c>
      <c r="O48" s="1005"/>
      <c r="P48" s="1006"/>
      <c r="Q48" s="1732" t="str">
        <f>IF(AND(E48&gt;0,N48=0),"No enrolments",IF(AND(E48=0,N48&gt;0),"No intake",IF(AND(E48&gt;N48,N48&gt;0),"Intake larger than enrolments",IF(AND(E48=N48,SUM(J48:M48)&gt;0),"Intake same as enrolments?","OK"))))</f>
        <v>OK</v>
      </c>
      <c r="R48" s="1977"/>
      <c r="S48" s="979"/>
    </row>
    <row r="49" spans="1:19" ht="30" customHeight="1">
      <c r="A49" s="1749"/>
      <c r="B49" s="1756"/>
      <c r="C49" s="1757"/>
      <c r="D49" s="2291"/>
      <c r="E49" s="2390">
        <f>SUM(C49:D49)</f>
        <v>0</v>
      </c>
      <c r="F49" s="2291"/>
      <c r="G49" s="2292">
        <f>SUM(C49:F49)</f>
        <v>0</v>
      </c>
      <c r="H49" s="1758"/>
      <c r="I49" s="2041"/>
      <c r="J49" s="1759"/>
      <c r="K49" s="1759"/>
      <c r="L49" s="1759"/>
      <c r="M49" s="2303"/>
      <c r="N49" s="2296">
        <f t="shared" si="9"/>
        <v>0</v>
      </c>
      <c r="O49" s="1005"/>
      <c r="P49" s="1006"/>
      <c r="Q49" s="1732" t="str">
        <f>IF(AND(E49&gt;0,N49=0),"No enrolments",IF(AND(E49=0,N49&gt;0),"No intake",IF(AND(E49&gt;N49,N49&gt;0),"Intake larger than enrolments",IF(AND(E49=N49,SUM(J49:M49)&gt;0),"Intake same as enrolments?","OK"))))</f>
        <v>OK</v>
      </c>
      <c r="R49" s="1977"/>
      <c r="S49" s="979"/>
    </row>
    <row r="50" spans="1:19" ht="30" customHeight="1" thickBot="1">
      <c r="A50" s="1749"/>
      <c r="B50" s="2040"/>
      <c r="C50" s="2297"/>
      <c r="D50" s="2298"/>
      <c r="E50" s="2391">
        <f>SUM(C50:D50)</f>
        <v>0</v>
      </c>
      <c r="F50" s="2298"/>
      <c r="G50" s="2002">
        <f>SUM(C50:F50)</f>
        <v>0</v>
      </c>
      <c r="H50" s="1758"/>
      <c r="I50" s="2042"/>
      <c r="J50" s="2299"/>
      <c r="K50" s="2299"/>
      <c r="L50" s="2299"/>
      <c r="M50" s="2304"/>
      <c r="N50" s="2007">
        <f t="shared" si="9"/>
        <v>0</v>
      </c>
      <c r="O50" s="1005"/>
      <c r="P50" s="1006"/>
      <c r="Q50" s="2014" t="str">
        <f>IF(AND(E50&gt;0,N50=0),"No enrolments",IF(AND(E50=0,N50&gt;0),"No intake",IF(AND(E50&gt;N50,N50&gt;0),"Intake larger than enrolments",IF(AND(E50=N50,SUM(J50:M50)&gt;0),"Intake same as enrolments?","OK"))))</f>
        <v>OK</v>
      </c>
      <c r="R50" s="1977"/>
      <c r="S50" s="979"/>
    </row>
    <row r="51" spans="1:19" ht="30" customHeight="1" thickBot="1">
      <c r="A51" s="1749"/>
      <c r="B51" s="2003" t="s">
        <v>2</v>
      </c>
      <c r="C51" s="2004">
        <f>SUM(C46:C50)</f>
        <v>0</v>
      </c>
      <c r="D51" s="2008">
        <f>SUM(D46:D50)</f>
        <v>0</v>
      </c>
      <c r="E51" s="2388">
        <f>SUM(E46:E50)</f>
        <v>0</v>
      </c>
      <c r="F51" s="2005">
        <f>SUM(F46:F50)</f>
        <v>0</v>
      </c>
      <c r="G51" s="2006">
        <f>SUM(G46:G50)</f>
        <v>0</v>
      </c>
      <c r="H51" s="1750"/>
      <c r="I51" s="2043">
        <f t="shared" ref="I51:N51" si="10">SUM(I46:I50)</f>
        <v>0</v>
      </c>
      <c r="J51" s="2008">
        <f t="shared" si="10"/>
        <v>0</v>
      </c>
      <c r="K51" s="2008">
        <f t="shared" si="10"/>
        <v>0</v>
      </c>
      <c r="L51" s="2008">
        <f t="shared" si="10"/>
        <v>0</v>
      </c>
      <c r="M51" s="2008">
        <f t="shared" si="10"/>
        <v>0</v>
      </c>
      <c r="N51" s="2006">
        <f t="shared" si="10"/>
        <v>0</v>
      </c>
      <c r="O51" s="1005"/>
      <c r="P51" s="1006"/>
      <c r="Q51" s="1727"/>
      <c r="R51" s="1977"/>
      <c r="S51" s="979"/>
    </row>
    <row r="52" spans="1:19" ht="15" customHeight="1" thickBot="1">
      <c r="A52" s="1749"/>
      <c r="B52" s="1760"/>
      <c r="C52" s="1761"/>
      <c r="D52" s="1761"/>
      <c r="E52" s="1761"/>
      <c r="F52" s="1761"/>
      <c r="G52" s="1761"/>
      <c r="H52" s="1750"/>
      <c r="I52" s="1761"/>
      <c r="J52" s="1761"/>
      <c r="K52" s="1761"/>
      <c r="L52" s="1761"/>
      <c r="M52" s="1761"/>
      <c r="N52" s="1761"/>
      <c r="O52" s="1005"/>
      <c r="P52" s="1006"/>
      <c r="Q52" s="1320"/>
      <c r="R52" s="1977"/>
      <c r="S52" s="979"/>
    </row>
    <row r="53" spans="1:19" ht="30" customHeight="1" thickBot="1">
      <c r="A53" s="1749"/>
      <c r="B53" s="2003" t="s">
        <v>472</v>
      </c>
      <c r="C53" s="2271">
        <f>'T2a ITE'!C58</f>
        <v>0</v>
      </c>
      <c r="D53" s="2385">
        <f>'T2a ITE'!D58</f>
        <v>0</v>
      </c>
      <c r="E53" s="2273">
        <f>'T2a ITE'!E58</f>
        <v>0</v>
      </c>
      <c r="F53" s="2385">
        <f>'T2a ITE'!F58</f>
        <v>0</v>
      </c>
      <c r="G53" s="2273">
        <f>'T2a ITE'!G58</f>
        <v>0</v>
      </c>
      <c r="H53" s="1750"/>
      <c r="I53" s="2271">
        <f>'T2a ITE'!J58</f>
        <v>0</v>
      </c>
      <c r="J53" s="2272">
        <f>'T2a ITE'!K58</f>
        <v>0</v>
      </c>
      <c r="K53" s="2272">
        <f>'T2a ITE'!L58</f>
        <v>0</v>
      </c>
      <c r="L53" s="2272">
        <f>'T2a ITE'!M58</f>
        <v>0</v>
      </c>
      <c r="M53" s="2272">
        <f>'T2a ITE'!N58</f>
        <v>0</v>
      </c>
      <c r="N53" s="2274">
        <f>'T2a ITE'!O58</f>
        <v>0</v>
      </c>
      <c r="O53" s="1005"/>
      <c r="P53" s="1006"/>
      <c r="Q53" s="1320"/>
      <c r="R53" s="1977"/>
      <c r="S53" s="979"/>
    </row>
    <row r="54" spans="1:19" ht="15" customHeight="1">
      <c r="A54" s="1749"/>
      <c r="B54" s="1760"/>
      <c r="C54" s="1761"/>
      <c r="D54" s="1761"/>
      <c r="E54" s="1761"/>
      <c r="F54" s="1761"/>
      <c r="G54" s="1761"/>
      <c r="H54" s="1750"/>
      <c r="I54" s="1761"/>
      <c r="J54" s="1761"/>
      <c r="K54" s="1761"/>
      <c r="L54" s="1761"/>
      <c r="M54" s="1761"/>
      <c r="N54" s="1761"/>
      <c r="O54" s="1005"/>
      <c r="P54" s="1006"/>
      <c r="Q54" s="276"/>
      <c r="R54" s="1977"/>
      <c r="S54" s="979"/>
    </row>
    <row r="55" spans="1:19" ht="30" customHeight="1" thickBot="1">
      <c r="A55" s="1749"/>
      <c r="B55" s="2277" t="s">
        <v>407</v>
      </c>
      <c r="C55" s="2278"/>
      <c r="D55" s="2278"/>
      <c r="E55" s="2278"/>
      <c r="F55" s="2278"/>
      <c r="G55" s="2279"/>
      <c r="H55" s="1758"/>
      <c r="I55" s="2280"/>
      <c r="J55" s="2280"/>
      <c r="K55" s="2280"/>
      <c r="L55" s="2280"/>
      <c r="M55" s="2280"/>
      <c r="N55" s="2280"/>
      <c r="O55" s="982"/>
      <c r="P55" s="983"/>
      <c r="Q55" s="276"/>
      <c r="R55" s="1977"/>
      <c r="S55" s="1000"/>
    </row>
    <row r="56" spans="1:19" ht="30" customHeight="1">
      <c r="A56" s="1749"/>
      <c r="B56" s="2051"/>
      <c r="C56" s="2052"/>
      <c r="D56" s="2053"/>
      <c r="E56" s="2389">
        <f>SUM(C56:D56)</f>
        <v>0</v>
      </c>
      <c r="F56" s="2053"/>
      <c r="G56" s="2054">
        <f>SUM(C56:F56)</f>
        <v>0</v>
      </c>
      <c r="H56" s="1758"/>
      <c r="I56" s="2052"/>
      <c r="J56" s="2055"/>
      <c r="K56" s="2055"/>
      <c r="L56" s="2055"/>
      <c r="M56" s="2058"/>
      <c r="N56" s="2059">
        <f>SUM(I56:M56)</f>
        <v>0</v>
      </c>
      <c r="O56" s="1005"/>
      <c r="P56" s="1006"/>
      <c r="Q56" s="1731" t="str">
        <f>IF(AND(E56&gt;0,N56=0),"No enrolments",IF(AND(E56=0,N56&gt;0),"No intake",IF(AND(E56&gt;N56,N56&gt;0),"Intake larger than enrolments",IF(AND(E56=N56,SUM(J56:L56)&gt;0),"Intake same as enrolments?","OK"))))</f>
        <v>OK</v>
      </c>
      <c r="R56" s="1977"/>
      <c r="S56" s="979"/>
    </row>
    <row r="57" spans="1:19" ht="30" customHeight="1">
      <c r="A57" s="1749"/>
      <c r="B57" s="1756"/>
      <c r="C57" s="1757"/>
      <c r="D57" s="2291"/>
      <c r="E57" s="2390">
        <f>SUM(C57:D57)</f>
        <v>0</v>
      </c>
      <c r="F57" s="2291"/>
      <c r="G57" s="2292">
        <f>SUM(C57:F57)</f>
        <v>0</v>
      </c>
      <c r="H57" s="1758"/>
      <c r="I57" s="1757"/>
      <c r="J57" s="1759"/>
      <c r="K57" s="1759"/>
      <c r="L57" s="1759"/>
      <c r="M57" s="2295"/>
      <c r="N57" s="2296">
        <f t="shared" ref="N57:N60" si="11">SUM(I57:M57)</f>
        <v>0</v>
      </c>
      <c r="O57" s="1005"/>
      <c r="P57" s="1006"/>
      <c r="Q57" s="1732" t="str">
        <f>IF(AND(E57&gt;0,N57=0),"No enrolments",IF(AND(E57=0,N57&gt;0),"No intake",IF(AND(E57&gt;N57,N57&gt;0),"Intake larger than enrolments",IF(AND(E57=N57,SUM(J57:L57)&gt;0),"Intake same as enrolments?","OK"))))</f>
        <v>OK</v>
      </c>
      <c r="R57" s="1977"/>
      <c r="S57" s="979"/>
    </row>
    <row r="58" spans="1:19" ht="30" customHeight="1">
      <c r="A58" s="1749"/>
      <c r="B58" s="1756"/>
      <c r="C58" s="1757"/>
      <c r="D58" s="2291"/>
      <c r="E58" s="2390">
        <f>SUM(C58:D58)</f>
        <v>0</v>
      </c>
      <c r="F58" s="2291"/>
      <c r="G58" s="2292">
        <f>SUM(C58:F58)</f>
        <v>0</v>
      </c>
      <c r="H58" s="1758"/>
      <c r="I58" s="1757"/>
      <c r="J58" s="1759"/>
      <c r="K58" s="1759"/>
      <c r="L58" s="1759"/>
      <c r="M58" s="2295"/>
      <c r="N58" s="2296">
        <f t="shared" si="11"/>
        <v>0</v>
      </c>
      <c r="O58" s="1005"/>
      <c r="P58" s="1006"/>
      <c r="Q58" s="1732" t="str">
        <f>IF(AND(E58&gt;0,N58=0),"No enrolments",IF(AND(E58=0,N58&gt;0),"No intake",IF(AND(E58&gt;N58,N58&gt;0),"Intake larger than enrolments",IF(AND(E58=N58,SUM(J58:L58)&gt;0),"Intake same as enrolments?","OK"))))</f>
        <v>OK</v>
      </c>
      <c r="R58" s="1977"/>
      <c r="S58" s="979"/>
    </row>
    <row r="59" spans="1:19" ht="30" customHeight="1">
      <c r="A59" s="1749"/>
      <c r="B59" s="1756"/>
      <c r="C59" s="1757"/>
      <c r="D59" s="2291"/>
      <c r="E59" s="2390">
        <f>SUM(C59:D59)</f>
        <v>0</v>
      </c>
      <c r="F59" s="2291"/>
      <c r="G59" s="2292">
        <f>SUM(C59:F59)</f>
        <v>0</v>
      </c>
      <c r="H59" s="1758"/>
      <c r="I59" s="1757"/>
      <c r="J59" s="1759"/>
      <c r="K59" s="1759"/>
      <c r="L59" s="1759"/>
      <c r="M59" s="2295"/>
      <c r="N59" s="2296">
        <f t="shared" si="11"/>
        <v>0</v>
      </c>
      <c r="O59" s="1005"/>
      <c r="P59" s="1006"/>
      <c r="Q59" s="1732" t="str">
        <f>IF(AND(E59&gt;0,N59=0),"No enrolments",IF(AND(E59=0,N59&gt;0),"No intake",IF(AND(E59&gt;N59,N59&gt;0),"Intake larger than enrolments",IF(AND(E59=N59,SUM(J59:L59)&gt;0),"Intake same as enrolments?","OK"))))</f>
        <v>OK</v>
      </c>
      <c r="R59" s="1977"/>
      <c r="S59" s="979"/>
    </row>
    <row r="60" spans="1:19" ht="30" customHeight="1" thickBot="1">
      <c r="A60" s="1749"/>
      <c r="B60" s="2040"/>
      <c r="C60" s="2297"/>
      <c r="D60" s="2298"/>
      <c r="E60" s="2391">
        <f>SUM(C60:D60)</f>
        <v>0</v>
      </c>
      <c r="F60" s="2298"/>
      <c r="G60" s="2002">
        <f>SUM(C60:F60)</f>
        <v>0</v>
      </c>
      <c r="H60" s="1758"/>
      <c r="I60" s="2297"/>
      <c r="J60" s="2299"/>
      <c r="K60" s="2299"/>
      <c r="L60" s="2299"/>
      <c r="M60" s="2302"/>
      <c r="N60" s="2007">
        <f t="shared" si="11"/>
        <v>0</v>
      </c>
      <c r="O60" s="1005"/>
      <c r="P60" s="1006"/>
      <c r="Q60" s="2014" t="str">
        <f>IF(AND(E60&gt;0,N60=0),"No enrolments",IF(AND(E60=0,N60&gt;0),"No intake",IF(AND(E60&gt;N60,N60&gt;0),"Intake larger than enrolments",IF(AND(E60=N60,SUM(J60:L60)&gt;0),"Intake same as enrolments?","OK"))))</f>
        <v>OK</v>
      </c>
      <c r="R60" s="1977"/>
      <c r="S60" s="979"/>
    </row>
    <row r="61" spans="1:19" ht="30" customHeight="1" thickBot="1">
      <c r="A61" s="1749"/>
      <c r="B61" s="2003" t="s">
        <v>2</v>
      </c>
      <c r="C61" s="2004">
        <f>SUM(C56:C60)</f>
        <v>0</v>
      </c>
      <c r="D61" s="2008">
        <f>SUM(D56:D60)</f>
        <v>0</v>
      </c>
      <c r="E61" s="2388">
        <f>SUM(E56:E60)</f>
        <v>0</v>
      </c>
      <c r="F61" s="2005">
        <f>SUM(F56:F60)</f>
        <v>0</v>
      </c>
      <c r="G61" s="2006">
        <f>SUM(G56:G60)</f>
        <v>0</v>
      </c>
      <c r="H61" s="1750"/>
      <c r="I61" s="2004">
        <f>SUM(I56:I60)</f>
        <v>0</v>
      </c>
      <c r="J61" s="2008">
        <f>SUM(J56:J60)</f>
        <v>0</v>
      </c>
      <c r="K61" s="2008">
        <f>SUM(K56:K60)</f>
        <v>0</v>
      </c>
      <c r="L61" s="2008">
        <f>SUM(L56:L60)</f>
        <v>0</v>
      </c>
      <c r="M61" s="2062"/>
      <c r="N61" s="2006">
        <f t="shared" ref="N61" si="12">SUM(N56:N60)</f>
        <v>0</v>
      </c>
      <c r="O61" s="1005"/>
      <c r="P61" s="1006"/>
      <c r="Q61" s="1727"/>
      <c r="R61" s="1977"/>
      <c r="S61" s="979"/>
    </row>
    <row r="62" spans="1:19" ht="15" customHeight="1" thickBot="1">
      <c r="A62" s="1749"/>
      <c r="B62" s="1760"/>
      <c r="C62" s="1761"/>
      <c r="D62" s="1761"/>
      <c r="E62" s="1761"/>
      <c r="F62" s="1761"/>
      <c r="G62" s="1761"/>
      <c r="H62" s="1750"/>
      <c r="I62" s="1761"/>
      <c r="J62" s="1761"/>
      <c r="K62" s="1761"/>
      <c r="L62" s="1761"/>
      <c r="M62" s="1761"/>
      <c r="N62" s="1761"/>
      <c r="O62" s="1005"/>
      <c r="P62" s="1006"/>
      <c r="Q62" s="1320"/>
      <c r="R62" s="1977"/>
      <c r="S62" s="979"/>
    </row>
    <row r="63" spans="1:19" ht="30" customHeight="1" thickBot="1">
      <c r="A63" s="1749"/>
      <c r="B63" s="2003" t="s">
        <v>472</v>
      </c>
      <c r="C63" s="2271">
        <f>'T2a ITE'!C69</f>
        <v>60</v>
      </c>
      <c r="D63" s="2385">
        <f>'T2a ITE'!D69</f>
        <v>0</v>
      </c>
      <c r="E63" s="2273">
        <f>'T2a ITE'!E69</f>
        <v>60</v>
      </c>
      <c r="F63" s="2385">
        <f>'T2a ITE'!F69</f>
        <v>0</v>
      </c>
      <c r="G63" s="2273">
        <f>'T2a ITE'!G69</f>
        <v>60</v>
      </c>
      <c r="H63" s="1750"/>
      <c r="I63" s="2271">
        <f>'T2a ITE'!J69</f>
        <v>60</v>
      </c>
      <c r="J63" s="2272">
        <f>'T2a ITE'!K69</f>
        <v>0</v>
      </c>
      <c r="K63" s="2272">
        <f>'T2a ITE'!L69</f>
        <v>0</v>
      </c>
      <c r="L63" s="2272">
        <f>'T2a ITE'!M69</f>
        <v>0</v>
      </c>
      <c r="M63" s="2272">
        <f>'T2a ITE'!N69</f>
        <v>0</v>
      </c>
      <c r="N63" s="2274">
        <f>'T2a ITE'!O69</f>
        <v>60</v>
      </c>
      <c r="O63" s="1005"/>
      <c r="P63" s="1006"/>
      <c r="Q63" s="1320"/>
      <c r="R63" s="1977"/>
      <c r="S63" s="979"/>
    </row>
    <row r="64" spans="1:19" ht="12.75" customHeight="1">
      <c r="A64" s="807"/>
      <c r="B64" s="2305"/>
      <c r="C64" s="2306"/>
      <c r="D64" s="2306"/>
      <c r="E64" s="2306"/>
      <c r="F64" s="2306"/>
      <c r="G64" s="2306"/>
      <c r="H64" s="2307"/>
      <c r="I64" s="2306"/>
      <c r="J64" s="2306"/>
      <c r="K64" s="2306"/>
      <c r="L64" s="2306"/>
      <c r="M64" s="2306"/>
      <c r="N64" s="2306"/>
      <c r="O64" s="2308"/>
      <c r="P64" s="1763"/>
      <c r="Q64" s="275"/>
      <c r="R64" s="1764"/>
      <c r="S64" s="769"/>
    </row>
    <row r="65" spans="1:19">
      <c r="A65" s="769"/>
      <c r="B65" s="769"/>
      <c r="C65" s="1763"/>
      <c r="D65" s="1763"/>
      <c r="E65" s="1763"/>
      <c r="F65" s="1763"/>
      <c r="G65" s="1763"/>
      <c r="H65" s="1764"/>
      <c r="I65" s="1763"/>
      <c r="J65" s="1763"/>
      <c r="K65" s="1763"/>
      <c r="L65" s="1763"/>
      <c r="M65" s="1763"/>
      <c r="N65" s="1763"/>
      <c r="O65" s="1763"/>
      <c r="P65" s="1763"/>
      <c r="Q65" s="275"/>
      <c r="R65" s="1764"/>
      <c r="S65" s="769"/>
    </row>
    <row r="66" spans="1:19">
      <c r="C66" s="1009"/>
      <c r="D66" s="1009"/>
      <c r="E66" s="1009"/>
      <c r="F66" s="1009"/>
      <c r="G66" s="1009"/>
      <c r="I66" s="1009"/>
      <c r="J66" s="1009"/>
      <c r="K66" s="1009"/>
      <c r="L66" s="1009"/>
      <c r="M66" s="1009"/>
      <c r="N66" s="1009"/>
      <c r="O66" s="1009"/>
      <c r="P66" s="1009"/>
      <c r="Q66" s="1272"/>
    </row>
    <row r="67" spans="1:19">
      <c r="C67" s="1009"/>
      <c r="D67" s="1009"/>
      <c r="E67" s="1009"/>
      <c r="F67" s="1009"/>
      <c r="G67" s="1009"/>
      <c r="I67" s="1009"/>
      <c r="J67" s="1009"/>
      <c r="K67" s="1009"/>
      <c r="L67" s="1009"/>
      <c r="M67" s="1009"/>
      <c r="N67" s="1009"/>
      <c r="O67" s="1009"/>
      <c r="P67" s="1009"/>
      <c r="Q67" s="1272"/>
    </row>
    <row r="68" spans="1:19">
      <c r="Q68" s="1272"/>
    </row>
    <row r="69" spans="1:19">
      <c r="Q69" s="1272"/>
    </row>
    <row r="70" spans="1:19">
      <c r="Q70" s="1272"/>
    </row>
    <row r="71" spans="1:19">
      <c r="Q71" s="1272"/>
    </row>
    <row r="72" spans="1:19">
      <c r="Q72" s="634"/>
    </row>
    <row r="73" spans="1:19">
      <c r="Q73" s="634"/>
    </row>
    <row r="74" spans="1:19">
      <c r="Q74" s="634"/>
    </row>
    <row r="75" spans="1:19">
      <c r="Q75" s="1272"/>
    </row>
    <row r="76" spans="1:19">
      <c r="Q76" s="1272"/>
    </row>
    <row r="77" spans="1:19">
      <c r="Q77" s="1272"/>
    </row>
    <row r="78" spans="1:19">
      <c r="Q78" s="1272"/>
    </row>
  </sheetData>
  <sheetProtection password="E23E" sheet="1" objects="1" scenarios="1"/>
  <mergeCells count="9">
    <mergeCell ref="C4:G4"/>
    <mergeCell ref="C8:G8"/>
    <mergeCell ref="I8:N8"/>
    <mergeCell ref="Q11:Q12"/>
    <mergeCell ref="B9:B10"/>
    <mergeCell ref="F9:F10"/>
    <mergeCell ref="G9:G10"/>
    <mergeCell ref="I9:N9"/>
    <mergeCell ref="C9:E9"/>
  </mergeCells>
  <conditionalFormatting sqref="B16:D20 I16:J20 B26:D30 I26:J30 B36:D40 I36:M40 B46:D50 I46:M50 B56:D60 I56:L60 F16:F20 F26:F30 F36:F40 F46:F50 F56:F60">
    <cfRule type="expression" dxfId="77" priority="11">
      <formula>$H$4=1</formula>
    </cfRule>
  </conditionalFormatting>
  <conditionalFormatting sqref="Q16:Q20 Q26:Q30 Q36:Q40 Q46:Q50 Q56:Q60">
    <cfRule type="expression" dxfId="76" priority="10">
      <formula>Q16&lt;&gt;"OK"</formula>
    </cfRule>
  </conditionalFormatting>
  <conditionalFormatting sqref="I23:J23 N23 C23:G23">
    <cfRule type="expression" dxfId="75" priority="9">
      <formula>C23&lt;&gt;C21</formula>
    </cfRule>
  </conditionalFormatting>
  <conditionalFormatting sqref="C33:G33 I33:J33 N33">
    <cfRule type="expression" dxfId="74" priority="8">
      <formula>C33&lt;&gt;C31</formula>
    </cfRule>
  </conditionalFormatting>
  <conditionalFormatting sqref="C43:G43 I43:J43 N43">
    <cfRule type="expression" dxfId="73" priority="7">
      <formula>C43&lt;&gt;C41</formula>
    </cfRule>
  </conditionalFormatting>
  <conditionalFormatting sqref="K43:M43">
    <cfRule type="expression" dxfId="72" priority="6">
      <formula>K43&lt;&gt;K41</formula>
    </cfRule>
  </conditionalFormatting>
  <conditionalFormatting sqref="C53:G53 I53:J53 N53">
    <cfRule type="expression" dxfId="71" priority="5">
      <formula>C53&lt;&gt;C51</formula>
    </cfRule>
  </conditionalFormatting>
  <conditionalFormatting sqref="K53:M53">
    <cfRule type="expression" dxfId="70" priority="4">
      <formula>K53&lt;&gt;K51</formula>
    </cfRule>
  </conditionalFormatting>
  <conditionalFormatting sqref="C63:G63 I63:J63 N63">
    <cfRule type="expression" dxfId="69" priority="3">
      <formula>C63&lt;&gt;C61</formula>
    </cfRule>
  </conditionalFormatting>
  <conditionalFormatting sqref="K63:M63">
    <cfRule type="expression" dxfId="68" priority="2">
      <formula>K63&lt;&gt;K61</formula>
    </cfRule>
  </conditionalFormatting>
  <conditionalFormatting sqref="A1:O1">
    <cfRule type="expression" dxfId="67" priority="1">
      <formula>$H$4=0</formula>
    </cfRule>
  </conditionalFormatting>
  <dataValidations count="1">
    <dataValidation type="decimal" operator="greaterThanOrEqual" allowBlank="1" showInputMessage="1" showErrorMessage="1" errorTitle="ERROR!" error="Invalid Entry" sqref="J57:J60 I16:I20 J17:J20 C16:F20 I26:I30 J27:J30 C26:F30 I36:I40 J37:J40 C36:F40 I46:I50 J47:J50 C46:F50 I56:I60 C56:F60">
      <formula1>0</formula1>
    </dataValidation>
  </dataValidations>
  <pageMargins left="0.19685039370078741" right="0.19685039370078741" top="0.19685039370078741" bottom="0.39370078740157483" header="0" footer="0"/>
  <pageSetup paperSize="9" scale="40" orientation="portrait" r:id="rId1"/>
  <headerFooter alignWithMargins="0"/>
  <rowBreaks count="2" manualBreakCount="2">
    <brk id="34" max="12" man="1"/>
    <brk id="54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9"/>
  <sheetViews>
    <sheetView zoomScale="80" zoomScaleNormal="80" workbookViewId="0"/>
  </sheetViews>
  <sheetFormatPr defaultColWidth="9.140625" defaultRowHeight="15"/>
  <cols>
    <col min="1" max="1" width="2.7109375" style="770" customWidth="1"/>
    <col min="2" max="3" width="35.7109375" style="770" customWidth="1"/>
    <col min="4" max="4" width="12.7109375" style="770" customWidth="1"/>
    <col min="5" max="6" width="3.7109375" style="1819" customWidth="1"/>
    <col min="7" max="8" width="35.7109375" style="770" customWidth="1"/>
    <col min="9" max="11" width="12.7109375" style="770" customWidth="1"/>
    <col min="12" max="13" width="3.7109375" style="1819" customWidth="1"/>
    <col min="14" max="15" width="35.7109375" style="770" customWidth="1"/>
    <col min="16" max="18" width="12.7109375" style="770" customWidth="1"/>
    <col min="19" max="20" width="3.7109375" style="770" customWidth="1"/>
    <col min="21" max="21" width="47.140625" style="770" customWidth="1"/>
    <col min="22" max="23" width="12.7109375" style="631" customWidth="1"/>
    <col min="24" max="24" width="25.7109375" style="631" customWidth="1"/>
    <col min="25" max="16384" width="9.140625" style="770"/>
  </cols>
  <sheetData>
    <row r="1" spans="1:25" ht="39.950000000000003" customHeight="1">
      <c r="A1" s="769"/>
      <c r="B1" s="974" t="str">
        <f>IF($E$4=0,"Your Institution Does Not Complete This Table","")</f>
        <v/>
      </c>
      <c r="C1" s="974"/>
      <c r="D1" s="975"/>
      <c r="E1" s="1770"/>
      <c r="F1" s="1770"/>
      <c r="G1" s="974"/>
      <c r="H1" s="974"/>
      <c r="I1" s="975"/>
      <c r="J1" s="975"/>
      <c r="K1" s="975"/>
      <c r="L1" s="1770"/>
      <c r="M1" s="1770"/>
      <c r="N1" s="974"/>
      <c r="O1" s="974"/>
      <c r="P1" s="975"/>
      <c r="Q1" s="975"/>
      <c r="R1" s="975"/>
      <c r="S1" s="769"/>
      <c r="T1" s="769"/>
      <c r="U1" s="769"/>
      <c r="V1" s="2"/>
      <c r="W1" s="2"/>
      <c r="X1" s="2"/>
      <c r="Y1" s="769"/>
    </row>
    <row r="2" spans="1:25" ht="30" customHeight="1">
      <c r="A2" s="1747"/>
      <c r="B2" s="977" t="s">
        <v>302</v>
      </c>
      <c r="C2" s="977"/>
      <c r="D2" s="1771"/>
      <c r="E2" s="2019"/>
      <c r="F2" s="1748"/>
      <c r="G2" s="1773"/>
      <c r="H2" s="1773"/>
      <c r="I2" s="1771"/>
      <c r="J2" s="1771"/>
      <c r="K2" s="1771"/>
      <c r="L2" s="1772"/>
      <c r="M2" s="2021"/>
      <c r="N2" s="2022" t="s">
        <v>302</v>
      </c>
      <c r="O2" s="2022"/>
      <c r="P2" s="2023"/>
      <c r="Q2" s="2023"/>
      <c r="R2" s="2023"/>
      <c r="S2" s="2024"/>
      <c r="T2" s="769"/>
      <c r="U2" s="769"/>
      <c r="V2" s="5"/>
      <c r="W2" s="5"/>
      <c r="X2" s="5"/>
      <c r="Y2" s="769"/>
    </row>
    <row r="3" spans="1:25" ht="15" customHeight="1" thickBot="1">
      <c r="A3" s="1749"/>
      <c r="B3" s="1011"/>
      <c r="C3" s="1011"/>
      <c r="D3" s="981"/>
      <c r="E3" s="1750"/>
      <c r="F3" s="1750"/>
      <c r="G3" s="1011"/>
      <c r="H3" s="1011"/>
      <c r="I3" s="981"/>
      <c r="J3" s="981"/>
      <c r="K3" s="981"/>
      <c r="L3" s="1774"/>
      <c r="M3" s="1766"/>
      <c r="N3" s="1011"/>
      <c r="O3" s="1011"/>
      <c r="P3" s="981"/>
      <c r="Q3" s="981"/>
      <c r="R3" s="981"/>
      <c r="S3" s="1362"/>
      <c r="T3" s="769"/>
      <c r="U3" s="769"/>
      <c r="V3" s="5"/>
      <c r="W3" s="5"/>
      <c r="X3" s="5"/>
      <c r="Y3" s="769"/>
    </row>
    <row r="4" spans="1:25" ht="30" customHeight="1" thickBot="1">
      <c r="A4" s="1749"/>
      <c r="B4" s="1012" t="s">
        <v>0</v>
      </c>
      <c r="C4" s="2606" t="str">
        <f>VLOOKUP('Background Data'!$C$2,Inst_Tables,2,FALSE)</f>
        <v>Glasgow, University of</v>
      </c>
      <c r="D4" s="2608"/>
      <c r="E4" s="2020">
        <f>VLOOKUP('Background Data'!$C$2,Inst_Tables,8,FALSE)</f>
        <v>1</v>
      </c>
      <c r="F4" s="1775"/>
      <c r="G4" s="1012"/>
      <c r="H4" s="1012"/>
      <c r="I4" s="983"/>
      <c r="J4" s="983"/>
      <c r="K4" s="983"/>
      <c r="L4" s="1776"/>
      <c r="M4" s="2025"/>
      <c r="N4" s="1012" t="s">
        <v>0</v>
      </c>
      <c r="O4" s="2606" t="str">
        <f>VLOOKUP('Background Data'!$C$2,Inst_Tables,2,FALSE)</f>
        <v>Glasgow, University of</v>
      </c>
      <c r="P4" s="2608"/>
      <c r="Q4" s="983"/>
      <c r="R4" s="983"/>
      <c r="S4" s="1362"/>
      <c r="T4" s="769"/>
      <c r="U4" s="769"/>
      <c r="V4" s="5"/>
      <c r="W4" s="5"/>
      <c r="X4" s="5"/>
      <c r="Y4" s="769"/>
    </row>
    <row r="5" spans="1:25" ht="30" customHeight="1">
      <c r="A5" s="1749"/>
      <c r="B5" s="1013" t="s">
        <v>408</v>
      </c>
      <c r="C5" s="1013"/>
      <c r="D5" s="1010"/>
      <c r="E5" s="1750"/>
      <c r="F5" s="1750"/>
      <c r="G5" s="1013"/>
      <c r="H5" s="1013"/>
      <c r="I5" s="1010"/>
      <c r="J5" s="1010"/>
      <c r="K5" s="1010"/>
      <c r="L5" s="1774"/>
      <c r="M5" s="1766"/>
      <c r="N5" s="1013" t="s">
        <v>408</v>
      </c>
      <c r="O5" s="1013"/>
      <c r="P5" s="1010"/>
      <c r="Q5" s="1010"/>
      <c r="R5" s="1010"/>
      <c r="S5" s="1362"/>
      <c r="T5" s="769"/>
      <c r="U5" s="769"/>
      <c r="V5" s="5"/>
      <c r="W5" s="5"/>
      <c r="X5" s="5"/>
      <c r="Y5" s="769"/>
    </row>
    <row r="6" spans="1:25" ht="24.95" customHeight="1">
      <c r="A6" s="1749"/>
      <c r="B6" s="390" t="s">
        <v>500</v>
      </c>
      <c r="C6" s="1013"/>
      <c r="D6" s="1010"/>
      <c r="E6" s="1750"/>
      <c r="F6" s="1750"/>
      <c r="G6" s="1013"/>
      <c r="H6" s="1013"/>
      <c r="I6" s="1010"/>
      <c r="J6" s="1010"/>
      <c r="K6" s="1010"/>
      <c r="L6" s="1774"/>
      <c r="M6" s="1766"/>
      <c r="N6" s="390" t="s">
        <v>500</v>
      </c>
      <c r="O6" s="1013"/>
      <c r="P6" s="1010"/>
      <c r="Q6" s="1010"/>
      <c r="R6" s="1010"/>
      <c r="S6" s="1362"/>
      <c r="T6" s="769"/>
      <c r="U6" s="769"/>
      <c r="V6" s="5"/>
      <c r="W6" s="5"/>
      <c r="X6" s="5"/>
      <c r="Y6" s="769"/>
    </row>
    <row r="7" spans="1:25" ht="15" customHeight="1">
      <c r="A7" s="1749"/>
      <c r="B7" s="390"/>
      <c r="C7" s="390"/>
      <c r="D7" s="1010"/>
      <c r="E7" s="1750"/>
      <c r="F7" s="1750"/>
      <c r="G7" s="390"/>
      <c r="H7" s="390"/>
      <c r="I7" s="1010"/>
      <c r="J7" s="1010"/>
      <c r="K7" s="1010"/>
      <c r="L7" s="1774"/>
      <c r="M7" s="1766"/>
      <c r="N7" s="390"/>
      <c r="O7" s="390"/>
      <c r="P7" s="1010"/>
      <c r="Q7" s="1010"/>
      <c r="R7" s="1010"/>
      <c r="S7" s="1362"/>
      <c r="T7" s="769"/>
      <c r="U7" s="1320"/>
      <c r="V7" s="1320"/>
      <c r="W7" s="1320"/>
      <c r="X7" s="1320"/>
      <c r="Y7" s="769"/>
    </row>
    <row r="8" spans="1:25" ht="20.100000000000001" customHeight="1">
      <c r="A8" s="1749"/>
      <c r="B8" s="390" t="s">
        <v>409</v>
      </c>
      <c r="C8" s="390"/>
      <c r="D8" s="1010"/>
      <c r="E8" s="1750"/>
      <c r="F8" s="1750"/>
      <c r="G8" s="390" t="s">
        <v>410</v>
      </c>
      <c r="H8" s="390"/>
      <c r="I8" s="1010"/>
      <c r="J8" s="1010"/>
      <c r="K8" s="1010"/>
      <c r="L8" s="1774"/>
      <c r="M8" s="1766"/>
      <c r="N8" s="390" t="s">
        <v>411</v>
      </c>
      <c r="O8" s="390"/>
      <c r="P8" s="1010"/>
      <c r="Q8" s="1010"/>
      <c r="R8" s="1010"/>
      <c r="S8" s="1362"/>
      <c r="T8" s="769"/>
      <c r="U8" s="290" t="s">
        <v>475</v>
      </c>
      <c r="V8" s="290"/>
      <c r="W8" s="290"/>
      <c r="X8" s="290"/>
      <c r="Y8" s="769"/>
    </row>
    <row r="9" spans="1:25" ht="9.9499999999999993" customHeight="1" thickBot="1">
      <c r="A9" s="1749"/>
      <c r="B9" s="390"/>
      <c r="C9" s="390"/>
      <c r="D9" s="1010"/>
      <c r="E9" s="1750"/>
      <c r="F9" s="1750"/>
      <c r="G9" s="390"/>
      <c r="H9" s="390"/>
      <c r="I9" s="1010"/>
      <c r="J9" s="1010"/>
      <c r="K9" s="1010"/>
      <c r="L9" s="1774"/>
      <c r="M9" s="1766"/>
      <c r="N9" s="390"/>
      <c r="O9" s="390"/>
      <c r="P9" s="1010"/>
      <c r="Q9" s="1010"/>
      <c r="R9" s="1010"/>
      <c r="S9" s="1362"/>
      <c r="T9" s="769"/>
      <c r="U9" s="769"/>
      <c r="V9" s="5"/>
      <c r="W9" s="5"/>
      <c r="X9" s="5"/>
      <c r="Y9" s="769"/>
    </row>
    <row r="10" spans="1:25" ht="39.950000000000003" customHeight="1" thickBot="1">
      <c r="A10" s="1749"/>
      <c r="B10" s="2625" t="s">
        <v>412</v>
      </c>
      <c r="C10" s="2626"/>
      <c r="D10" s="1777" t="s">
        <v>174</v>
      </c>
      <c r="E10" s="1750"/>
      <c r="F10" s="1750"/>
      <c r="G10" s="2625" t="s">
        <v>412</v>
      </c>
      <c r="H10" s="2626"/>
      <c r="I10" s="1778" t="s">
        <v>174</v>
      </c>
      <c r="J10" s="1779" t="s">
        <v>413</v>
      </c>
      <c r="K10" s="1778" t="s">
        <v>2</v>
      </c>
      <c r="L10" s="1774"/>
      <c r="M10" s="1766"/>
      <c r="N10" s="2625" t="s">
        <v>412</v>
      </c>
      <c r="O10" s="2626"/>
      <c r="P10" s="1778" t="s">
        <v>174</v>
      </c>
      <c r="Q10" s="1779" t="s">
        <v>413</v>
      </c>
      <c r="R10" s="1778" t="s">
        <v>2</v>
      </c>
      <c r="S10" s="1362"/>
      <c r="T10" s="769"/>
      <c r="U10" s="769"/>
      <c r="V10" s="1978"/>
      <c r="W10" s="1978"/>
      <c r="X10" s="1978"/>
      <c r="Y10" s="769"/>
    </row>
    <row r="11" spans="1:25" ht="24.95" customHeight="1">
      <c r="A11" s="1749"/>
      <c r="B11" s="1780"/>
      <c r="C11" s="1781"/>
      <c r="D11" s="1014" t="s">
        <v>17</v>
      </c>
      <c r="E11" s="1750"/>
      <c r="F11" s="1750"/>
      <c r="G11" s="1782"/>
      <c r="H11" s="1783"/>
      <c r="I11" s="1014" t="s">
        <v>17</v>
      </c>
      <c r="J11" s="1014" t="s">
        <v>17</v>
      </c>
      <c r="K11" s="1014" t="s">
        <v>17</v>
      </c>
      <c r="L11" s="1774"/>
      <c r="M11" s="1766"/>
      <c r="N11" s="1782"/>
      <c r="O11" s="1783"/>
      <c r="P11" s="1014" t="s">
        <v>17</v>
      </c>
      <c r="Q11" s="1014" t="s">
        <v>17</v>
      </c>
      <c r="R11" s="1014" t="s">
        <v>17</v>
      </c>
      <c r="S11" s="1362"/>
      <c r="T11" s="769"/>
      <c r="U11" s="2066"/>
      <c r="V11" s="2627" t="s">
        <v>440</v>
      </c>
      <c r="W11" s="2627"/>
      <c r="X11" s="2628"/>
      <c r="Y11" s="769"/>
    </row>
    <row r="12" spans="1:25" ht="24.95" customHeight="1">
      <c r="A12" s="1749"/>
      <c r="B12" s="1784" t="s">
        <v>442</v>
      </c>
      <c r="C12" s="1785" t="s">
        <v>442</v>
      </c>
      <c r="D12" s="1014" t="s">
        <v>30</v>
      </c>
      <c r="E12" s="1750"/>
      <c r="F12" s="1774"/>
      <c r="G12" s="1784" t="s">
        <v>442</v>
      </c>
      <c r="H12" s="2063" t="s">
        <v>442</v>
      </c>
      <c r="I12" s="1014" t="s">
        <v>30</v>
      </c>
      <c r="J12" s="1014" t="s">
        <v>30</v>
      </c>
      <c r="K12" s="1753" t="s">
        <v>55</v>
      </c>
      <c r="L12" s="1774"/>
      <c r="M12" s="2026"/>
      <c r="N12" s="1784" t="s">
        <v>442</v>
      </c>
      <c r="O12" s="2063" t="s">
        <v>442</v>
      </c>
      <c r="P12" s="1014" t="s">
        <v>30</v>
      </c>
      <c r="Q12" s="1014" t="s">
        <v>30</v>
      </c>
      <c r="R12" s="1753" t="s">
        <v>55</v>
      </c>
      <c r="S12" s="1362"/>
      <c r="T12" s="769"/>
      <c r="U12" s="2068" t="s">
        <v>443</v>
      </c>
      <c r="V12" s="1729" t="s">
        <v>201</v>
      </c>
      <c r="W12" s="2570" t="s">
        <v>202</v>
      </c>
      <c r="X12" s="1718" t="s">
        <v>68</v>
      </c>
      <c r="Y12" s="769"/>
    </row>
    <row r="13" spans="1:25" ht="24.95" customHeight="1" thickBot="1">
      <c r="A13" s="1749"/>
      <c r="B13" s="1786">
        <v>1</v>
      </c>
      <c r="C13" s="1534">
        <v>2</v>
      </c>
      <c r="D13" s="1015">
        <v>3</v>
      </c>
      <c r="E13" s="1790"/>
      <c r="F13" s="1787"/>
      <c r="G13" s="1786">
        <v>4</v>
      </c>
      <c r="H13" s="2064">
        <v>5</v>
      </c>
      <c r="I13" s="1015">
        <v>6</v>
      </c>
      <c r="J13" s="1015">
        <v>7</v>
      </c>
      <c r="K13" s="1015">
        <v>8</v>
      </c>
      <c r="L13" s="1787"/>
      <c r="M13" s="2027"/>
      <c r="N13" s="1786">
        <v>9</v>
      </c>
      <c r="O13" s="2064">
        <v>10</v>
      </c>
      <c r="P13" s="1015">
        <v>11</v>
      </c>
      <c r="Q13" s="1015">
        <v>12</v>
      </c>
      <c r="R13" s="1015">
        <v>13</v>
      </c>
      <c r="S13" s="1362"/>
      <c r="T13" s="769"/>
      <c r="U13" s="2067"/>
      <c r="V13" s="1968"/>
      <c r="W13" s="2571"/>
      <c r="X13" s="1967"/>
      <c r="Y13" s="769"/>
    </row>
    <row r="14" spans="1:25" ht="30" customHeight="1" thickBot="1">
      <c r="A14" s="1749"/>
      <c r="B14" s="1593" t="s">
        <v>414</v>
      </c>
      <c r="C14" s="1788"/>
      <c r="D14" s="1789"/>
      <c r="E14" s="1790"/>
      <c r="F14" s="1790"/>
      <c r="G14" s="2629" t="s">
        <v>414</v>
      </c>
      <c r="H14" s="2630"/>
      <c r="I14" s="1789"/>
      <c r="J14" s="1791"/>
      <c r="K14" s="1791"/>
      <c r="L14" s="1787"/>
      <c r="M14" s="2028"/>
      <c r="N14" s="2629" t="s">
        <v>414</v>
      </c>
      <c r="O14" s="2630"/>
      <c r="P14" s="1791"/>
      <c r="Q14" s="1791"/>
      <c r="R14" s="1791"/>
      <c r="S14" s="1362"/>
      <c r="T14" s="769"/>
      <c r="U14" s="2071" t="s">
        <v>444</v>
      </c>
      <c r="V14" s="2312">
        <f>'T2a ITE'!$G$23</f>
        <v>0</v>
      </c>
      <c r="W14" s="2269">
        <f>$D$31-V14</f>
        <v>0</v>
      </c>
      <c r="X14" s="1318" t="str">
        <f>IF(ABS(W14)&gt;0.1,"Does not equal Table 1","OK")</f>
        <v>OK</v>
      </c>
      <c r="Y14" s="769"/>
    </row>
    <row r="15" spans="1:25" ht="24.95" customHeight="1">
      <c r="A15" s="1749"/>
      <c r="B15" s="2015"/>
      <c r="C15" s="1793"/>
      <c r="D15" s="1794"/>
      <c r="E15" s="1796"/>
      <c r="F15" s="1796"/>
      <c r="G15" s="2015"/>
      <c r="H15" s="1797"/>
      <c r="I15" s="1794"/>
      <c r="J15" s="1794"/>
      <c r="K15" s="1798">
        <f>SUM(I15:J15)</f>
        <v>0</v>
      </c>
      <c r="L15" s="1795"/>
      <c r="M15" s="2029"/>
      <c r="N15" s="2015"/>
      <c r="O15" s="1797"/>
      <c r="P15" s="1794"/>
      <c r="Q15" s="1794"/>
      <c r="R15" s="1798">
        <f>SUM(P15:Q15)</f>
        <v>0</v>
      </c>
      <c r="S15" s="1362"/>
      <c r="T15" s="769"/>
      <c r="U15" s="2309" t="s">
        <v>406</v>
      </c>
      <c r="V15" s="2072"/>
      <c r="W15" s="2315"/>
      <c r="X15" s="1719"/>
      <c r="Y15" s="769"/>
    </row>
    <row r="16" spans="1:25" ht="24.95" customHeight="1">
      <c r="A16" s="1749"/>
      <c r="B16" s="2016"/>
      <c r="C16" s="1799"/>
      <c r="D16" s="1794"/>
      <c r="E16" s="1796"/>
      <c r="F16" s="1796"/>
      <c r="G16" s="2016"/>
      <c r="H16" s="1800"/>
      <c r="I16" s="1794"/>
      <c r="J16" s="1794"/>
      <c r="K16" s="1798">
        <f t="shared" ref="K16:K23" si="0">SUM(I16:J16)</f>
        <v>0</v>
      </c>
      <c r="L16" s="1795"/>
      <c r="M16" s="2029"/>
      <c r="N16" s="2016"/>
      <c r="O16" s="2030"/>
      <c r="P16" s="1794"/>
      <c r="Q16" s="1794"/>
      <c r="R16" s="1798">
        <f t="shared" ref="R16:R23" si="1">SUM(P16:Q16)</f>
        <v>0</v>
      </c>
      <c r="S16" s="1362"/>
      <c r="T16" s="769"/>
      <c r="U16" s="2069" t="s">
        <v>174</v>
      </c>
      <c r="V16" s="2313">
        <f>'T2a ITE'!$G$37</f>
        <v>0</v>
      </c>
      <c r="W16" s="2269">
        <f>$I$31-V16</f>
        <v>0</v>
      </c>
      <c r="X16" s="1318" t="str">
        <f t="shared" ref="X16:X17" si="2">IF(ABS(W16)&gt;0.1,"Does not equal Table 1","OK")</f>
        <v>OK</v>
      </c>
      <c r="Y16" s="769"/>
    </row>
    <row r="17" spans="1:28" ht="24.95" customHeight="1">
      <c r="A17" s="1749"/>
      <c r="B17" s="2016"/>
      <c r="C17" s="1799"/>
      <c r="D17" s="1794"/>
      <c r="E17" s="1796"/>
      <c r="F17" s="1796"/>
      <c r="G17" s="2016"/>
      <c r="H17" s="1800"/>
      <c r="I17" s="1794"/>
      <c r="J17" s="1794"/>
      <c r="K17" s="1798">
        <f t="shared" si="0"/>
        <v>0</v>
      </c>
      <c r="L17" s="1795"/>
      <c r="M17" s="2029"/>
      <c r="N17" s="2016"/>
      <c r="O17" s="2030"/>
      <c r="P17" s="1794"/>
      <c r="Q17" s="1794"/>
      <c r="R17" s="1798">
        <f t="shared" si="1"/>
        <v>0</v>
      </c>
      <c r="S17" s="1362"/>
      <c r="T17" s="769"/>
      <c r="U17" s="2310" t="s">
        <v>445</v>
      </c>
      <c r="V17" s="2313">
        <f>'T2a ITE'!$O$37</f>
        <v>0</v>
      </c>
      <c r="W17" s="263">
        <f>$K$31-V17</f>
        <v>0</v>
      </c>
      <c r="X17" s="2311" t="str">
        <f t="shared" si="2"/>
        <v>OK</v>
      </c>
      <c r="Y17" s="769"/>
    </row>
    <row r="18" spans="1:28" ht="24.95" customHeight="1">
      <c r="A18" s="1749"/>
      <c r="B18" s="2016"/>
      <c r="C18" s="1799"/>
      <c r="D18" s="1794"/>
      <c r="E18" s="1796"/>
      <c r="F18" s="1796"/>
      <c r="G18" s="2016"/>
      <c r="H18" s="1800"/>
      <c r="I18" s="1794"/>
      <c r="J18" s="1794"/>
      <c r="K18" s="1798">
        <f t="shared" si="0"/>
        <v>0</v>
      </c>
      <c r="L18" s="1795"/>
      <c r="M18" s="2029"/>
      <c r="N18" s="2016"/>
      <c r="O18" s="2030"/>
      <c r="P18" s="1794"/>
      <c r="Q18" s="1794"/>
      <c r="R18" s="1798">
        <f t="shared" si="1"/>
        <v>0</v>
      </c>
      <c r="S18" s="1362"/>
      <c r="T18" s="769"/>
      <c r="U18" s="2071" t="s">
        <v>407</v>
      </c>
      <c r="V18" s="2013"/>
      <c r="W18" s="2316"/>
      <c r="X18" s="1720"/>
      <c r="Y18" s="769"/>
    </row>
    <row r="19" spans="1:28" ht="24.95" customHeight="1">
      <c r="A19" s="1749"/>
      <c r="B19" s="2016"/>
      <c r="C19" s="1799"/>
      <c r="D19" s="1794"/>
      <c r="E19" s="1796"/>
      <c r="F19" s="1796"/>
      <c r="G19" s="2016"/>
      <c r="H19" s="1800"/>
      <c r="I19" s="1794"/>
      <c r="J19" s="1794"/>
      <c r="K19" s="1798">
        <f t="shared" si="0"/>
        <v>0</v>
      </c>
      <c r="L19" s="1795"/>
      <c r="M19" s="2029"/>
      <c r="N19" s="2016"/>
      <c r="O19" s="2030"/>
      <c r="P19" s="1794"/>
      <c r="Q19" s="1794"/>
      <c r="R19" s="1798">
        <f t="shared" si="1"/>
        <v>0</v>
      </c>
      <c r="S19" s="1362"/>
      <c r="T19" s="769"/>
      <c r="U19" s="2069" t="s">
        <v>174</v>
      </c>
      <c r="V19" s="2313">
        <f>'T2a ITE'!$G$69</f>
        <v>60</v>
      </c>
      <c r="W19" s="263">
        <f>$P$31-V19</f>
        <v>-60</v>
      </c>
      <c r="X19" s="2073" t="str">
        <f>IF(ABS(W19)&gt;0.1,"Does not equal Table 1","OK")</f>
        <v>Does not equal Table 1</v>
      </c>
      <c r="Y19" s="769"/>
    </row>
    <row r="20" spans="1:28" ht="24.95" customHeight="1" thickBot="1">
      <c r="A20" s="1749"/>
      <c r="B20" s="2016"/>
      <c r="C20" s="1799"/>
      <c r="D20" s="1801"/>
      <c r="E20" s="1796"/>
      <c r="F20" s="1796"/>
      <c r="G20" s="2016"/>
      <c r="H20" s="1800"/>
      <c r="I20" s="1801"/>
      <c r="J20" s="1801"/>
      <c r="K20" s="1798">
        <f t="shared" si="0"/>
        <v>0</v>
      </c>
      <c r="L20" s="1795"/>
      <c r="M20" s="2029"/>
      <c r="N20" s="2016"/>
      <c r="O20" s="2030"/>
      <c r="P20" s="2031"/>
      <c r="Q20" s="2031"/>
      <c r="R20" s="1798">
        <f t="shared" si="1"/>
        <v>0</v>
      </c>
      <c r="S20" s="1362"/>
      <c r="T20" s="769"/>
      <c r="U20" s="2070" t="s">
        <v>445</v>
      </c>
      <c r="V20" s="2314">
        <f>'T2a ITE'!$O$69</f>
        <v>60</v>
      </c>
      <c r="W20" s="2074">
        <f>$R$31-V20</f>
        <v>-60</v>
      </c>
      <c r="X20" s="330" t="str">
        <f>IF(ABS(W20)&gt;0.1,"Does not equal Table 1","OK")</f>
        <v>Does not equal Table 1</v>
      </c>
      <c r="Y20" s="769"/>
    </row>
    <row r="21" spans="1:28" ht="24.95" customHeight="1">
      <c r="A21" s="1749"/>
      <c r="B21" s="2016"/>
      <c r="C21" s="1799"/>
      <c r="D21" s="1801"/>
      <c r="E21" s="1796"/>
      <c r="F21" s="1796"/>
      <c r="G21" s="2016"/>
      <c r="H21" s="1800"/>
      <c r="I21" s="1801"/>
      <c r="J21" s="1801"/>
      <c r="K21" s="1798">
        <f t="shared" si="0"/>
        <v>0</v>
      </c>
      <c r="L21" s="1795"/>
      <c r="M21" s="2029"/>
      <c r="N21" s="2016"/>
      <c r="O21" s="2030"/>
      <c r="P21" s="2031"/>
      <c r="Q21" s="2031"/>
      <c r="R21" s="1798">
        <f t="shared" si="1"/>
        <v>0</v>
      </c>
      <c r="S21" s="1362"/>
      <c r="T21" s="769"/>
      <c r="U21" s="769"/>
      <c r="V21" s="228"/>
      <c r="W21" s="228"/>
      <c r="X21" s="228"/>
      <c r="Y21" s="769"/>
    </row>
    <row r="22" spans="1:28" ht="24.95" customHeight="1">
      <c r="A22" s="1749"/>
      <c r="B22" s="2016"/>
      <c r="C22" s="1799"/>
      <c r="D22" s="1801"/>
      <c r="E22" s="1796"/>
      <c r="F22" s="1796"/>
      <c r="G22" s="2016"/>
      <c r="H22" s="1800"/>
      <c r="I22" s="1801"/>
      <c r="J22" s="1801"/>
      <c r="K22" s="1798">
        <f t="shared" si="0"/>
        <v>0</v>
      </c>
      <c r="L22" s="1795"/>
      <c r="M22" s="2029"/>
      <c r="N22" s="2016"/>
      <c r="O22" s="2030"/>
      <c r="P22" s="2031"/>
      <c r="Q22" s="2031"/>
      <c r="R22" s="1798">
        <f t="shared" si="1"/>
        <v>0</v>
      </c>
      <c r="S22" s="1362"/>
      <c r="T22" s="769"/>
      <c r="U22" s="769"/>
      <c r="V22" s="276"/>
      <c r="W22" s="276"/>
      <c r="X22" s="276"/>
      <c r="Y22" s="769"/>
    </row>
    <row r="23" spans="1:28" ht="24.95" customHeight="1" thickBot="1">
      <c r="A23" s="1749"/>
      <c r="B23" s="2017"/>
      <c r="C23" s="1802"/>
      <c r="D23" s="1803"/>
      <c r="E23" s="1796"/>
      <c r="F23" s="1796"/>
      <c r="G23" s="2017"/>
      <c r="H23" s="1804"/>
      <c r="I23" s="1803"/>
      <c r="J23" s="1803"/>
      <c r="K23" s="1798">
        <f t="shared" si="0"/>
        <v>0</v>
      </c>
      <c r="L23" s="1795"/>
      <c r="M23" s="2029"/>
      <c r="N23" s="2017"/>
      <c r="O23" s="2032"/>
      <c r="P23" s="2033"/>
      <c r="Q23" s="2033"/>
      <c r="R23" s="1798">
        <f t="shared" si="1"/>
        <v>0</v>
      </c>
      <c r="S23" s="1362"/>
      <c r="T23" s="769"/>
      <c r="U23" s="1764"/>
      <c r="V23" s="276"/>
      <c r="W23" s="276"/>
      <c r="X23" s="276"/>
      <c r="Y23" s="1764"/>
      <c r="Z23" s="1765"/>
      <c r="AA23" s="1765"/>
      <c r="AB23" s="1765"/>
    </row>
    <row r="24" spans="1:28" ht="30" customHeight="1" thickBot="1">
      <c r="A24" s="1749"/>
      <c r="B24" s="2629" t="s">
        <v>415</v>
      </c>
      <c r="C24" s="2630"/>
      <c r="D24" s="1805"/>
      <c r="E24" s="1790"/>
      <c r="F24" s="1790"/>
      <c r="G24" s="2629" t="s">
        <v>415</v>
      </c>
      <c r="H24" s="2630"/>
      <c r="I24" s="1805"/>
      <c r="J24" s="1805"/>
      <c r="K24" s="1805"/>
      <c r="L24" s="1787"/>
      <c r="M24" s="2028"/>
      <c r="N24" s="2629" t="s">
        <v>415</v>
      </c>
      <c r="O24" s="2630"/>
      <c r="P24" s="1805"/>
      <c r="Q24" s="1805"/>
      <c r="R24" s="1805"/>
      <c r="S24" s="1362"/>
      <c r="T24" s="769"/>
      <c r="U24" s="1764"/>
      <c r="V24" s="276"/>
      <c r="W24" s="276"/>
      <c r="X24" s="276"/>
      <c r="Y24" s="1764"/>
      <c r="Z24" s="1765"/>
      <c r="AA24" s="1765"/>
      <c r="AB24" s="1765"/>
    </row>
    <row r="25" spans="1:28" ht="30" customHeight="1" thickBot="1">
      <c r="A25" s="1749"/>
      <c r="B25" s="1806" t="s">
        <v>416</v>
      </c>
      <c r="C25" s="1594" t="s">
        <v>417</v>
      </c>
      <c r="D25" s="1789"/>
      <c r="E25" s="1790"/>
      <c r="F25" s="1787"/>
      <c r="G25" s="1807" t="s">
        <v>416</v>
      </c>
      <c r="H25" s="1808" t="s">
        <v>417</v>
      </c>
      <c r="I25" s="1809"/>
      <c r="J25" s="1809"/>
      <c r="K25" s="1809"/>
      <c r="L25" s="1787"/>
      <c r="M25" s="2027"/>
      <c r="N25" s="1807" t="s">
        <v>416</v>
      </c>
      <c r="O25" s="1808" t="s">
        <v>417</v>
      </c>
      <c r="P25" s="1809"/>
      <c r="Q25" s="1809"/>
      <c r="R25" s="1809"/>
      <c r="S25" s="1362"/>
      <c r="T25" s="769"/>
      <c r="U25" s="1764"/>
      <c r="V25" s="276"/>
      <c r="W25" s="276"/>
      <c r="X25" s="276"/>
      <c r="Y25" s="1764"/>
      <c r="Z25" s="1765"/>
      <c r="AA25" s="1765"/>
      <c r="AB25" s="1765"/>
    </row>
    <row r="26" spans="1:28" ht="24.95" customHeight="1">
      <c r="A26" s="1749"/>
      <c r="B26" s="1792"/>
      <c r="C26" s="1810"/>
      <c r="D26" s="1794"/>
      <c r="E26" s="1796"/>
      <c r="F26" s="1795"/>
      <c r="G26" s="1792"/>
      <c r="H26" s="1810"/>
      <c r="I26" s="1794"/>
      <c r="J26" s="1794"/>
      <c r="K26" s="1798">
        <f>SUM(I26:J26)</f>
        <v>0</v>
      </c>
      <c r="L26" s="1795"/>
      <c r="M26" s="2034"/>
      <c r="N26" s="1792"/>
      <c r="O26" s="1810"/>
      <c r="P26" s="1794"/>
      <c r="Q26" s="1794"/>
      <c r="R26" s="1798">
        <f>SUM(P26:Q26)</f>
        <v>0</v>
      </c>
      <c r="S26" s="1362"/>
      <c r="T26" s="769"/>
      <c r="U26" s="1764"/>
      <c r="V26" s="276"/>
      <c r="W26" s="276"/>
      <c r="X26" s="276"/>
      <c r="Y26" s="1764"/>
      <c r="Z26" s="1765"/>
      <c r="AA26" s="1765"/>
      <c r="AB26" s="1765"/>
    </row>
    <row r="27" spans="1:28" ht="24.95" customHeight="1">
      <c r="A27" s="1749"/>
      <c r="B27" s="1792"/>
      <c r="C27" s="1811"/>
      <c r="D27" s="1801"/>
      <c r="E27" s="1796"/>
      <c r="F27" s="1795"/>
      <c r="G27" s="1792"/>
      <c r="H27" s="1811"/>
      <c r="I27" s="1801"/>
      <c r="J27" s="1801"/>
      <c r="K27" s="1798">
        <f t="shared" ref="K27:K30" si="3">SUM(I27:J27)</f>
        <v>0</v>
      </c>
      <c r="L27" s="1795"/>
      <c r="M27" s="2034"/>
      <c r="N27" s="1792"/>
      <c r="O27" s="1811"/>
      <c r="P27" s="2031"/>
      <c r="Q27" s="2031"/>
      <c r="R27" s="1798">
        <f t="shared" ref="R27:R30" si="4">SUM(P27:Q27)</f>
        <v>0</v>
      </c>
      <c r="S27" s="1362"/>
      <c r="T27" s="769"/>
      <c r="U27" s="1764"/>
      <c r="V27" s="276"/>
      <c r="W27" s="276"/>
      <c r="X27" s="276"/>
      <c r="Y27" s="1764"/>
      <c r="Z27" s="1765"/>
      <c r="AA27" s="1765"/>
      <c r="AB27" s="1765"/>
    </row>
    <row r="28" spans="1:28" ht="24.95" customHeight="1">
      <c r="A28" s="1749"/>
      <c r="B28" s="1792"/>
      <c r="C28" s="1811"/>
      <c r="D28" s="1801"/>
      <c r="E28" s="1796"/>
      <c r="F28" s="1795"/>
      <c r="G28" s="1792"/>
      <c r="H28" s="1811"/>
      <c r="I28" s="1801"/>
      <c r="J28" s="1801"/>
      <c r="K28" s="1798">
        <f t="shared" si="3"/>
        <v>0</v>
      </c>
      <c r="L28" s="1795"/>
      <c r="M28" s="2034"/>
      <c r="N28" s="1792"/>
      <c r="O28" s="1811"/>
      <c r="P28" s="2031"/>
      <c r="Q28" s="2031"/>
      <c r="R28" s="1798">
        <f t="shared" si="4"/>
        <v>0</v>
      </c>
      <c r="S28" s="1362"/>
      <c r="T28" s="769"/>
      <c r="U28" s="1764"/>
      <c r="V28" s="276"/>
      <c r="W28" s="276"/>
      <c r="X28" s="276"/>
      <c r="Y28" s="1764"/>
      <c r="Z28" s="1765"/>
      <c r="AA28" s="1765"/>
      <c r="AB28" s="1765"/>
    </row>
    <row r="29" spans="1:28" ht="24.95" customHeight="1">
      <c r="A29" s="1749"/>
      <c r="B29" s="1792"/>
      <c r="C29" s="1811"/>
      <c r="D29" s="1801"/>
      <c r="E29" s="1796"/>
      <c r="F29" s="1795"/>
      <c r="G29" s="1792"/>
      <c r="H29" s="1811"/>
      <c r="I29" s="1801"/>
      <c r="J29" s="1801"/>
      <c r="K29" s="1798">
        <f t="shared" si="3"/>
        <v>0</v>
      </c>
      <c r="L29" s="1795"/>
      <c r="M29" s="2034"/>
      <c r="N29" s="1792"/>
      <c r="O29" s="1811"/>
      <c r="P29" s="2031"/>
      <c r="Q29" s="2031"/>
      <c r="R29" s="1798">
        <f t="shared" si="4"/>
        <v>0</v>
      </c>
      <c r="S29" s="1362"/>
      <c r="T29" s="769"/>
      <c r="U29" s="1764"/>
      <c r="V29" s="276"/>
      <c r="W29" s="276"/>
      <c r="X29" s="276"/>
      <c r="Y29" s="1764"/>
      <c r="Z29" s="1765"/>
      <c r="AA29" s="1765"/>
      <c r="AB29" s="1765"/>
    </row>
    <row r="30" spans="1:28" ht="24.95" customHeight="1" thickBot="1">
      <c r="A30" s="1749"/>
      <c r="B30" s="1812"/>
      <c r="C30" s="1813"/>
      <c r="D30" s="1814"/>
      <c r="E30" s="1796"/>
      <c r="F30" s="1795"/>
      <c r="G30" s="1812"/>
      <c r="H30" s="1813"/>
      <c r="I30" s="1814"/>
      <c r="J30" s="1814"/>
      <c r="K30" s="1017">
        <f t="shared" si="3"/>
        <v>0</v>
      </c>
      <c r="L30" s="1795"/>
      <c r="M30" s="2034"/>
      <c r="N30" s="1812"/>
      <c r="O30" s="1813"/>
      <c r="P30" s="1814"/>
      <c r="Q30" s="1814"/>
      <c r="R30" s="1017">
        <f t="shared" si="4"/>
        <v>0</v>
      </c>
      <c r="S30" s="1362"/>
      <c r="T30" s="769"/>
      <c r="U30" s="1764"/>
      <c r="V30" s="275"/>
      <c r="W30" s="275"/>
      <c r="X30" s="275"/>
      <c r="Y30" s="1764"/>
      <c r="Z30" s="1765"/>
      <c r="AA30" s="1765"/>
      <c r="AB30" s="1765"/>
    </row>
    <row r="31" spans="1:28" ht="30" customHeight="1" thickBot="1">
      <c r="A31" s="1749"/>
      <c r="B31" s="1016" t="s">
        <v>2</v>
      </c>
      <c r="C31" s="1815"/>
      <c r="D31" s="1542">
        <f>SUM(D15:D23,D26:D30)</f>
        <v>0</v>
      </c>
      <c r="E31" s="1796"/>
      <c r="F31" s="1796"/>
      <c r="G31" s="1816" t="s">
        <v>2</v>
      </c>
      <c r="H31" s="1815"/>
      <c r="I31" s="1542"/>
      <c r="J31" s="1542"/>
      <c r="K31" s="1542">
        <f>SUM(K15:K23,K26:K30)</f>
        <v>0</v>
      </c>
      <c r="L31" s="1795"/>
      <c r="M31" s="2029"/>
      <c r="N31" s="1816" t="s">
        <v>2</v>
      </c>
      <c r="O31" s="1815"/>
      <c r="P31" s="1542"/>
      <c r="Q31" s="1542"/>
      <c r="R31" s="1542">
        <f>SUM(R15:R23,R26:R30)</f>
        <v>0</v>
      </c>
      <c r="S31" s="1362"/>
      <c r="T31" s="769"/>
      <c r="U31" s="1764"/>
      <c r="V31" s="276"/>
      <c r="W31" s="276"/>
      <c r="X31" s="276"/>
      <c r="Y31" s="1764"/>
      <c r="Z31" s="1765"/>
      <c r="AA31" s="1765"/>
      <c r="AB31" s="1765"/>
    </row>
    <row r="32" spans="1:28" ht="30" customHeight="1">
      <c r="A32" s="807"/>
      <c r="B32" s="1018"/>
      <c r="C32" s="1018"/>
      <c r="D32" s="1019"/>
      <c r="E32" s="1762"/>
      <c r="F32" s="1762"/>
      <c r="G32" s="1018"/>
      <c r="H32" s="1018"/>
      <c r="I32" s="1019"/>
      <c r="J32" s="1019"/>
      <c r="K32" s="1019"/>
      <c r="L32" s="1817"/>
      <c r="M32" s="2035"/>
      <c r="N32" s="1018"/>
      <c r="O32" s="1018"/>
      <c r="P32" s="1019"/>
      <c r="Q32" s="1019"/>
      <c r="R32" s="1019"/>
      <c r="S32" s="2036"/>
      <c r="T32" s="769"/>
      <c r="U32" s="1764"/>
      <c r="V32" s="276"/>
      <c r="W32" s="276"/>
      <c r="X32" s="276"/>
      <c r="Y32" s="1764"/>
      <c r="Z32" s="1765"/>
      <c r="AA32" s="1765"/>
      <c r="AB32" s="1765"/>
    </row>
    <row r="33" spans="1:28" ht="30" customHeight="1">
      <c r="A33" s="769"/>
      <c r="B33" s="1020"/>
      <c r="C33" s="1818"/>
      <c r="D33" s="1010"/>
      <c r="E33" s="1750"/>
      <c r="F33" s="1750"/>
      <c r="G33" s="1020"/>
      <c r="H33" s="1818"/>
      <c r="I33" s="1010"/>
      <c r="J33" s="1010"/>
      <c r="K33" s="1010"/>
      <c r="L33" s="1750"/>
      <c r="M33" s="1750"/>
      <c r="N33" s="1818"/>
      <c r="O33" s="1818"/>
      <c r="P33" s="1010"/>
      <c r="Q33" s="1010"/>
      <c r="R33" s="1010"/>
      <c r="S33" s="769"/>
      <c r="T33" s="769"/>
      <c r="U33" s="1764"/>
      <c r="V33" s="276"/>
      <c r="W33" s="276"/>
      <c r="X33" s="276"/>
      <c r="Y33" s="1764"/>
      <c r="Z33" s="1765"/>
      <c r="AA33" s="1765"/>
      <c r="AB33" s="1765"/>
    </row>
    <row r="34" spans="1:28" ht="13.5" customHeight="1">
      <c r="B34" s="1008"/>
      <c r="C34" s="1008"/>
      <c r="D34" s="1009"/>
      <c r="G34" s="1008"/>
      <c r="H34" s="1008"/>
      <c r="I34" s="1009"/>
      <c r="J34" s="1009"/>
      <c r="K34" s="1009"/>
      <c r="N34" s="1008"/>
      <c r="O34" s="1008"/>
      <c r="P34" s="1009"/>
      <c r="Q34" s="1009"/>
      <c r="R34" s="1009"/>
      <c r="U34" s="1765"/>
      <c r="V34" s="1272"/>
      <c r="W34" s="1272"/>
      <c r="X34" s="1272"/>
      <c r="Y34" s="1765"/>
      <c r="Z34" s="1765"/>
      <c r="AA34" s="1765"/>
      <c r="AB34" s="1765"/>
    </row>
    <row r="35" spans="1:28">
      <c r="U35" s="1765"/>
      <c r="V35" s="1272"/>
      <c r="W35" s="1272"/>
      <c r="X35" s="1272"/>
      <c r="Y35" s="1765"/>
      <c r="Z35" s="1765"/>
      <c r="AA35" s="1765"/>
      <c r="AB35" s="1765"/>
    </row>
    <row r="36" spans="1:28">
      <c r="U36" s="1765"/>
      <c r="V36" s="1272"/>
      <c r="W36" s="1272"/>
      <c r="X36" s="1272"/>
      <c r="Y36" s="1765"/>
      <c r="Z36" s="1765"/>
      <c r="AA36" s="1765"/>
      <c r="AB36" s="1765"/>
    </row>
    <row r="37" spans="1:28">
      <c r="U37" s="1765"/>
      <c r="V37" s="1272"/>
      <c r="W37" s="1272"/>
      <c r="X37" s="1272"/>
      <c r="Y37" s="1765"/>
      <c r="Z37" s="1765"/>
      <c r="AA37" s="1765"/>
      <c r="AB37" s="1765"/>
    </row>
    <row r="38" spans="1:28">
      <c r="U38" s="1765"/>
      <c r="V38" s="1272"/>
      <c r="W38" s="1272"/>
      <c r="X38" s="1272"/>
      <c r="Y38" s="1765"/>
      <c r="Z38" s="1765"/>
      <c r="AA38" s="1765"/>
      <c r="AB38" s="1765"/>
    </row>
    <row r="39" spans="1:28">
      <c r="U39" s="1765"/>
      <c r="V39" s="1272"/>
      <c r="W39" s="1272"/>
      <c r="X39" s="1272"/>
      <c r="Y39" s="1765"/>
      <c r="Z39" s="1765"/>
      <c r="AA39" s="1765"/>
      <c r="AB39" s="1765"/>
    </row>
    <row r="40" spans="1:28">
      <c r="U40" s="1765"/>
      <c r="V40" s="1272"/>
      <c r="W40" s="1272"/>
      <c r="X40" s="1272"/>
      <c r="Y40" s="1765"/>
      <c r="Z40" s="1765"/>
      <c r="AA40" s="1765"/>
      <c r="AB40" s="1765"/>
    </row>
    <row r="41" spans="1:28">
      <c r="U41" s="1765"/>
      <c r="V41" s="1272"/>
      <c r="W41" s="1272"/>
      <c r="X41" s="1272"/>
      <c r="Y41" s="1765"/>
      <c r="Z41" s="1765"/>
      <c r="AA41" s="1765"/>
      <c r="AB41" s="1765"/>
    </row>
    <row r="42" spans="1:28">
      <c r="U42" s="1765"/>
      <c r="V42" s="1272"/>
      <c r="W42" s="1272"/>
      <c r="X42" s="1272"/>
      <c r="Y42" s="1765"/>
      <c r="Z42" s="1765"/>
      <c r="AA42" s="1765"/>
      <c r="AB42" s="1765"/>
    </row>
    <row r="43" spans="1:28">
      <c r="U43" s="1765"/>
      <c r="V43" s="1272"/>
      <c r="W43" s="1272"/>
      <c r="X43" s="1272"/>
      <c r="Y43" s="1765"/>
      <c r="Z43" s="1765"/>
      <c r="AA43" s="1765"/>
      <c r="AB43" s="1765"/>
    </row>
    <row r="44" spans="1:28">
      <c r="U44" s="1765"/>
      <c r="V44" s="1272"/>
      <c r="W44" s="1272"/>
      <c r="X44" s="1272"/>
      <c r="Y44" s="1765"/>
      <c r="Z44" s="1765"/>
      <c r="AA44" s="1765"/>
      <c r="AB44" s="1765"/>
    </row>
    <row r="45" spans="1:28">
      <c r="U45" s="1765"/>
      <c r="V45" s="1272"/>
      <c r="W45" s="1272"/>
      <c r="X45" s="1272"/>
      <c r="Y45" s="1765"/>
      <c r="Z45" s="1765"/>
      <c r="AA45" s="1765"/>
      <c r="AB45" s="1765"/>
    </row>
    <row r="46" spans="1:28">
      <c r="U46" s="1765"/>
      <c r="V46" s="1272"/>
      <c r="W46" s="1272"/>
      <c r="X46" s="1272"/>
      <c r="Y46" s="1765"/>
      <c r="Z46" s="1765"/>
      <c r="AA46" s="1765"/>
      <c r="AB46" s="1765"/>
    </row>
    <row r="47" spans="1:28">
      <c r="U47" s="1765"/>
      <c r="V47" s="1272"/>
      <c r="W47" s="1272"/>
      <c r="X47" s="1272"/>
      <c r="Y47" s="1765"/>
      <c r="Z47" s="1765"/>
      <c r="AA47" s="1765"/>
      <c r="AB47" s="1765"/>
    </row>
    <row r="48" spans="1:28">
      <c r="U48" s="1765"/>
      <c r="V48" s="1272"/>
      <c r="W48" s="1272"/>
      <c r="X48" s="1272"/>
      <c r="Y48" s="1765"/>
      <c r="Z48" s="1765"/>
      <c r="AA48" s="1765"/>
      <c r="AB48" s="1765"/>
    </row>
    <row r="49" spans="21:28">
      <c r="U49" s="1765"/>
      <c r="V49" s="1272"/>
      <c r="W49" s="1272"/>
      <c r="X49" s="1272"/>
      <c r="Y49" s="1765"/>
      <c r="Z49" s="1765"/>
      <c r="AA49" s="1765"/>
      <c r="AB49" s="1765"/>
    </row>
    <row r="50" spans="21:28">
      <c r="U50" s="1765"/>
      <c r="V50" s="1272"/>
      <c r="W50" s="1272"/>
      <c r="X50" s="1272"/>
      <c r="Y50" s="1765"/>
      <c r="Z50" s="1765"/>
      <c r="AA50" s="1765"/>
      <c r="AB50" s="1765"/>
    </row>
    <row r="51" spans="21:28">
      <c r="U51" s="1765"/>
      <c r="V51" s="1272"/>
      <c r="W51" s="1272"/>
      <c r="X51" s="1272"/>
      <c r="Y51" s="1765"/>
      <c r="Z51" s="1765"/>
      <c r="AA51" s="1765"/>
      <c r="AB51" s="1765"/>
    </row>
    <row r="52" spans="21:28">
      <c r="U52" s="1765"/>
      <c r="V52" s="1272"/>
      <c r="W52" s="1272"/>
      <c r="X52" s="1272"/>
      <c r="Y52" s="1765"/>
      <c r="Z52" s="1765"/>
      <c r="AA52" s="1765"/>
      <c r="AB52" s="1765"/>
    </row>
    <row r="53" spans="21:28">
      <c r="U53" s="1765"/>
      <c r="V53" s="1272"/>
      <c r="W53" s="1272"/>
      <c r="X53" s="1272"/>
      <c r="Y53" s="1765"/>
      <c r="Z53" s="1765"/>
      <c r="AA53" s="1765"/>
      <c r="AB53" s="1765"/>
    </row>
    <row r="54" spans="21:28">
      <c r="U54" s="1765"/>
      <c r="V54" s="1272"/>
      <c r="W54" s="1272"/>
      <c r="X54" s="1272"/>
      <c r="Y54" s="1765"/>
      <c r="Z54" s="1765"/>
      <c r="AA54" s="1765"/>
      <c r="AB54" s="1765"/>
    </row>
    <row r="55" spans="21:28">
      <c r="U55" s="1765"/>
      <c r="V55" s="1272"/>
      <c r="W55" s="1272"/>
      <c r="X55" s="1272"/>
      <c r="Y55" s="1765"/>
      <c r="Z55" s="1765"/>
      <c r="AA55" s="1765"/>
      <c r="AB55" s="1765"/>
    </row>
    <row r="56" spans="21:28">
      <c r="U56" s="1765"/>
      <c r="V56" s="1272"/>
      <c r="W56" s="1272"/>
      <c r="X56" s="1272"/>
      <c r="Y56" s="1765"/>
      <c r="Z56" s="1765"/>
      <c r="AA56" s="1765"/>
      <c r="AB56" s="1765"/>
    </row>
    <row r="57" spans="21:28">
      <c r="U57" s="1765"/>
      <c r="V57" s="1272"/>
      <c r="W57" s="1272"/>
      <c r="X57" s="1272"/>
      <c r="Y57" s="1765"/>
      <c r="Z57" s="1765"/>
      <c r="AA57" s="1765"/>
      <c r="AB57" s="1765"/>
    </row>
    <row r="58" spans="21:28">
      <c r="U58" s="1765"/>
      <c r="V58" s="1272"/>
      <c r="W58" s="1272"/>
      <c r="X58" s="1272"/>
      <c r="Y58" s="1765"/>
      <c r="Z58" s="1765"/>
      <c r="AA58" s="1765"/>
      <c r="AB58" s="1765"/>
    </row>
    <row r="59" spans="21:28">
      <c r="V59" s="1272"/>
      <c r="W59" s="1272"/>
      <c r="X59" s="1272"/>
    </row>
    <row r="60" spans="21:28">
      <c r="V60" s="1272"/>
      <c r="W60" s="1272"/>
      <c r="X60" s="1272"/>
    </row>
    <row r="61" spans="21:28">
      <c r="V61" s="1272"/>
      <c r="W61" s="1272"/>
      <c r="X61" s="1272"/>
    </row>
    <row r="62" spans="21:28">
      <c r="V62" s="1272"/>
      <c r="W62" s="1272"/>
      <c r="X62" s="1272"/>
    </row>
    <row r="63" spans="21:28">
      <c r="V63" s="1272"/>
      <c r="W63" s="1272"/>
      <c r="X63" s="1272"/>
    </row>
    <row r="64" spans="21:28">
      <c r="V64" s="634"/>
      <c r="W64" s="634"/>
      <c r="X64" s="634"/>
    </row>
    <row r="65" spans="22:24">
      <c r="V65" s="634"/>
      <c r="W65" s="634"/>
      <c r="X65" s="634"/>
    </row>
    <row r="66" spans="22:24">
      <c r="V66" s="1272"/>
      <c r="W66" s="1272"/>
      <c r="X66" s="1272"/>
    </row>
    <row r="67" spans="22:24">
      <c r="V67" s="1272"/>
      <c r="W67" s="1272"/>
      <c r="X67" s="1272"/>
    </row>
    <row r="68" spans="22:24">
      <c r="V68" s="1272"/>
      <c r="W68" s="1272"/>
      <c r="X68" s="1272"/>
    </row>
    <row r="69" spans="22:24">
      <c r="V69" s="1272"/>
      <c r="W69" s="1272"/>
      <c r="X69" s="1272"/>
    </row>
  </sheetData>
  <sheetProtection password="E23E" sheet="1" objects="1" scenarios="1"/>
  <mergeCells count="12">
    <mergeCell ref="V11:X11"/>
    <mergeCell ref="W12:W13"/>
    <mergeCell ref="B24:C24"/>
    <mergeCell ref="G24:H24"/>
    <mergeCell ref="N24:O24"/>
    <mergeCell ref="G14:H14"/>
    <mergeCell ref="N14:O14"/>
    <mergeCell ref="C4:D4"/>
    <mergeCell ref="O4:P4"/>
    <mergeCell ref="B10:C10"/>
    <mergeCell ref="G10:H10"/>
    <mergeCell ref="N10:O10"/>
  </mergeCells>
  <conditionalFormatting sqref="A1:S1">
    <cfRule type="expression" dxfId="66" priority="3">
      <formula>$E$4=0</formula>
    </cfRule>
  </conditionalFormatting>
  <conditionalFormatting sqref="B15:B23 B26:D30 G15:G23 N15:N23 G26:J30 N26:Q30 D15:D23 I15:J23 P15:Q23">
    <cfRule type="expression" dxfId="65" priority="2">
      <formula>$E$4=1</formula>
    </cfRule>
  </conditionalFormatting>
  <conditionalFormatting sqref="X14 X16:X17 X19:X20">
    <cfRule type="expression" dxfId="64" priority="1">
      <formula>X14&lt;&gt;"OK"</formula>
    </cfRule>
  </conditionalFormatting>
  <dataValidations count="4">
    <dataValidation type="list" allowBlank="1" showInputMessage="1" showErrorMessage="1" sqref="B15:B23 B26:C30 G15:G23 N15:N23 G26:H30 N26:O30">
      <formula1>ITE_Subjects</formula1>
    </dataValidation>
    <dataValidation allowBlank="1" sqref="D24:F25 N13:O13 K13:M14 K24:M25 G13:H13 R24:R25 B13:C13 R13:R14 D13:F14"/>
    <dataValidation type="decimal" operator="greaterThanOrEqual" allowBlank="1" showInputMessage="1" showErrorMessage="1" errorTitle="ERROR!" error="Invalid Entry" sqref="D15:D23 D26:D30 R15:R23 K15:K23 K26:K30 R26:R30">
      <formula1>0</formula1>
    </dataValidation>
    <dataValidation type="custom" allowBlank="1" showErrorMessage="1" errorTitle="Number less than 0" error="You are trying to enter a number which is less than 0, please re-enter a valid number." sqref="D31 K31 R31">
      <formula1>D31&gt;=0</formula1>
    </dataValidation>
  </dataValidations>
  <pageMargins left="0.19685039370078741" right="0.19685039370078741" top="0.19685039370078741" bottom="0.39370078740157483" header="0" footer="0"/>
  <pageSetup paperSize="9" scale="45" orientation="landscape" r:id="rId1"/>
  <headerFooter alignWithMargins="0"/>
  <colBreaks count="1" manualBreakCount="1">
    <brk id="12" min="1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36</vt:i4>
      </vt:variant>
    </vt:vector>
  </HeadingPairs>
  <TitlesOfParts>
    <vt:vector size="55" baseType="lpstr">
      <vt:lpstr>Contents</vt:lpstr>
      <vt:lpstr>T1 Main Table</vt:lpstr>
      <vt:lpstr>Monitoring</vt:lpstr>
      <vt:lpstr>T2a ITE</vt:lpstr>
      <vt:lpstr>T2b TQFE</vt:lpstr>
      <vt:lpstr>T2c Catholic ITE</vt:lpstr>
      <vt:lpstr>Table 2d PGDE Subjects</vt:lpstr>
      <vt:lpstr>T2e ITE New Routes </vt:lpstr>
      <vt:lpstr>T2f ITE New Routes Subjects</vt:lpstr>
      <vt:lpstr>Table 3 Med,Dent</vt:lpstr>
      <vt:lpstr>Table 4a Nurse and Midwy 3 Yr</vt:lpstr>
      <vt:lpstr>Table 4b Nurse 4 Year</vt:lpstr>
      <vt:lpstr>T5a TPG FPs</vt:lpstr>
      <vt:lpstr>Table 5b Innov Centres</vt:lpstr>
      <vt:lpstr>Table 5c Early Years</vt:lpstr>
      <vt:lpstr>Table 5d ESF DSW </vt:lpstr>
      <vt:lpstr>Table 6 Care Experienced</vt:lpstr>
      <vt:lpstr>Early Access Return</vt:lpstr>
      <vt:lpstr>Background Data</vt:lpstr>
      <vt:lpstr>Monitoring!Consol_Tolerance</vt:lpstr>
      <vt:lpstr>Monitoring!Control_Consol_Tolerance_FTE</vt:lpstr>
      <vt:lpstr>Monitoring!Control_Under_Tolerance</vt:lpstr>
      <vt:lpstr>Dentistry_Consol_Tolerance</vt:lpstr>
      <vt:lpstr>Early_Stats_Last_Year</vt:lpstr>
      <vt:lpstr>Final_Figures_Last_Year</vt:lpstr>
      <vt:lpstr>Innov_Centres</vt:lpstr>
      <vt:lpstr>Inst_FPs</vt:lpstr>
      <vt:lpstr>Inst_Tables</vt:lpstr>
      <vt:lpstr>ITE_Subjects</vt:lpstr>
      <vt:lpstr>Monitoring!Non_control_Under_Tolerance</vt:lpstr>
      <vt:lpstr>Contents!Print_Area</vt:lpstr>
      <vt:lpstr>'Early Access Return'!Print_Area</vt:lpstr>
      <vt:lpstr>Monitoring!Print_Area</vt:lpstr>
      <vt:lpstr>'T1 Main Table'!Print_Area</vt:lpstr>
      <vt:lpstr>'T2a ITE'!Print_Area</vt:lpstr>
      <vt:lpstr>'T2b TQFE'!Print_Area</vt:lpstr>
      <vt:lpstr>'T2c Catholic ITE'!Print_Area</vt:lpstr>
      <vt:lpstr>'T2e ITE New Routes '!Print_Area</vt:lpstr>
      <vt:lpstr>'T2f ITE New Routes Subjects'!Print_Area</vt:lpstr>
      <vt:lpstr>'T5a TPG FPs'!Print_Area</vt:lpstr>
      <vt:lpstr>'Table 2d PGDE Subjects'!Print_Area</vt:lpstr>
      <vt:lpstr>'Table 3 Med,Dent'!Print_Area</vt:lpstr>
      <vt:lpstr>'Table 4a Nurse and Midwy 3 Yr'!Print_Area</vt:lpstr>
      <vt:lpstr>'Table 4b Nurse 4 Year'!Print_Area</vt:lpstr>
      <vt:lpstr>'Table 5b Innov Centres'!Print_Area</vt:lpstr>
      <vt:lpstr>'Table 5c Early Years'!Print_Area</vt:lpstr>
      <vt:lpstr>'Table 5d ESF DSW '!Print_Area</vt:lpstr>
      <vt:lpstr>'Table 6 Care Experienced'!Print_Area</vt:lpstr>
      <vt:lpstr>Monitoring!Print_Titles</vt:lpstr>
      <vt:lpstr>'T1 Main Table'!Print_Titles</vt:lpstr>
      <vt:lpstr>'T2a ITE'!Print_Titles</vt:lpstr>
      <vt:lpstr>'T2e ITE New Routes '!Print_Titles</vt:lpstr>
      <vt:lpstr>'T5a TPG FPs'!Print_Titles</vt:lpstr>
      <vt:lpstr>'Table 3 Med,Dent'!Print_Titles</vt:lpstr>
      <vt:lpstr>'Table 4a Nurse and Midwy 3 Yr'!Print_Titles</vt:lpstr>
    </vt:vector>
  </TitlesOfParts>
  <Company>Scottish Funding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McCleary</dc:creator>
  <cp:lastModifiedBy>Jacqueline Jack</cp:lastModifiedBy>
  <cp:lastPrinted>2018-12-10T09:33:03Z</cp:lastPrinted>
  <dcterms:created xsi:type="dcterms:W3CDTF">2004-10-22T07:49:06Z</dcterms:created>
  <dcterms:modified xsi:type="dcterms:W3CDTF">2019-01-28T11:35:20Z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