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BIData\SFC\2017-18\Final Return\working area\"/>
    </mc:Choice>
  </mc:AlternateContent>
  <bookViews>
    <workbookView xWindow="-15" yWindow="45" windowWidth="11520" windowHeight="7770"/>
  </bookViews>
  <sheets>
    <sheet name="Contents" sheetId="8" r:id="rId1"/>
    <sheet name="T1 Final Figures 2017-18" sheetId="4" r:id="rId2"/>
    <sheet name="T2 Comments" sheetId="3" r:id="rId3"/>
    <sheet name="T3a TPG FPs" sheetId="11" r:id="rId4"/>
    <sheet name="T3b Innovation Centres TPG FPs" sheetId="14" r:id="rId5"/>
    <sheet name="T3c Early Years FPs" sheetId="20" r:id="rId6"/>
    <sheet name="T3d ESF DSW " sheetId="21" state="hidden" r:id="rId7"/>
    <sheet name="T4a ITE New Routes" sheetId="16" r:id="rId8"/>
    <sheet name="T4b PGDE Subjects" sheetId="22" r:id="rId9"/>
    <sheet name="T4c ITE New Routes Subjects" sheetId="23" r:id="rId10"/>
    <sheet name="Monitoring" sheetId="7" r:id="rId11"/>
    <sheet name="Background 17-18" sheetId="19" state="hidden" r:id="rId12"/>
  </sheets>
  <definedNames>
    <definedName name="Consol_Tol_FTE">Monitoring!$C$65</definedName>
    <definedName name="Consol_Tol_Per">Monitoring!$C$64</definedName>
    <definedName name="Control_FTE_Tol">'T1 Final Figures 2017-18'!$AE$57</definedName>
    <definedName name="Control_Per_Tol">'T1 Final Figures 2017-18'!$AE$58</definedName>
    <definedName name="Controlled_Tol">Monitoring!$C$62</definedName>
    <definedName name="Early_Stats">'Background 17-18'!$A$68:$BM$104</definedName>
    <definedName name="Early_Years_ES">'Background 17-18'!$CK$126:$CN$144</definedName>
    <definedName name="ESF_ES">'Background 17-18'!$CP$156:$DE$170</definedName>
    <definedName name="FPs_Consol_Nos">'Background 17-18'!$A$39:$AM$57</definedName>
    <definedName name="HTML_CodePage" hidden="1">1252</definedName>
    <definedName name="HTML_Control" localSheetId="0" hidden="1">{"'Page1'!$E$11:$AJ$51","'Page1'!$A$1"}</definedName>
    <definedName name="HTML_Control" localSheetId="10" hidden="1">{"'Page1'!$E$11:$AJ$51","'Page1'!$A$1"}</definedName>
    <definedName name="HTML_Control" localSheetId="3" hidden="1">{"'Page1'!$E$11:$AJ$51","'Page1'!$A$1"}</definedName>
    <definedName name="HTML_Control" localSheetId="5" hidden="1">{"'Page1'!$E$11:$AJ$51","'Page1'!$A$1"}</definedName>
    <definedName name="HTML_Control" localSheetId="6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ICs_ES">'Background 17-18'!$BO$111:$CI$119</definedName>
    <definedName name="Inst_Tables">'Background 17-18'!$A$10:$BJ$29</definedName>
    <definedName name="Insts_FPs">'Background 17-18'!$A$39:$AM$57</definedName>
    <definedName name="New_Routes_ES">'Background 17-18'!$IZ$212:$JO$230</definedName>
    <definedName name="New_Routes_Subjs_ES">'Background 17-18'!$JQ$240:$PH$260</definedName>
    <definedName name="Non_Control_FTE_Tol">'T1 Final Figures 2017-18'!$AE$59</definedName>
    <definedName name="Non_Control_Per_Tol">'T1 Final Figures 2017-18'!$AE$60</definedName>
    <definedName name="Non_controlled_Tol">Monitoring!$C$63</definedName>
    <definedName name="PGDE_Sec_Subjs_ES">'Background 17-18'!$DG$182:$IX$202</definedName>
    <definedName name="_xlnm.Print_Area" localSheetId="0">Contents!$B$1:$D$19</definedName>
    <definedName name="_xlnm.Print_Area" localSheetId="10">Monitoring!$B$1:$J$59</definedName>
    <definedName name="_xlnm.Print_Area" localSheetId="1">'T1 Final Figures 2017-18'!$A$1:$AA$52</definedName>
    <definedName name="_xlnm.Print_Area" localSheetId="2">'T2 Comments'!$A$1:$G$45</definedName>
    <definedName name="_xlnm.Print_Area" localSheetId="3">'T3a TPG FPs'!$A$2:$D$57</definedName>
    <definedName name="_xlnm.Print_Area" localSheetId="4">'T3b Innovation Centres TPG FPs'!$A$2:$G$24</definedName>
    <definedName name="_xlnm.Print_Area" localSheetId="5">'T3c Early Years FPs'!$A$2:$F$19</definedName>
    <definedName name="_xlnm.Print_Area" localSheetId="6">'T3d ESF DSW '!$A$2:$H$33</definedName>
    <definedName name="_xlnm.Print_Area" localSheetId="7">'T4a ITE New Routes'!$A$2:$D$41</definedName>
    <definedName name="_xlnm.Print_Area" localSheetId="8">'T4b PGDE Subjects'!$A$2:$AA$34</definedName>
    <definedName name="_xlnm.Print_Area" localSheetId="9">'T4c ITE New Routes Subjects'!$A$2:$AA$34</definedName>
    <definedName name="_xlnm.Print_Titles" localSheetId="10">Monitoring!$1:$3</definedName>
    <definedName name="_xlnm.Print_Titles" localSheetId="2">'T2 Comments'!$A:$A,'T2 Comments'!$1:$7</definedName>
    <definedName name="RPG_FTE_Tol">'T1 Final Figures 2017-18'!$AE$55</definedName>
    <definedName name="RPG_Per_Tol">'T1 Final Figures 2017-18'!$AE$56</definedName>
    <definedName name="RUK_Control_FTE_Tol">'T1 Final Figures 2017-18'!$AE$61</definedName>
    <definedName name="Warning1">'T1 Final Figures 2017-18'!$AK$55</definedName>
    <definedName name="Warning2_for_Control">'T1 Final Figures 2017-18'!$AK$57</definedName>
    <definedName name="Warning2_for_Non_Control">'T1 Final Figures 2017-18'!$AK$58</definedName>
    <definedName name="Warning2_for_RPG">'T1 Final Figures 2017-18'!$AK$56</definedName>
    <definedName name="Warning2_for_RUK_Control">'T1 Final Figures 2017-18'!$AK$59</definedName>
  </definedNames>
  <calcPr calcId="162913"/>
</workbook>
</file>

<file path=xl/calcChain.xml><?xml version="1.0" encoding="utf-8"?>
<calcChain xmlns="http://schemas.openxmlformats.org/spreadsheetml/2006/main">
  <c r="C40" i="7" l="1"/>
  <c r="D14" i="4" l="1"/>
  <c r="B46" i="4"/>
  <c r="D31" i="4"/>
  <c r="B24" i="4"/>
  <c r="B16" i="4"/>
  <c r="D22" i="4"/>
  <c r="D21" i="4"/>
  <c r="D20" i="4"/>
  <c r="D19" i="4"/>
  <c r="D38" i="4"/>
  <c r="D37" i="4"/>
  <c r="D36" i="4"/>
  <c r="D35" i="4"/>
  <c r="D34" i="4"/>
  <c r="D33" i="4"/>
  <c r="D41" i="4" l="1"/>
  <c r="D40" i="4"/>
  <c r="D43" i="4"/>
  <c r="D33" i="22" l="1"/>
  <c r="D33" i="23" l="1"/>
  <c r="AE33" i="23"/>
  <c r="AE33" i="22" l="1"/>
  <c r="C15" i="20" l="1"/>
  <c r="C14" i="20"/>
  <c r="D59" i="7" l="1"/>
  <c r="C39" i="7" l="1"/>
  <c r="C59" i="7" l="1"/>
  <c r="C57" i="7"/>
  <c r="C56" i="7"/>
  <c r="C55" i="7"/>
  <c r="C53" i="7"/>
  <c r="C52" i="7"/>
  <c r="C27" i="7"/>
  <c r="D26" i="7"/>
  <c r="D24" i="7"/>
  <c r="C24" i="7"/>
  <c r="D23" i="7"/>
  <c r="C23" i="7"/>
  <c r="C22" i="7"/>
  <c r="C21" i="7"/>
  <c r="C20" i="7"/>
  <c r="D19" i="7"/>
  <c r="C17" i="7"/>
  <c r="D16" i="7"/>
  <c r="C16" i="7"/>
  <c r="D15" i="7"/>
  <c r="C15" i="7"/>
  <c r="D14" i="7"/>
  <c r="C14" i="7"/>
  <c r="C19" i="7"/>
  <c r="E16" i="8"/>
  <c r="D16" i="8" s="1"/>
  <c r="E14" i="8"/>
  <c r="D14" i="8" s="1"/>
  <c r="E14" i="7" l="1"/>
  <c r="G4" i="23"/>
  <c r="AQ10" i="19"/>
  <c r="AR10" i="19" s="1"/>
  <c r="AS10" i="19" s="1"/>
  <c r="AT10" i="19" s="1"/>
  <c r="AU10" i="19" s="1"/>
  <c r="AV10" i="19" s="1"/>
  <c r="AW10" i="19" s="1"/>
  <c r="AX10" i="19" s="1"/>
  <c r="AY10" i="19" s="1"/>
  <c r="AZ10" i="19" s="1"/>
  <c r="BA10" i="19" s="1"/>
  <c r="BB10" i="19" s="1"/>
  <c r="BC10" i="19" s="1"/>
  <c r="BD10" i="19" s="1"/>
  <c r="BE10" i="19" s="1"/>
  <c r="BF10" i="19" s="1"/>
  <c r="BG10" i="19" s="1"/>
  <c r="BH10" i="19" s="1"/>
  <c r="BI10" i="19" s="1"/>
  <c r="BJ10" i="19" s="1"/>
  <c r="AP12" i="19" s="1"/>
  <c r="AQ12" i="19" s="1"/>
  <c r="AR12" i="19" s="1"/>
  <c r="AS12" i="19" s="1"/>
  <c r="AT12" i="19" s="1"/>
  <c r="AU12" i="19" s="1"/>
  <c r="AV12" i="19" s="1"/>
  <c r="AW12" i="19" s="1"/>
  <c r="AX12" i="19" s="1"/>
  <c r="AY12" i="19" s="1"/>
  <c r="AZ12" i="19" s="1"/>
  <c r="BA12" i="19" s="1"/>
  <c r="BB12" i="19" s="1"/>
  <c r="BC12" i="19" s="1"/>
  <c r="BD12" i="19" s="1"/>
  <c r="BE12" i="19" s="1"/>
  <c r="BF12" i="19" s="1"/>
  <c r="BG12" i="19" s="1"/>
  <c r="BH12" i="19" s="1"/>
  <c r="BI12" i="19" s="1"/>
  <c r="BJ12" i="19" s="1"/>
  <c r="AP14" i="19" s="1"/>
  <c r="AQ14" i="19" s="1"/>
  <c r="AR14" i="19" s="1"/>
  <c r="AS14" i="19" s="1"/>
  <c r="AT14" i="19" s="1"/>
  <c r="AU14" i="19" s="1"/>
  <c r="AV14" i="19" s="1"/>
  <c r="AW14" i="19" s="1"/>
  <c r="AX14" i="19" s="1"/>
  <c r="AY14" i="19" s="1"/>
  <c r="AZ14" i="19" s="1"/>
  <c r="BA14" i="19" s="1"/>
  <c r="BB14" i="19" s="1"/>
  <c r="BC14" i="19" s="1"/>
  <c r="BD14" i="19" s="1"/>
  <c r="BE14" i="19" s="1"/>
  <c r="BF14" i="19" s="1"/>
  <c r="BG14" i="19" s="1"/>
  <c r="BH14" i="19" s="1"/>
  <c r="BI14" i="19" s="1"/>
  <c r="BJ14" i="19" s="1"/>
  <c r="AP17" i="19" s="1"/>
  <c r="AQ17" i="19" s="1"/>
  <c r="AR17" i="19" s="1"/>
  <c r="AS17" i="19" s="1"/>
  <c r="AT17" i="19" s="1"/>
  <c r="AU17" i="19" s="1"/>
  <c r="AV17" i="19" s="1"/>
  <c r="AW17" i="19" s="1"/>
  <c r="AX17" i="19" s="1"/>
  <c r="AY17" i="19" s="1"/>
  <c r="AZ17" i="19" s="1"/>
  <c r="BA17" i="19" s="1"/>
  <c r="BB17" i="19" s="1"/>
  <c r="BC17" i="19" s="1"/>
  <c r="BD17" i="19" s="1"/>
  <c r="BE17" i="19" s="1"/>
  <c r="BF17" i="19" s="1"/>
  <c r="BG17" i="19" s="1"/>
  <c r="BH17" i="19" s="1"/>
  <c r="BI17" i="19" s="1"/>
  <c r="BJ17" i="19" s="1"/>
  <c r="AP19" i="19" s="1"/>
  <c r="AQ19" i="19" s="1"/>
  <c r="AR19" i="19" s="1"/>
  <c r="AS19" i="19" s="1"/>
  <c r="AT19" i="19" s="1"/>
  <c r="AU19" i="19" s="1"/>
  <c r="AV19" i="19" s="1"/>
  <c r="AW19" i="19" s="1"/>
  <c r="AX19" i="19" s="1"/>
  <c r="AY19" i="19" s="1"/>
  <c r="AZ19" i="19" s="1"/>
  <c r="BA19" i="19" s="1"/>
  <c r="BB19" i="19" s="1"/>
  <c r="BC19" i="19" s="1"/>
  <c r="BD19" i="19" s="1"/>
  <c r="BE19" i="19" s="1"/>
  <c r="BF19" i="19" s="1"/>
  <c r="BG19" i="19" s="1"/>
  <c r="BH19" i="19" s="1"/>
  <c r="BI19" i="19" s="1"/>
  <c r="BJ19" i="19" s="1"/>
  <c r="AP26" i="19" s="1"/>
  <c r="AQ26" i="19" s="1"/>
  <c r="AR26" i="19" s="1"/>
  <c r="AS26" i="19" s="1"/>
  <c r="AT26" i="19" s="1"/>
  <c r="AU26" i="19" s="1"/>
  <c r="AV26" i="19" s="1"/>
  <c r="AW26" i="19" s="1"/>
  <c r="AX26" i="19" s="1"/>
  <c r="AY26" i="19" s="1"/>
  <c r="AZ26" i="19" s="1"/>
  <c r="BA26" i="19" s="1"/>
  <c r="BB26" i="19" s="1"/>
  <c r="BC26" i="19" s="1"/>
  <c r="BD26" i="19" s="1"/>
  <c r="BE26" i="19" s="1"/>
  <c r="BF26" i="19" s="1"/>
  <c r="BG26" i="19" s="1"/>
  <c r="BH26" i="19" s="1"/>
  <c r="BI26" i="19" s="1"/>
  <c r="BJ26" i="19" s="1"/>
  <c r="AP27" i="19" s="1"/>
  <c r="AQ27" i="19" s="1"/>
  <c r="AR27" i="19" s="1"/>
  <c r="AS27" i="19" s="1"/>
  <c r="AT27" i="19" s="1"/>
  <c r="AU27" i="19" s="1"/>
  <c r="AV27" i="19" s="1"/>
  <c r="AW27" i="19" s="1"/>
  <c r="AX27" i="19" s="1"/>
  <c r="AY27" i="19" s="1"/>
  <c r="AZ27" i="19" s="1"/>
  <c r="BA27" i="19" s="1"/>
  <c r="BB27" i="19" s="1"/>
  <c r="BC27" i="19" s="1"/>
  <c r="BD27" i="19" s="1"/>
  <c r="BE27" i="19" s="1"/>
  <c r="BF27" i="19" s="1"/>
  <c r="BG27" i="19" s="1"/>
  <c r="BH27" i="19" s="1"/>
  <c r="BI27" i="19" s="1"/>
  <c r="BJ27" i="19" s="1"/>
  <c r="PH260" i="19"/>
  <c r="PG260" i="19"/>
  <c r="PF260" i="19"/>
  <c r="PE260" i="19"/>
  <c r="PD260" i="19"/>
  <c r="PC260" i="19"/>
  <c r="PB260" i="19"/>
  <c r="PA260" i="19"/>
  <c r="OZ260" i="19"/>
  <c r="OY260" i="19"/>
  <c r="OX260" i="19"/>
  <c r="OW260" i="19"/>
  <c r="OV260" i="19"/>
  <c r="OU260" i="19"/>
  <c r="OT260" i="19"/>
  <c r="OS260" i="19"/>
  <c r="OR260" i="19"/>
  <c r="OQ260" i="19"/>
  <c r="OP260" i="19"/>
  <c r="OO260" i="19"/>
  <c r="ON260" i="19"/>
  <c r="OM260" i="19"/>
  <c r="OL260" i="19"/>
  <c r="OK260" i="19"/>
  <c r="OJ260" i="19"/>
  <c r="OI260" i="19"/>
  <c r="OH260" i="19"/>
  <c r="OG260" i="19"/>
  <c r="OF260" i="19"/>
  <c r="OE260" i="19"/>
  <c r="OD260" i="19"/>
  <c r="OC260" i="19"/>
  <c r="OB260" i="19"/>
  <c r="OA260" i="19"/>
  <c r="NZ260" i="19"/>
  <c r="NY260" i="19"/>
  <c r="NX260" i="19"/>
  <c r="NW260" i="19"/>
  <c r="NV260" i="19"/>
  <c r="NU260" i="19"/>
  <c r="NT260" i="19"/>
  <c r="NS260" i="19"/>
  <c r="NR260" i="19"/>
  <c r="NQ260" i="19"/>
  <c r="NP260" i="19"/>
  <c r="NO260" i="19"/>
  <c r="NN260" i="19"/>
  <c r="NM260" i="19"/>
  <c r="NL260" i="19"/>
  <c r="NK260" i="19"/>
  <c r="NJ260" i="19"/>
  <c r="NI260" i="19"/>
  <c r="NH260" i="19"/>
  <c r="NG260" i="19"/>
  <c r="NF260" i="19"/>
  <c r="NE260" i="19"/>
  <c r="ND260" i="19"/>
  <c r="NC260" i="19"/>
  <c r="NB260" i="19"/>
  <c r="NA260" i="19"/>
  <c r="MZ260" i="19"/>
  <c r="MY260" i="19"/>
  <c r="MX260" i="19"/>
  <c r="MW260" i="19"/>
  <c r="MV260" i="19"/>
  <c r="MU260" i="19"/>
  <c r="MT260" i="19"/>
  <c r="MS260" i="19"/>
  <c r="MR260" i="19"/>
  <c r="MQ260" i="19"/>
  <c r="MP260" i="19"/>
  <c r="MO260" i="19"/>
  <c r="MN260" i="19"/>
  <c r="MM260" i="19"/>
  <c r="ML260" i="19"/>
  <c r="MK260" i="19"/>
  <c r="MJ260" i="19"/>
  <c r="MI260" i="19"/>
  <c r="MH260" i="19"/>
  <c r="MG260" i="19"/>
  <c r="MF260" i="19"/>
  <c r="ME260" i="19"/>
  <c r="MD260" i="19"/>
  <c r="MC260" i="19"/>
  <c r="MB260" i="19"/>
  <c r="MA260" i="19"/>
  <c r="LZ260" i="19"/>
  <c r="LY260" i="19"/>
  <c r="LX260" i="19"/>
  <c r="LW260" i="19"/>
  <c r="LV260" i="19"/>
  <c r="LU260" i="19"/>
  <c r="LT260" i="19"/>
  <c r="LS260" i="19"/>
  <c r="LR260" i="19"/>
  <c r="LQ260" i="19"/>
  <c r="LP260" i="19"/>
  <c r="LO260" i="19"/>
  <c r="LN260" i="19"/>
  <c r="LM260" i="19"/>
  <c r="LL260" i="19"/>
  <c r="LK260" i="19"/>
  <c r="LJ260" i="19"/>
  <c r="LI260" i="19"/>
  <c r="LH260" i="19"/>
  <c r="LG260" i="19"/>
  <c r="LF260" i="19"/>
  <c r="LE260" i="19"/>
  <c r="LD260" i="19"/>
  <c r="LC260" i="19"/>
  <c r="LB260" i="19"/>
  <c r="LA260" i="19"/>
  <c r="KZ260" i="19"/>
  <c r="KY260" i="19"/>
  <c r="KX260" i="19"/>
  <c r="KW260" i="19"/>
  <c r="KV260" i="19"/>
  <c r="KU260" i="19"/>
  <c r="KT260" i="19"/>
  <c r="KS260" i="19"/>
  <c r="KR260" i="19"/>
  <c r="KQ260" i="19"/>
  <c r="KP260" i="19"/>
  <c r="KO260" i="19"/>
  <c r="KN260" i="19"/>
  <c r="KM260" i="19"/>
  <c r="KL260" i="19"/>
  <c r="KK260" i="19"/>
  <c r="KJ260" i="19"/>
  <c r="KI260" i="19"/>
  <c r="KH260" i="19"/>
  <c r="KG260" i="19"/>
  <c r="KF260" i="19"/>
  <c r="KE260" i="19"/>
  <c r="KD260" i="19"/>
  <c r="KC260" i="19"/>
  <c r="KB260" i="19"/>
  <c r="KA260" i="19"/>
  <c r="JZ260" i="19"/>
  <c r="JY260" i="19"/>
  <c r="JX260" i="19"/>
  <c r="JW260" i="19"/>
  <c r="JV260" i="19"/>
  <c r="JU260" i="19"/>
  <c r="JT260" i="19"/>
  <c r="JS260" i="19"/>
  <c r="JR260" i="19"/>
  <c r="AX29" i="23" l="1"/>
  <c r="AX25" i="23"/>
  <c r="AX21" i="23"/>
  <c r="AX17" i="23"/>
  <c r="AX13" i="23"/>
  <c r="AW27" i="23"/>
  <c r="AW23" i="23"/>
  <c r="AW19" i="23"/>
  <c r="AW15" i="23"/>
  <c r="AV28" i="23"/>
  <c r="AV24" i="23"/>
  <c r="AV20" i="23"/>
  <c r="AV16" i="23"/>
  <c r="AU28" i="23"/>
  <c r="AU24" i="23"/>
  <c r="AU20" i="23"/>
  <c r="AU16" i="23"/>
  <c r="AT27" i="23"/>
  <c r="AT23" i="23"/>
  <c r="AT19" i="23"/>
  <c r="AT15" i="23"/>
  <c r="AS25" i="23"/>
  <c r="AS21" i="23"/>
  <c r="AS17" i="23"/>
  <c r="AS13" i="23"/>
  <c r="AR22" i="23"/>
  <c r="AR18" i="23"/>
  <c r="AR14" i="23"/>
  <c r="AQ22" i="23"/>
  <c r="AQ18" i="23"/>
  <c r="AQ14" i="23"/>
  <c r="AP21" i="23"/>
  <c r="AP17" i="23"/>
  <c r="AP13" i="23"/>
  <c r="AO19" i="23"/>
  <c r="AO15" i="23"/>
  <c r="AN20" i="23"/>
  <c r="AN16" i="23"/>
  <c r="AM20" i="23"/>
  <c r="AM16" i="23"/>
  <c r="AL19" i="23"/>
  <c r="AL15" i="23"/>
  <c r="AK17" i="23"/>
  <c r="AK13" i="23"/>
  <c r="AJ14" i="23"/>
  <c r="AI14" i="23"/>
  <c r="AH13" i="23"/>
  <c r="AD32" i="23"/>
  <c r="AD28" i="23"/>
  <c r="AD24" i="23"/>
  <c r="AD20" i="23"/>
  <c r="AD16" i="23"/>
  <c r="AX31" i="23"/>
  <c r="AX26" i="23"/>
  <c r="AX20" i="23"/>
  <c r="AX15" i="23"/>
  <c r="AW28" i="23"/>
  <c r="AW22" i="23"/>
  <c r="AW17" i="23"/>
  <c r="AV29" i="23"/>
  <c r="AV23" i="23"/>
  <c r="AV18" i="23"/>
  <c r="AV13" i="23"/>
  <c r="AU23" i="23"/>
  <c r="AU18" i="23"/>
  <c r="AU13" i="23"/>
  <c r="AT22" i="23"/>
  <c r="AT17" i="23"/>
  <c r="AS26" i="23"/>
  <c r="AS20" i="23"/>
  <c r="AS15" i="23"/>
  <c r="AR23" i="23"/>
  <c r="AR17" i="23"/>
  <c r="AQ24" i="23"/>
  <c r="AQ19" i="23"/>
  <c r="AQ13" i="23"/>
  <c r="AP19" i="23"/>
  <c r="AP14" i="23"/>
  <c r="AO18" i="23"/>
  <c r="AO13" i="23"/>
  <c r="AN17" i="23"/>
  <c r="AM19" i="23"/>
  <c r="AM14" i="23"/>
  <c r="AL16" i="23"/>
  <c r="AK16" i="23"/>
  <c r="AJ16" i="23"/>
  <c r="AI15" i="23"/>
  <c r="AG14" i="23"/>
  <c r="AD30" i="23"/>
  <c r="AD25" i="23"/>
  <c r="AD19" i="23"/>
  <c r="AD14" i="23"/>
  <c r="AX24" i="23"/>
  <c r="AX18" i="23"/>
  <c r="AW29" i="23"/>
  <c r="AW21" i="23"/>
  <c r="AW14" i="23"/>
  <c r="AV25" i="23"/>
  <c r="AV17" i="23"/>
  <c r="AU26" i="23"/>
  <c r="AU19" i="23"/>
  <c r="AT26" i="23"/>
  <c r="AT20" i="23"/>
  <c r="AT13" i="23"/>
  <c r="AS19" i="23"/>
  <c r="AR25" i="23"/>
  <c r="AR19" i="23"/>
  <c r="AQ23" i="23"/>
  <c r="AQ16" i="23"/>
  <c r="AP20" i="23"/>
  <c r="AO22" i="23"/>
  <c r="AO16" i="23"/>
  <c r="AN18" i="23"/>
  <c r="AM18" i="23"/>
  <c r="AL18" i="23"/>
  <c r="AK18" i="23"/>
  <c r="AJ15" i="23"/>
  <c r="AH15" i="23"/>
  <c r="AD31" i="23"/>
  <c r="AD23" i="23"/>
  <c r="AD17" i="23"/>
  <c r="AX30" i="23"/>
  <c r="AX23" i="23"/>
  <c r="AX16" i="23"/>
  <c r="AW26" i="23"/>
  <c r="AW20" i="23"/>
  <c r="AW13" i="23"/>
  <c r="AV22" i="23"/>
  <c r="AV15" i="23"/>
  <c r="AU25" i="23"/>
  <c r="AU17" i="23"/>
  <c r="AT25" i="23"/>
  <c r="AT18" i="23"/>
  <c r="AS24" i="23"/>
  <c r="AS18" i="23"/>
  <c r="AR24" i="23"/>
  <c r="AR16" i="23"/>
  <c r="AQ21" i="23"/>
  <c r="AQ15" i="23"/>
  <c r="AP18" i="23"/>
  <c r="AO21" i="23"/>
  <c r="AO14" i="23"/>
  <c r="AN15" i="23"/>
  <c r="AM17" i="23"/>
  <c r="AX28" i="23"/>
  <c r="AX14" i="23"/>
  <c r="AW18" i="23"/>
  <c r="AV21" i="23"/>
  <c r="AU22" i="23"/>
  <c r="AT24" i="23"/>
  <c r="AS23" i="23"/>
  <c r="AR21" i="23"/>
  <c r="AQ20" i="23"/>
  <c r="AP16" i="23"/>
  <c r="AN21" i="23"/>
  <c r="AM15" i="23"/>
  <c r="AL13" i="23"/>
  <c r="AJ13" i="23"/>
  <c r="AG13" i="23"/>
  <c r="AD26" i="23"/>
  <c r="AD15" i="23"/>
  <c r="AX27" i="23"/>
  <c r="AW30" i="23"/>
  <c r="AW16" i="23"/>
  <c r="AV19" i="23"/>
  <c r="AU21" i="23"/>
  <c r="AT21" i="23"/>
  <c r="AS22" i="23"/>
  <c r="AR20" i="23"/>
  <c r="AQ17" i="23"/>
  <c r="AP15" i="23"/>
  <c r="AN19" i="23"/>
  <c r="AM13" i="23"/>
  <c r="AK15" i="23"/>
  <c r="AI16" i="23"/>
  <c r="AF13" i="23"/>
  <c r="AD22" i="23"/>
  <c r="AD13" i="23"/>
  <c r="C13" i="23" s="1"/>
  <c r="AX22" i="23"/>
  <c r="AW25" i="23"/>
  <c r="AV27" i="23"/>
  <c r="AV14" i="23"/>
  <c r="AU15" i="23"/>
  <c r="AT16" i="23"/>
  <c r="AS16" i="23"/>
  <c r="AR15" i="23"/>
  <c r="AP23" i="23"/>
  <c r="AO20" i="23"/>
  <c r="AN14" i="23"/>
  <c r="AL17" i="23"/>
  <c r="AK14" i="23"/>
  <c r="AI13" i="23"/>
  <c r="AD29" i="23"/>
  <c r="AD21" i="23"/>
  <c r="AX19" i="23"/>
  <c r="AW24" i="23"/>
  <c r="AV26" i="23"/>
  <c r="AU27" i="23"/>
  <c r="AU14" i="23"/>
  <c r="AT14" i="23"/>
  <c r="AS14" i="23"/>
  <c r="AR13" i="23"/>
  <c r="AP22" i="23"/>
  <c r="AO17" i="23"/>
  <c r="AN13" i="23"/>
  <c r="AL14" i="23"/>
  <c r="AJ17" i="23"/>
  <c r="AH14" i="23"/>
  <c r="AD27" i="23"/>
  <c r="AD18" i="23"/>
  <c r="AY32" i="23"/>
  <c r="X32" i="23"/>
  <c r="AY32" i="22"/>
  <c r="X32" i="22"/>
  <c r="W28" i="23" l="1"/>
  <c r="W24" i="23"/>
  <c r="W20" i="23"/>
  <c r="W16" i="23"/>
  <c r="V30" i="23"/>
  <c r="V26" i="23"/>
  <c r="V22" i="23"/>
  <c r="V18" i="23"/>
  <c r="V14" i="23"/>
  <c r="U27" i="23"/>
  <c r="U23" i="23"/>
  <c r="U19" i="23"/>
  <c r="U15" i="23"/>
  <c r="T27" i="23"/>
  <c r="T19" i="23"/>
  <c r="T15" i="23"/>
  <c r="S26" i="23"/>
  <c r="S22" i="23"/>
  <c r="S18" i="23"/>
  <c r="S14" i="23"/>
  <c r="R24" i="23"/>
  <c r="R20" i="23"/>
  <c r="R16" i="23"/>
  <c r="Q21" i="23"/>
  <c r="Q17" i="23"/>
  <c r="Q13" i="23"/>
  <c r="P21" i="23"/>
  <c r="P17" i="23"/>
  <c r="O20" i="23"/>
  <c r="O16" i="23"/>
  <c r="N18" i="23"/>
  <c r="N14" i="23"/>
  <c r="M19" i="23"/>
  <c r="M15" i="23"/>
  <c r="L19" i="23"/>
  <c r="L15" i="23"/>
  <c r="K18" i="23"/>
  <c r="K14" i="23"/>
  <c r="J16" i="23"/>
  <c r="I17" i="23"/>
  <c r="W27" i="23"/>
  <c r="W23" i="23"/>
  <c r="W19" i="23"/>
  <c r="W15" i="23"/>
  <c r="V29" i="23"/>
  <c r="V21" i="23"/>
  <c r="V17" i="23"/>
  <c r="U26" i="23"/>
  <c r="U22" i="23"/>
  <c r="W30" i="23"/>
  <c r="W26" i="23"/>
  <c r="W22" i="23"/>
  <c r="W18" i="23"/>
  <c r="W14" i="23"/>
  <c r="V28" i="23"/>
  <c r="V24" i="23"/>
  <c r="V20" i="23"/>
  <c r="V16" i="23"/>
  <c r="U25" i="23"/>
  <c r="U21" i="23"/>
  <c r="U17" i="23"/>
  <c r="T25" i="23"/>
  <c r="T21" i="23"/>
  <c r="T17" i="23"/>
  <c r="S20" i="23"/>
  <c r="S16" i="23"/>
  <c r="R26" i="23"/>
  <c r="R22" i="23"/>
  <c r="R18" i="23"/>
  <c r="R14" i="23"/>
  <c r="Q23" i="23"/>
  <c r="Q19" i="23"/>
  <c r="Q15" i="23"/>
  <c r="P23" i="23"/>
  <c r="P19" i="23"/>
  <c r="P15" i="23"/>
  <c r="O22" i="23"/>
  <c r="O18" i="23"/>
  <c r="O14" i="23"/>
  <c r="N20" i="23"/>
  <c r="N16" i="23"/>
  <c r="W21" i="23"/>
  <c r="V23" i="23"/>
  <c r="U24" i="23"/>
  <c r="U14" i="23"/>
  <c r="T22" i="23"/>
  <c r="T14" i="23"/>
  <c r="S21" i="23"/>
  <c r="S13" i="23"/>
  <c r="R19" i="23"/>
  <c r="Q24" i="23"/>
  <c r="P20" i="23"/>
  <c r="O15" i="23"/>
  <c r="M18" i="23"/>
  <c r="L16" i="23"/>
  <c r="K17" i="23"/>
  <c r="G14" i="23"/>
  <c r="W17" i="23"/>
  <c r="V19" i="23"/>
  <c r="U20" i="23"/>
  <c r="T28" i="23"/>
  <c r="T20" i="23"/>
  <c r="S19" i="23"/>
  <c r="R25" i="23"/>
  <c r="R17" i="23"/>
  <c r="Q22" i="23"/>
  <c r="Q14" i="23"/>
  <c r="P18" i="23"/>
  <c r="O21" i="23"/>
  <c r="N15" i="23"/>
  <c r="M17" i="23"/>
  <c r="L20" i="23"/>
  <c r="L14" i="23"/>
  <c r="K16" i="23"/>
  <c r="J17" i="23"/>
  <c r="I16" i="23"/>
  <c r="H15" i="23"/>
  <c r="C25" i="23"/>
  <c r="W29" i="23"/>
  <c r="V15" i="23"/>
  <c r="U18" i="23"/>
  <c r="T26" i="23"/>
  <c r="T18" i="23"/>
  <c r="S25" i="23"/>
  <c r="S17" i="23"/>
  <c r="R23" i="23"/>
  <c r="Q20" i="23"/>
  <c r="P24" i="23"/>
  <c r="P16" i="23"/>
  <c r="O19" i="23"/>
  <c r="N21" i="23"/>
  <c r="M16" i="23"/>
  <c r="L18" i="23"/>
  <c r="K15" i="23"/>
  <c r="J15" i="23"/>
  <c r="I15" i="23"/>
  <c r="H14" i="23"/>
  <c r="AG33" i="23"/>
  <c r="W25" i="23"/>
  <c r="V27" i="23"/>
  <c r="U28" i="23"/>
  <c r="U16" i="23"/>
  <c r="T24" i="23"/>
  <c r="T16" i="23"/>
  <c r="S23" i="23"/>
  <c r="S15" i="23"/>
  <c r="R21" i="23"/>
  <c r="Q18" i="23"/>
  <c r="P22" i="23"/>
  <c r="P14" i="23"/>
  <c r="O17" i="23"/>
  <c r="N19" i="23"/>
  <c r="M20" i="23"/>
  <c r="M14" i="23"/>
  <c r="L17" i="23"/>
  <c r="J14" i="23"/>
  <c r="I14" i="23"/>
  <c r="G15" i="23"/>
  <c r="V25" i="23"/>
  <c r="N17" i="23"/>
  <c r="R15" i="23"/>
  <c r="B1" i="23"/>
  <c r="T23" i="23"/>
  <c r="Q16" i="23"/>
  <c r="AH33" i="23" l="1"/>
  <c r="E13" i="23"/>
  <c r="E33" i="23" s="1"/>
  <c r="AF33" i="23"/>
  <c r="K13" i="23"/>
  <c r="AL33" i="23"/>
  <c r="N13" i="23"/>
  <c r="AO33" i="23"/>
  <c r="C14" i="23"/>
  <c r="P13" i="23"/>
  <c r="P33" i="23" s="1"/>
  <c r="AQ33" i="23"/>
  <c r="L13" i="23"/>
  <c r="L33" i="23" s="1"/>
  <c r="AM33" i="23"/>
  <c r="O13" i="23"/>
  <c r="AP33" i="23"/>
  <c r="J13" i="23"/>
  <c r="AK33" i="23"/>
  <c r="M13" i="23"/>
  <c r="AN33" i="23"/>
  <c r="T13" i="23"/>
  <c r="T33" i="23" s="1"/>
  <c r="AU33" i="23"/>
  <c r="U13" i="23"/>
  <c r="AV33" i="23"/>
  <c r="V13" i="23"/>
  <c r="V33" i="23" s="1"/>
  <c r="AW33" i="23"/>
  <c r="C23" i="23"/>
  <c r="H13" i="23"/>
  <c r="AI33" i="23"/>
  <c r="G13" i="23"/>
  <c r="G33" i="23" s="1"/>
  <c r="R13" i="23"/>
  <c r="R33" i="23" s="1"/>
  <c r="AS33" i="23"/>
  <c r="W13" i="23"/>
  <c r="AX33" i="23"/>
  <c r="BA32" i="23" s="1"/>
  <c r="AT33" i="23"/>
  <c r="AJ33" i="23"/>
  <c r="I13" i="23"/>
  <c r="I33" i="23" s="1"/>
  <c r="C16" i="23"/>
  <c r="C15" i="23"/>
  <c r="AR33" i="23"/>
  <c r="AY30" i="23"/>
  <c r="AZ30" i="23" s="1"/>
  <c r="X28" i="23"/>
  <c r="X26" i="23"/>
  <c r="X30" i="23"/>
  <c r="C17" i="23"/>
  <c r="C24" i="23"/>
  <c r="C30" i="23"/>
  <c r="AY28" i="23"/>
  <c r="AY17" i="23"/>
  <c r="AY20" i="23"/>
  <c r="AZ20" i="23" s="1"/>
  <c r="C31" i="23"/>
  <c r="N22" i="23"/>
  <c r="X22" i="23" s="1"/>
  <c r="AY22" i="23"/>
  <c r="AZ22" i="23" s="1"/>
  <c r="AY18" i="23"/>
  <c r="J18" i="23"/>
  <c r="X18" i="23" s="1"/>
  <c r="AY14" i="23"/>
  <c r="F14" i="23"/>
  <c r="X14" i="23" s="1"/>
  <c r="C27" i="23"/>
  <c r="AY23" i="23"/>
  <c r="O23" i="23"/>
  <c r="X23" i="23" s="1"/>
  <c r="S24" i="23"/>
  <c r="X24" i="23" s="1"/>
  <c r="AY24" i="23"/>
  <c r="C26" i="23"/>
  <c r="C28" i="23"/>
  <c r="AY31" i="23"/>
  <c r="W31" i="23"/>
  <c r="X31" i="23" s="1"/>
  <c r="AY26" i="23"/>
  <c r="AZ26" i="23" s="1"/>
  <c r="AY15" i="23"/>
  <c r="BA15" i="23" s="1"/>
  <c r="F13" i="23"/>
  <c r="F33" i="23" s="1"/>
  <c r="AY13" i="23"/>
  <c r="C19" i="23"/>
  <c r="C29" i="23"/>
  <c r="C22" i="23"/>
  <c r="C32" i="23"/>
  <c r="AZ32" i="23"/>
  <c r="X15" i="23"/>
  <c r="AY16" i="23"/>
  <c r="H16" i="23"/>
  <c r="X17" i="23"/>
  <c r="C21" i="23"/>
  <c r="C18" i="23"/>
  <c r="K19" i="23"/>
  <c r="X19" i="23" s="1"/>
  <c r="AY19" i="23"/>
  <c r="C20" i="23"/>
  <c r="M21" i="23"/>
  <c r="X21" i="23" s="1"/>
  <c r="AY21" i="23"/>
  <c r="AZ21" i="23" s="1"/>
  <c r="AY25" i="23"/>
  <c r="Q25" i="23"/>
  <c r="X25" i="23" s="1"/>
  <c r="AY27" i="23"/>
  <c r="S27" i="23"/>
  <c r="X27" i="23" s="1"/>
  <c r="AY29" i="23"/>
  <c r="U29" i="23"/>
  <c r="X29" i="23" s="1"/>
  <c r="X20" i="23"/>
  <c r="BA16" i="23" l="1"/>
  <c r="BA29" i="23"/>
  <c r="BA25" i="23"/>
  <c r="N33" i="23"/>
  <c r="Z23" i="23" s="1"/>
  <c r="BA14" i="23"/>
  <c r="BA27" i="23"/>
  <c r="BA24" i="23"/>
  <c r="BA17" i="23"/>
  <c r="BA23" i="23"/>
  <c r="BA30" i="23"/>
  <c r="Z25" i="23"/>
  <c r="Q33" i="23"/>
  <c r="Z26" i="23" s="1"/>
  <c r="BA31" i="23"/>
  <c r="BA19" i="23"/>
  <c r="BA21" i="23"/>
  <c r="Z18" i="23"/>
  <c r="BA22" i="23"/>
  <c r="BA26" i="23"/>
  <c r="BA28" i="23"/>
  <c r="BA18" i="23"/>
  <c r="U33" i="23"/>
  <c r="Z30" i="23" s="1"/>
  <c r="AY33" i="23"/>
  <c r="Z27" i="23"/>
  <c r="S33" i="23"/>
  <c r="Z28" i="23" s="1"/>
  <c r="K33" i="23"/>
  <c r="Z20" i="23" s="1"/>
  <c r="Z15" i="23"/>
  <c r="M33" i="23"/>
  <c r="Z22" i="23" s="1"/>
  <c r="BA13" i="23"/>
  <c r="Z21" i="23"/>
  <c r="Z29" i="23"/>
  <c r="O33" i="23"/>
  <c r="Z24" i="23" s="1"/>
  <c r="Z14" i="23"/>
  <c r="Z31" i="23"/>
  <c r="W33" i="23"/>
  <c r="Z32" i="23" s="1"/>
  <c r="H33" i="23"/>
  <c r="Z17" i="23" s="1"/>
  <c r="J33" i="23"/>
  <c r="Z19" i="23" s="1"/>
  <c r="BA20" i="23"/>
  <c r="Y25" i="23"/>
  <c r="AZ28" i="23"/>
  <c r="AZ31" i="23"/>
  <c r="AZ29" i="23"/>
  <c r="Y15" i="23"/>
  <c r="AZ18" i="23"/>
  <c r="Y22" i="23"/>
  <c r="AZ15" i="23"/>
  <c r="AZ25" i="23"/>
  <c r="Y21" i="23"/>
  <c r="X16" i="23"/>
  <c r="Z16" i="23" s="1"/>
  <c r="C33" i="23"/>
  <c r="Y32" i="23"/>
  <c r="AZ19" i="23"/>
  <c r="Y28" i="23"/>
  <c r="Y27" i="23"/>
  <c r="Y14" i="23"/>
  <c r="Y30" i="23"/>
  <c r="AZ24" i="23"/>
  <c r="Y17" i="23"/>
  <c r="Y20" i="23"/>
  <c r="Y18" i="23"/>
  <c r="AZ16" i="23"/>
  <c r="Y29" i="23"/>
  <c r="Y26" i="23"/>
  <c r="AZ27" i="23"/>
  <c r="AZ14" i="23"/>
  <c r="Y24" i="23"/>
  <c r="AZ17" i="23"/>
  <c r="AZ13" i="23"/>
  <c r="Y23" i="23"/>
  <c r="Y19" i="23"/>
  <c r="X13" i="23"/>
  <c r="Z13" i="23" s="1"/>
  <c r="AZ23" i="23"/>
  <c r="Y31" i="23"/>
  <c r="V10" i="19"/>
  <c r="W10" i="19" s="1"/>
  <c r="X10" i="19" s="1"/>
  <c r="Y10" i="19" s="1"/>
  <c r="Z10" i="19" s="1"/>
  <c r="AA10" i="19" s="1"/>
  <c r="AB10" i="19" s="1"/>
  <c r="AC10" i="19" s="1"/>
  <c r="AD10" i="19" s="1"/>
  <c r="AE10" i="19" s="1"/>
  <c r="AF10" i="19" s="1"/>
  <c r="AG10" i="19" s="1"/>
  <c r="AH10" i="19" s="1"/>
  <c r="AI10" i="19" s="1"/>
  <c r="AJ10" i="19" s="1"/>
  <c r="AK10" i="19" s="1"/>
  <c r="AL10" i="19" s="1"/>
  <c r="AM10" i="19" s="1"/>
  <c r="AN10" i="19" s="1"/>
  <c r="AO10" i="19" s="1"/>
  <c r="U12" i="19" s="1"/>
  <c r="V12" i="19" s="1"/>
  <c r="W12" i="19" s="1"/>
  <c r="X12" i="19" s="1"/>
  <c r="Y12" i="19" s="1"/>
  <c r="Z12" i="19" s="1"/>
  <c r="AA12" i="19" s="1"/>
  <c r="AB12" i="19" s="1"/>
  <c r="AC12" i="19" s="1"/>
  <c r="AD12" i="19" s="1"/>
  <c r="AE12" i="19" s="1"/>
  <c r="AF12" i="19" s="1"/>
  <c r="AG12" i="19" s="1"/>
  <c r="AH12" i="19" s="1"/>
  <c r="AI12" i="19" s="1"/>
  <c r="AJ12" i="19" s="1"/>
  <c r="AK12" i="19" s="1"/>
  <c r="AL12" i="19" s="1"/>
  <c r="AM12" i="19" s="1"/>
  <c r="AN12" i="19" s="1"/>
  <c r="AO12" i="19" s="1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E15" i="8" s="1"/>
  <c r="D15" i="8" s="1"/>
  <c r="G4" i="22" l="1"/>
  <c r="AH4" i="22"/>
  <c r="AZ33" i="23"/>
  <c r="X33" i="23"/>
  <c r="Y13" i="23"/>
  <c r="Y16" i="23"/>
  <c r="U14" i="19"/>
  <c r="V14" i="19" s="1"/>
  <c r="W14" i="19" s="1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AJ14" i="19" s="1"/>
  <c r="AK14" i="19" s="1"/>
  <c r="AL14" i="19" s="1"/>
  <c r="AM14" i="19" s="1"/>
  <c r="AN14" i="19" s="1"/>
  <c r="AO14" i="19" s="1"/>
  <c r="U17" i="19" s="1"/>
  <c r="V17" i="19" s="1"/>
  <c r="W17" i="19" s="1"/>
  <c r="X17" i="19" s="1"/>
  <c r="Y17" i="19" s="1"/>
  <c r="Z17" i="19" s="1"/>
  <c r="AA17" i="19" s="1"/>
  <c r="AB17" i="19" s="1"/>
  <c r="AC17" i="19" s="1"/>
  <c r="AD17" i="19" s="1"/>
  <c r="AE17" i="19" s="1"/>
  <c r="AF17" i="19" s="1"/>
  <c r="AG17" i="19" s="1"/>
  <c r="AH17" i="19" s="1"/>
  <c r="AI17" i="19" s="1"/>
  <c r="AJ17" i="19" s="1"/>
  <c r="AK17" i="19" s="1"/>
  <c r="AL17" i="19" s="1"/>
  <c r="AM17" i="19" s="1"/>
  <c r="AN17" i="19" s="1"/>
  <c r="AO17" i="19" s="1"/>
  <c r="C4" i="16"/>
  <c r="AX27" i="22" l="1"/>
  <c r="W27" i="22" s="1"/>
  <c r="B1" i="22"/>
  <c r="AD16" i="22"/>
  <c r="C16" i="22" s="1"/>
  <c r="AM19" i="22"/>
  <c r="L19" i="22" s="1"/>
  <c r="AN19" i="22"/>
  <c r="M19" i="22" s="1"/>
  <c r="AT16" i="22"/>
  <c r="S16" i="22" s="1"/>
  <c r="AL18" i="22"/>
  <c r="K18" i="22" s="1"/>
  <c r="AU21" i="22"/>
  <c r="T21" i="22" s="1"/>
  <c r="AM16" i="22"/>
  <c r="L16" i="22" s="1"/>
  <c r="AV22" i="22"/>
  <c r="U22" i="22" s="1"/>
  <c r="AQ16" i="22"/>
  <c r="P16" i="22" s="1"/>
  <c r="AP16" i="22"/>
  <c r="O16" i="22" s="1"/>
  <c r="AP19" i="22"/>
  <c r="O19" i="22" s="1"/>
  <c r="AW15" i="22"/>
  <c r="V15" i="22" s="1"/>
  <c r="AR15" i="22"/>
  <c r="Q15" i="22" s="1"/>
  <c r="AP22" i="22"/>
  <c r="O22" i="22" s="1"/>
  <c r="AP23" i="22"/>
  <c r="O23" i="22" s="1"/>
  <c r="AN14" i="22"/>
  <c r="M14" i="22" s="1"/>
  <c r="AJ17" i="22"/>
  <c r="I17" i="22" s="1"/>
  <c r="AD26" i="22"/>
  <c r="C26" i="22" s="1"/>
  <c r="AW30" i="22"/>
  <c r="V30" i="22" s="1"/>
  <c r="AX25" i="22"/>
  <c r="W25" i="22" s="1"/>
  <c r="AX21" i="22"/>
  <c r="W21" i="22" s="1"/>
  <c r="AT20" i="22"/>
  <c r="S20" i="22" s="1"/>
  <c r="AU23" i="22"/>
  <c r="T23" i="22" s="1"/>
  <c r="AO21" i="22"/>
  <c r="N21" i="22" s="1"/>
  <c r="AL15" i="22"/>
  <c r="K15" i="22" s="1"/>
  <c r="AG13" i="22"/>
  <c r="F13" i="22" s="1"/>
  <c r="AD14" i="22"/>
  <c r="AD17" i="22"/>
  <c r="AX29" i="22"/>
  <c r="W29" i="22" s="1"/>
  <c r="AT26" i="22"/>
  <c r="S26" i="22" s="1"/>
  <c r="AU27" i="22"/>
  <c r="T27" i="22" s="1"/>
  <c r="AR13" i="22"/>
  <c r="AS16" i="22"/>
  <c r="R16" i="22" s="1"/>
  <c r="AD18" i="22"/>
  <c r="C18" i="22" s="1"/>
  <c r="AP14" i="22"/>
  <c r="O14" i="22" s="1"/>
  <c r="AW27" i="22"/>
  <c r="V27" i="22" s="1"/>
  <c r="AK14" i="22"/>
  <c r="J14" i="22" s="1"/>
  <c r="AU14" i="22"/>
  <c r="T14" i="22" s="1"/>
  <c r="AO13" i="22"/>
  <c r="N13" i="22" s="1"/>
  <c r="AS24" i="22"/>
  <c r="R24" i="22" s="1"/>
  <c r="AH15" i="22"/>
  <c r="G15" i="22" s="1"/>
  <c r="AT27" i="22"/>
  <c r="S27" i="22" s="1"/>
  <c r="AL13" i="22"/>
  <c r="AQ14" i="22"/>
  <c r="P14" i="22" s="1"/>
  <c r="AW18" i="22"/>
  <c r="V18" i="22" s="1"/>
  <c r="AS18" i="22"/>
  <c r="R18" i="22" s="1"/>
  <c r="AW24" i="22"/>
  <c r="V24" i="22" s="1"/>
  <c r="AG14" i="22"/>
  <c r="AT14" i="22"/>
  <c r="S14" i="22" s="1"/>
  <c r="AD32" i="22"/>
  <c r="AZ32" i="22" s="1"/>
  <c r="AQ15" i="22"/>
  <c r="P15" i="22" s="1"/>
  <c r="AX20" i="22"/>
  <c r="W20" i="22" s="1"/>
  <c r="AM18" i="22"/>
  <c r="L18" i="22" s="1"/>
  <c r="AU24" i="22"/>
  <c r="T24" i="22" s="1"/>
  <c r="AW13" i="22"/>
  <c r="AT22" i="22"/>
  <c r="S22" i="22" s="1"/>
  <c r="AJ16" i="22"/>
  <c r="I16" i="22" s="1"/>
  <c r="AU20" i="22"/>
  <c r="T20" i="22" s="1"/>
  <c r="AP13" i="22"/>
  <c r="O13" i="22" s="1"/>
  <c r="AQ19" i="22"/>
  <c r="P19" i="22" s="1"/>
  <c r="AW23" i="22"/>
  <c r="V23" i="22" s="1"/>
  <c r="AS22" i="22"/>
  <c r="R22" i="22" s="1"/>
  <c r="AW28" i="22"/>
  <c r="V28" i="22" s="1"/>
  <c r="AD24" i="22"/>
  <c r="C24" i="22" s="1"/>
  <c r="AK18" i="22"/>
  <c r="J18" i="22" s="1"/>
  <c r="AP21" i="22"/>
  <c r="O21" i="22" s="1"/>
  <c r="AT23" i="22"/>
  <c r="S23" i="22" s="1"/>
  <c r="AX18" i="22"/>
  <c r="W18" i="22" s="1"/>
  <c r="AM13" i="22"/>
  <c r="L13" i="22" s="1"/>
  <c r="AM15" i="22"/>
  <c r="L15" i="22" s="1"/>
  <c r="AR21" i="22"/>
  <c r="Q21" i="22" s="1"/>
  <c r="AV15" i="22"/>
  <c r="U15" i="22" s="1"/>
  <c r="AX30" i="22"/>
  <c r="W30" i="22" s="1"/>
  <c r="AU13" i="22"/>
  <c r="T13" i="22" s="1"/>
  <c r="AN18" i="22"/>
  <c r="M18" i="22" s="1"/>
  <c r="AR25" i="22"/>
  <c r="Q25" i="22" s="1"/>
  <c r="AV27" i="22"/>
  <c r="U27" i="22" s="1"/>
  <c r="AD21" i="22"/>
  <c r="C21" i="22" s="1"/>
  <c r="AI16" i="22"/>
  <c r="H16" i="22" s="1"/>
  <c r="AP20" i="22"/>
  <c r="O20" i="22" s="1"/>
  <c r="AV21" i="22"/>
  <c r="U21" i="22" s="1"/>
  <c r="AF13" i="22"/>
  <c r="AF33" i="22" s="1"/>
  <c r="AM17" i="22"/>
  <c r="L17" i="22" s="1"/>
  <c r="AR23" i="22"/>
  <c r="Q23" i="22" s="1"/>
  <c r="AV26" i="22"/>
  <c r="U26" i="22" s="1"/>
  <c r="AD23" i="22"/>
  <c r="C23" i="22" s="1"/>
  <c r="AI14" i="22"/>
  <c r="H14" i="22" s="1"/>
  <c r="AN21" i="22"/>
  <c r="M21" i="22" s="1"/>
  <c r="AR24" i="22"/>
  <c r="Q24" i="22" s="1"/>
  <c r="AU28" i="22"/>
  <c r="AX22" i="22"/>
  <c r="W22" i="22" s="1"/>
  <c r="AR14" i="22"/>
  <c r="Q14" i="22" s="1"/>
  <c r="AT21" i="22"/>
  <c r="S21" i="22" s="1"/>
  <c r="AV24" i="22"/>
  <c r="U24" i="22" s="1"/>
  <c r="AX23" i="22"/>
  <c r="W23" i="22" s="1"/>
  <c r="AJ13" i="22"/>
  <c r="I13" i="22" s="1"/>
  <c r="AM14" i="22"/>
  <c r="L14" i="22" s="1"/>
  <c r="AQ22" i="22"/>
  <c r="P22" i="22" s="1"/>
  <c r="AV14" i="22"/>
  <c r="U14" i="22" s="1"/>
  <c r="AX26" i="22"/>
  <c r="W26" i="22" s="1"/>
  <c r="AS13" i="22"/>
  <c r="R13" i="22" s="1"/>
  <c r="AO15" i="22"/>
  <c r="N15" i="22" s="1"/>
  <c r="AS20" i="22"/>
  <c r="R20" i="22" s="1"/>
  <c r="AV25" i="22"/>
  <c r="U25" i="22" s="1"/>
  <c r="AD20" i="22"/>
  <c r="C20" i="22" s="1"/>
  <c r="AI15" i="22"/>
  <c r="H15" i="22" s="1"/>
  <c r="AO16" i="22"/>
  <c r="N16" i="22" s="1"/>
  <c r="AT18" i="22"/>
  <c r="S18" i="22" s="1"/>
  <c r="AW21" i="22"/>
  <c r="V21" i="22" s="1"/>
  <c r="AD29" i="22"/>
  <c r="C29" i="22" s="1"/>
  <c r="AL19" i="22"/>
  <c r="K19" i="22" s="1"/>
  <c r="AQ18" i="22"/>
  <c r="P18" i="22" s="1"/>
  <c r="AW14" i="22"/>
  <c r="V14" i="22" s="1"/>
  <c r="AK13" i="22"/>
  <c r="J13" i="22" s="1"/>
  <c r="AN15" i="22"/>
  <c r="M15" i="22" s="1"/>
  <c r="AS19" i="22"/>
  <c r="R19" i="22" s="1"/>
  <c r="AW17" i="22"/>
  <c r="V17" i="22" s="1"/>
  <c r="AD27" i="22"/>
  <c r="C27" i="22" s="1"/>
  <c r="AJ15" i="22"/>
  <c r="I15" i="22" s="1"/>
  <c r="AO17" i="22"/>
  <c r="N17" i="22" s="1"/>
  <c r="AS17" i="22"/>
  <c r="R17" i="22" s="1"/>
  <c r="AV18" i="22"/>
  <c r="U18" i="22" s="1"/>
  <c r="AX28" i="22"/>
  <c r="W28" i="22" s="1"/>
  <c r="AR18" i="22"/>
  <c r="Q18" i="22" s="1"/>
  <c r="AT25" i="22"/>
  <c r="S25" i="22" s="1"/>
  <c r="AV28" i="22"/>
  <c r="U28" i="22" s="1"/>
  <c r="AX19" i="22"/>
  <c r="W19" i="22" s="1"/>
  <c r="AW20" i="22"/>
  <c r="V20" i="22" s="1"/>
  <c r="AV20" i="22"/>
  <c r="U20" i="22" s="1"/>
  <c r="AU19" i="22"/>
  <c r="T19" i="22" s="1"/>
  <c r="AT17" i="22"/>
  <c r="S17" i="22" s="1"/>
  <c r="AS14" i="22"/>
  <c r="R14" i="22" s="1"/>
  <c r="AQ21" i="22"/>
  <c r="P21" i="22" s="1"/>
  <c r="AP15" i="22"/>
  <c r="O15" i="22" s="1"/>
  <c r="AX17" i="22"/>
  <c r="W17" i="22" s="1"/>
  <c r="AV29" i="22"/>
  <c r="U29" i="22" s="1"/>
  <c r="AU22" i="22"/>
  <c r="T22" i="22" s="1"/>
  <c r="AT15" i="22"/>
  <c r="S15" i="22" s="1"/>
  <c r="AR19" i="22"/>
  <c r="Q19" i="22" s="1"/>
  <c r="AP18" i="22"/>
  <c r="O18" i="22" s="1"/>
  <c r="AN17" i="22"/>
  <c r="M17" i="22" s="1"/>
  <c r="AL14" i="22"/>
  <c r="K14" i="22" s="1"/>
  <c r="AX13" i="22"/>
  <c r="W13" i="22" s="1"/>
  <c r="AH13" i="22"/>
  <c r="G13" i="22" s="1"/>
  <c r="AD19" i="22"/>
  <c r="C19" i="22" s="1"/>
  <c r="AX14" i="22"/>
  <c r="W14" i="22" s="1"/>
  <c r="AV19" i="22"/>
  <c r="U19" i="22" s="1"/>
  <c r="AT19" i="22"/>
  <c r="S19" i="22" s="1"/>
  <c r="AR16" i="22"/>
  <c r="Q16" i="22" s="1"/>
  <c r="AO18" i="22"/>
  <c r="N18" i="22" s="1"/>
  <c r="AL17" i="22"/>
  <c r="K17" i="22" s="1"/>
  <c r="AV13" i="22"/>
  <c r="U13" i="22" s="1"/>
  <c r="AD28" i="22"/>
  <c r="C28" i="22" s="1"/>
  <c r="AX16" i="22"/>
  <c r="W16" i="22" s="1"/>
  <c r="AU25" i="22"/>
  <c r="T25" i="22" s="1"/>
  <c r="AS15" i="22"/>
  <c r="R15" i="22" s="1"/>
  <c r="AO19" i="22"/>
  <c r="N19" i="22" s="1"/>
  <c r="AK16" i="22"/>
  <c r="J16" i="22" s="1"/>
  <c r="AI13" i="22"/>
  <c r="AX24" i="22"/>
  <c r="W24" i="22" s="1"/>
  <c r="AV17" i="22"/>
  <c r="U17" i="22" s="1"/>
  <c r="AS21" i="22"/>
  <c r="R21" i="22" s="1"/>
  <c r="AP17" i="22"/>
  <c r="O17" i="22" s="1"/>
  <c r="AL16" i="22"/>
  <c r="K16" i="22" s="1"/>
  <c r="AN13" i="22"/>
  <c r="AD13" i="22"/>
  <c r="BA13" i="22" s="1"/>
  <c r="AW19" i="22"/>
  <c r="V19" i="22" s="1"/>
  <c r="AT24" i="22"/>
  <c r="S24" i="22" s="1"/>
  <c r="AQ23" i="22"/>
  <c r="P23" i="22" s="1"/>
  <c r="AN16" i="22"/>
  <c r="M16" i="22" s="1"/>
  <c r="AH14" i="22"/>
  <c r="G14" i="22" s="1"/>
  <c r="AD25" i="22"/>
  <c r="C25" i="22" s="1"/>
  <c r="AW26" i="22"/>
  <c r="V26" i="22" s="1"/>
  <c r="AU18" i="22"/>
  <c r="T18" i="22" s="1"/>
  <c r="AR20" i="22"/>
  <c r="Q20" i="22" s="1"/>
  <c r="AO14" i="22"/>
  <c r="N14" i="22" s="1"/>
  <c r="AJ14" i="22"/>
  <c r="I14" i="22" s="1"/>
  <c r="AD30" i="22"/>
  <c r="C30" i="22" s="1"/>
  <c r="AX31" i="22"/>
  <c r="AY31" i="22" s="1"/>
  <c r="AX15" i="22"/>
  <c r="W15" i="22" s="1"/>
  <c r="AW16" i="22"/>
  <c r="V16" i="22" s="1"/>
  <c r="AV16" i="22"/>
  <c r="U16" i="22" s="1"/>
  <c r="AU15" i="22"/>
  <c r="T15" i="22" s="1"/>
  <c r="AS26" i="22"/>
  <c r="R26" i="22" s="1"/>
  <c r="AR22" i="22"/>
  <c r="Q22" i="22" s="1"/>
  <c r="AQ17" i="22"/>
  <c r="P17" i="22" s="1"/>
  <c r="AO20" i="22"/>
  <c r="N20" i="22" s="1"/>
  <c r="AW29" i="22"/>
  <c r="V29" i="22" s="1"/>
  <c r="AV23" i="22"/>
  <c r="U23" i="22" s="1"/>
  <c r="AU17" i="22"/>
  <c r="T17" i="22" s="1"/>
  <c r="AS23" i="22"/>
  <c r="R23" i="22" s="1"/>
  <c r="AQ24" i="22"/>
  <c r="AO22" i="22"/>
  <c r="N22" i="22" s="1"/>
  <c r="AM20" i="22"/>
  <c r="L20" i="22" s="1"/>
  <c r="AK15" i="22"/>
  <c r="J15" i="22" s="1"/>
  <c r="AT13" i="22"/>
  <c r="S13" i="22" s="1"/>
  <c r="AD31" i="22"/>
  <c r="AD15" i="22"/>
  <c r="C15" i="22" s="1"/>
  <c r="AW25" i="22"/>
  <c r="V25" i="22" s="1"/>
  <c r="AU26" i="22"/>
  <c r="T26" i="22" s="1"/>
  <c r="AS25" i="22"/>
  <c r="R25" i="22" s="1"/>
  <c r="AQ20" i="22"/>
  <c r="P20" i="22" s="1"/>
  <c r="AN20" i="22"/>
  <c r="M20" i="22" s="1"/>
  <c r="AK17" i="22"/>
  <c r="J17" i="22" s="1"/>
  <c r="AQ13" i="22"/>
  <c r="P13" i="22" s="1"/>
  <c r="AD22" i="22"/>
  <c r="C22" i="22" s="1"/>
  <c r="AW22" i="22"/>
  <c r="V22" i="22" s="1"/>
  <c r="AU16" i="22"/>
  <c r="T16" i="22" s="1"/>
  <c r="AR17" i="22"/>
  <c r="Q17" i="22" s="1"/>
  <c r="Y33" i="23"/>
  <c r="V13" i="22"/>
  <c r="K13" i="22"/>
  <c r="K34" i="16"/>
  <c r="B34" i="16" s="1"/>
  <c r="B1" i="16"/>
  <c r="C14" i="22"/>
  <c r="C32" i="22"/>
  <c r="U19" i="19"/>
  <c r="V19" i="19" s="1"/>
  <c r="W19" i="19" s="1"/>
  <c r="X19" i="19" s="1"/>
  <c r="Y19" i="19" s="1"/>
  <c r="Z19" i="19" s="1"/>
  <c r="AA19" i="19" s="1"/>
  <c r="AB19" i="19" s="1"/>
  <c r="AC19" i="19" s="1"/>
  <c r="AD19" i="19" s="1"/>
  <c r="AE19" i="19" s="1"/>
  <c r="AF19" i="19" s="1"/>
  <c r="AG19" i="19" s="1"/>
  <c r="AH19" i="19" s="1"/>
  <c r="AI19" i="19" s="1"/>
  <c r="AJ19" i="19" s="1"/>
  <c r="AK19" i="19" s="1"/>
  <c r="AL19" i="19" s="1"/>
  <c r="AM19" i="19" s="1"/>
  <c r="AN19" i="19" s="1"/>
  <c r="AO19" i="19" s="1"/>
  <c r="L28" i="16"/>
  <c r="C28" i="16" s="1"/>
  <c r="L22" i="16"/>
  <c r="C22" i="16" s="1"/>
  <c r="L16" i="16"/>
  <c r="L30" i="16"/>
  <c r="C30" i="16" s="1"/>
  <c r="L18" i="16"/>
  <c r="C18" i="16" s="1"/>
  <c r="L34" i="16"/>
  <c r="C34" i="16" s="1"/>
  <c r="L17" i="16"/>
  <c r="C17" i="16" s="1"/>
  <c r="L21" i="16"/>
  <c r="C21" i="16" s="1"/>
  <c r="L23" i="16"/>
  <c r="C23" i="16" s="1"/>
  <c r="L29" i="16"/>
  <c r="C29" i="16" s="1"/>
  <c r="L33" i="16"/>
  <c r="L35" i="16"/>
  <c r="C35" i="16" s="1"/>
  <c r="K17" i="16"/>
  <c r="B17" i="16" s="1"/>
  <c r="K21" i="16"/>
  <c r="B21" i="16" s="1"/>
  <c r="K23" i="16"/>
  <c r="B23" i="16" s="1"/>
  <c r="K29" i="16"/>
  <c r="B29" i="16" s="1"/>
  <c r="K33" i="16"/>
  <c r="B33" i="16" s="1"/>
  <c r="K35" i="16"/>
  <c r="B35" i="16" s="1"/>
  <c r="K16" i="16"/>
  <c r="B16" i="16" s="1"/>
  <c r="K18" i="16"/>
  <c r="B18" i="16" s="1"/>
  <c r="K22" i="16"/>
  <c r="B22" i="16" s="1"/>
  <c r="K28" i="16"/>
  <c r="B28" i="16" s="1"/>
  <c r="K30" i="16"/>
  <c r="B30" i="16" s="1"/>
  <c r="JO231" i="19"/>
  <c r="JM231" i="19"/>
  <c r="JK231" i="19"/>
  <c r="JI231" i="19"/>
  <c r="JG231" i="19"/>
  <c r="JE231" i="19"/>
  <c r="JO220" i="19"/>
  <c r="JM220" i="19"/>
  <c r="JK220" i="19"/>
  <c r="JI220" i="19"/>
  <c r="JG220" i="19"/>
  <c r="JE220" i="19"/>
  <c r="JC231" i="19"/>
  <c r="JC220" i="19"/>
  <c r="AY28" i="22" l="1"/>
  <c r="T28" i="22"/>
  <c r="AG33" i="22"/>
  <c r="E13" i="22"/>
  <c r="E33" i="22" s="1"/>
  <c r="AI33" i="22"/>
  <c r="H13" i="22"/>
  <c r="H33" i="22" s="1"/>
  <c r="AZ31" i="22"/>
  <c r="X22" i="22"/>
  <c r="Y22" i="22" s="1"/>
  <c r="F14" i="22"/>
  <c r="F33" i="22" s="1"/>
  <c r="X29" i="22"/>
  <c r="Y29" i="22" s="1"/>
  <c r="W31" i="22"/>
  <c r="X31" i="22" s="1"/>
  <c r="AR33" i="22"/>
  <c r="Q13" i="22"/>
  <c r="Q33" i="22" s="1"/>
  <c r="AY17" i="22"/>
  <c r="BA17" i="22" s="1"/>
  <c r="AY24" i="22"/>
  <c r="AY29" i="22"/>
  <c r="AZ29" i="22" s="1"/>
  <c r="X21" i="22"/>
  <c r="Y21" i="22" s="1"/>
  <c r="AO33" i="22"/>
  <c r="X28" i="22"/>
  <c r="Y28" i="22" s="1"/>
  <c r="AY22" i="22"/>
  <c r="AZ22" i="22" s="1"/>
  <c r="AY13" i="22"/>
  <c r="AZ13" i="22" s="1"/>
  <c r="X30" i="22"/>
  <c r="Y30" i="22" s="1"/>
  <c r="X27" i="22"/>
  <c r="Y27" i="22" s="1"/>
  <c r="AY25" i="22"/>
  <c r="AY14" i="22"/>
  <c r="AZ14" i="22" s="1"/>
  <c r="M13" i="22"/>
  <c r="M33" i="22" s="1"/>
  <c r="AJ33" i="22"/>
  <c r="P24" i="22"/>
  <c r="X24" i="22" s="1"/>
  <c r="Y24" i="22" s="1"/>
  <c r="X19" i="22"/>
  <c r="Y19" i="22" s="1"/>
  <c r="AY30" i="22"/>
  <c r="AZ30" i="22" s="1"/>
  <c r="AY27" i="22"/>
  <c r="AZ27" i="22" s="1"/>
  <c r="X23" i="22"/>
  <c r="Y23" i="22" s="1"/>
  <c r="AH33" i="22"/>
  <c r="AU33" i="22"/>
  <c r="AW33" i="22"/>
  <c r="BA31" i="22" s="1"/>
  <c r="AN33" i="22"/>
  <c r="BA22" i="22" s="1"/>
  <c r="X20" i="22"/>
  <c r="Y20" i="22" s="1"/>
  <c r="AY15" i="22"/>
  <c r="AZ15" i="22" s="1"/>
  <c r="AM33" i="22"/>
  <c r="AT33" i="22"/>
  <c r="BA28" i="22" s="1"/>
  <c r="X26" i="22"/>
  <c r="Y26" i="22" s="1"/>
  <c r="AY16" i="22"/>
  <c r="AZ16" i="22" s="1"/>
  <c r="C31" i="22"/>
  <c r="Y31" i="22" s="1"/>
  <c r="AY20" i="22"/>
  <c r="AZ20" i="22" s="1"/>
  <c r="X18" i="22"/>
  <c r="Y18" i="22" s="1"/>
  <c r="X15" i="22"/>
  <c r="Y15" i="22" s="1"/>
  <c r="AY23" i="22"/>
  <c r="AZ23" i="22" s="1"/>
  <c r="AV33" i="22"/>
  <c r="X17" i="22"/>
  <c r="Y17" i="22" s="1"/>
  <c r="AY19" i="22"/>
  <c r="AZ19" i="22" s="1"/>
  <c r="AY18" i="22"/>
  <c r="AZ18" i="22" s="1"/>
  <c r="AY21" i="22"/>
  <c r="AZ21" i="22" s="1"/>
  <c r="AY26" i="22"/>
  <c r="AZ26" i="22" s="1"/>
  <c r="X16" i="22"/>
  <c r="Y16" i="22" s="1"/>
  <c r="C13" i="22"/>
  <c r="C33" i="22" s="1"/>
  <c r="X25" i="22"/>
  <c r="Y25" i="22" s="1"/>
  <c r="X14" i="22"/>
  <c r="Y14" i="22" s="1"/>
  <c r="AX33" i="22"/>
  <c r="BA32" i="22" s="1"/>
  <c r="AK33" i="22"/>
  <c r="AS33" i="22"/>
  <c r="AQ33" i="22"/>
  <c r="AL33" i="22"/>
  <c r="AP33" i="22"/>
  <c r="AD33" i="22"/>
  <c r="C19" i="16"/>
  <c r="N33" i="22"/>
  <c r="O33" i="22"/>
  <c r="L33" i="22"/>
  <c r="J33" i="22"/>
  <c r="AZ28" i="22"/>
  <c r="I33" i="22"/>
  <c r="AZ25" i="22"/>
  <c r="V33" i="22"/>
  <c r="U33" i="22"/>
  <c r="K33" i="22"/>
  <c r="S33" i="22"/>
  <c r="Y32" i="22"/>
  <c r="G33" i="22"/>
  <c r="T33" i="22"/>
  <c r="R33" i="22"/>
  <c r="U27" i="19"/>
  <c r="V27" i="19" s="1"/>
  <c r="W27" i="19" s="1"/>
  <c r="X27" i="19" s="1"/>
  <c r="Y27" i="19" s="1"/>
  <c r="Z27" i="19" s="1"/>
  <c r="AA27" i="19" s="1"/>
  <c r="AB27" i="19" s="1"/>
  <c r="AC27" i="19" s="1"/>
  <c r="AD27" i="19" s="1"/>
  <c r="AE27" i="19" s="1"/>
  <c r="AF27" i="19" s="1"/>
  <c r="AG27" i="19" s="1"/>
  <c r="AH27" i="19" s="1"/>
  <c r="AI27" i="19" s="1"/>
  <c r="AJ27" i="19" s="1"/>
  <c r="AK27" i="19" s="1"/>
  <c r="AL27" i="19" s="1"/>
  <c r="AM27" i="19" s="1"/>
  <c r="AN27" i="19" s="1"/>
  <c r="AO27" i="19" s="1"/>
  <c r="U28" i="19" s="1"/>
  <c r="V28" i="19" s="1"/>
  <c r="W28" i="19" s="1"/>
  <c r="X28" i="19" s="1"/>
  <c r="Y28" i="19" s="1"/>
  <c r="Z28" i="19" s="1"/>
  <c r="AA28" i="19" s="1"/>
  <c r="AB28" i="19" s="1"/>
  <c r="AC28" i="19" s="1"/>
  <c r="AD28" i="19" s="1"/>
  <c r="AE28" i="19" s="1"/>
  <c r="AF28" i="19" s="1"/>
  <c r="AG28" i="19" s="1"/>
  <c r="AH28" i="19" s="1"/>
  <c r="AI28" i="19" s="1"/>
  <c r="AJ28" i="19" s="1"/>
  <c r="AK28" i="19" s="1"/>
  <c r="AL28" i="19" s="1"/>
  <c r="AM28" i="19" s="1"/>
  <c r="AN28" i="19" s="1"/>
  <c r="AO28" i="19" s="1"/>
  <c r="L19" i="16"/>
  <c r="L31" i="16"/>
  <c r="L24" i="16"/>
  <c r="C24" i="16"/>
  <c r="L36" i="16"/>
  <c r="C33" i="16"/>
  <c r="C36" i="16" s="1"/>
  <c r="C31" i="16"/>
  <c r="O31" i="21"/>
  <c r="L31" i="21"/>
  <c r="K31" i="21"/>
  <c r="BA25" i="22" l="1"/>
  <c r="Z22" i="22"/>
  <c r="P33" i="22"/>
  <c r="Z25" i="22" s="1"/>
  <c r="BA27" i="22"/>
  <c r="Z29" i="22"/>
  <c r="W33" i="22"/>
  <c r="Z32" i="22" s="1"/>
  <c r="Z23" i="22"/>
  <c r="BA21" i="22"/>
  <c r="BA18" i="22"/>
  <c r="BA24" i="22"/>
  <c r="Z28" i="22"/>
  <c r="Z31" i="22"/>
  <c r="Z24" i="22"/>
  <c r="BA20" i="22"/>
  <c r="BA29" i="22"/>
  <c r="X13" i="22"/>
  <c r="X33" i="22" s="1"/>
  <c r="Z27" i="22"/>
  <c r="AZ24" i="22"/>
  <c r="BA23" i="22"/>
  <c r="Z16" i="22"/>
  <c r="AZ17" i="22"/>
  <c r="AY33" i="22"/>
  <c r="Z21" i="22"/>
  <c r="Z30" i="22"/>
  <c r="Z15" i="22"/>
  <c r="BA16" i="22"/>
  <c r="Z26" i="22"/>
  <c r="Z18" i="22"/>
  <c r="Z19" i="22"/>
  <c r="BA14" i="22"/>
  <c r="BA30" i="22"/>
  <c r="Z20" i="22"/>
  <c r="BA19" i="22"/>
  <c r="BA15" i="22"/>
  <c r="Z14" i="22"/>
  <c r="Z17" i="22"/>
  <c r="BA26" i="22"/>
  <c r="L25" i="16"/>
  <c r="C25" i="16"/>
  <c r="L37" i="16"/>
  <c r="C37" i="16"/>
  <c r="G31" i="21"/>
  <c r="D31" i="21"/>
  <c r="C31" i="21"/>
  <c r="D15" i="20"/>
  <c r="E15" i="20" s="1"/>
  <c r="D14" i="20"/>
  <c r="Y13" i="22" l="1"/>
  <c r="Y33" i="22" s="1"/>
  <c r="Z13" i="22"/>
  <c r="AZ33" i="22"/>
  <c r="C38" i="16"/>
  <c r="L38" i="16"/>
  <c r="E21" i="14"/>
  <c r="F21" i="14" s="1"/>
  <c r="E20" i="14"/>
  <c r="F20" i="14" s="1"/>
  <c r="E19" i="14"/>
  <c r="F19" i="14" s="1"/>
  <c r="E18" i="14"/>
  <c r="F18" i="14" s="1"/>
  <c r="E17" i="14"/>
  <c r="F17" i="14" s="1"/>
  <c r="E16" i="14"/>
  <c r="F16" i="14" s="1"/>
  <c r="E15" i="14"/>
  <c r="E14" i="14"/>
  <c r="F14" i="14" s="1"/>
  <c r="BM104" i="19"/>
  <c r="BL104" i="19"/>
  <c r="BK104" i="19"/>
  <c r="BJ104" i="19"/>
  <c r="BI104" i="19"/>
  <c r="BH104" i="19"/>
  <c r="BG104" i="19"/>
  <c r="BF104" i="19"/>
  <c r="BE104" i="19"/>
  <c r="BD104" i="19"/>
  <c r="BC104" i="19"/>
  <c r="BB104" i="19"/>
  <c r="BA104" i="19"/>
  <c r="AZ104" i="19"/>
  <c r="AY104" i="19"/>
  <c r="AX104" i="19"/>
  <c r="AW104" i="19"/>
  <c r="AV104" i="19"/>
  <c r="AU104" i="19"/>
  <c r="AT104" i="19"/>
  <c r="AS104" i="19"/>
  <c r="U41" i="4"/>
  <c r="U40" i="4"/>
  <c r="U38" i="4"/>
  <c r="U37" i="4"/>
  <c r="U36" i="4"/>
  <c r="U35" i="4"/>
  <c r="U34" i="4"/>
  <c r="U33" i="4"/>
  <c r="U31" i="4"/>
  <c r="U30" i="4"/>
  <c r="U29" i="4"/>
  <c r="U28" i="4"/>
  <c r="U22" i="4"/>
  <c r="U21" i="4"/>
  <c r="U20" i="4"/>
  <c r="U19" i="4"/>
  <c r="U14" i="4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10" i="19"/>
  <c r="E13" i="8" s="1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E4" i="20" s="1"/>
  <c r="B1" i="20" s="1"/>
  <c r="H13" i="19"/>
  <c r="H12" i="19"/>
  <c r="H11" i="19"/>
  <c r="H10" i="19"/>
  <c r="E12" i="8" s="1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10" i="19"/>
  <c r="E10" i="8" s="1"/>
  <c r="D11" i="19"/>
  <c r="D12" i="19" s="1"/>
  <c r="D13" i="19" s="1"/>
  <c r="D14" i="19" s="1"/>
  <c r="C11" i="19"/>
  <c r="C12" i="19" s="1"/>
  <c r="C13" i="19" s="1"/>
  <c r="C14" i="19" s="1"/>
  <c r="C4" i="11" l="1"/>
  <c r="E4" i="21"/>
  <c r="D15" i="19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S22" i="4"/>
  <c r="S40" i="4"/>
  <c r="S35" i="4"/>
  <c r="S44" i="4"/>
  <c r="S34" i="4"/>
  <c r="S43" i="4"/>
  <c r="S37" i="4"/>
  <c r="S23" i="4"/>
  <c r="S19" i="4"/>
  <c r="S31" i="4"/>
  <c r="S14" i="4"/>
  <c r="C15" i="19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R45" i="4"/>
  <c r="R44" i="4"/>
  <c r="R34" i="4"/>
  <c r="R37" i="4"/>
  <c r="R33" i="4"/>
  <c r="R41" i="4"/>
  <c r="R31" i="4"/>
  <c r="R29" i="4"/>
  <c r="U47" i="4"/>
  <c r="R11" i="4" l="1"/>
  <c r="R22" i="4"/>
  <c r="S36" i="4"/>
  <c r="S11" i="4"/>
  <c r="S45" i="4"/>
  <c r="R20" i="4"/>
  <c r="R30" i="4"/>
  <c r="S41" i="4"/>
  <c r="S20" i="4"/>
  <c r="S15" i="4"/>
  <c r="R19" i="4"/>
  <c r="S29" i="4"/>
  <c r="S28" i="4"/>
  <c r="S21" i="4"/>
  <c r="R43" i="4"/>
  <c r="R23" i="4"/>
  <c r="R21" i="4"/>
  <c r="S38" i="4"/>
  <c r="S33" i="4"/>
  <c r="S30" i="4"/>
  <c r="R35" i="4"/>
  <c r="R38" i="4"/>
  <c r="R36" i="4"/>
  <c r="R28" i="4"/>
  <c r="R14" i="4"/>
  <c r="R15" i="4"/>
  <c r="R40" i="4"/>
  <c r="K29" i="21"/>
  <c r="C29" i="21" s="1"/>
  <c r="J26" i="21"/>
  <c r="B26" i="21" s="1"/>
  <c r="N22" i="21"/>
  <c r="F22" i="21" s="1"/>
  <c r="M19" i="21"/>
  <c r="L16" i="21"/>
  <c r="D16" i="21" s="1"/>
  <c r="K28" i="21"/>
  <c r="C28" i="21" s="1"/>
  <c r="J25" i="21"/>
  <c r="B25" i="21" s="1"/>
  <c r="N21" i="21"/>
  <c r="F21" i="21" s="1"/>
  <c r="M18" i="21"/>
  <c r="L15" i="21"/>
  <c r="N24" i="21"/>
  <c r="F24" i="21" s="1"/>
  <c r="L18" i="21"/>
  <c r="D18" i="21" s="1"/>
  <c r="N27" i="21"/>
  <c r="F27" i="21" s="1"/>
  <c r="L21" i="21"/>
  <c r="D21" i="21" s="1"/>
  <c r="J15" i="21"/>
  <c r="B15" i="21" s="1"/>
  <c r="J24" i="21"/>
  <c r="B24" i="21" s="1"/>
  <c r="M17" i="21"/>
  <c r="L25" i="21"/>
  <c r="D25" i="21" s="1"/>
  <c r="J19" i="21"/>
  <c r="B19" i="21" s="1"/>
  <c r="M23" i="21"/>
  <c r="J20" i="21"/>
  <c r="B20" i="21" s="1"/>
  <c r="M16" i="21"/>
  <c r="K19" i="21"/>
  <c r="C19" i="21" s="1"/>
  <c r="M20" i="21"/>
  <c r="L28" i="21"/>
  <c r="D28" i="21" s="1"/>
  <c r="K25" i="21"/>
  <c r="C25" i="21" s="1"/>
  <c r="J22" i="21"/>
  <c r="B22" i="21" s="1"/>
  <c r="N18" i="21"/>
  <c r="F18" i="21" s="1"/>
  <c r="M15" i="21"/>
  <c r="L27" i="21"/>
  <c r="D27" i="21" s="1"/>
  <c r="K24" i="21"/>
  <c r="C24" i="21" s="1"/>
  <c r="J21" i="21"/>
  <c r="B21" i="21" s="1"/>
  <c r="N17" i="21"/>
  <c r="F17" i="21" s="1"/>
  <c r="M29" i="21"/>
  <c r="K23" i="21"/>
  <c r="C23" i="21" s="1"/>
  <c r="N16" i="21"/>
  <c r="F16" i="21" s="1"/>
  <c r="K26" i="21"/>
  <c r="C26" i="21" s="1"/>
  <c r="N19" i="21"/>
  <c r="F19" i="21" s="1"/>
  <c r="N28" i="21"/>
  <c r="F28" i="21" s="1"/>
  <c r="L22" i="21"/>
  <c r="D22" i="21" s="1"/>
  <c r="J16" i="21"/>
  <c r="B16" i="21" s="1"/>
  <c r="N23" i="21"/>
  <c r="F23" i="21" s="1"/>
  <c r="L17" i="21"/>
  <c r="D17" i="21" s="1"/>
  <c r="M27" i="21"/>
  <c r="L24" i="21"/>
  <c r="D24" i="21" s="1"/>
  <c r="K21" i="21"/>
  <c r="C21" i="21" s="1"/>
  <c r="J18" i="21"/>
  <c r="B18" i="21" s="1"/>
  <c r="N29" i="21"/>
  <c r="F29" i="21" s="1"/>
  <c r="M26" i="21"/>
  <c r="L23" i="21"/>
  <c r="D23" i="21" s="1"/>
  <c r="K20" i="21"/>
  <c r="C20" i="21" s="1"/>
  <c r="J17" i="21"/>
  <c r="B17" i="21" s="1"/>
  <c r="J28" i="21"/>
  <c r="B28" i="21" s="1"/>
  <c r="M21" i="21"/>
  <c r="K15" i="21"/>
  <c r="C15" i="21" s="1"/>
  <c r="M24" i="21"/>
  <c r="K18" i="21"/>
  <c r="C18" i="21" s="1"/>
  <c r="K27" i="21"/>
  <c r="C27" i="21" s="1"/>
  <c r="N20" i="21"/>
  <c r="F20" i="21" s="1"/>
  <c r="M28" i="21"/>
  <c r="K22" i="21"/>
  <c r="C22" i="21" s="1"/>
  <c r="N15" i="21"/>
  <c r="N26" i="21"/>
  <c r="F26" i="21" s="1"/>
  <c r="L20" i="21"/>
  <c r="D20" i="21" s="1"/>
  <c r="K17" i="21"/>
  <c r="C17" i="21" s="1"/>
  <c r="J29" i="21"/>
  <c r="B29" i="21" s="1"/>
  <c r="N25" i="21"/>
  <c r="F25" i="21" s="1"/>
  <c r="M22" i="21"/>
  <c r="L19" i="21"/>
  <c r="D19" i="21" s="1"/>
  <c r="K16" i="21"/>
  <c r="C16" i="21" s="1"/>
  <c r="L26" i="21"/>
  <c r="D26" i="21" s="1"/>
  <c r="L29" i="21"/>
  <c r="D29" i="21" s="1"/>
  <c r="J23" i="21"/>
  <c r="B23" i="21" s="1"/>
  <c r="M25" i="21"/>
  <c r="J27" i="21"/>
  <c r="B27" i="21" s="1"/>
  <c r="B1" i="21"/>
  <c r="E22" i="14"/>
  <c r="C7" i="11"/>
  <c r="K30" i="21" l="1"/>
  <c r="K32" i="21" s="1"/>
  <c r="O15" i="21"/>
  <c r="E21" i="21"/>
  <c r="G21" i="21" s="1"/>
  <c r="O21" i="21"/>
  <c r="E16" i="21"/>
  <c r="G16" i="21" s="1"/>
  <c r="O16" i="21"/>
  <c r="E22" i="21"/>
  <c r="G22" i="21" s="1"/>
  <c r="O22" i="21"/>
  <c r="O28" i="21"/>
  <c r="E28" i="21"/>
  <c r="G28" i="21" s="1"/>
  <c r="O24" i="21"/>
  <c r="E24" i="21"/>
  <c r="G24" i="21" s="1"/>
  <c r="O27" i="21"/>
  <c r="E27" i="21"/>
  <c r="G27" i="21" s="1"/>
  <c r="E20" i="21"/>
  <c r="G20" i="21" s="1"/>
  <c r="O20" i="21"/>
  <c r="O23" i="21"/>
  <c r="E23" i="21"/>
  <c r="G23" i="21" s="1"/>
  <c r="E19" i="21"/>
  <c r="G19" i="21" s="1"/>
  <c r="O19" i="21"/>
  <c r="C30" i="21"/>
  <c r="C32" i="21" s="1"/>
  <c r="O25" i="21"/>
  <c r="E25" i="21"/>
  <c r="G25" i="21" s="1"/>
  <c r="N30" i="21"/>
  <c r="F15" i="21"/>
  <c r="F30" i="21" s="1"/>
  <c r="E29" i="21"/>
  <c r="G29" i="21" s="1"/>
  <c r="O29" i="21"/>
  <c r="D15" i="21"/>
  <c r="D30" i="21" s="1"/>
  <c r="D32" i="21" s="1"/>
  <c r="L30" i="21"/>
  <c r="L32" i="21" s="1"/>
  <c r="E26" i="21"/>
  <c r="G26" i="21" s="1"/>
  <c r="O26" i="21"/>
  <c r="M30" i="21"/>
  <c r="E15" i="21"/>
  <c r="G15" i="21" s="1"/>
  <c r="O17" i="21"/>
  <c r="E17" i="21"/>
  <c r="G17" i="21" s="1"/>
  <c r="E18" i="21"/>
  <c r="G18" i="21" s="1"/>
  <c r="O18" i="21"/>
  <c r="AN14" i="4"/>
  <c r="Z14" i="4"/>
  <c r="H11" i="4"/>
  <c r="J47" i="4"/>
  <c r="F46" i="4"/>
  <c r="C46" i="4"/>
  <c r="O30" i="21" l="1"/>
  <c r="O32" i="21" s="1"/>
  <c r="E30" i="21"/>
  <c r="G30" i="21"/>
  <c r="G32" i="21" s="1"/>
  <c r="AM14" i="4"/>
  <c r="F24" i="4"/>
  <c r="C24" i="4"/>
  <c r="F16" i="4"/>
  <c r="C16" i="4"/>
  <c r="H43" i="4"/>
  <c r="D39" i="7" s="1"/>
  <c r="E39" i="7" s="1"/>
  <c r="F39" i="7" s="1"/>
  <c r="G39" i="7" s="1"/>
  <c r="H38" i="4"/>
  <c r="F36" i="16" s="1"/>
  <c r="G36" i="16" s="1"/>
  <c r="H36" i="16" s="1"/>
  <c r="H37" i="4"/>
  <c r="H22" i="4"/>
  <c r="H21" i="4"/>
  <c r="F19" i="16" s="1"/>
  <c r="G19" i="16" s="1"/>
  <c r="H19" i="16" s="1"/>
  <c r="AN41" i="4"/>
  <c r="AN40" i="4"/>
  <c r="AN22" i="4"/>
  <c r="AN21" i="4"/>
  <c r="AN38" i="4"/>
  <c r="AN37" i="4"/>
  <c r="AJ43" i="4"/>
  <c r="AJ22" i="4"/>
  <c r="AM41" i="4"/>
  <c r="Z40" i="4"/>
  <c r="AM38" i="4"/>
  <c r="Z37" i="4"/>
  <c r="AM22" i="4"/>
  <c r="Z21" i="4"/>
  <c r="Z19" i="4"/>
  <c r="Y43" i="4"/>
  <c r="X38" i="4"/>
  <c r="AE38" i="4" s="1"/>
  <c r="Y37" i="4"/>
  <c r="AJ37" i="4" s="1"/>
  <c r="Y22" i="4"/>
  <c r="X22" i="4"/>
  <c r="AE22" i="4" s="1"/>
  <c r="AC21" i="4"/>
  <c r="Y23" i="4"/>
  <c r="AC11" i="4"/>
  <c r="D2" i="19"/>
  <c r="C3" i="7" s="1"/>
  <c r="F31" i="16" l="1"/>
  <c r="G31" i="16" s="1"/>
  <c r="H31" i="16" s="1"/>
  <c r="F24" i="16"/>
  <c r="G24" i="16" s="1"/>
  <c r="H24" i="16" s="1"/>
  <c r="F47" i="4"/>
  <c r="C47" i="4"/>
  <c r="B47" i="4"/>
  <c r="AD4" i="22"/>
  <c r="AD4" i="23"/>
  <c r="C4" i="23"/>
  <c r="K4" i="16"/>
  <c r="C4" i="22"/>
  <c r="B4" i="16"/>
  <c r="K4" i="21"/>
  <c r="C4" i="20"/>
  <c r="C4" i="21"/>
  <c r="B2" i="4"/>
  <c r="C4" i="14"/>
  <c r="B3" i="8"/>
  <c r="B4" i="11"/>
  <c r="AO14" i="4"/>
  <c r="L11" i="3" s="1"/>
  <c r="O14" i="4"/>
  <c r="F11" i="3" s="1"/>
  <c r="X21" i="4"/>
  <c r="AE21" i="4" s="1"/>
  <c r="Z41" i="4"/>
  <c r="R16" i="4"/>
  <c r="R24" i="4"/>
  <c r="R46" i="4"/>
  <c r="AD21" i="4"/>
  <c r="S16" i="4"/>
  <c r="Z22" i="4"/>
  <c r="AI22" i="4"/>
  <c r="AK22" i="4" s="1"/>
  <c r="O38" i="4"/>
  <c r="F35" i="3" s="1"/>
  <c r="AO38" i="4"/>
  <c r="Z38" i="4"/>
  <c r="AC22" i="4"/>
  <c r="AD22" i="4" s="1"/>
  <c r="M22" i="4" s="1"/>
  <c r="B19" i="3" s="1"/>
  <c r="AH22" i="4"/>
  <c r="AM40" i="4"/>
  <c r="T38" i="4"/>
  <c r="O22" i="4"/>
  <c r="F19" i="3" s="1"/>
  <c r="AO22" i="4"/>
  <c r="AO41" i="4"/>
  <c r="O41" i="4"/>
  <c r="F38" i="3" s="1"/>
  <c r="AC38" i="4"/>
  <c r="AD38" i="4" s="1"/>
  <c r="M38" i="4" s="1"/>
  <c r="B35" i="3" s="1"/>
  <c r="AH43" i="4"/>
  <c r="S24" i="4"/>
  <c r="S46" i="4"/>
  <c r="T21" i="4"/>
  <c r="T43" i="4"/>
  <c r="AI43" i="4"/>
  <c r="AK43" i="4" s="1"/>
  <c r="AM21" i="4"/>
  <c r="Y11" i="4"/>
  <c r="X43" i="4"/>
  <c r="AE43" i="4" s="1"/>
  <c r="T22" i="4"/>
  <c r="X37" i="4"/>
  <c r="AE37" i="4" s="1"/>
  <c r="Y38" i="4"/>
  <c r="AJ38" i="4" s="1"/>
  <c r="X11" i="4"/>
  <c r="AC37" i="4"/>
  <c r="AD37" i="4" s="1"/>
  <c r="AH38" i="4"/>
  <c r="AI38" i="4" s="1"/>
  <c r="AM37" i="4"/>
  <c r="AH21" i="4"/>
  <c r="AI21" i="4" s="1"/>
  <c r="T37" i="4"/>
  <c r="AC43" i="4"/>
  <c r="AD43" i="4" s="1"/>
  <c r="Y21" i="4"/>
  <c r="AJ21" i="4" s="1"/>
  <c r="AH37" i="4"/>
  <c r="AI37" i="4" s="1"/>
  <c r="AK37" i="4" s="1"/>
  <c r="N38" i="4" l="1"/>
  <c r="D35" i="3" s="1"/>
  <c r="AK38" i="4"/>
  <c r="K35" i="3" s="1"/>
  <c r="AF21" i="4"/>
  <c r="E21" i="4" s="1"/>
  <c r="G22" i="4"/>
  <c r="K19" i="3"/>
  <c r="G37" i="4"/>
  <c r="K34" i="3"/>
  <c r="G43" i="4"/>
  <c r="K40" i="3"/>
  <c r="K41" i="4"/>
  <c r="L38" i="3"/>
  <c r="K38" i="4"/>
  <c r="L35" i="3"/>
  <c r="K22" i="4"/>
  <c r="L19" i="3"/>
  <c r="M37" i="4"/>
  <c r="B34" i="3" s="1"/>
  <c r="AF38" i="4"/>
  <c r="M21" i="4"/>
  <c r="B18" i="3" s="1"/>
  <c r="R47" i="4"/>
  <c r="S47" i="4"/>
  <c r="N43" i="4"/>
  <c r="D40" i="3" s="1"/>
  <c r="N37" i="4"/>
  <c r="D34" i="3" s="1"/>
  <c r="N22" i="4"/>
  <c r="D19" i="3" s="1"/>
  <c r="N21" i="4"/>
  <c r="D18" i="3" s="1"/>
  <c r="AK21" i="4"/>
  <c r="O21" i="4"/>
  <c r="F18" i="3" s="1"/>
  <c r="AO21" i="4"/>
  <c r="AO40" i="4"/>
  <c r="O40" i="4"/>
  <c r="F37" i="3" s="1"/>
  <c r="M43" i="4"/>
  <c r="B40" i="3" s="1"/>
  <c r="O37" i="4"/>
  <c r="F34" i="3" s="1"/>
  <c r="AO37" i="4"/>
  <c r="AF37" i="4"/>
  <c r="AF22" i="4"/>
  <c r="AF43" i="4"/>
  <c r="G38" i="4" l="1"/>
  <c r="J18" i="3"/>
  <c r="E43" i="4"/>
  <c r="J40" i="3"/>
  <c r="K21" i="4"/>
  <c r="L18" i="3"/>
  <c r="E22" i="4"/>
  <c r="J19" i="3"/>
  <c r="E37" i="4"/>
  <c r="J34" i="3"/>
  <c r="G21" i="4"/>
  <c r="K18" i="3"/>
  <c r="E38" i="4"/>
  <c r="J35" i="3"/>
  <c r="K37" i="4"/>
  <c r="L34" i="3"/>
  <c r="K40" i="4"/>
  <c r="L37" i="3"/>
  <c r="F22" i="14" l="1"/>
  <c r="H14" i="4" l="1"/>
  <c r="C53" i="11" l="1"/>
  <c r="C54" i="11" s="1"/>
  <c r="B1" i="11" l="1"/>
  <c r="D13" i="8"/>
  <c r="D12" i="8"/>
  <c r="D10" i="8"/>
  <c r="D15" i="4" l="1"/>
  <c r="H15" i="4" l="1"/>
  <c r="H16" i="4" s="1"/>
  <c r="D16" i="4"/>
  <c r="AE11" i="4"/>
  <c r="T11" i="4"/>
  <c r="AJ11" i="4"/>
  <c r="AH11" i="4"/>
  <c r="AI11" i="4" s="1"/>
  <c r="AK11" i="4" l="1"/>
  <c r="N11" i="4"/>
  <c r="E27" i="7" l="1"/>
  <c r="E26" i="7"/>
  <c r="E24" i="7"/>
  <c r="E23" i="7"/>
  <c r="E22" i="7"/>
  <c r="E21" i="7"/>
  <c r="E20" i="7"/>
  <c r="E19" i="7"/>
  <c r="E17" i="7"/>
  <c r="E16" i="7"/>
  <c r="E15" i="7"/>
  <c r="AN19" i="4" l="1"/>
  <c r="AN20" i="4"/>
  <c r="AN29" i="4"/>
  <c r="AN34" i="4"/>
  <c r="AM19" i="4"/>
  <c r="AN30" i="4"/>
  <c r="AN35" i="4"/>
  <c r="AN36" i="4"/>
  <c r="AN31" i="4"/>
  <c r="AN28" i="4"/>
  <c r="AN33" i="4"/>
  <c r="AO19" i="4" l="1"/>
  <c r="O19" i="4"/>
  <c r="F16" i="3" s="1"/>
  <c r="Z29" i="4"/>
  <c r="AM29" i="4"/>
  <c r="Z33" i="4"/>
  <c r="AM33" i="4"/>
  <c r="Z31" i="4"/>
  <c r="AM31" i="4"/>
  <c r="Z34" i="4"/>
  <c r="AM34" i="4"/>
  <c r="Z20" i="4"/>
  <c r="AM20" i="4"/>
  <c r="Z35" i="4"/>
  <c r="AM35" i="4"/>
  <c r="Z28" i="4"/>
  <c r="AM28" i="4"/>
  <c r="Z36" i="4"/>
  <c r="AM36" i="4"/>
  <c r="Z30" i="4"/>
  <c r="AM30" i="4"/>
  <c r="K19" i="4" l="1"/>
  <c r="L16" i="3"/>
  <c r="AO33" i="4"/>
  <c r="O33" i="4"/>
  <c r="F30" i="3" s="1"/>
  <c r="AO31" i="4"/>
  <c r="O31" i="4"/>
  <c r="F28" i="3" s="1"/>
  <c r="AO30" i="4"/>
  <c r="O30" i="4"/>
  <c r="F27" i="3" s="1"/>
  <c r="AO29" i="4"/>
  <c r="O29" i="4"/>
  <c r="F26" i="3" s="1"/>
  <c r="AO28" i="4"/>
  <c r="O28" i="4"/>
  <c r="F25" i="3" s="1"/>
  <c r="AO20" i="4"/>
  <c r="K20" i="4" s="1"/>
  <c r="O20" i="4"/>
  <c r="F17" i="3" s="1"/>
  <c r="AO36" i="4"/>
  <c r="O36" i="4"/>
  <c r="F33" i="3" s="1"/>
  <c r="AO35" i="4"/>
  <c r="O35" i="4"/>
  <c r="F32" i="3" s="1"/>
  <c r="AO34" i="4"/>
  <c r="O34" i="4"/>
  <c r="F31" i="3" s="1"/>
  <c r="K36" i="4" l="1"/>
  <c r="L33" i="3"/>
  <c r="K35" i="4"/>
  <c r="L32" i="3"/>
  <c r="L17" i="3"/>
  <c r="K31" i="4"/>
  <c r="L28" i="3"/>
  <c r="K34" i="4"/>
  <c r="L31" i="3"/>
  <c r="K28" i="4"/>
  <c r="L25" i="3"/>
  <c r="K30" i="4"/>
  <c r="L27" i="3"/>
  <c r="K33" i="4"/>
  <c r="L30" i="3"/>
  <c r="K29" i="4"/>
  <c r="L26" i="3"/>
  <c r="L44" i="3" l="1"/>
  <c r="H40" i="4"/>
  <c r="H41" i="4"/>
  <c r="D57" i="7" l="1"/>
  <c r="X41" i="4"/>
  <c r="AE41" i="4" s="1"/>
  <c r="X40" i="4"/>
  <c r="AE40" i="4" s="1"/>
  <c r="AH41" i="4"/>
  <c r="AI41" i="4" s="1"/>
  <c r="Y41" i="4"/>
  <c r="AJ41" i="4" s="1"/>
  <c r="AH40" i="4"/>
  <c r="AI40" i="4" s="1"/>
  <c r="Y40" i="4"/>
  <c r="AJ40" i="4" s="1"/>
  <c r="AC40" i="4"/>
  <c r="AD40" i="4" s="1"/>
  <c r="AC41" i="4"/>
  <c r="AD41" i="4" s="1"/>
  <c r="T41" i="4"/>
  <c r="T40" i="4"/>
  <c r="AK40" i="4" l="1"/>
  <c r="G40" i="4" s="1"/>
  <c r="AK41" i="4"/>
  <c r="G41" i="4" s="1"/>
  <c r="AF40" i="4"/>
  <c r="M40" i="4"/>
  <c r="B37" i="3" s="1"/>
  <c r="AF41" i="4"/>
  <c r="M41" i="4"/>
  <c r="B38" i="3" s="1"/>
  <c r="N40" i="4"/>
  <c r="D37" i="3" s="1"/>
  <c r="N41" i="4"/>
  <c r="D38" i="3" s="1"/>
  <c r="H31" i="4"/>
  <c r="K37" i="3" l="1"/>
  <c r="E40" i="4"/>
  <c r="J37" i="3"/>
  <c r="E41" i="4"/>
  <c r="F27" i="7" s="1"/>
  <c r="G27" i="7" s="1"/>
  <c r="H27" i="7" s="1"/>
  <c r="I27" i="7" s="1"/>
  <c r="J38" i="3"/>
  <c r="K38" i="3"/>
  <c r="H20" i="4" l="1"/>
  <c r="F24" i="7" s="1"/>
  <c r="D23" i="4"/>
  <c r="X23" i="4" s="1"/>
  <c r="D28" i="4"/>
  <c r="D29" i="4"/>
  <c r="H29" i="4" s="1"/>
  <c r="D30" i="4"/>
  <c r="H30" i="4" s="1"/>
  <c r="D24" i="4" l="1"/>
  <c r="H23" i="4"/>
  <c r="H28" i="4"/>
  <c r="H19" i="4"/>
  <c r="F23" i="7" s="1"/>
  <c r="H24" i="4" l="1"/>
  <c r="D52" i="7"/>
  <c r="E52" i="7" s="1"/>
  <c r="F2" i="3"/>
  <c r="T28" i="4"/>
  <c r="AH15" i="4"/>
  <c r="AI15" i="4" s="1"/>
  <c r="Y30" i="4"/>
  <c r="AJ30" i="4" s="1"/>
  <c r="Y31" i="4"/>
  <c r="AJ31" i="4" s="1"/>
  <c r="AH33" i="4"/>
  <c r="AI33" i="4" s="1"/>
  <c r="AH34" i="4"/>
  <c r="AH35" i="4"/>
  <c r="AI35" i="4" s="1"/>
  <c r="AH36" i="4"/>
  <c r="Y44" i="4"/>
  <c r="AJ44" i="4" s="1"/>
  <c r="Y45" i="4"/>
  <c r="AJ45" i="4" s="1"/>
  <c r="Y20" i="4"/>
  <c r="AJ20" i="4" s="1"/>
  <c r="AJ23" i="4"/>
  <c r="AC28" i="4"/>
  <c r="AD28" i="4" s="1"/>
  <c r="AH28" i="4"/>
  <c r="AI28" i="4" s="1"/>
  <c r="H34" i="4"/>
  <c r="D44" i="4"/>
  <c r="D45" i="4"/>
  <c r="H45" i="4" s="1"/>
  <c r="X28" i="4"/>
  <c r="X29" i="4"/>
  <c r="AC29" i="4"/>
  <c r="AD29" i="4" s="1"/>
  <c r="Y28" i="4"/>
  <c r="AJ28" i="4" s="1"/>
  <c r="F52" i="7" l="1"/>
  <c r="G52" i="7" s="1"/>
  <c r="AK28" i="4"/>
  <c r="K25" i="3" s="1"/>
  <c r="H35" i="4"/>
  <c r="AC35" i="4"/>
  <c r="AD35" i="4" s="1"/>
  <c r="D46" i="4"/>
  <c r="D47" i="4" s="1"/>
  <c r="H36" i="4"/>
  <c r="D56" i="7" s="1"/>
  <c r="AC36" i="4"/>
  <c r="AD36" i="4"/>
  <c r="H44" i="4"/>
  <c r="E59" i="7"/>
  <c r="F59" i="7" s="1"/>
  <c r="G59" i="7" s="1"/>
  <c r="H33" i="4"/>
  <c r="F19" i="7" s="1"/>
  <c r="Y14" i="4"/>
  <c r="AJ14" i="4" s="1"/>
  <c r="Y19" i="4"/>
  <c r="AJ19" i="4" s="1"/>
  <c r="D2" i="3"/>
  <c r="B2" i="3"/>
  <c r="AE29" i="4"/>
  <c r="M29" i="4" s="1"/>
  <c r="B26" i="3" s="1"/>
  <c r="AE28" i="4"/>
  <c r="AF28" i="4" s="1"/>
  <c r="T44" i="4"/>
  <c r="T45" i="4"/>
  <c r="T31" i="4"/>
  <c r="Y15" i="4"/>
  <c r="AJ15" i="4" s="1"/>
  <c r="AK15" i="4" s="1"/>
  <c r="X35" i="4"/>
  <c r="T35" i="4"/>
  <c r="AC33" i="4"/>
  <c r="AD33" i="4" s="1"/>
  <c r="T33" i="4"/>
  <c r="AE23" i="4"/>
  <c r="T23" i="4"/>
  <c r="X20" i="4"/>
  <c r="T20" i="4"/>
  <c r="AC19" i="4"/>
  <c r="AD19" i="4" s="1"/>
  <c r="T19" i="4"/>
  <c r="AH14" i="4"/>
  <c r="AI14" i="4" s="1"/>
  <c r="AK14" i="4" s="1"/>
  <c r="X36" i="4"/>
  <c r="T36" i="4"/>
  <c r="AC34" i="4"/>
  <c r="AD34" i="4" s="1"/>
  <c r="T34" i="4"/>
  <c r="X30" i="4"/>
  <c r="T30" i="4"/>
  <c r="X15" i="4"/>
  <c r="AE15" i="4" s="1"/>
  <c r="T15" i="4"/>
  <c r="X14" i="4"/>
  <c r="AE14" i="4" s="1"/>
  <c r="T14" i="4"/>
  <c r="Y29" i="4"/>
  <c r="AJ29" i="4" s="1"/>
  <c r="T29" i="4"/>
  <c r="X19" i="4"/>
  <c r="AH29" i="4"/>
  <c r="AI29" i="4" s="1"/>
  <c r="AC23" i="4"/>
  <c r="AD23" i="4" s="1"/>
  <c r="AI34" i="4"/>
  <c r="AH31" i="4"/>
  <c r="AI31" i="4" s="1"/>
  <c r="Y34" i="4"/>
  <c r="AJ34" i="4" s="1"/>
  <c r="AI36" i="4"/>
  <c r="AC15" i="4"/>
  <c r="AD15" i="4" s="1"/>
  <c r="AC14" i="4"/>
  <c r="AD14" i="4" s="1"/>
  <c r="M14" i="4" s="1"/>
  <c r="B11" i="3" s="1"/>
  <c r="Y36" i="4"/>
  <c r="AJ36" i="4" s="1"/>
  <c r="AH45" i="4"/>
  <c r="AI45" i="4" s="1"/>
  <c r="X34" i="4"/>
  <c r="X31" i="4"/>
  <c r="AC30" i="4"/>
  <c r="AD30" i="4" s="1"/>
  <c r="AH19" i="4"/>
  <c r="AI19" i="4" s="1"/>
  <c r="AC31" i="4"/>
  <c r="AD31" i="4" s="1"/>
  <c r="X33" i="4"/>
  <c r="X45" i="4"/>
  <c r="X44" i="4"/>
  <c r="AC45" i="4"/>
  <c r="AD45" i="4" s="1"/>
  <c r="AH30" i="4"/>
  <c r="AI30" i="4" s="1"/>
  <c r="AD11" i="4"/>
  <c r="AC44" i="4"/>
  <c r="AD44" i="4" s="1"/>
  <c r="N28" i="4"/>
  <c r="D25" i="3" s="1"/>
  <c r="Y35" i="4"/>
  <c r="AJ35" i="4" s="1"/>
  <c r="AK35" i="4" s="1"/>
  <c r="AH20" i="4"/>
  <c r="AI20" i="4" s="1"/>
  <c r="AH44" i="4"/>
  <c r="AI44" i="4" s="1"/>
  <c r="AK44" i="4" s="1"/>
  <c r="Y33" i="4"/>
  <c r="AJ33" i="4" s="1"/>
  <c r="N33" i="4" s="1"/>
  <c r="D30" i="3" s="1"/>
  <c r="AH23" i="4"/>
  <c r="AI23" i="4" s="1"/>
  <c r="AK23" i="4" s="1"/>
  <c r="AC20" i="4"/>
  <c r="AD20" i="4" s="1"/>
  <c r="D55" i="7" l="1"/>
  <c r="N36" i="4"/>
  <c r="D33" i="3" s="1"/>
  <c r="N34" i="4"/>
  <c r="D31" i="3" s="1"/>
  <c r="AK29" i="4"/>
  <c r="G29" i="4" s="1"/>
  <c r="T16" i="4"/>
  <c r="N30" i="4"/>
  <c r="D27" i="3" s="1"/>
  <c r="AK30" i="4"/>
  <c r="AK31" i="4"/>
  <c r="K28" i="3" s="1"/>
  <c r="AK34" i="4"/>
  <c r="G34" i="4" s="1"/>
  <c r="T46" i="4"/>
  <c r="AK33" i="4"/>
  <c r="N20" i="4"/>
  <c r="D17" i="3" s="1"/>
  <c r="AK20" i="4"/>
  <c r="G20" i="4" s="1"/>
  <c r="AK19" i="4"/>
  <c r="K16" i="3" s="1"/>
  <c r="N45" i="4"/>
  <c r="D42" i="3" s="1"/>
  <c r="AK45" i="4"/>
  <c r="G45" i="4" s="1"/>
  <c r="AK36" i="4"/>
  <c r="G36" i="4" s="1"/>
  <c r="T24" i="4"/>
  <c r="H46" i="4"/>
  <c r="H47" i="4" s="1"/>
  <c r="G35" i="4"/>
  <c r="N35" i="4"/>
  <c r="D32" i="3" s="1"/>
  <c r="M11" i="4"/>
  <c r="B8" i="3" s="1"/>
  <c r="AF11" i="4"/>
  <c r="J8" i="3" s="1"/>
  <c r="N14" i="4"/>
  <c r="D11" i="3" s="1"/>
  <c r="M15" i="4"/>
  <c r="B12" i="3" s="1"/>
  <c r="AF29" i="4"/>
  <c r="E29" i="4" s="1"/>
  <c r="M28" i="4"/>
  <c r="B25" i="3" s="1"/>
  <c r="N15" i="4"/>
  <c r="D12" i="3" s="1"/>
  <c r="D8" i="3"/>
  <c r="AE19" i="4"/>
  <c r="M19" i="4" s="1"/>
  <c r="B16" i="3" s="1"/>
  <c r="AE33" i="4"/>
  <c r="AF33" i="4" s="1"/>
  <c r="J30" i="3" s="1"/>
  <c r="AE31" i="4"/>
  <c r="AF31" i="4" s="1"/>
  <c r="J28" i="3" s="1"/>
  <c r="AE30" i="4"/>
  <c r="AF30" i="4" s="1"/>
  <c r="AE36" i="4"/>
  <c r="AE45" i="4"/>
  <c r="AF45" i="4" s="1"/>
  <c r="AE44" i="4"/>
  <c r="AF44" i="4" s="1"/>
  <c r="E44" i="4" s="1"/>
  <c r="AE34" i="4"/>
  <c r="AF34" i="4" s="1"/>
  <c r="J31" i="3" s="1"/>
  <c r="AE20" i="4"/>
  <c r="M20" i="4" s="1"/>
  <c r="B17" i="3" s="1"/>
  <c r="AE35" i="4"/>
  <c r="M23" i="4"/>
  <c r="B20" i="3" s="1"/>
  <c r="AF15" i="4"/>
  <c r="E15" i="4" s="1"/>
  <c r="N31" i="4"/>
  <c r="D28" i="3" s="1"/>
  <c r="N29" i="4"/>
  <c r="D26" i="3" s="1"/>
  <c r="AF14" i="4"/>
  <c r="E14" i="4" s="1"/>
  <c r="AF23" i="4"/>
  <c r="J20" i="3" s="1"/>
  <c r="N19" i="4"/>
  <c r="D16" i="3" s="1"/>
  <c r="G28" i="4"/>
  <c r="K32" i="3"/>
  <c r="J25" i="3"/>
  <c r="E28" i="4"/>
  <c r="K12" i="3"/>
  <c r="G15" i="4"/>
  <c r="N23" i="4"/>
  <c r="D20" i="3" s="1"/>
  <c r="G23" i="4"/>
  <c r="N44" i="4"/>
  <c r="D41" i="3" s="1"/>
  <c r="T47" i="4" l="1"/>
  <c r="G31" i="4"/>
  <c r="M35" i="4"/>
  <c r="B32" i="3" s="1"/>
  <c r="AF35" i="4"/>
  <c r="E35" i="4" s="1"/>
  <c r="M36" i="4"/>
  <c r="B33" i="3" s="1"/>
  <c r="AF36" i="4"/>
  <c r="E36" i="4" s="1"/>
  <c r="K26" i="3"/>
  <c r="F26" i="7"/>
  <c r="G26" i="7" s="1"/>
  <c r="H26" i="7" s="1"/>
  <c r="I26" i="7" s="1"/>
  <c r="E57" i="7"/>
  <c r="F57" i="7" s="1"/>
  <c r="G57" i="7" s="1"/>
  <c r="F14" i="7"/>
  <c r="G14" i="7" s="1"/>
  <c r="F15" i="7"/>
  <c r="G15" i="7" s="1"/>
  <c r="H15" i="7" s="1"/>
  <c r="I15" i="7" s="1"/>
  <c r="M34" i="4"/>
  <c r="B31" i="3" s="1"/>
  <c r="J26" i="3"/>
  <c r="F22" i="7"/>
  <c r="G22" i="7" s="1"/>
  <c r="H22" i="7" s="1"/>
  <c r="I22" i="7" s="1"/>
  <c r="M45" i="4"/>
  <c r="B42" i="3" s="1"/>
  <c r="M44" i="4"/>
  <c r="B41" i="3" s="1"/>
  <c r="M31" i="4"/>
  <c r="B28" i="3" s="1"/>
  <c r="AF20" i="4"/>
  <c r="E20" i="4" s="1"/>
  <c r="G24" i="7" s="1"/>
  <c r="H24" i="7" s="1"/>
  <c r="I24" i="7" s="1"/>
  <c r="M33" i="4"/>
  <c r="B30" i="3" s="1"/>
  <c r="M30" i="4"/>
  <c r="B27" i="3" s="1"/>
  <c r="AF19" i="4"/>
  <c r="J16" i="3" s="1"/>
  <c r="K42" i="3"/>
  <c r="E23" i="4"/>
  <c r="J12" i="3"/>
  <c r="E31" i="4"/>
  <c r="F17" i="7" s="1"/>
  <c r="G17" i="7" s="1"/>
  <c r="H17" i="7" s="1"/>
  <c r="I17" i="7" s="1"/>
  <c r="J11" i="3"/>
  <c r="E34" i="4"/>
  <c r="K31" i="3"/>
  <c r="E33" i="4"/>
  <c r="J41" i="3"/>
  <c r="G19" i="4"/>
  <c r="E30" i="4"/>
  <c r="F16" i="7" s="1"/>
  <c r="G16" i="7" s="1"/>
  <c r="H16" i="7" s="1"/>
  <c r="I16" i="7" s="1"/>
  <c r="J27" i="3"/>
  <c r="K33" i="3"/>
  <c r="E45" i="4"/>
  <c r="J42" i="3"/>
  <c r="E11" i="4"/>
  <c r="K27" i="3"/>
  <c r="G30" i="4"/>
  <c r="K17" i="3"/>
  <c r="K30" i="3"/>
  <c r="G33" i="4"/>
  <c r="G11" i="4"/>
  <c r="K8" i="3"/>
  <c r="K20" i="3"/>
  <c r="K41" i="3"/>
  <c r="G44" i="4"/>
  <c r="K11" i="3"/>
  <c r="G14" i="4"/>
  <c r="H14" i="7" l="1"/>
  <c r="I14" i="7" s="1"/>
  <c r="K44" i="3"/>
  <c r="D40" i="7"/>
  <c r="F20" i="7"/>
  <c r="G20" i="7" s="1"/>
  <c r="H20" i="7" s="1"/>
  <c r="I20" i="7" s="1"/>
  <c r="D53" i="7"/>
  <c r="E53" i="7" s="1"/>
  <c r="G19" i="7"/>
  <c r="H19" i="7" s="1"/>
  <c r="I19" i="7" s="1"/>
  <c r="J33" i="3"/>
  <c r="J17" i="3"/>
  <c r="E19" i="4"/>
  <c r="J32" i="3"/>
  <c r="J44" i="3" l="1"/>
  <c r="F53" i="7"/>
  <c r="G53" i="7" s="1"/>
  <c r="E40" i="7"/>
  <c r="F40" i="7" s="1"/>
  <c r="G40" i="7" s="1"/>
  <c r="F21" i="7"/>
  <c r="G21" i="7" s="1"/>
  <c r="H21" i="7" s="1"/>
  <c r="I21" i="7" s="1"/>
  <c r="G23" i="7"/>
  <c r="H23" i="7" s="1"/>
  <c r="I23" i="7" s="1"/>
  <c r="E56" i="7"/>
  <c r="F56" i="7" s="1"/>
  <c r="G56" i="7" s="1"/>
  <c r="E55" i="7"/>
  <c r="F55" i="7" s="1"/>
  <c r="G55" i="7" s="1"/>
  <c r="M44" i="3" l="1"/>
  <c r="E9" i="8" s="1"/>
  <c r="D9" i="8" s="1"/>
</calcChain>
</file>

<file path=xl/comments1.xml><?xml version="1.0" encoding="utf-8"?>
<comments xmlns="http://schemas.openxmlformats.org/spreadsheetml/2006/main">
  <authors>
    <author>Gordon Anderson</author>
  </authors>
  <commentList>
    <comment ref="JD212" authorId="0" shapeId="0">
      <text>
        <r>
          <rPr>
            <b/>
            <sz val="9"/>
            <color indexed="81"/>
            <rFont val="Tahoma"/>
            <family val="2"/>
          </rPr>
          <t>Gordon Anderson:</t>
        </r>
        <r>
          <rPr>
            <sz val="9"/>
            <color indexed="81"/>
            <rFont val="Tahoma"/>
            <family val="2"/>
          </rPr>
          <t xml:space="preserve">
Moved from undergraduate level where itappeared in the Early Statistics table.</t>
        </r>
      </text>
    </comment>
  </commentList>
</comments>
</file>

<file path=xl/sharedStrings.xml><?xml version="1.0" encoding="utf-8"?>
<sst xmlns="http://schemas.openxmlformats.org/spreadsheetml/2006/main" count="2252" uniqueCount="479">
  <si>
    <t>Full-time Checks</t>
  </si>
  <si>
    <t>Part-time Checks</t>
  </si>
  <si>
    <t>Part-time</t>
  </si>
  <si>
    <t>Total</t>
  </si>
  <si>
    <t>Part-time
(including
short
full-time)</t>
  </si>
  <si>
    <t>Institution:</t>
  </si>
  <si>
    <t>Enter</t>
  </si>
  <si>
    <t>Referenced</t>
  </si>
  <si>
    <t>Pre-clinical Medicine</t>
  </si>
  <si>
    <t>Pre-clinical Dentistry</t>
  </si>
  <si>
    <t>Education</t>
  </si>
  <si>
    <t>Research Postgraduate</t>
  </si>
  <si>
    <t>Tolerances</t>
  </si>
  <si>
    <t>Taught Postgraduate</t>
  </si>
  <si>
    <t>RPG FTE</t>
  </si>
  <si>
    <t>Taught PG: UG fees</t>
  </si>
  <si>
    <t>RPG Percentage</t>
  </si>
  <si>
    <t>Undergraduate</t>
  </si>
  <si>
    <t>Warning messages</t>
  </si>
  <si>
    <t>Non-zero FTE in only one of Early Statistics or Final Figures</t>
  </si>
  <si>
    <t>Warning 2 for RPG</t>
  </si>
  <si>
    <t>At least 10 FTE and 5% difference between Final Figures and Early Statistics</t>
  </si>
  <si>
    <t>Full-time</t>
  </si>
  <si>
    <t>Clinical Medicine</t>
  </si>
  <si>
    <t>Clinical Dentistry</t>
  </si>
  <si>
    <t>Students eligible for funding in all subject areas and rest of UK students not eligible for funding in controlled subject areas</t>
  </si>
  <si>
    <t>FTE</t>
  </si>
  <si>
    <t>Controlled Subject Areas</t>
  </si>
  <si>
    <t>Nursing and Midwifery</t>
  </si>
  <si>
    <t>Non-Controlled Subject Areas</t>
  </si>
  <si>
    <t>PGCE / PGDE Primary</t>
  </si>
  <si>
    <t>PGCE / PGDE Secondary</t>
  </si>
  <si>
    <t>Medicine and Dentistry</t>
  </si>
  <si>
    <t>BEd Primary</t>
  </si>
  <si>
    <t>BEd Music</t>
  </si>
  <si>
    <t>BEd Physical Education</t>
  </si>
  <si>
    <t>BEd Technology</t>
  </si>
  <si>
    <t>STEM subject areas</t>
  </si>
  <si>
    <t>Other subject areas</t>
  </si>
  <si>
    <t>All Levels</t>
  </si>
  <si>
    <t>Other</t>
  </si>
  <si>
    <t>Level of Study / Subject Area</t>
  </si>
  <si>
    <t>Scottish Funding Council</t>
  </si>
  <si>
    <t>Full-time and sandwich
(excluding short full-time)</t>
  </si>
  <si>
    <t>Continuing
Rest of UK
(*)</t>
  </si>
  <si>
    <t>Full-time
and
sandwich</t>
  </si>
  <si>
    <t>Students Eligible for Funding</t>
  </si>
  <si>
    <t>Control FTE</t>
  </si>
  <si>
    <t>Control Percentage</t>
  </si>
  <si>
    <t>Non-control FTE</t>
  </si>
  <si>
    <t>Non-control Percentage</t>
  </si>
  <si>
    <t>Warning 1 One Non-zero FTE</t>
  </si>
  <si>
    <t>At least 10 FTE and 10% difference between Final Figures and Early Statistics</t>
  </si>
  <si>
    <t>At least 20 FTE and 5% difference between Final Figures and Early Statistics</t>
  </si>
  <si>
    <t>Warning 2 for Control</t>
  </si>
  <si>
    <t>Warning 2 for Non-control Non-RPG</t>
  </si>
  <si>
    <t>Automatic warning message</t>
  </si>
  <si>
    <t>Comment on automatic warning message</t>
  </si>
  <si>
    <t>Warning Messages</t>
  </si>
  <si>
    <t>Only
one of
either
ES and
FF is
zero</t>
  </si>
  <si>
    <t>Edinburgh Napier University</t>
  </si>
  <si>
    <t>Edinburgh, University of</t>
  </si>
  <si>
    <t>Glasgow, University of</t>
  </si>
  <si>
    <t>Heriot-Watt University</t>
  </si>
  <si>
    <t>Stirling, University of</t>
  </si>
  <si>
    <t>Strathclyde, University of</t>
  </si>
  <si>
    <r>
      <t xml:space="preserve">Level of Study / </t>
    </r>
    <r>
      <rPr>
        <b/>
        <sz val="11"/>
        <color indexed="56"/>
        <rFont val="Calibri"/>
        <family val="2"/>
      </rPr>
      <t>Subject Areas</t>
    </r>
  </si>
  <si>
    <t>Rest of UK
students
not eligible
for funding
in controlled
subject areas</t>
  </si>
  <si>
    <t>Full-time and sandwich</t>
  </si>
  <si>
    <t>Percentage Change from
Early Statistics to Final Figures</t>
  </si>
  <si>
    <t xml:space="preserve">Only one of
either
ES and FF
is 0 and
difference
at least
5 FTE </t>
  </si>
  <si>
    <t xml:space="preserve">Only one of
either
ES and FF 
is 0 and
difference
at least 5 FTE </t>
  </si>
  <si>
    <t xml:space="preserve">Flags
warning
(for
warning
messages
and
conditional
format) </t>
  </si>
  <si>
    <t>Only
one of
either
ES and FF 
is zero</t>
  </si>
  <si>
    <t>Both ES and FF
are non-zero,
check breach
of tolerances
(FTE and %)
for RPG /
Control /
Non-control</t>
  </si>
  <si>
    <t>RUK Control FTE</t>
  </si>
  <si>
    <t>At least 5 FTE difference between Final Figures and Early Statistics</t>
  </si>
  <si>
    <t>Warning 2 for RUK Control</t>
  </si>
  <si>
    <t>Flags for comments request
(warnings on FTE sheet)</t>
  </si>
  <si>
    <t>RUK</t>
  </si>
  <si>
    <t>Enter /
Calculated</t>
  </si>
  <si>
    <t>(*) 'Continuing rest of UK' students are students who are eligible for funding because they started their courses prior to 2012-13, but who would not have been eligible for funding if they had started in 2012-13 or later because they would have been paying the deregulated tuition fees introduced for rest of UK students.</t>
  </si>
  <si>
    <r>
      <t>Send the completed return by e-mail to Michelle McNeill, Funding Policy/Analysis Officer, E-mail:  mmcneill</t>
    </r>
    <r>
      <rPr>
        <b/>
        <u/>
        <sz val="11"/>
        <color indexed="12"/>
        <rFont val="Calibri"/>
        <family val="2"/>
      </rPr>
      <t>@sfc.ac.uk</t>
    </r>
    <r>
      <rPr>
        <sz val="12"/>
        <rFont val="Garamond"/>
        <family val="1"/>
      </rPr>
      <t/>
    </r>
  </si>
  <si>
    <t>Num-
ber</t>
  </si>
  <si>
    <t>Title</t>
  </si>
  <si>
    <t>Students eligible for funding compared to funded places</t>
  </si>
  <si>
    <t>Controlled subject areas</t>
  </si>
  <si>
    <t>Fees-only students</t>
  </si>
  <si>
    <t>Percentage</t>
  </si>
  <si>
    <t>Calculated</t>
  </si>
  <si>
    <t>BEd  Physical Education</t>
  </si>
  <si>
    <t>Non-controlled subject areas</t>
  </si>
  <si>
    <t>Subject area</t>
  </si>
  <si>
    <t>Relevant
student
numbers</t>
  </si>
  <si>
    <t>Scots, Other EU, Rest of UK</t>
  </si>
  <si>
    <t>Primary</t>
  </si>
  <si>
    <t>Secondary</t>
  </si>
  <si>
    <t>Non-controlled Subject Areas</t>
  </si>
  <si>
    <t>Full-time undergraduates (Scots, Other EU)</t>
  </si>
  <si>
    <t>Parameters</t>
  </si>
  <si>
    <t>Controlled Under-enrolments</t>
  </si>
  <si>
    <t>Non-controlled Under-enrolments</t>
  </si>
  <si>
    <t>Consolidation tolerance (&gt;=100)</t>
  </si>
  <si>
    <t>Consolidation tolerance (&lt;100) (FTE)</t>
  </si>
  <si>
    <t>Both ES and FF
are non-zero,
check breach
of tolerance</t>
  </si>
  <si>
    <t>HN</t>
  </si>
  <si>
    <t>Contents</t>
  </si>
  <si>
    <t>Table</t>
  </si>
  <si>
    <t>Completed
by
Institution</t>
  </si>
  <si>
    <t>YES</t>
  </si>
  <si>
    <t>For Info</t>
  </si>
  <si>
    <t>Difference</t>
  </si>
  <si>
    <t>Course</t>
  </si>
  <si>
    <t>Allocation of
additional
funded
places</t>
  </si>
  <si>
    <t>Level of Study</t>
  </si>
  <si>
    <t>Research
postgraduates</t>
  </si>
  <si>
    <t>Taught
postgraduates</t>
  </si>
  <si>
    <t>3a</t>
  </si>
  <si>
    <t>3d</t>
  </si>
  <si>
    <t>Three-year Nursing Degrees</t>
  </si>
  <si>
    <t>Additional Funded Places  (FTE)</t>
  </si>
  <si>
    <t>Innovation Centre</t>
  </si>
  <si>
    <t>Lead Institution</t>
  </si>
  <si>
    <t>Funded
places</t>
  </si>
  <si>
    <t>Construction Scotland Innovation Centre (CSIC)</t>
  </si>
  <si>
    <t>The Data Lab (DATALAB)</t>
  </si>
  <si>
    <t>Digital Health and Care Institute (DHI)</t>
  </si>
  <si>
    <t>Centre for Sensors and Imaging Systems (CENSIS)</t>
  </si>
  <si>
    <t>Stratified Scotland Innovation Centre (SMS-IC)</t>
  </si>
  <si>
    <t>Oil and Gas Innovation Centre (OGIC)</t>
  </si>
  <si>
    <t>Scottish Aquaculture Innovation Centre (SAIC)</t>
  </si>
  <si>
    <t>Industrial Biotechnology Innovation Centre (IBioIC)</t>
  </si>
  <si>
    <t>Use of Additional Funded Places for Innovation Centres</t>
  </si>
  <si>
    <t>Rest of UK students
not eligible for funding
in controlled subject areas</t>
  </si>
  <si>
    <t>RUK students not eligible for funding
in controlled subject areas</t>
  </si>
  <si>
    <t>Rest of UK students not eligible for funding in controlled subject areas</t>
  </si>
  <si>
    <t>Table 1</t>
  </si>
  <si>
    <t>Table 2</t>
  </si>
  <si>
    <t>Enter explanation of notable differences in cells with a white background in table below</t>
  </si>
  <si>
    <t xml:space="preserve">     Paragraphs 37 to 40 of the Early Statistics Notes of Guidance for 2016-17 provide further information on 'continuing rest of UK' students.</t>
  </si>
  <si>
    <t>(*)</t>
  </si>
  <si>
    <t>(*) The institutions who collaborate in an Innovation Centre should agree amongst themselves who reports which of the taught postgraduate students at the Innovation Centre.</t>
  </si>
  <si>
    <t>Students Eligible for Funding in All Subject Areas and Rest of UK Students Not Eligible for Funding in Controlled Subject Areas</t>
  </si>
  <si>
    <t>Comments on Notable Differences between Final Figures and Early Statistics for 2017-18</t>
  </si>
  <si>
    <t>Use of Additional Funded Places for 2017-18 for Taught Postgraduate Provision</t>
  </si>
  <si>
    <t>Use of Places Funded by the European Social Fund (ESF)'s Developing Scotland's Workforce Programme, 2017-18</t>
  </si>
  <si>
    <t>Use of Additional Funded Places for 2017-18 for Innovation Centres   (*)</t>
  </si>
  <si>
    <t>Monitoring for Under-enrolments against Funded Places or Breaches of Consolidation, 2017-18</t>
  </si>
  <si>
    <t>SFC Final Figures Return 2017-18</t>
  </si>
  <si>
    <t>Final Figures Return 2017-18</t>
  </si>
  <si>
    <t>Scottish Funding Council Final Figures Return 2017-18: Table 3a</t>
  </si>
  <si>
    <t>Use of Additional Funded Places for Taught Postgraduate Provision, 2017-18</t>
  </si>
  <si>
    <t>Scottish Funding Council Final Figures Return 2017-18</t>
  </si>
  <si>
    <t>Controlled subject areas, 2017-18</t>
  </si>
  <si>
    <t>Non-controlled subject areas, 2017-18</t>
  </si>
  <si>
    <t>Students Eligible for Funding 2017-18</t>
  </si>
  <si>
    <t>Early Statistics 2017-18</t>
  </si>
  <si>
    <t>Rest of UK
students
not eligible
for funding
in controlled
subject areas,
2017-18</t>
  </si>
  <si>
    <t>Students
eligible
for  
funding
2017-18</t>
  </si>
  <si>
    <t>New Routes Initial Teacher Education Primary</t>
  </si>
  <si>
    <t>Pre-medical Entry</t>
  </si>
  <si>
    <r>
      <t xml:space="preserve">Completed spreadsheet should be emailed to </t>
    </r>
    <r>
      <rPr>
        <b/>
        <sz val="11"/>
        <rFont val="Calibri"/>
        <family val="2"/>
      </rPr>
      <t>mmcneill@sfc.ac.uk</t>
    </r>
    <r>
      <rPr>
        <sz val="11"/>
        <rFont val="Calibri"/>
        <family val="2"/>
      </rPr>
      <t xml:space="preserve"> by </t>
    </r>
    <r>
      <rPr>
        <b/>
        <sz val="11"/>
        <rFont val="Calibri"/>
        <family val="2"/>
      </rPr>
      <t>Friday 5 October 2018.</t>
    </r>
  </si>
  <si>
    <t/>
  </si>
  <si>
    <t>Students Eligible for Funding on New Routes Initial Teacher Education Courses, 2017-18</t>
  </si>
  <si>
    <t>Students eligible
for funding</t>
  </si>
  <si>
    <t>Check against Table 1</t>
  </si>
  <si>
    <t>Difference
from
Table 1</t>
  </si>
  <si>
    <t>Difference OK?</t>
  </si>
  <si>
    <t>Postgraduate Diploma in Education with Teaching Qualification (Enhanced Practitioner)</t>
  </si>
  <si>
    <t>Primary Total</t>
  </si>
  <si>
    <t>Secondary Total</t>
  </si>
  <si>
    <t>Students Eligible for Funding and Rest of UK Students in the Intake to New Routes Initial Teacher Education Secondary Courses, 2017-18: Subjects Training to Teach</t>
  </si>
  <si>
    <t>Single
subject</t>
  </si>
  <si>
    <t>Combined with:</t>
  </si>
  <si>
    <t>Total
number of
students
training for
subject  (*)</t>
  </si>
  <si>
    <t>New Routes ITE Secondary Subject</t>
  </si>
  <si>
    <t>Art</t>
  </si>
  <si>
    <t>Biology</t>
  </si>
  <si>
    <t>Business
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</si>
  <si>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</si>
  <si>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</si>
  <si>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</si>
  <si>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</si>
  <si>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</si>
  <si>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</si>
  <si>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</si>
  <si>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
Economics</t>
  </si>
  <si>
    <t>Mathematics</t>
  </si>
  <si>
    <t>Modern
Languages</t>
  </si>
  <si>
    <t>Modern
Studies</t>
  </si>
  <si>
    <t>Music</t>
  </si>
  <si>
    <t>Physical
Education</t>
  </si>
  <si>
    <t>Physics</t>
  </si>
  <si>
    <t>Psych-
ology</t>
  </si>
  <si>
    <t>Religious
Education</t>
  </si>
  <si>
    <t>Techn-
ological
Education</t>
  </si>
  <si>
    <t>Combined
total</t>
  </si>
  <si>
    <t>Business Education</t>
  </si>
  <si>
    <t>Home Economics</t>
  </si>
  <si>
    <t>Modern Languages</t>
  </si>
  <si>
    <t>Modern Studies</t>
  </si>
  <si>
    <t>Physical Education</t>
  </si>
  <si>
    <t>Psychology</t>
  </si>
  <si>
    <t>Religious Education</t>
  </si>
  <si>
    <t>Technological Education</t>
  </si>
  <si>
    <t>(*) Students are counted against both subjects if they are training to teach two subjects.</t>
  </si>
  <si>
    <t>Students in the Intake to New Routes Initial Teacher Education Secondary Courses, 2017-18: Subjects Training to Teach</t>
  </si>
  <si>
    <t>New Routes Initial Teacher Education Secondary</t>
  </si>
  <si>
    <t>Background Data for Final Figures Return for 2017-18</t>
  </si>
  <si>
    <t>Funded Places and Consolidation Student Numbers for 2017-18</t>
  </si>
  <si>
    <t>Taught
post-
graduate
skills</t>
  </si>
  <si>
    <t>Innovation
centres</t>
  </si>
  <si>
    <t>European Social Fund
‘Developing Scotland’s Workforce'</t>
  </si>
  <si>
    <t>Total SFC Non-controlled
Funded Places for 2017-18</t>
  </si>
  <si>
    <t>SFC Controlled Funded Places for 2017-18</t>
  </si>
  <si>
    <t>Scottish Government Funded Places for 2017-18</t>
  </si>
  <si>
    <t>Controlled Consolidation Student Numbers for 2017-18</t>
  </si>
  <si>
    <t>Non-
controlled
Consolid-
ation
Student
Number
for
2017-18</t>
  </si>
  <si>
    <t>Institution</t>
  </si>
  <si>
    <t>Research
post-graduate</t>
  </si>
  <si>
    <t>Taught
post-graduate</t>
  </si>
  <si>
    <t>Under-
graduate</t>
  </si>
  <si>
    <t>Funded
through
Main
Teaching
Grant</t>
  </si>
  <si>
    <t>Funded
through
Strategic
Grants</t>
  </si>
  <si>
    <t>Clinical
medicine</t>
  </si>
  <si>
    <t>Clinical
dentistry</t>
  </si>
  <si>
    <t>Pre-clinical
medicine</t>
  </si>
  <si>
    <t>Pre-clinical
dentistry</t>
  </si>
  <si>
    <t>BEd
Primary</t>
  </si>
  <si>
    <t>BEd
Music</t>
  </si>
  <si>
    <t>BEd PE</t>
  </si>
  <si>
    <t>BEd
Technology</t>
  </si>
  <si>
    <t>PGDE
Primary</t>
  </si>
  <si>
    <t>PGDE
Secondary</t>
  </si>
  <si>
    <t>Honours
Nursing</t>
  </si>
  <si>
    <t>Pre-
clinical
medicine</t>
  </si>
  <si>
    <t>Pre-
medical
entry</t>
  </si>
  <si>
    <t>Nursing
and
midwifery
pre-
registration</t>
  </si>
  <si>
    <t>BA
Childhood
Practice</t>
  </si>
  <si>
    <t>HNC
Childhood
Practice</t>
  </si>
  <si>
    <t>Medicine
under-
graduates</t>
  </si>
  <si>
    <t>Dentistry
under-
graduates</t>
  </si>
  <si>
    <t>Initial
Teacher
Education
Primary</t>
  </si>
  <si>
    <t>Initial
Teacher
Education
Secondary</t>
  </si>
  <si>
    <t xml:space="preserve">FTE </t>
  </si>
  <si>
    <t>Aberdeen, University of</t>
  </si>
  <si>
    <t>Abertay Dundee, University of</t>
  </si>
  <si>
    <t>Dundee, University of</t>
  </si>
  <si>
    <t>Glasgow Caledonian University</t>
  </si>
  <si>
    <t>Glasgow School of Art</t>
  </si>
  <si>
    <t>Highlands and Islands, University of the</t>
  </si>
  <si>
    <t>Open University in Scotland</t>
  </si>
  <si>
    <t>Queen Margaret University, Edinburgh</t>
  </si>
  <si>
    <t>Robert Gordon University</t>
  </si>
  <si>
    <t>Royal Conservatoire of Scotland</t>
  </si>
  <si>
    <t>SRUC</t>
  </si>
  <si>
    <t>St Andrews, University of</t>
  </si>
  <si>
    <t>West of Scotland, University of the</t>
  </si>
  <si>
    <t>Rest of UK Students Not Eligible for Funding in Controlled Subject Areas</t>
  </si>
  <si>
    <t>Aberdeen,
University of</t>
  </si>
  <si>
    <t>Abertay Dundee,
University of</t>
  </si>
  <si>
    <t>Dundee,
University of</t>
  </si>
  <si>
    <t>Edinburgh Napier
University</t>
  </si>
  <si>
    <t>Edinburgh,
University of</t>
  </si>
  <si>
    <t>Glasgow Caledonian
University</t>
  </si>
  <si>
    <t>Heriot-Watt
University</t>
  </si>
  <si>
    <t>Highlands and Islands,
University of the</t>
  </si>
  <si>
    <t>Open University
in Scotland
(Enrolments)</t>
  </si>
  <si>
    <t>Queen Margaret
University, Edinburgh</t>
  </si>
  <si>
    <t>Robert Gordon
University</t>
  </si>
  <si>
    <t>Royal Conservatoire
of Scotland</t>
  </si>
  <si>
    <t>St Andrews,
University of</t>
  </si>
  <si>
    <t>Stirling,
University of</t>
  </si>
  <si>
    <t>Strathclyde,
University of</t>
  </si>
  <si>
    <t>West of Scotland,
University of the</t>
  </si>
  <si>
    <t>Open University
in Scotland
(Completions)</t>
  </si>
  <si>
    <t>Abertay
Dundee,
University of</t>
  </si>
  <si>
    <t>Edinburgh
Napier
University</t>
  </si>
  <si>
    <t>Glasgow
Caledonian
University</t>
  </si>
  <si>
    <t>Glasgow
School
of Art</t>
  </si>
  <si>
    <t>Glasgow,
University of</t>
  </si>
  <si>
    <t>Highlands
and Islands,
University
of the</t>
  </si>
  <si>
    <t>Open
University
in Scotland
(Enrolments)</t>
  </si>
  <si>
    <t>Queen
Margaret
University,
Edinburgh</t>
  </si>
  <si>
    <t>Robert
Gordon
University</t>
  </si>
  <si>
    <t>Royal
Conservatoire
of Scotland</t>
  </si>
  <si>
    <t>West of
Scotland,
University
of the</t>
  </si>
  <si>
    <t>Controlled Three-year Degree</t>
  </si>
  <si>
    <t>Controlled Four-year Degree - Entrants</t>
  </si>
  <si>
    <t>Use of Additional Places for Innovation Centres for 2017-18 from Early Statistics Returns</t>
  </si>
  <si>
    <t>Open
University
in Scotland</t>
  </si>
  <si>
    <t>Royal
Conser-
vatoire
of Scotland</t>
  </si>
  <si>
    <t>Entrants to Early Years Education Courses for 2017-18 from Early Statistics Returns</t>
  </si>
  <si>
    <t>Use of Additional Funded Places for European Social Fund for 2017-18 from the Early Statistics Return</t>
  </si>
  <si>
    <t>Degree</t>
  </si>
  <si>
    <t>MSc Big Data</t>
  </si>
  <si>
    <t>PGR Research course</t>
  </si>
  <si>
    <t>HND Animal Care year 2</t>
  </si>
  <si>
    <t>MSc Big Data and Advanced Computing</t>
  </si>
  <si>
    <t>Applied Bioscience Skills for Industry MSc</t>
  </si>
  <si>
    <t>BA Rural Business Management year 3</t>
  </si>
  <si>
    <t>MSc Big Data Technologies</t>
  </si>
  <si>
    <t>Archaeological Practice MSc/Archaeological Studies Mlitt</t>
  </si>
  <si>
    <t>MSc Business Analysis &amp; Consulting</t>
  </si>
  <si>
    <t>Business Administration MBA</t>
  </si>
  <si>
    <t>MSc Data Analytics</t>
  </si>
  <si>
    <t>Developing Low Carbon Communities MSc/Sustainable Energy Solutions MSc</t>
  </si>
  <si>
    <t>MSc Data Analytics
MRes in Statistics</t>
  </si>
  <si>
    <t>Sustainable Rural Development MSc</t>
  </si>
  <si>
    <t xml:space="preserve">MSc Data Science </t>
  </si>
  <si>
    <t>Adventure Tourism Management BAH</t>
  </si>
  <si>
    <t>MSc Data Science for Business</t>
  </si>
  <si>
    <t>Applied Science BScH</t>
  </si>
  <si>
    <t>Civil Engineering BEngH</t>
  </si>
  <si>
    <t>Computing BScH</t>
  </si>
  <si>
    <t>Environmental Science BScH/Sustainable Development BScH</t>
  </si>
  <si>
    <t>Forest Management BScH</t>
  </si>
  <si>
    <t>Health Studies BAH</t>
  </si>
  <si>
    <t>Marine and Coastal Tourism BAH</t>
  </si>
  <si>
    <t>Marine Science BScH</t>
  </si>
  <si>
    <t>Students Eligible for Funding and Rest of UK Students in the Intake to PGDE Secondary Courses, 2017-18: Subjects Training to Teach, from Early Statistics Returns</t>
  </si>
  <si>
    <t>Combined with</t>
  </si>
  <si>
    <t>Teaching Subject</t>
  </si>
  <si>
    <t>Teaching sector /
Level of study</t>
  </si>
  <si>
    <t>Course title</t>
  </si>
  <si>
    <t>Students
eligible
for funding</t>
  </si>
  <si>
    <t>PGDE Primary (Dlite) February intake</t>
  </si>
  <si>
    <t>Transformative Learning and Teaching (Nursery - S3, Generalist) (MSc)</t>
  </si>
  <si>
    <t>PGDE (Primary) (NLTT)</t>
  </si>
  <si>
    <t>BA in Professional Education (Primary) with Specialisms in Numeracy/ASN/Literacy/Prim Sci</t>
  </si>
  <si>
    <t>Primary total</t>
  </si>
  <si>
    <t>Check total</t>
  </si>
  <si>
    <t>PGCE (Secondary Education in XXX with Supported Induction Route)</t>
  </si>
  <si>
    <t xml:space="preserve">Transformative Learning and Teaching (P5 - S6, English) (MSc) </t>
  </si>
  <si>
    <t>PGDE Secondary Education (Integrated)</t>
  </si>
  <si>
    <t>BSc on Chemistry and Professional Education</t>
  </si>
  <si>
    <t>BSc in Physics and Professional Education</t>
  </si>
  <si>
    <t>Secondary total</t>
  </si>
  <si>
    <t>Institution selected</t>
  </si>
  <si>
    <t>Table flags</t>
  </si>
  <si>
    <t>Included in Table</t>
  </si>
  <si>
    <t>Open University (Completions)</t>
  </si>
  <si>
    <t>Look up
for
Early
Statistics
for
2017-18</t>
  </si>
  <si>
    <t>Four-year Nursing Degrees</t>
  </si>
  <si>
    <t>(*) Enter the FTE number of places that have been filled.  You do not have to return the total number of</t>
  </si>
  <si>
    <t>students eligible for funding on the taught postgraduate courses for which additional places were allocated.</t>
  </si>
  <si>
    <t>Taught postgraduate
students eligible for funding</t>
  </si>
  <si>
    <t>Final
Figures</t>
  </si>
  <si>
    <t>Early Statistics Table Column Number</t>
  </si>
  <si>
    <t>RUK students
not eligible
for funding
in controlled
subject
areas</t>
  </si>
  <si>
    <t>Table 3e - ESF</t>
  </si>
  <si>
    <t>Enrolments</t>
  </si>
  <si>
    <t>RPG
enrolments</t>
  </si>
  <si>
    <t>TPG
enrolments</t>
  </si>
  <si>
    <t>HN
enrolments</t>
  </si>
  <si>
    <t>Table 3a -
Taught
post-
graduate</t>
  </si>
  <si>
    <t>Table 3b -
Innovation
Centres
TPG</t>
  </si>
  <si>
    <t>Table 3d -
ESF</t>
  </si>
  <si>
    <t>Number</t>
  </si>
  <si>
    <t>Table 3c -
Early
Years</t>
  </si>
  <si>
    <t>Table 4a -
New
Routes</t>
  </si>
  <si>
    <t>Table 4b -
PGDE
Subjects</t>
  </si>
  <si>
    <t>Table 4c -
New
Routes
Subjects</t>
  </si>
  <si>
    <t>Early Statistics Information Look Up</t>
  </si>
  <si>
    <t>Entrants to Early Years Education Courses, 2017-18</t>
  </si>
  <si>
    <t>BA Childhood Practice</t>
  </si>
  <si>
    <t>HNC Childhood Practice</t>
  </si>
  <si>
    <t xml:space="preserve">       This figure will be compared to the number of entrants to these courses in previous years to estimate the</t>
  </si>
  <si>
    <t>level of additional enrolments and hence to inform how many of the additional places have been filled.</t>
  </si>
  <si>
    <t>Undergraduates</t>
  </si>
  <si>
    <t>Additional ESF-funded Places</t>
  </si>
  <si>
    <t>Student entrants eligible
for funding, 2017-18   (*)</t>
  </si>
  <si>
    <t>Degree
enrolments</t>
  </si>
  <si>
    <t xml:space="preserve"> </t>
  </si>
  <si>
    <t>Scottish Funding Council Final Figures Return 2017-18: Table 3b</t>
  </si>
  <si>
    <t>3c</t>
  </si>
  <si>
    <t>Scottish Funding Council Final Figures Return 2017-18: Table 4a</t>
  </si>
  <si>
    <t>Table 4a - New Routes</t>
  </si>
  <si>
    <t>Scottish Funding Council Final Figures Return 2017-18: Table 4b</t>
  </si>
  <si>
    <t>Students Eligible for Funding and Rest of UK Students in the Intake to PGDE Secondary Courses, 2017-18: Subjects Training to Teach</t>
  </si>
  <si>
    <t>(Calculated)</t>
  </si>
  <si>
    <t>Table 4b- PGDE Secondary Subjects</t>
  </si>
  <si>
    <t>PGDE Secondary Subject</t>
  </si>
  <si>
    <t>Scottish Funding Council Final Figures Return 2017-18: Table 4c</t>
  </si>
  <si>
    <t>Table 4c- New Routes Initial Teacher Education Secondary Subjects</t>
  </si>
  <si>
    <t>Students Eligible for Funding and Rest of UK Students in the Intake to New Routes Secondary Courses, 2017-18: Subjects Training to Teach, from Early Statistics Returns</t>
  </si>
  <si>
    <t>3b</t>
  </si>
  <si>
    <t>4a</t>
  </si>
  <si>
    <t>4c</t>
  </si>
  <si>
    <t>4b</t>
  </si>
  <si>
    <t>Students in the Intake to PGDE Secondary Courses, 2017-18: Subjects Training to Teach</t>
  </si>
  <si>
    <t>SFC
funded</t>
  </si>
  <si>
    <t>Scottish
Govern-
ment
funded</t>
  </si>
  <si>
    <t>Is there an
under-
enrolment
below the
tolerance
threshold?</t>
  </si>
  <si>
    <t>Funded places for 2017-18</t>
  </si>
  <si>
    <t>Is there a
breach of
consol-
idation?</t>
  </si>
  <si>
    <t>Other Taught Postgraduates and Undergraduates</t>
  </si>
  <si>
    <t>Students
eligible
for  
funding in
2017-18</t>
  </si>
  <si>
    <t>Consolidation
Numbers 
2017-18</t>
  </si>
  <si>
    <t>Difference between
student numbers and
Consolidation Number</t>
  </si>
  <si>
    <t>Consolidation Student Numbers, 2017-18</t>
  </si>
  <si>
    <t>Students eligible for funding and rest of UK students paying deregulated tuition fees compared to Consolidation Student Numbers for controlled subject areas</t>
  </si>
  <si>
    <t>(*) The Primary and Secondary totals for taught postgraduates and undergraduates should</t>
  </si>
  <si>
    <t>equal the corresponding course totals on Table 1.</t>
  </si>
  <si>
    <t>Scottish Funding Council Final Figures Return 2017-18: Table 3d</t>
  </si>
  <si>
    <t>Scottish Funding Council Final Figures Return 2017-18: Table 3c</t>
  </si>
  <si>
    <t>From Scottish Funding Council Early Statistics Return 2017-18, Table 2e</t>
  </si>
  <si>
    <t>From Scottish Funding Council Early Statistics Return 2017-18, Table 2d</t>
  </si>
  <si>
    <t>From Scottish Funding Council Early Statistics Return 2017-18, Table 5c</t>
  </si>
  <si>
    <t>From Early
Statistics
Return,
Table 5b</t>
  </si>
  <si>
    <t>From Early
Statistics
Return,
Table 5a</t>
  </si>
  <si>
    <t>From Scottish Funding Council Early Statistics Return 2017-18, Table 2f</t>
  </si>
  <si>
    <t>Undergraduate Primary   (i)</t>
  </si>
  <si>
    <t>Postgraduate Primary   (ii)</t>
  </si>
  <si>
    <t>Postgraduate Secondary  (iii)</t>
  </si>
  <si>
    <t>(i) The enrolments for Undergraduate Primary in column (4) include those for BEd Primary and the Undergraduate New Routes at both Primary and Secondary level.</t>
  </si>
  <si>
    <t>Funded
places
(*)</t>
  </si>
  <si>
    <t>(ii) The enrolments for Postgraduate Primary in column (4) include those for PGDE Primary and the Postgraduate New Routes at Primary level.</t>
  </si>
  <si>
    <t>(iii) The enrolments for Postgraduate Secondary in column (4) include those for PGDE Secondary and the Postgraduate New Routes at Secondary level.</t>
  </si>
  <si>
    <t>Scottish and other EU full-time and sandwich undergraduate students eligible for funding compared to Consolidation Student Number for non-controlled subject areas</t>
  </si>
  <si>
    <t>Medicine Undergraduates</t>
  </si>
  <si>
    <t>Initial Teacher Education (BEd, PGDE and New Routes)</t>
  </si>
  <si>
    <t>Nursing and Midwifery Pre-registration</t>
  </si>
  <si>
    <t>Dentistry Undergraduates</t>
  </si>
  <si>
    <t>(*) The funded places include the additional places funded by the Scottish Government for BA and HNC in Childhood Practice but exclude the additional places funded by the European Social Fund.</t>
  </si>
  <si>
    <t>Students on
the relevant
taught
postgraduate
courses,
2017-18
(*)</t>
  </si>
  <si>
    <t>Difference from Additional Funded Places</t>
  </si>
  <si>
    <t>Any figure that has changed should be over-written with the updated figure.</t>
  </si>
  <si>
    <t>(*) This relates to the total FTE number of student eligible for funding starting on these courses in 2017-18.</t>
  </si>
  <si>
    <t>Reference</t>
  </si>
  <si>
    <t>The Final Figures are pre-populated with the corresponding information from the Early Statistics Return shown in columns (7) to (12) of the accompanying table.</t>
  </si>
  <si>
    <t>Any information that has changed should be over-written with the updated information.</t>
  </si>
  <si>
    <t>The Final Figures in column (3) are pre-populated with the corresponding figures from the Early Statistics Return in column (2).</t>
  </si>
  <si>
    <t>The Final Figures are pre-populated with the corresponding information from the Early Statistics Return shown in</t>
  </si>
  <si>
    <t>columns (3) and (4) of the accompanying table.</t>
  </si>
  <si>
    <t>The Final Figures are pre-populated with the corresponding figures from the Early Statistics Return shown in columns (25) to (45) of the accompanying table. Any figure that has changed should be over-written with the updated figure.</t>
  </si>
  <si>
    <t>New Routes Initial Teacher Education Course
Teaching Sector / Level of Study</t>
  </si>
  <si>
    <t>You must make your return by, or preferably before, Friday 5 October 2018</t>
  </si>
  <si>
    <t>MLitt Art: Poliltics: Transgression: Twentieth Century Avant-Gardes</t>
  </si>
  <si>
    <t>MLitt Art History: Collecting and Provenance Studies in an International Context</t>
  </si>
  <si>
    <t>MSc Art History: Collecting and Provenance in an International Context</t>
  </si>
  <si>
    <t>MLitt Playwritng and Dramaturgy</t>
  </si>
  <si>
    <t>M Litt  Art History: Technical Art History: Making and Meaning</t>
  </si>
  <si>
    <t>M Litt Theatre Performance Practice</t>
  </si>
  <si>
    <t>M Litt Material Culture and Artefact Studies</t>
  </si>
  <si>
    <t>MSc Animal Welfare Science, Ethics and Law</t>
  </si>
  <si>
    <t>MSc Information Technology</t>
  </si>
  <si>
    <t>MSc Software Development</t>
  </si>
  <si>
    <t>MSc Biomedical Engineering</t>
  </si>
  <si>
    <t>MSc Banking and Financial Services</t>
  </si>
  <si>
    <t>MSc Financial Forecast and Investment</t>
  </si>
  <si>
    <t>MSc Financial Economics</t>
  </si>
  <si>
    <t>MSc Financial Risk Management</t>
  </si>
  <si>
    <t>MLitt Art History: Dress and Textile History</t>
  </si>
  <si>
    <t>MSc International Trade and Finance</t>
  </si>
  <si>
    <t>MSc Investment Banking and Finance</t>
  </si>
  <si>
    <t>MSc Investment Fund Management</t>
  </si>
  <si>
    <t>MSc Quantitative Finance</t>
  </si>
  <si>
    <t>MSc Tourism, Heritage and Development</t>
  </si>
  <si>
    <t>MSc Environmental Change</t>
  </si>
  <si>
    <t>MSc Enhanced Practice in Education</t>
  </si>
  <si>
    <t>MSc Environmental Science</t>
  </si>
  <si>
    <t>MSc Tourism, Heritage and Sustainability</t>
  </si>
  <si>
    <t>MSc City Planning</t>
  </si>
  <si>
    <t>MSc Urban Transport</t>
  </si>
  <si>
    <t xml:space="preserve">MSc REPR Real Estate    </t>
  </si>
  <si>
    <t>Non Graduating Dumfries PGT</t>
  </si>
  <si>
    <t>M Litt Environment, Culture &amp; Communication</t>
  </si>
  <si>
    <t>MSc REPR City Planning &amp; Regeneration</t>
  </si>
  <si>
    <t>MSc REPR City Planning &amp; Real Estate Development</t>
  </si>
  <si>
    <t>MSc REPR Real Estate &amp; Regeneration</t>
  </si>
  <si>
    <t xml:space="preserve">We had a forecast of 65.8 FTEs in the Early Return which was too high. </t>
  </si>
  <si>
    <t>We had a forecast of 2.0 FTES in the Early Return which did not turn up.</t>
  </si>
  <si>
    <t xml:space="preserve">We had a forecast of 31.9 FTEs in the Early Return which was too low. </t>
  </si>
  <si>
    <t>This was because we forecast 6.0 FTES in the Early Return and only 1.0 extra FTE registered.</t>
  </si>
  <si>
    <t>The forecast in the Early Return was too low.</t>
  </si>
  <si>
    <t>MRes Biomedical Sciences (Integrative Mammalian Biology)</t>
  </si>
  <si>
    <t>MSc Sustainable Energy</t>
  </si>
  <si>
    <t>MSc Medical Visualisation and Anatomy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</si>
</sst>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\ \ \ ;\-#,##0.0\ \ \ ;"/>
    <numFmt numFmtId="165" formatCode="0.0%\ \ "/>
    <numFmt numFmtId="166" formatCode="_(* #,##0.00_);_(* \(#,##0.00\);_(* &quot;-&quot;??_);_(@_)"/>
    <numFmt numFmtId="167" formatCode="#,##0\ "/>
    <numFmt numFmtId="168" formatCode="#,##0.0\ \ ;\-#,##0.0\ \ ;0.0\ \ "/>
    <numFmt numFmtId="169" formatCode="#,##0.00_ ;\-#,##0.00\ "/>
    <numFmt numFmtId="170" formatCode="#,##0\ \ ;\-#,##0\ \ ;\ \ "/>
    <numFmt numFmtId="171" formatCode="#,##0.0\ \ ;\-#,##0.0\ \ ;\-\ \ "/>
    <numFmt numFmtId="172" formatCode="\(0\)"/>
    <numFmt numFmtId="173" formatCode="#,##0\ \ "/>
    <numFmt numFmtId="174" formatCode="#,##0\ \ \ "/>
    <numFmt numFmtId="175" formatCode="#,##0.0\ \ ;#,##0.0\ \ ;\-\ \ "/>
    <numFmt numFmtId="176" formatCode="0.0%"/>
    <numFmt numFmtId="177" formatCode="#,##0.0"/>
    <numFmt numFmtId="178" formatCode="#,##0.0\ \ ;\-#,##0.0\ \ ;"/>
    <numFmt numFmtId="179" formatCode="0;\-0;"/>
    <numFmt numFmtId="180" formatCode="#,##0.0\ \ "/>
    <numFmt numFmtId="181" formatCode="#,##0.0\ \ \ ;\-#,##0.0\ \ \ ;0.0\ \ "/>
    <numFmt numFmtId="182" formatCode="#,##0.00\ \ ;\-#,##0.00\ \ ;0.00\ \ "/>
    <numFmt numFmtId="183" formatCode="#,##0\ \ ;\-#,##0\ \ ;0\ \ "/>
    <numFmt numFmtId="184" formatCode="#,##0.0\ \ ;\-#,##0.0\ \ ;\ \ "/>
    <numFmt numFmtId="185" formatCode="#,##0\ \ ;\-#,##0\ \ ;\-\ \ "/>
    <numFmt numFmtId="186" formatCode="0.0"/>
    <numFmt numFmtId="187" formatCode="#,##0\ \ ;\-#,##0\ \ ;\ \ \ "/>
    <numFmt numFmtId="188" formatCode="0\ \ "/>
    <numFmt numFmtId="189" formatCode="#,##0.0\ \ ;#,##0.0\ \ ;"/>
    <numFmt numFmtId="190" formatCode="\(0\)\ \ "/>
    <numFmt numFmtId="191" formatCode="#,##0\ \ ;\-#,##0\ ;\-\ \ "/>
    <numFmt numFmtId="192" formatCode="#,##0;\-#,##0;\-"/>
    <numFmt numFmtId="193" formatCode="#,##0.0\ \ ;\-#,##0\ \ ;\-\ \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sz val="10"/>
      <name val="Arial MT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indexed="18"/>
      <name val="Calibri"/>
      <family val="2"/>
    </font>
    <font>
      <sz val="11"/>
      <color indexed="10"/>
      <name val="Calibri"/>
      <family val="2"/>
    </font>
    <font>
      <b/>
      <sz val="11"/>
      <color indexed="56"/>
      <name val="Calibri"/>
      <family val="2"/>
    </font>
    <font>
      <b/>
      <u/>
      <sz val="11"/>
      <color indexed="12"/>
      <name val="Calibri"/>
      <family val="2"/>
    </font>
    <font>
      <sz val="11"/>
      <color indexed="22"/>
      <name val="Calibri"/>
      <family val="2"/>
    </font>
    <font>
      <u/>
      <sz val="11"/>
      <name val="Calibri"/>
      <family val="2"/>
    </font>
    <font>
      <b/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indexed="26"/>
      <name val="Calibri"/>
      <family val="2"/>
    </font>
    <font>
      <sz val="11"/>
      <color indexed="18"/>
      <name val="Calibri"/>
      <family val="2"/>
    </font>
    <font>
      <b/>
      <sz val="11"/>
      <color rgb="FF000080"/>
      <name val="Calibri"/>
      <family val="2"/>
    </font>
    <font>
      <sz val="11"/>
      <color rgb="FF000080"/>
      <name val="Calibri"/>
      <family val="2"/>
    </font>
    <font>
      <sz val="11"/>
      <color rgb="FF1F497D"/>
      <name val="Calibri"/>
      <family val="2"/>
    </font>
    <font>
      <u/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16"/>
      <color rgb="FFFF0000"/>
      <name val="Calibri"/>
      <family val="2"/>
    </font>
    <font>
      <sz val="12"/>
      <name val="Calibri"/>
      <family val="2"/>
    </font>
    <font>
      <sz val="11"/>
      <color rgb="FFCCFFFF"/>
      <name val="Calibri"/>
      <family val="2"/>
    </font>
    <font>
      <sz val="18"/>
      <color indexed="10"/>
      <name val="Calibri"/>
      <family val="2"/>
    </font>
    <font>
      <sz val="11"/>
      <color indexed="27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Futura Bk BT"/>
    </font>
    <font>
      <sz val="8"/>
      <name val="MS Sans Serif"/>
      <family val="2"/>
    </font>
    <font>
      <i/>
      <sz val="10"/>
      <color rgb="FF7F7F7F"/>
      <name val="Arial"/>
      <family val="2"/>
    </font>
    <font>
      <sz val="8"/>
      <name val="Futura Bk BT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Century Gothic"/>
      <family val="2"/>
    </font>
    <font>
      <u/>
      <sz val="12"/>
      <color indexed="12"/>
      <name val="Times New Roman"/>
      <family val="1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0"/>
      <name val="Futura Hv BT"/>
    </font>
    <font>
      <i/>
      <sz val="10"/>
      <name val="Futura Bk BT"/>
    </font>
    <font>
      <b/>
      <sz val="10"/>
      <color rgb="FF3F3F3F"/>
      <name val="Arial"/>
      <family val="2"/>
    </font>
    <font>
      <sz val="14"/>
      <name val="Futura Hv BT"/>
    </font>
    <font>
      <b/>
      <sz val="10"/>
      <color theme="1"/>
      <name val="Arial"/>
      <family val="2"/>
    </font>
    <font>
      <i/>
      <sz val="10"/>
      <name val="Futura Hv BT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FFCC"/>
      <name val="Calibri"/>
      <family val="2"/>
    </font>
    <font>
      <sz val="16"/>
      <color rgb="FFFF000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43"/>
      </patternFill>
    </fill>
    <fill>
      <patternFill patternType="mediumGray">
        <fgColor indexed="47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00"/>
        <bgColor auto="1"/>
      </patternFill>
    </fill>
    <fill>
      <patternFill patternType="solid">
        <fgColor indexed="52"/>
        <bgColor auto="1"/>
      </patternFill>
    </fill>
    <fill>
      <patternFill patternType="solid">
        <fgColor indexed="27"/>
        <bgColor indexed="3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43"/>
      </patternFill>
    </fill>
    <fill>
      <patternFill patternType="solid">
        <fgColor rgb="FFFF9900"/>
        <bgColor indexed="64"/>
      </patternFill>
    </fill>
    <fill>
      <patternFill patternType="solid">
        <fgColor indexed="41"/>
        <bgColor indexed="35"/>
      </patternFill>
    </fill>
    <fill>
      <patternFill patternType="solid">
        <fgColor rgb="FFFFFFFF"/>
        <bgColor indexed="15"/>
      </patternFill>
    </fill>
    <fill>
      <patternFill patternType="solid">
        <fgColor rgb="FFCCFFFF"/>
        <bgColor indexed="15"/>
      </patternFill>
    </fill>
    <fill>
      <patternFill patternType="solid">
        <fgColor indexed="27"/>
        <bgColor indexed="1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35"/>
      </patternFill>
    </fill>
    <fill>
      <patternFill patternType="solid">
        <fgColor rgb="FFFFFFCC"/>
        <bgColor indexed="15"/>
      </patternFill>
    </fill>
    <fill>
      <patternFill patternType="solid">
        <fgColor rgb="FFC0C0C0"/>
        <bgColor indexed="15"/>
      </patternFill>
    </fill>
  </fills>
  <borders count="1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4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6" fillId="0" borderId="0"/>
    <xf numFmtId="43" fontId="29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8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29" fillId="47" borderId="0" applyNumberFormat="0" applyBorder="0" applyAlignment="0" applyProtection="0"/>
    <xf numFmtId="0" fontId="29" fillId="51" borderId="0" applyNumberFormat="0" applyBorder="0" applyAlignment="0" applyProtection="0"/>
    <xf numFmtId="0" fontId="29" fillId="5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4" borderId="0" applyNumberFormat="0" applyBorder="0" applyAlignment="0" applyProtection="0"/>
    <xf numFmtId="0" fontId="29" fillId="48" borderId="0" applyNumberFormat="0" applyBorder="0" applyAlignment="0" applyProtection="0"/>
    <xf numFmtId="0" fontId="29" fillId="52" borderId="0" applyNumberFormat="0" applyBorder="0" applyAlignment="0" applyProtection="0"/>
    <xf numFmtId="0" fontId="29" fillId="56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57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40" fillId="28" borderId="0" applyNumberFormat="0" applyBorder="0" applyAlignment="0" applyProtection="0"/>
    <xf numFmtId="0" fontId="41" fillId="31" borderId="120" applyNumberFormat="0" applyAlignment="0" applyProtection="0"/>
    <xf numFmtId="0" fontId="42" fillId="32" borderId="123" applyNumberFormat="0" applyAlignment="0" applyProtection="0"/>
    <xf numFmtId="49" fontId="43" fillId="0" borderId="127" applyFill="0" applyBorder="0" applyProtection="0">
      <alignment horizontal="right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1" fontId="43" fillId="0" borderId="0" applyFill="0" applyBorder="0" applyProtection="0">
      <alignment horizontal="right"/>
    </xf>
    <xf numFmtId="186" fontId="43" fillId="0" borderId="0" applyFill="0" applyBorder="0" applyProtection="0">
      <alignment horizontal="right"/>
    </xf>
    <xf numFmtId="2" fontId="43" fillId="0" borderId="0" applyFill="0" applyBorder="0" applyProtection="0">
      <alignment horizontal="right"/>
    </xf>
    <xf numFmtId="0" fontId="43" fillId="0" borderId="0" applyFill="0" applyBorder="0" applyProtection="0">
      <alignment horizontal="right"/>
    </xf>
    <xf numFmtId="0" fontId="45" fillId="0" borderId="0" applyNumberFormat="0" applyFill="0" applyBorder="0" applyAlignment="0" applyProtection="0"/>
    <xf numFmtId="49" fontId="46" fillId="0" borderId="0" applyFill="0" applyBorder="0" applyProtection="0">
      <alignment horizontal="left"/>
    </xf>
    <xf numFmtId="0" fontId="47" fillId="27" borderId="0" applyNumberFormat="0" applyBorder="0" applyAlignment="0" applyProtection="0"/>
    <xf numFmtId="0" fontId="48" fillId="0" borderId="117" applyNumberFormat="0" applyFill="0" applyAlignment="0" applyProtection="0"/>
    <xf numFmtId="0" fontId="49" fillId="0" borderId="118" applyNumberFormat="0" applyFill="0" applyAlignment="0" applyProtection="0"/>
    <xf numFmtId="0" fontId="50" fillId="0" borderId="11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54" fillId="30" borderId="120" applyNumberFormat="0" applyAlignment="0" applyProtection="0"/>
    <xf numFmtId="0" fontId="55" fillId="0" borderId="122" applyNumberFormat="0" applyFill="0" applyAlignment="0" applyProtection="0"/>
    <xf numFmtId="0" fontId="56" fillId="29" borderId="0" applyNumberFormat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44" fillId="0" borderId="0" applyAlignment="0">
      <alignment vertical="top" wrapText="1"/>
      <protection locked="0"/>
    </xf>
    <xf numFmtId="0" fontId="44" fillId="0" borderId="0" applyAlignment="0">
      <alignment vertical="top" wrapText="1"/>
      <protection locked="0"/>
    </xf>
    <xf numFmtId="0" fontId="2" fillId="0" borderId="0"/>
    <xf numFmtId="0" fontId="6" fillId="0" borderId="0"/>
    <xf numFmtId="0" fontId="7" fillId="0" borderId="0"/>
    <xf numFmtId="0" fontId="29" fillId="0" borderId="0"/>
    <xf numFmtId="0" fontId="6" fillId="0" borderId="0"/>
    <xf numFmtId="0" fontId="6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5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8" fillId="0" borderId="0"/>
    <xf numFmtId="49" fontId="59" fillId="0" borderId="0" applyFill="0" applyBorder="0" applyProtection="0">
      <alignment horizontal="left"/>
    </xf>
    <xf numFmtId="49" fontId="60" fillId="0" borderId="0" applyFill="0" applyBorder="0" applyProtection="0">
      <alignment horizontal="left"/>
    </xf>
    <xf numFmtId="49" fontId="43" fillId="0" borderId="0" applyFill="0" applyBorder="0" applyProtection="0">
      <alignment horizontal="left"/>
    </xf>
    <xf numFmtId="0" fontId="29" fillId="33" borderId="124" applyNumberFormat="0" applyFont="0" applyAlignment="0" applyProtection="0"/>
    <xf numFmtId="0" fontId="61" fillId="31" borderId="121" applyNumberFormat="0" applyAlignment="0" applyProtection="0"/>
    <xf numFmtId="9" fontId="60" fillId="0" borderId="0" applyFill="0" applyBorder="0" applyProtection="0">
      <alignment horizontal="right"/>
    </xf>
    <xf numFmtId="176" fontId="60" fillId="0" borderId="0" applyFill="0" applyBorder="0" applyProtection="0">
      <alignment horizontal="right"/>
    </xf>
    <xf numFmtId="10" fontId="60" fillId="0" borderId="0" applyFill="0" applyBorder="0" applyProtection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49" fontId="43" fillId="0" borderId="0" applyFill="0" applyBorder="0" applyProtection="0">
      <alignment horizontal="left"/>
    </xf>
    <xf numFmtId="49" fontId="43" fillId="0" borderId="127" applyFill="0" applyBorder="0" applyProtection="0">
      <alignment horizontal="right" textRotation="90"/>
    </xf>
    <xf numFmtId="49" fontId="46" fillId="0" borderId="0" applyFill="0" applyBorder="0" applyProtection="0">
      <alignment horizontal="right"/>
    </xf>
    <xf numFmtId="49" fontId="62" fillId="0" borderId="0" applyFill="0" applyBorder="0" applyProtection="0">
      <alignment horizontal="left"/>
    </xf>
    <xf numFmtId="49" fontId="59" fillId="0" borderId="0" applyFill="0" applyBorder="0" applyProtection="0">
      <alignment horizontal="centerContinuous"/>
    </xf>
    <xf numFmtId="49" fontId="59" fillId="0" borderId="0" applyFill="0" applyBorder="0" applyProtection="0">
      <alignment horizontal="left"/>
    </xf>
    <xf numFmtId="0" fontId="63" fillId="0" borderId="125" applyNumberFormat="0" applyFill="0" applyAlignment="0" applyProtection="0"/>
    <xf numFmtId="49" fontId="59" fillId="0" borderId="128" applyFill="0" applyBorder="0" applyProtection="0">
      <alignment horizontal="right"/>
    </xf>
    <xf numFmtId="1" fontId="59" fillId="0" borderId="0" applyFill="0" applyBorder="0" applyProtection="0">
      <alignment horizontal="right"/>
    </xf>
    <xf numFmtId="186" fontId="59" fillId="0" borderId="0" applyFill="0" applyBorder="0" applyProtection="0">
      <alignment horizontal="right"/>
    </xf>
    <xf numFmtId="2" fontId="59" fillId="0" borderId="0" applyFill="0" applyBorder="0" applyProtection="0">
      <alignment horizontal="right"/>
    </xf>
    <xf numFmtId="0" fontId="59" fillId="0" borderId="129" applyFill="0" applyBorder="0" applyProtection="0">
      <alignment horizontal="right"/>
    </xf>
    <xf numFmtId="9" fontId="64" fillId="0" borderId="0" applyFill="0" applyBorder="0" applyProtection="0">
      <alignment horizontal="right"/>
    </xf>
    <xf numFmtId="176" fontId="64" fillId="0" borderId="0" applyFill="0" applyBorder="0" applyProtection="0">
      <alignment horizontal="right"/>
    </xf>
    <xf numFmtId="10" fontId="64" fillId="0" borderId="0" applyFill="0" applyBorder="0" applyProtection="0">
      <alignment horizontal="right"/>
    </xf>
    <xf numFmtId="49" fontId="59" fillId="0" borderId="0" applyFill="0" applyBorder="0" applyProtection="0">
      <alignment horizontal="left"/>
    </xf>
    <xf numFmtId="49" fontId="59" fillId="0" borderId="0" applyFill="0" applyBorder="0" applyProtection="0">
      <alignment horizontal="right" textRotation="90"/>
    </xf>
    <xf numFmtId="0" fontId="65" fillId="0" borderId="0" applyNumberFormat="0" applyFill="0" applyBorder="0" applyAlignment="0" applyProtection="0"/>
    <xf numFmtId="49" fontId="43" fillId="0" borderId="0" applyFill="0" applyBorder="0" applyProtection="0">
      <alignment horizontal="right" wrapText="1"/>
    </xf>
    <xf numFmtId="49" fontId="59" fillId="0" borderId="0" applyFill="0" applyBorder="0" applyProtection="0">
      <alignment horizontal="left" wrapText="1"/>
    </xf>
    <xf numFmtId="49" fontId="60" fillId="0" borderId="0" applyFill="0" applyBorder="0" applyProtection="0">
      <alignment horizontal="left" wrapText="1"/>
    </xf>
    <xf numFmtId="49" fontId="43" fillId="0" borderId="0" applyFill="0" applyBorder="0" applyProtection="0">
      <alignment horizontal="left" wrapText="1"/>
    </xf>
    <xf numFmtId="49" fontId="43" fillId="0" borderId="0" applyFill="0" applyBorder="0" applyProtection="0">
      <alignment horizontal="left" wrapText="1"/>
    </xf>
    <xf numFmtId="49" fontId="43" fillId="0" borderId="0" applyFill="0" applyBorder="0" applyProtection="0">
      <alignment horizontal="right" textRotation="90"/>
    </xf>
    <xf numFmtId="49" fontId="62" fillId="0" borderId="0" applyFill="0" applyBorder="0" applyProtection="0">
      <alignment horizontal="left" wrapText="1"/>
    </xf>
    <xf numFmtId="49" fontId="59" fillId="0" borderId="0" applyFill="0" applyBorder="0" applyProtection="0">
      <alignment horizontal="centerContinuous" wrapText="1"/>
    </xf>
    <xf numFmtId="49" fontId="59" fillId="0" borderId="0" applyFill="0" applyBorder="0" applyProtection="0">
      <alignment horizontal="left" wrapText="1"/>
    </xf>
    <xf numFmtId="49" fontId="59" fillId="0" borderId="0" applyFill="0" applyBorder="0" applyProtection="0">
      <alignment horizontal="right" wrapText="1"/>
    </xf>
    <xf numFmtId="49" fontId="59" fillId="0" borderId="0" applyFill="0" applyBorder="0" applyProtection="0">
      <alignment horizontal="left" wrapText="1"/>
    </xf>
    <xf numFmtId="49" fontId="59" fillId="0" borderId="0" applyFill="0" applyBorder="0" applyProtection="0">
      <alignment horizontal="right" textRotation="90"/>
    </xf>
    <xf numFmtId="0" fontId="5" fillId="0" borderId="0"/>
    <xf numFmtId="0" fontId="1" fillId="0" borderId="0"/>
    <xf numFmtId="49" fontId="43" fillId="0" borderId="146" applyFill="0" applyBorder="0" applyProtection="0">
      <alignment horizontal="right" textRotation="90"/>
    </xf>
    <xf numFmtId="49" fontId="59" fillId="0" borderId="181" applyFill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49" fontId="43" fillId="0" borderId="142" applyFill="0" applyBorder="0" applyProtection="0">
      <alignment horizontal="right"/>
    </xf>
    <xf numFmtId="49" fontId="59" fillId="0" borderId="143" applyFill="0" applyBorder="0" applyProtection="0">
      <alignment horizontal="right"/>
    </xf>
    <xf numFmtId="49" fontId="43" fillId="0" borderId="150" applyFill="0" applyBorder="0" applyProtection="0">
      <alignment horizontal="right"/>
    </xf>
    <xf numFmtId="0" fontId="1" fillId="0" borderId="0"/>
    <xf numFmtId="49" fontId="43" fillId="0" borderId="142" applyFill="0" applyBorder="0" applyProtection="0">
      <alignment horizontal="right" textRotation="90"/>
    </xf>
    <xf numFmtId="49" fontId="43" fillId="0" borderId="184" applyFill="0" applyBorder="0" applyProtection="0">
      <alignment horizontal="right"/>
    </xf>
    <xf numFmtId="49" fontId="43" fillId="0" borderId="172" applyFill="0" applyBorder="0" applyProtection="0">
      <alignment horizontal="right" textRotation="90"/>
    </xf>
    <xf numFmtId="49" fontId="59" fillId="0" borderId="147" applyFill="0" applyBorder="0" applyProtection="0">
      <alignment horizontal="right"/>
    </xf>
    <xf numFmtId="49" fontId="59" fillId="0" borderId="183" applyFill="0" applyBorder="0" applyProtection="0">
      <alignment horizontal="right"/>
    </xf>
    <xf numFmtId="49" fontId="43" fillId="0" borderId="154" applyFill="0" applyBorder="0" applyProtection="0">
      <alignment horizontal="right"/>
    </xf>
    <xf numFmtId="49" fontId="43" fillId="0" borderId="140" applyFill="0" applyBorder="0" applyProtection="0">
      <alignment horizontal="right"/>
    </xf>
    <xf numFmtId="49" fontId="59" fillId="0" borderId="151" applyFill="0" applyBorder="0" applyProtection="0">
      <alignment horizontal="right"/>
    </xf>
    <xf numFmtId="49" fontId="43" fillId="0" borderId="182" applyFill="0" applyBorder="0" applyProtection="0">
      <alignment horizontal="right"/>
    </xf>
    <xf numFmtId="49" fontId="43" fillId="0" borderId="174" applyFill="0" applyBorder="0" applyProtection="0">
      <alignment horizontal="right"/>
    </xf>
    <xf numFmtId="49" fontId="43" fillId="0" borderId="158" applyFill="0" applyBorder="0" applyProtection="0">
      <alignment horizontal="right"/>
    </xf>
    <xf numFmtId="49" fontId="43" fillId="0" borderId="150" applyFill="0" applyBorder="0" applyProtection="0">
      <alignment horizontal="right" textRotation="90"/>
    </xf>
    <xf numFmtId="49" fontId="59" fillId="0" borderId="155" applyFill="0" applyBorder="0" applyProtection="0">
      <alignment horizontal="right"/>
    </xf>
    <xf numFmtId="49" fontId="43" fillId="0" borderId="168" applyFill="0" applyBorder="0" applyProtection="0">
      <alignment horizontal="right"/>
    </xf>
    <xf numFmtId="49" fontId="43" fillId="0" borderId="154" applyFill="0" applyBorder="0" applyProtection="0">
      <alignment horizontal="right" textRotation="90"/>
    </xf>
    <xf numFmtId="49" fontId="59" fillId="0" borderId="159" applyFill="0" applyBorder="0" applyProtection="0">
      <alignment horizontal="right"/>
    </xf>
    <xf numFmtId="49" fontId="43" fillId="0" borderId="172" applyFill="0" applyBorder="0" applyProtection="0">
      <alignment horizontal="right"/>
    </xf>
    <xf numFmtId="49" fontId="59" fillId="0" borderId="163" applyFill="0" applyBorder="0" applyProtection="0">
      <alignment horizontal="right"/>
    </xf>
    <xf numFmtId="49" fontId="59" fillId="0" borderId="161" applyFill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59" fillId="0" borderId="157" applyFill="0" applyBorder="0" applyProtection="0">
      <alignment horizontal="right"/>
    </xf>
    <xf numFmtId="49" fontId="43" fillId="0" borderId="152" applyFill="0" applyBorder="0" applyProtection="0">
      <alignment horizontal="right" textRotation="90"/>
    </xf>
    <xf numFmtId="49" fontId="43" fillId="0" borderId="166" applyFill="0" applyBorder="0" applyProtection="0">
      <alignment horizontal="right"/>
    </xf>
    <xf numFmtId="49" fontId="59" fillId="0" borderId="177" applyFill="0" applyBorder="0" applyProtection="0">
      <alignment horizontal="right"/>
    </xf>
    <xf numFmtId="49" fontId="59" fillId="0" borderId="153" applyFill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49" fontId="43" fillId="0" borderId="148" applyFill="0" applyBorder="0" applyProtection="0">
      <alignment horizontal="right" textRotation="90"/>
    </xf>
    <xf numFmtId="49" fontId="43" fillId="0" borderId="160" applyFill="0" applyBorder="0" applyProtection="0">
      <alignment horizontal="right"/>
    </xf>
    <xf numFmtId="49" fontId="43" fillId="0" borderId="156" applyFill="0" applyBorder="0" applyProtection="0">
      <alignment horizontal="right"/>
    </xf>
    <xf numFmtId="49" fontId="59" fillId="0" borderId="149" applyFill="0" applyBorder="0" applyProtection="0">
      <alignment horizontal="right"/>
    </xf>
    <xf numFmtId="0" fontId="1" fillId="0" borderId="0"/>
    <xf numFmtId="49" fontId="43" fillId="0" borderId="152" applyFill="0" applyBorder="0" applyProtection="0">
      <alignment horizontal="right"/>
    </xf>
    <xf numFmtId="49" fontId="59" fillId="0" borderId="145" applyFill="0" applyBorder="0" applyProtection="0">
      <alignment horizontal="right"/>
    </xf>
    <xf numFmtId="9" fontId="1" fillId="0" borderId="0" applyFont="0" applyFill="0" applyBorder="0" applyAlignment="0" applyProtection="0"/>
    <xf numFmtId="49" fontId="43" fillId="0" borderId="160" applyFill="0" applyBorder="0" applyProtection="0">
      <alignment horizontal="right" textRotation="90"/>
    </xf>
    <xf numFmtId="49" fontId="43" fillId="0" borderId="140" applyFill="0" applyBorder="0" applyProtection="0">
      <alignment horizontal="right" textRotation="90"/>
    </xf>
    <xf numFmtId="0" fontId="1" fillId="0" borderId="0"/>
    <xf numFmtId="49" fontId="43" fillId="0" borderId="148" applyFill="0" applyBorder="0" applyProtection="0">
      <alignment horizontal="right"/>
    </xf>
    <xf numFmtId="49" fontId="59" fillId="0" borderId="141" applyFill="0" applyBorder="0" applyProtection="0">
      <alignment horizontal="right"/>
    </xf>
    <xf numFmtId="0" fontId="1" fillId="0" borderId="0"/>
    <xf numFmtId="49" fontId="43" fillId="0" borderId="144" applyFill="0" applyBorder="0" applyProtection="0">
      <alignment horizontal="right"/>
    </xf>
    <xf numFmtId="49" fontId="43" fillId="0" borderId="162" applyFill="0" applyBorder="0" applyProtection="0">
      <alignment horizontal="right" textRotation="90"/>
    </xf>
    <xf numFmtId="49" fontId="59" fillId="0" borderId="167" applyFill="0" applyBorder="0" applyProtection="0">
      <alignment horizontal="right"/>
    </xf>
    <xf numFmtId="49" fontId="59" fillId="0" borderId="165" applyFill="0" applyBorder="0" applyProtection="0">
      <alignment horizontal="right"/>
    </xf>
    <xf numFmtId="49" fontId="43" fillId="0" borderId="144" applyFill="0" applyBorder="0" applyProtection="0">
      <alignment horizontal="right" textRotation="90"/>
    </xf>
    <xf numFmtId="0" fontId="1" fillId="0" borderId="0"/>
    <xf numFmtId="49" fontId="43" fillId="0" borderId="146" applyFill="0" applyBorder="0" applyProtection="0">
      <alignment horizontal="right"/>
    </xf>
    <xf numFmtId="49" fontId="43" fillId="0" borderId="170" applyFill="0" applyBorder="0" applyProtection="0">
      <alignment horizontal="right"/>
    </xf>
    <xf numFmtId="49" fontId="59" fillId="0" borderId="173" applyFill="0" applyBorder="0" applyProtection="0">
      <alignment horizontal="right"/>
    </xf>
    <xf numFmtId="49" fontId="43" fillId="0" borderId="162" applyFill="0" applyBorder="0" applyProtection="0">
      <alignment horizontal="right"/>
    </xf>
    <xf numFmtId="49" fontId="43" fillId="0" borderId="164" applyFill="0" applyBorder="0" applyProtection="0">
      <alignment horizontal="right" textRotation="90"/>
    </xf>
    <xf numFmtId="49" fontId="43" fillId="0" borderId="180" applyFill="0" applyBorder="0" applyProtection="0">
      <alignment horizontal="right"/>
    </xf>
    <xf numFmtId="49" fontId="59" fillId="0" borderId="175" applyFill="0" applyBorder="0" applyProtection="0">
      <alignment horizontal="right"/>
    </xf>
    <xf numFmtId="49" fontId="59" fillId="0" borderId="185" applyFill="0" applyBorder="0" applyProtection="0">
      <alignment horizontal="right"/>
    </xf>
    <xf numFmtId="49" fontId="43" fillId="0" borderId="168" applyFill="0" applyBorder="0" applyProtection="0">
      <alignment horizontal="right" textRotation="90"/>
    </xf>
    <xf numFmtId="49" fontId="59" fillId="0" borderId="169" applyFill="0" applyBorder="0" applyProtection="0">
      <alignment horizontal="right"/>
    </xf>
    <xf numFmtId="49" fontId="43" fillId="0" borderId="178" applyFill="0" applyBorder="0" applyProtection="0">
      <alignment horizontal="right"/>
    </xf>
    <xf numFmtId="49" fontId="59" fillId="0" borderId="171" applyFill="0" applyBorder="0" applyProtection="0">
      <alignment horizontal="right"/>
    </xf>
    <xf numFmtId="49" fontId="43" fillId="0" borderId="156" applyFill="0" applyBorder="0" applyProtection="0">
      <alignment horizontal="right" textRotation="90"/>
    </xf>
    <xf numFmtId="49" fontId="43" fillId="0" borderId="158" applyFill="0" applyBorder="0" applyProtection="0">
      <alignment horizontal="right" textRotation="90"/>
    </xf>
    <xf numFmtId="49" fontId="43" fillId="0" borderId="164" applyFill="0" applyBorder="0" applyProtection="0">
      <alignment horizontal="right"/>
    </xf>
    <xf numFmtId="49" fontId="59" fillId="0" borderId="179" applyFill="0" applyBorder="0" applyProtection="0">
      <alignment horizontal="right"/>
    </xf>
    <xf numFmtId="49" fontId="43" fillId="0" borderId="170" applyFill="0" applyBorder="0" applyProtection="0">
      <alignment horizontal="right" textRotation="90"/>
    </xf>
    <xf numFmtId="49" fontId="43" fillId="0" borderId="166" applyFill="0" applyBorder="0" applyProtection="0">
      <alignment horizontal="right" textRotation="90"/>
    </xf>
    <xf numFmtId="49" fontId="43" fillId="0" borderId="176" applyFill="0" applyBorder="0" applyProtection="0">
      <alignment horizontal="right"/>
    </xf>
    <xf numFmtId="49" fontId="43" fillId="0" borderId="174" applyFill="0" applyBorder="0" applyProtection="0">
      <alignment horizontal="right" textRotation="90"/>
    </xf>
    <xf numFmtId="49" fontId="43" fillId="0" borderId="176" applyFill="0" applyBorder="0" applyProtection="0">
      <alignment horizontal="right" textRotation="90"/>
    </xf>
    <xf numFmtId="49" fontId="43" fillId="0" borderId="178" applyFill="0" applyBorder="0" applyProtection="0">
      <alignment horizontal="right" textRotation="90"/>
    </xf>
    <xf numFmtId="49" fontId="43" fillId="0" borderId="180" applyFill="0" applyBorder="0" applyProtection="0">
      <alignment horizontal="right" textRotation="90"/>
    </xf>
    <xf numFmtId="49" fontId="43" fillId="0" borderId="182" applyFill="0" applyBorder="0" applyProtection="0">
      <alignment horizontal="right" textRotation="90"/>
    </xf>
    <xf numFmtId="49" fontId="43" fillId="0" borderId="184" applyFill="0" applyBorder="0" applyProtection="0">
      <alignment horizontal="right" textRotation="90"/>
    </xf>
  </cellStyleXfs>
  <cellXfs count="1981">
    <xf numFmtId="0" fontId="0" fillId="0" borderId="0" xfId="0"/>
    <xf numFmtId="0" fontId="9" fillId="3" borderId="68" xfId="0" applyNumberFormat="1" applyFont="1" applyFill="1" applyBorder="1" applyAlignment="1" applyProtection="1">
      <alignment vertical="center"/>
      <protection hidden="1"/>
    </xf>
    <xf numFmtId="0" fontId="9" fillId="3" borderId="7" xfId="0" applyNumberFormat="1" applyFont="1" applyFill="1" applyBorder="1" applyAlignment="1" applyProtection="1">
      <alignment vertical="center"/>
      <protection hidden="1"/>
    </xf>
    <xf numFmtId="164" fontId="10" fillId="11" borderId="0" xfId="0" applyNumberFormat="1" applyFont="1" applyFill="1" applyProtection="1">
      <protection hidden="1"/>
    </xf>
    <xf numFmtId="0" fontId="10" fillId="11" borderId="0" xfId="0" applyFont="1" applyFill="1" applyProtection="1">
      <protection hidden="1"/>
    </xf>
    <xf numFmtId="0" fontId="9" fillId="12" borderId="44" xfId="0" applyFont="1" applyFill="1" applyBorder="1" applyAlignment="1" applyProtection="1">
      <alignment vertical="center" shrinkToFit="1"/>
      <protection hidden="1"/>
    </xf>
    <xf numFmtId="0" fontId="9" fillId="13" borderId="12" xfId="0" applyFont="1" applyFill="1" applyBorder="1" applyAlignment="1" applyProtection="1">
      <alignment horizontal="left" vertical="center" indent="1" shrinkToFit="1"/>
      <protection hidden="1"/>
    </xf>
    <xf numFmtId="0" fontId="10" fillId="2" borderId="0" xfId="0" applyNumberFormat="1" applyFont="1" applyFill="1" applyBorder="1" applyAlignment="1" applyProtection="1">
      <protection hidden="1"/>
    </xf>
    <xf numFmtId="0" fontId="10" fillId="2" borderId="0" xfId="0" applyFont="1" applyFill="1" applyAlignment="1" applyProtection="1">
      <alignment vertical="top"/>
      <protection hidden="1"/>
    </xf>
    <xf numFmtId="0" fontId="9" fillId="2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protection hidden="1"/>
    </xf>
    <xf numFmtId="0" fontId="10" fillId="2" borderId="0" xfId="0" applyFont="1" applyFill="1" applyProtection="1">
      <protection hidden="1"/>
    </xf>
    <xf numFmtId="0" fontId="9" fillId="3" borderId="8" xfId="4" applyFont="1" applyFill="1" applyBorder="1" applyAlignment="1" applyProtection="1">
      <alignment horizontal="left" vertical="center" indent="1"/>
      <protection hidden="1"/>
    </xf>
    <xf numFmtId="0" fontId="8" fillId="11" borderId="21" xfId="0" applyNumberFormat="1" applyFont="1" applyFill="1" applyBorder="1" applyAlignment="1" applyProtection="1">
      <protection hidden="1"/>
    </xf>
    <xf numFmtId="0" fontId="12" fillId="3" borderId="22" xfId="4" applyFont="1" applyFill="1" applyBorder="1" applyAlignment="1" applyProtection="1">
      <alignment horizontal="left" vertical="center" indent="3"/>
      <protection hidden="1"/>
    </xf>
    <xf numFmtId="0" fontId="8" fillId="11" borderId="26" xfId="0" applyNumberFormat="1" applyFont="1" applyFill="1" applyBorder="1" applyAlignment="1" applyProtection="1">
      <protection hidden="1"/>
    </xf>
    <xf numFmtId="0" fontId="14" fillId="3" borderId="22" xfId="4" applyFont="1" applyFill="1" applyBorder="1" applyAlignment="1" applyProtection="1">
      <alignment horizontal="left" vertical="center" indent="4"/>
      <protection hidden="1"/>
    </xf>
    <xf numFmtId="0" fontId="8" fillId="2" borderId="6" xfId="0" applyNumberFormat="1" applyFont="1" applyFill="1" applyBorder="1" applyAlignment="1" applyProtection="1">
      <alignment horizontal="left" vertical="top" wrapText="1"/>
      <protection locked="0"/>
    </xf>
    <xf numFmtId="0" fontId="13" fillId="10" borderId="40" xfId="0" applyFont="1" applyFill="1" applyBorder="1" applyAlignment="1" applyProtection="1">
      <alignment horizontal="left" vertical="center" wrapText="1" indent="1"/>
      <protection hidden="1"/>
    </xf>
    <xf numFmtId="0" fontId="8" fillId="11" borderId="37" xfId="0" applyNumberFormat="1" applyFont="1" applyFill="1" applyBorder="1" applyAlignment="1" applyProtection="1">
      <protection hidden="1"/>
    </xf>
    <xf numFmtId="0" fontId="8" fillId="11" borderId="6" xfId="0" applyNumberFormat="1" applyFont="1" applyFill="1" applyBorder="1" applyAlignment="1" applyProtection="1">
      <protection hidden="1"/>
    </xf>
    <xf numFmtId="0" fontId="10" fillId="11" borderId="6" xfId="0" applyNumberFormat="1" applyFont="1" applyFill="1" applyBorder="1" applyAlignment="1" applyProtection="1">
      <protection hidden="1"/>
    </xf>
    <xf numFmtId="0" fontId="9" fillId="3" borderId="69" xfId="0" applyNumberFormat="1" applyFont="1" applyFill="1" applyBorder="1" applyAlignment="1" applyProtection="1">
      <alignment vertical="center"/>
      <protection hidden="1"/>
    </xf>
    <xf numFmtId="0" fontId="9" fillId="3" borderId="17" xfId="0" applyNumberFormat="1" applyFont="1" applyFill="1" applyBorder="1" applyAlignment="1" applyProtection="1">
      <alignment vertical="center"/>
      <protection hidden="1"/>
    </xf>
    <xf numFmtId="0" fontId="9" fillId="3" borderId="17" xfId="0" applyNumberFormat="1" applyFont="1" applyFill="1" applyBorder="1" applyAlignment="1" applyProtection="1">
      <protection hidden="1"/>
    </xf>
    <xf numFmtId="0" fontId="10" fillId="3" borderId="17" xfId="4" applyFont="1" applyFill="1" applyBorder="1" applyAlignment="1" applyProtection="1">
      <alignment vertical="top"/>
      <protection hidden="1"/>
    </xf>
    <xf numFmtId="0" fontId="10" fillId="3" borderId="17" xfId="0" applyFont="1" applyFill="1" applyBorder="1" applyAlignment="1" applyProtection="1">
      <protection hidden="1"/>
    </xf>
    <xf numFmtId="0" fontId="10" fillId="4" borderId="17" xfId="0" applyNumberFormat="1" applyFont="1" applyFill="1" applyBorder="1" applyAlignment="1" applyProtection="1">
      <protection hidden="1"/>
    </xf>
    <xf numFmtId="0" fontId="10" fillId="7" borderId="17" xfId="0" applyNumberFormat="1" applyFont="1" applyFill="1" applyBorder="1" applyAlignment="1" applyProtection="1">
      <protection hidden="1"/>
    </xf>
    <xf numFmtId="0" fontId="10" fillId="7" borderId="18" xfId="0" applyNumberFormat="1" applyFont="1" applyFill="1" applyBorder="1" applyAlignment="1" applyProtection="1">
      <protection hidden="1"/>
    </xf>
    <xf numFmtId="164" fontId="9" fillId="3" borderId="9" xfId="4" applyNumberFormat="1" applyFont="1" applyFill="1" applyBorder="1" applyAlignment="1" applyProtection="1">
      <alignment vertical="center"/>
      <protection hidden="1"/>
    </xf>
    <xf numFmtId="0" fontId="10" fillId="11" borderId="44" xfId="4" applyNumberFormat="1" applyFont="1" applyFill="1" applyBorder="1" applyAlignment="1" applyProtection="1">
      <protection hidden="1"/>
    </xf>
    <xf numFmtId="0" fontId="10" fillId="3" borderId="0" xfId="4" applyNumberFormat="1" applyFont="1" applyFill="1" applyBorder="1" applyAlignment="1" applyProtection="1">
      <protection hidden="1"/>
    </xf>
    <xf numFmtId="0" fontId="10" fillId="4" borderId="0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7" borderId="0" xfId="0" applyNumberFormat="1" applyFont="1" applyFill="1" applyBorder="1" applyAlignment="1" applyProtection="1">
      <protection hidden="1"/>
    </xf>
    <xf numFmtId="0" fontId="10" fillId="6" borderId="0" xfId="0" applyFont="1" applyFill="1" applyBorder="1" applyAlignment="1" applyProtection="1">
      <protection hidden="1"/>
    </xf>
    <xf numFmtId="0" fontId="9" fillId="3" borderId="9" xfId="4" applyNumberFormat="1" applyFont="1" applyFill="1" applyBorder="1" applyAlignment="1" applyProtection="1">
      <protection hidden="1"/>
    </xf>
    <xf numFmtId="0" fontId="10" fillId="3" borderId="0" xfId="4" applyFont="1" applyFill="1" applyBorder="1" applyAlignment="1" applyProtection="1">
      <protection hidden="1"/>
    </xf>
    <xf numFmtId="0" fontId="17" fillId="4" borderId="0" xfId="0" applyNumberFormat="1" applyFont="1" applyFill="1" applyBorder="1" applyAlignment="1" applyProtection="1">
      <protection hidden="1"/>
    </xf>
    <xf numFmtId="0" fontId="10" fillId="14" borderId="0" xfId="0" applyNumberFormat="1" applyFont="1" applyFill="1" applyBorder="1" applyAlignment="1" applyProtection="1">
      <protection hidden="1"/>
    </xf>
    <xf numFmtId="0" fontId="17" fillId="7" borderId="0" xfId="0" applyNumberFormat="1" applyFont="1" applyFill="1" applyBorder="1" applyAlignment="1" applyProtection="1">
      <protection hidden="1"/>
    </xf>
    <xf numFmtId="0" fontId="10" fillId="3" borderId="41" xfId="4" applyNumberFormat="1" applyFont="1" applyFill="1" applyBorder="1" applyAlignment="1" applyProtection="1">
      <protection hidden="1"/>
    </xf>
    <xf numFmtId="0" fontId="10" fillId="3" borderId="50" xfId="4" applyNumberFormat="1" applyFont="1" applyFill="1" applyBorder="1" applyAlignment="1" applyProtection="1">
      <protection hidden="1"/>
    </xf>
    <xf numFmtId="0" fontId="10" fillId="5" borderId="0" xfId="4" applyNumberFormat="1" applyFont="1" applyFill="1" applyBorder="1" applyAlignment="1" applyProtection="1">
      <protection hidden="1"/>
    </xf>
    <xf numFmtId="0" fontId="10" fillId="5" borderId="50" xfId="4" applyNumberFormat="1" applyFont="1" applyFill="1" applyBorder="1" applyAlignment="1" applyProtection="1">
      <protection hidden="1"/>
    </xf>
    <xf numFmtId="0" fontId="12" fillId="3" borderId="8" xfId="4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0" fontId="19" fillId="4" borderId="0" xfId="0" applyNumberFormat="1" applyFont="1" applyFill="1" applyBorder="1" applyAlignment="1" applyProtection="1">
      <protection hidden="1"/>
    </xf>
    <xf numFmtId="0" fontId="13" fillId="7" borderId="0" xfId="0" applyNumberFormat="1" applyFont="1" applyFill="1" applyBorder="1" applyAlignment="1" applyProtection="1">
      <protection hidden="1"/>
    </xf>
    <xf numFmtId="0" fontId="10" fillId="6" borderId="11" xfId="4" applyNumberFormat="1" applyFont="1" applyFill="1" applyBorder="1" applyAlignment="1" applyProtection="1">
      <protection hidden="1"/>
    </xf>
    <xf numFmtId="0" fontId="10" fillId="3" borderId="9" xfId="4" applyFont="1" applyFill="1" applyBorder="1" applyAlignment="1" applyProtection="1">
      <alignment vertical="center"/>
      <protection hidden="1"/>
    </xf>
    <xf numFmtId="0" fontId="9" fillId="3" borderId="51" xfId="4" applyFont="1" applyFill="1" applyBorder="1" applyAlignment="1" applyProtection="1">
      <alignment horizontal="center" vertical="center" wrapText="1"/>
      <protection hidden="1"/>
    </xf>
    <xf numFmtId="0" fontId="9" fillId="2" borderId="51" xfId="0" applyFont="1" applyFill="1" applyBorder="1" applyAlignment="1" applyProtection="1">
      <alignment horizontal="center" vertical="center" wrapText="1"/>
      <protection hidden="1"/>
    </xf>
    <xf numFmtId="0" fontId="9" fillId="3" borderId="11" xfId="4" applyFont="1" applyFill="1" applyBorder="1" applyAlignment="1" applyProtection="1">
      <alignment horizontal="center" vertical="top"/>
      <protection hidden="1"/>
    </xf>
    <xf numFmtId="0" fontId="10" fillId="3" borderId="22" xfId="4" applyNumberFormat="1" applyFont="1" applyFill="1" applyBorder="1" applyAlignment="1" applyProtection="1">
      <protection hidden="1"/>
    </xf>
    <xf numFmtId="0" fontId="13" fillId="4" borderId="0" xfId="0" applyFont="1" applyFill="1" applyBorder="1" applyAlignment="1" applyProtection="1">
      <protection hidden="1"/>
    </xf>
    <xf numFmtId="0" fontId="12" fillId="3" borderId="9" xfId="4" applyFont="1" applyFill="1" applyBorder="1" applyAlignment="1" applyProtection="1">
      <alignment horizontal="left" vertical="center" indent="1"/>
      <protection hidden="1"/>
    </xf>
    <xf numFmtId="0" fontId="9" fillId="3" borderId="72" xfId="0" applyFont="1" applyFill="1" applyBorder="1" applyAlignment="1" applyProtection="1">
      <alignment horizontal="center" vertical="top" wrapText="1"/>
      <protection hidden="1"/>
    </xf>
    <xf numFmtId="0" fontId="9" fillId="3" borderId="51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horizontal="center" vertical="center" wrapText="1"/>
      <protection hidden="1"/>
    </xf>
    <xf numFmtId="0" fontId="10" fillId="3" borderId="11" xfId="4" applyFont="1" applyFill="1" applyBorder="1" applyProtection="1">
      <protection hidden="1"/>
    </xf>
    <xf numFmtId="0" fontId="10" fillId="5" borderId="0" xfId="4" applyFont="1" applyFill="1" applyBorder="1" applyProtection="1">
      <protection hidden="1"/>
    </xf>
    <xf numFmtId="164" fontId="18" fillId="4" borderId="65" xfId="0" applyNumberFormat="1" applyFont="1" applyFill="1" applyBorder="1" applyAlignment="1" applyProtection="1">
      <alignment horizontal="center" vertical="top" wrapText="1"/>
      <protection hidden="1"/>
    </xf>
    <xf numFmtId="164" fontId="18" fillId="4" borderId="51" xfId="0" applyNumberFormat="1" applyFont="1" applyFill="1" applyBorder="1" applyAlignment="1" applyProtection="1">
      <alignment horizontal="center" vertical="top" wrapText="1"/>
      <protection hidden="1"/>
    </xf>
    <xf numFmtId="164" fontId="18" fillId="4" borderId="10" xfId="0" applyNumberFormat="1" applyFont="1" applyFill="1" applyBorder="1" applyAlignment="1" applyProtection="1">
      <alignment horizontal="center" vertical="top" wrapText="1"/>
      <protection hidden="1"/>
    </xf>
    <xf numFmtId="0" fontId="10" fillId="5" borderId="0" xfId="0" applyNumberFormat="1" applyFont="1" applyFill="1" applyBorder="1" applyAlignment="1" applyProtection="1">
      <protection hidden="1"/>
    </xf>
    <xf numFmtId="0" fontId="10" fillId="6" borderId="0" xfId="4" applyNumberFormat="1" applyFont="1" applyFill="1" applyBorder="1" applyAlignment="1" applyProtection="1">
      <protection hidden="1"/>
    </xf>
    <xf numFmtId="164" fontId="18" fillId="7" borderId="65" xfId="0" applyNumberFormat="1" applyFont="1" applyFill="1" applyBorder="1" applyAlignment="1" applyProtection="1">
      <alignment horizontal="center" vertical="top" wrapText="1"/>
      <protection hidden="1"/>
    </xf>
    <xf numFmtId="164" fontId="18" fillId="7" borderId="10" xfId="0" applyNumberFormat="1" applyFont="1" applyFill="1" applyBorder="1" applyAlignment="1" applyProtection="1">
      <alignment horizontal="center" vertical="top" wrapText="1"/>
      <protection hidden="1"/>
    </xf>
    <xf numFmtId="0" fontId="10" fillId="7" borderId="11" xfId="0" applyNumberFormat="1" applyFont="1" applyFill="1" applyBorder="1" applyAlignment="1" applyProtection="1">
      <protection hidden="1"/>
    </xf>
    <xf numFmtId="0" fontId="10" fillId="3" borderId="9" xfId="0" applyFont="1" applyFill="1" applyBorder="1" applyAlignment="1" applyProtection="1"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8" fillId="5" borderId="24" xfId="0" applyFont="1" applyFill="1" applyBorder="1" applyAlignment="1" applyProtection="1">
      <alignment horizontal="center" vertical="center"/>
      <protection hidden="1"/>
    </xf>
    <xf numFmtId="0" fontId="18" fillId="5" borderId="25" xfId="0" applyFont="1" applyFill="1" applyBorder="1" applyAlignment="1" applyProtection="1">
      <alignment horizontal="center" vertical="center"/>
      <protection hidden="1"/>
    </xf>
    <xf numFmtId="0" fontId="18" fillId="5" borderId="27" xfId="0" applyFont="1" applyFill="1" applyBorder="1" applyAlignment="1" applyProtection="1">
      <alignment horizontal="center" vertical="center"/>
      <protection hidden="1"/>
    </xf>
    <xf numFmtId="0" fontId="18" fillId="6" borderId="24" xfId="0" applyFont="1" applyFill="1" applyBorder="1" applyAlignment="1" applyProtection="1">
      <alignment horizontal="center" vertical="center"/>
      <protection hidden="1"/>
    </xf>
    <xf numFmtId="0" fontId="18" fillId="6" borderId="27" xfId="0" applyFont="1" applyFill="1" applyBorder="1" applyAlignment="1" applyProtection="1">
      <alignment horizontal="center" vertical="center"/>
      <protection hidden="1"/>
    </xf>
    <xf numFmtId="0" fontId="10" fillId="6" borderId="11" xfId="0" applyNumberFormat="1" applyFont="1" applyFill="1" applyBorder="1" applyAlignment="1" applyProtection="1">
      <protection hidden="1"/>
    </xf>
    <xf numFmtId="0" fontId="19" fillId="5" borderId="0" xfId="0" applyNumberFormat="1" applyFont="1" applyFill="1" applyBorder="1" applyAlignment="1" applyProtection="1">
      <protection hidden="1"/>
    </xf>
    <xf numFmtId="0" fontId="9" fillId="5" borderId="9" xfId="0" applyFont="1" applyFill="1" applyBorder="1" applyAlignment="1" applyProtection="1">
      <alignment horizontal="center" vertical="center"/>
      <protection hidden="1"/>
    </xf>
    <xf numFmtId="0" fontId="9" fillId="5" borderId="25" xfId="0" applyFont="1" applyFill="1" applyBorder="1" applyAlignment="1" applyProtection="1">
      <alignment horizontal="center" vertical="center"/>
      <protection hidden="1"/>
    </xf>
    <xf numFmtId="0" fontId="9" fillId="5" borderId="11" xfId="0" applyFont="1" applyFill="1" applyBorder="1" applyAlignment="1" applyProtection="1">
      <alignment horizontal="center" vertical="center"/>
      <protection hidden="1"/>
    </xf>
    <xf numFmtId="0" fontId="9" fillId="3" borderId="12" xfId="4" applyFont="1" applyFill="1" applyBorder="1" applyAlignment="1" applyProtection="1">
      <alignment horizontal="left" vertical="center" indent="1"/>
      <protection hidden="1"/>
    </xf>
    <xf numFmtId="168" fontId="9" fillId="3" borderId="15" xfId="4" applyNumberFormat="1" applyFont="1" applyFill="1" applyBorder="1" applyAlignment="1" applyProtection="1">
      <alignment vertical="center"/>
      <protection hidden="1"/>
    </xf>
    <xf numFmtId="168" fontId="9" fillId="3" borderId="16" xfId="4" applyNumberFormat="1" applyFont="1" applyFill="1" applyBorder="1" applyAlignment="1" applyProtection="1">
      <alignment horizontal="right" vertical="center"/>
      <protection hidden="1"/>
    </xf>
    <xf numFmtId="168" fontId="10" fillId="5" borderId="14" xfId="4" applyNumberFormat="1" applyFont="1" applyFill="1" applyBorder="1" applyAlignment="1" applyProtection="1">
      <alignment vertical="center"/>
      <protection hidden="1"/>
    </xf>
    <xf numFmtId="168" fontId="10" fillId="5" borderId="15" xfId="4" applyNumberFormat="1" applyFont="1" applyFill="1" applyBorder="1" applyAlignment="1" applyProtection="1">
      <alignment vertical="center"/>
      <protection hidden="1"/>
    </xf>
    <xf numFmtId="168" fontId="9" fillId="5" borderId="16" xfId="4" applyNumberFormat="1" applyFont="1" applyFill="1" applyBorder="1" applyAlignment="1" applyProtection="1">
      <alignment vertical="center"/>
      <protection hidden="1"/>
    </xf>
    <xf numFmtId="165" fontId="10" fillId="8" borderId="52" xfId="7" quotePrefix="1" applyNumberFormat="1" applyFont="1" applyFill="1" applyBorder="1" applyAlignment="1" applyProtection="1">
      <alignment vertical="center"/>
      <protection hidden="1"/>
    </xf>
    <xf numFmtId="165" fontId="10" fillId="8" borderId="53" xfId="7" quotePrefix="1" applyNumberFormat="1" applyFont="1" applyFill="1" applyBorder="1" applyAlignment="1" applyProtection="1">
      <alignment vertical="center"/>
      <protection hidden="1"/>
    </xf>
    <xf numFmtId="0" fontId="10" fillId="6" borderId="11" xfId="7" quotePrefix="1" applyNumberFormat="1" applyFont="1" applyFill="1" applyBorder="1" applyAlignment="1" applyProtection="1">
      <protection hidden="1"/>
    </xf>
    <xf numFmtId="0" fontId="9" fillId="3" borderId="22" xfId="4" applyFont="1" applyFill="1" applyBorder="1" applyAlignment="1" applyProtection="1">
      <alignment horizontal="left" vertical="center" indent="1"/>
      <protection hidden="1"/>
    </xf>
    <xf numFmtId="0" fontId="9" fillId="3" borderId="0" xfId="4" applyFont="1" applyFill="1" applyBorder="1" applyAlignment="1" applyProtection="1">
      <alignment horizontal="left" vertical="center" indent="1"/>
      <protection hidden="1"/>
    </xf>
    <xf numFmtId="0" fontId="9" fillId="3" borderId="25" xfId="4" applyFont="1" applyFill="1" applyBorder="1" applyAlignment="1" applyProtection="1">
      <alignment horizontal="left" vertical="center" indent="1"/>
      <protection hidden="1"/>
    </xf>
    <xf numFmtId="0" fontId="10" fillId="3" borderId="0" xfId="4" applyFont="1" applyFill="1" applyBorder="1" applyProtection="1">
      <protection hidden="1"/>
    </xf>
    <xf numFmtId="0" fontId="10" fillId="3" borderId="8" xfId="4" applyFont="1" applyFill="1" applyBorder="1" applyProtection="1">
      <protection hidden="1"/>
    </xf>
    <xf numFmtId="0" fontId="10" fillId="3" borderId="18" xfId="4" applyFont="1" applyFill="1" applyBorder="1" applyProtection="1">
      <protection hidden="1"/>
    </xf>
    <xf numFmtId="168" fontId="10" fillId="5" borderId="19" xfId="4" applyNumberFormat="1" applyFont="1" applyFill="1" applyBorder="1" applyAlignment="1" applyProtection="1">
      <alignment vertical="center"/>
      <protection hidden="1"/>
    </xf>
    <xf numFmtId="168" fontId="10" fillId="5" borderId="20" xfId="4" applyNumberFormat="1" applyFont="1" applyFill="1" applyBorder="1" applyAlignment="1" applyProtection="1">
      <alignment vertical="center"/>
      <protection hidden="1"/>
    </xf>
    <xf numFmtId="0" fontId="10" fillId="5" borderId="21" xfId="4" applyFont="1" applyFill="1" applyBorder="1" applyProtection="1">
      <protection hidden="1"/>
    </xf>
    <xf numFmtId="0" fontId="10" fillId="6" borderId="19" xfId="4" applyFont="1" applyFill="1" applyBorder="1" applyProtection="1">
      <protection hidden="1"/>
    </xf>
    <xf numFmtId="0" fontId="10" fillId="6" borderId="21" xfId="4" applyFont="1" applyFill="1" applyBorder="1" applyProtection="1">
      <protection hidden="1"/>
    </xf>
    <xf numFmtId="0" fontId="12" fillId="3" borderId="0" xfId="4" applyFont="1" applyFill="1" applyBorder="1" applyAlignment="1" applyProtection="1">
      <alignment horizontal="left" vertical="center" indent="3"/>
      <protection hidden="1"/>
    </xf>
    <xf numFmtId="0" fontId="12" fillId="3" borderId="25" xfId="4" applyFont="1" applyFill="1" applyBorder="1" applyAlignment="1" applyProtection="1">
      <alignment horizontal="left" vertical="center" indent="3"/>
      <protection hidden="1"/>
    </xf>
    <xf numFmtId="0" fontId="10" fillId="3" borderId="2" xfId="4" applyFont="1" applyFill="1" applyBorder="1" applyProtection="1">
      <protection hidden="1"/>
    </xf>
    <xf numFmtId="0" fontId="10" fillId="3" borderId="13" xfId="4" applyFont="1" applyFill="1" applyBorder="1" applyProtection="1">
      <protection hidden="1"/>
    </xf>
    <xf numFmtId="0" fontId="10" fillId="3" borderId="22" xfId="4" applyFont="1" applyFill="1" applyBorder="1" applyProtection="1">
      <protection hidden="1"/>
    </xf>
    <xf numFmtId="0" fontId="10" fillId="6" borderId="24" xfId="4" applyFont="1" applyFill="1" applyBorder="1" applyProtection="1">
      <protection hidden="1"/>
    </xf>
    <xf numFmtId="0" fontId="10" fillId="6" borderId="27" xfId="4" applyFont="1" applyFill="1" applyBorder="1" applyProtection="1">
      <protection hidden="1"/>
    </xf>
    <xf numFmtId="168" fontId="10" fillId="9" borderId="48" xfId="4" applyNumberFormat="1" applyFont="1" applyFill="1" applyBorder="1" applyAlignment="1" applyProtection="1">
      <alignment vertical="center"/>
      <protection locked="0"/>
    </xf>
    <xf numFmtId="168" fontId="10" fillId="9" borderId="30" xfId="4" applyNumberFormat="1" applyFont="1" applyFill="1" applyBorder="1" applyAlignment="1" applyProtection="1">
      <alignment vertical="center"/>
      <protection locked="0"/>
    </xf>
    <xf numFmtId="168" fontId="9" fillId="3" borderId="48" xfId="4" applyNumberFormat="1" applyFont="1" applyFill="1" applyBorder="1" applyAlignment="1" applyProtection="1">
      <alignment vertical="center"/>
      <protection hidden="1"/>
    </xf>
    <xf numFmtId="168" fontId="9" fillId="3" borderId="28" xfId="4" applyNumberFormat="1" applyFont="1" applyFill="1" applyBorder="1" applyAlignment="1" applyProtection="1">
      <alignment vertical="center"/>
      <protection hidden="1"/>
    </xf>
    <xf numFmtId="168" fontId="9" fillId="3" borderId="49" xfId="4" applyNumberFormat="1" applyFont="1" applyFill="1" applyBorder="1" applyAlignment="1" applyProtection="1">
      <alignment horizontal="left" vertical="center" wrapText="1" indent="1"/>
      <protection hidden="1"/>
    </xf>
    <xf numFmtId="0" fontId="13" fillId="3" borderId="28" xfId="0" applyFont="1" applyFill="1" applyBorder="1" applyAlignment="1" applyProtection="1">
      <alignment horizontal="left" vertical="center" wrapText="1" indent="1"/>
      <protection hidden="1"/>
    </xf>
    <xf numFmtId="168" fontId="9" fillId="5" borderId="26" xfId="4" applyNumberFormat="1" applyFont="1" applyFill="1" applyBorder="1" applyAlignment="1" applyProtection="1">
      <alignment vertical="center"/>
      <protection hidden="1"/>
    </xf>
    <xf numFmtId="165" fontId="10" fillId="8" borderId="54" xfId="7" quotePrefix="1" applyNumberFormat="1" applyFont="1" applyFill="1" applyBorder="1" applyAlignment="1" applyProtection="1">
      <alignment vertical="center"/>
      <protection hidden="1"/>
    </xf>
    <xf numFmtId="165" fontId="10" fillId="8" borderId="6" xfId="7" quotePrefix="1" applyNumberFormat="1" applyFont="1" applyFill="1" applyBorder="1" applyAlignment="1" applyProtection="1">
      <alignment vertical="center"/>
      <protection hidden="1"/>
    </xf>
    <xf numFmtId="168" fontId="10" fillId="5" borderId="29" xfId="4" applyNumberFormat="1" applyFont="1" applyFill="1" applyBorder="1" applyAlignment="1" applyProtection="1">
      <alignment vertical="center"/>
      <protection hidden="1"/>
    </xf>
    <xf numFmtId="168" fontId="10" fillId="5" borderId="30" xfId="4" applyNumberFormat="1" applyFont="1" applyFill="1" applyBorder="1" applyAlignment="1" applyProtection="1">
      <alignment vertical="center"/>
      <protection hidden="1"/>
    </xf>
    <xf numFmtId="168" fontId="9" fillId="5" borderId="6" xfId="4" applyNumberFormat="1" applyFont="1" applyFill="1" applyBorder="1" applyAlignment="1" applyProtection="1">
      <alignment vertical="center"/>
      <protection hidden="1"/>
    </xf>
    <xf numFmtId="0" fontId="9" fillId="3" borderId="31" xfId="4" applyFont="1" applyFill="1" applyBorder="1" applyAlignment="1" applyProtection="1">
      <alignment horizontal="left" vertical="center" indent="3"/>
      <protection hidden="1"/>
    </xf>
    <xf numFmtId="168" fontId="9" fillId="3" borderId="32" xfId="4" applyNumberFormat="1" applyFont="1" applyFill="1" applyBorder="1" applyAlignment="1" applyProtection="1">
      <alignment vertical="center"/>
      <protection hidden="1"/>
    </xf>
    <xf numFmtId="168" fontId="9" fillId="3" borderId="36" xfId="4" applyNumberFormat="1" applyFont="1" applyFill="1" applyBorder="1" applyAlignment="1" applyProtection="1">
      <alignment vertical="center"/>
      <protection hidden="1"/>
    </xf>
    <xf numFmtId="168" fontId="9" fillId="3" borderId="7" xfId="4" applyNumberFormat="1" applyFont="1" applyFill="1" applyBorder="1" applyAlignment="1" applyProtection="1">
      <alignment vertical="center"/>
      <protection hidden="1"/>
    </xf>
    <xf numFmtId="168" fontId="9" fillId="3" borderId="66" xfId="4" applyNumberFormat="1" applyFont="1" applyFill="1" applyBorder="1" applyAlignment="1" applyProtection="1">
      <alignment vertical="center"/>
      <protection hidden="1"/>
    </xf>
    <xf numFmtId="168" fontId="9" fillId="3" borderId="33" xfId="4" applyNumberFormat="1" applyFont="1" applyFill="1" applyBorder="1" applyAlignment="1" applyProtection="1">
      <alignment vertical="center"/>
      <protection hidden="1"/>
    </xf>
    <xf numFmtId="0" fontId="10" fillId="3" borderId="34" xfId="4" applyFont="1" applyFill="1" applyBorder="1" applyProtection="1">
      <protection hidden="1"/>
    </xf>
    <xf numFmtId="168" fontId="9" fillId="5" borderId="24" xfId="4" applyNumberFormat="1" applyFont="1" applyFill="1" applyBorder="1" applyAlignment="1" applyProtection="1">
      <alignment vertical="center"/>
      <protection hidden="1"/>
    </xf>
    <xf numFmtId="168" fontId="9" fillId="5" borderId="39" xfId="4" applyNumberFormat="1" applyFont="1" applyFill="1" applyBorder="1" applyAlignment="1" applyProtection="1">
      <alignment vertical="center"/>
      <protection hidden="1"/>
    </xf>
    <xf numFmtId="168" fontId="9" fillId="5" borderId="37" xfId="4" applyNumberFormat="1" applyFont="1" applyFill="1" applyBorder="1" applyAlignment="1" applyProtection="1">
      <alignment vertical="center"/>
      <protection hidden="1"/>
    </xf>
    <xf numFmtId="0" fontId="10" fillId="6" borderId="35" xfId="4" applyNumberFormat="1" applyFont="1" applyFill="1" applyBorder="1" applyAlignment="1" applyProtection="1">
      <protection hidden="1"/>
    </xf>
    <xf numFmtId="0" fontId="10" fillId="6" borderId="37" xfId="4" applyNumberFormat="1" applyFont="1" applyFill="1" applyBorder="1" applyAlignment="1" applyProtection="1">
      <protection hidden="1"/>
    </xf>
    <xf numFmtId="0" fontId="9" fillId="3" borderId="17" xfId="4" applyFont="1" applyFill="1" applyBorder="1" applyAlignment="1" applyProtection="1">
      <alignment horizontal="left" vertical="center" indent="1"/>
      <protection hidden="1"/>
    </xf>
    <xf numFmtId="0" fontId="9" fillId="3" borderId="20" xfId="4" applyFont="1" applyFill="1" applyBorder="1" applyAlignment="1" applyProtection="1">
      <alignment horizontal="left" vertical="center" indent="1"/>
      <protection hidden="1"/>
    </xf>
    <xf numFmtId="0" fontId="10" fillId="3" borderId="17" xfId="4" applyFont="1" applyFill="1" applyBorder="1" applyProtection="1">
      <protection hidden="1"/>
    </xf>
    <xf numFmtId="0" fontId="10" fillId="5" borderId="73" xfId="4" applyFont="1" applyFill="1" applyBorder="1" applyProtection="1">
      <protection hidden="1"/>
    </xf>
    <xf numFmtId="0" fontId="10" fillId="5" borderId="18" xfId="4" applyFont="1" applyFill="1" applyBorder="1" applyProtection="1">
      <protection hidden="1"/>
    </xf>
    <xf numFmtId="168" fontId="10" fillId="5" borderId="5" xfId="4" applyNumberFormat="1" applyFont="1" applyFill="1" applyBorder="1" applyAlignment="1" applyProtection="1">
      <alignment vertical="center"/>
      <protection hidden="1"/>
    </xf>
    <xf numFmtId="0" fontId="10" fillId="5" borderId="3" xfId="4" applyFont="1" applyFill="1" applyBorder="1" applyProtection="1">
      <protection hidden="1"/>
    </xf>
    <xf numFmtId="0" fontId="10" fillId="5" borderId="13" xfId="4" applyFont="1" applyFill="1" applyBorder="1" applyProtection="1">
      <protection hidden="1"/>
    </xf>
    <xf numFmtId="168" fontId="10" fillId="5" borderId="4" xfId="4" applyNumberFormat="1" applyFont="1" applyFill="1" applyBorder="1" applyAlignment="1" applyProtection="1">
      <alignment vertical="center"/>
      <protection hidden="1"/>
    </xf>
    <xf numFmtId="165" fontId="10" fillId="8" borderId="57" xfId="7" quotePrefix="1" applyNumberFormat="1" applyFont="1" applyFill="1" applyBorder="1" applyAlignment="1" applyProtection="1">
      <alignment vertical="center"/>
      <protection hidden="1"/>
    </xf>
    <xf numFmtId="165" fontId="10" fillId="8" borderId="10" xfId="7" quotePrefix="1" applyNumberFormat="1" applyFont="1" applyFill="1" applyBorder="1" applyAlignment="1" applyProtection="1">
      <alignment vertical="center"/>
      <protection hidden="1"/>
    </xf>
    <xf numFmtId="168" fontId="9" fillId="3" borderId="34" xfId="4" applyNumberFormat="1" applyFont="1" applyFill="1" applyBorder="1" applyAlignment="1" applyProtection="1">
      <alignment vertical="center"/>
      <protection hidden="1"/>
    </xf>
    <xf numFmtId="168" fontId="9" fillId="3" borderId="31" xfId="4" applyNumberFormat="1" applyFont="1" applyFill="1" applyBorder="1" applyAlignment="1" applyProtection="1">
      <alignment vertical="center"/>
      <protection hidden="1"/>
    </xf>
    <xf numFmtId="0" fontId="10" fillId="3" borderId="42" xfId="4" applyFont="1" applyFill="1" applyBorder="1" applyProtection="1">
      <protection hidden="1"/>
    </xf>
    <xf numFmtId="168" fontId="9" fillId="5" borderId="5" xfId="4" applyNumberFormat="1" applyFont="1" applyFill="1" applyBorder="1" applyAlignment="1" applyProtection="1">
      <alignment vertical="center"/>
      <protection hidden="1"/>
    </xf>
    <xf numFmtId="0" fontId="10" fillId="6" borderId="38" xfId="4" applyNumberFormat="1" applyFont="1" applyFill="1" applyBorder="1" applyAlignment="1" applyProtection="1">
      <protection hidden="1"/>
    </xf>
    <xf numFmtId="0" fontId="10" fillId="6" borderId="55" xfId="4" applyNumberFormat="1" applyFont="1" applyFill="1" applyBorder="1" applyAlignment="1" applyProtection="1">
      <protection hidden="1"/>
    </xf>
    <xf numFmtId="0" fontId="9" fillId="3" borderId="9" xfId="4" applyFont="1" applyFill="1" applyBorder="1" applyAlignment="1" applyProtection="1">
      <alignment horizontal="left" vertical="center" indent="1"/>
      <protection hidden="1"/>
    </xf>
    <xf numFmtId="0" fontId="9" fillId="3" borderId="69" xfId="4" applyFont="1" applyFill="1" applyBorder="1" applyAlignment="1" applyProtection="1">
      <alignment horizontal="left" vertical="center" indent="1"/>
      <protection hidden="1"/>
    </xf>
    <xf numFmtId="0" fontId="10" fillId="5" borderId="24" xfId="4" applyFont="1" applyFill="1" applyBorder="1" applyProtection="1">
      <protection hidden="1"/>
    </xf>
    <xf numFmtId="0" fontId="10" fillId="5" borderId="25" xfId="4" applyFont="1" applyFill="1" applyBorder="1" applyProtection="1">
      <protection hidden="1"/>
    </xf>
    <xf numFmtId="0" fontId="10" fillId="5" borderId="27" xfId="4" applyFont="1" applyFill="1" applyBorder="1" applyProtection="1">
      <protection hidden="1"/>
    </xf>
    <xf numFmtId="0" fontId="12" fillId="3" borderId="9" xfId="4" applyFont="1" applyFill="1" applyBorder="1" applyAlignment="1" applyProtection="1">
      <alignment horizontal="left" vertical="center" indent="3"/>
      <protection hidden="1"/>
    </xf>
    <xf numFmtId="0" fontId="12" fillId="3" borderId="9" xfId="4" applyFont="1" applyFill="1" applyBorder="1" applyAlignment="1" applyProtection="1">
      <alignment horizontal="left" vertical="center" indent="4"/>
      <protection hidden="1"/>
    </xf>
    <xf numFmtId="0" fontId="12" fillId="3" borderId="25" xfId="4" applyFont="1" applyFill="1" applyBorder="1" applyAlignment="1" applyProtection="1">
      <alignment horizontal="left" vertical="center" indent="4"/>
      <protection hidden="1"/>
    </xf>
    <xf numFmtId="0" fontId="10" fillId="5" borderId="26" xfId="4" applyFont="1" applyFill="1" applyBorder="1" applyProtection="1">
      <protection hidden="1"/>
    </xf>
    <xf numFmtId="0" fontId="14" fillId="3" borderId="9" xfId="4" applyFont="1" applyFill="1" applyBorder="1" applyAlignment="1" applyProtection="1">
      <alignment horizontal="left" vertical="center" indent="5"/>
      <protection hidden="1"/>
    </xf>
    <xf numFmtId="168" fontId="10" fillId="0" borderId="29" xfId="4" applyNumberFormat="1" applyFont="1" applyFill="1" applyBorder="1" applyAlignment="1" applyProtection="1">
      <alignment vertical="center"/>
      <protection locked="0"/>
    </xf>
    <xf numFmtId="168" fontId="10" fillId="0" borderId="30" xfId="4" applyNumberFormat="1" applyFont="1" applyFill="1" applyBorder="1" applyAlignment="1" applyProtection="1">
      <alignment vertical="center"/>
      <protection locked="0"/>
    </xf>
    <xf numFmtId="0" fontId="10" fillId="3" borderId="4" xfId="4" applyNumberFormat="1" applyFont="1" applyFill="1" applyBorder="1" applyAlignment="1" applyProtection="1">
      <protection hidden="1"/>
    </xf>
    <xf numFmtId="0" fontId="10" fillId="3" borderId="2" xfId="4" applyNumberFormat="1" applyFont="1" applyFill="1" applyBorder="1" applyAlignment="1" applyProtection="1">
      <protection hidden="1"/>
    </xf>
    <xf numFmtId="0" fontId="10" fillId="3" borderId="13" xfId="4" applyNumberFormat="1" applyFont="1" applyFill="1" applyBorder="1" applyAlignment="1" applyProtection="1">
      <protection hidden="1"/>
    </xf>
    <xf numFmtId="0" fontId="10" fillId="3" borderId="49" xfId="4" applyNumberFormat="1" applyFont="1" applyFill="1" applyBorder="1" applyAlignment="1" applyProtection="1">
      <protection hidden="1"/>
    </xf>
    <xf numFmtId="0" fontId="10" fillId="3" borderId="28" xfId="0" applyNumberFormat="1" applyFont="1" applyFill="1" applyBorder="1" applyAlignment="1" applyProtection="1">
      <protection hidden="1"/>
    </xf>
    <xf numFmtId="0" fontId="10" fillId="5" borderId="40" xfId="4" applyFont="1" applyFill="1" applyBorder="1" applyProtection="1">
      <protection hidden="1"/>
    </xf>
    <xf numFmtId="0" fontId="10" fillId="5" borderId="30" xfId="4" applyFont="1" applyFill="1" applyBorder="1" applyProtection="1">
      <protection hidden="1"/>
    </xf>
    <xf numFmtId="0" fontId="10" fillId="5" borderId="6" xfId="4" applyFont="1" applyFill="1" applyBorder="1" applyProtection="1">
      <protection hidden="1"/>
    </xf>
    <xf numFmtId="0" fontId="10" fillId="6" borderId="40" xfId="4" applyFont="1" applyFill="1" applyBorder="1" applyProtection="1">
      <protection hidden="1"/>
    </xf>
    <xf numFmtId="0" fontId="10" fillId="6" borderId="6" xfId="4" applyFont="1" applyFill="1" applyBorder="1" applyProtection="1">
      <protection hidden="1"/>
    </xf>
    <xf numFmtId="165" fontId="10" fillId="8" borderId="56" xfId="7" quotePrefix="1" applyNumberFormat="1" applyFont="1" applyFill="1" applyBorder="1" applyAlignment="1" applyProtection="1">
      <alignment vertical="center"/>
      <protection hidden="1"/>
    </xf>
    <xf numFmtId="165" fontId="10" fillId="8" borderId="27" xfId="7" quotePrefix="1" applyNumberFormat="1" applyFont="1" applyFill="1" applyBorder="1" applyAlignment="1" applyProtection="1">
      <alignment vertical="center"/>
      <protection hidden="1"/>
    </xf>
    <xf numFmtId="0" fontId="10" fillId="3" borderId="30" xfId="4" applyNumberFormat="1" applyFont="1" applyFill="1" applyBorder="1" applyAlignment="1" applyProtection="1">
      <protection hidden="1"/>
    </xf>
    <xf numFmtId="0" fontId="10" fillId="3" borderId="48" xfId="4" applyNumberFormat="1" applyFont="1" applyFill="1" applyBorder="1" applyAlignment="1" applyProtection="1">
      <protection hidden="1"/>
    </xf>
    <xf numFmtId="0" fontId="10" fillId="3" borderId="28" xfId="4" applyNumberFormat="1" applyFont="1" applyFill="1" applyBorder="1" applyAlignment="1" applyProtection="1">
      <protection hidden="1"/>
    </xf>
    <xf numFmtId="0" fontId="14" fillId="3" borderId="9" xfId="4" applyFont="1" applyFill="1" applyBorder="1" applyAlignment="1" applyProtection="1">
      <alignment horizontal="left" vertical="center" indent="4"/>
      <protection hidden="1"/>
    </xf>
    <xf numFmtId="168" fontId="10" fillId="9" borderId="29" xfId="4" applyNumberFormat="1" applyFont="1" applyFill="1" applyBorder="1" applyAlignment="1" applyProtection="1">
      <alignment vertical="center"/>
      <protection locked="0"/>
    </xf>
    <xf numFmtId="0" fontId="9" fillId="3" borderId="9" xfId="4" applyFont="1" applyFill="1" applyBorder="1" applyAlignment="1" applyProtection="1">
      <alignment horizontal="left" vertical="center" indent="3"/>
      <protection hidden="1"/>
    </xf>
    <xf numFmtId="168" fontId="9" fillId="3" borderId="72" xfId="4" applyNumberFormat="1" applyFont="1" applyFill="1" applyBorder="1" applyAlignment="1" applyProtection="1">
      <alignment vertical="center"/>
      <protection hidden="1"/>
    </xf>
    <xf numFmtId="168" fontId="9" fillId="3" borderId="51" xfId="4" applyNumberFormat="1" applyFont="1" applyFill="1" applyBorder="1" applyAlignment="1" applyProtection="1">
      <alignment vertical="center"/>
      <protection hidden="1"/>
    </xf>
    <xf numFmtId="0" fontId="10" fillId="6" borderId="5" xfId="4" applyNumberFormat="1" applyFont="1" applyFill="1" applyBorder="1" applyAlignment="1" applyProtection="1">
      <protection hidden="1"/>
    </xf>
    <xf numFmtId="0" fontId="9" fillId="3" borderId="14" xfId="4" applyFont="1" applyFill="1" applyBorder="1" applyAlignment="1" applyProtection="1">
      <alignment horizontal="left" vertical="center" indent="1"/>
      <protection hidden="1"/>
    </xf>
    <xf numFmtId="168" fontId="9" fillId="3" borderId="14" xfId="4" applyNumberFormat="1" applyFont="1" applyFill="1" applyBorder="1" applyAlignment="1" applyProtection="1">
      <alignment vertical="center"/>
      <protection hidden="1"/>
    </xf>
    <xf numFmtId="168" fontId="9" fillId="3" borderId="75" xfId="4" applyNumberFormat="1" applyFont="1" applyFill="1" applyBorder="1" applyAlignment="1" applyProtection="1">
      <alignment vertical="center"/>
      <protection hidden="1"/>
    </xf>
    <xf numFmtId="168" fontId="9" fillId="3" borderId="71" xfId="4" applyNumberFormat="1" applyFont="1" applyFill="1" applyBorder="1" applyAlignment="1" applyProtection="1">
      <alignment vertical="center"/>
      <protection hidden="1"/>
    </xf>
    <xf numFmtId="168" fontId="9" fillId="5" borderId="43" xfId="4" applyNumberFormat="1" applyFont="1" applyFill="1" applyBorder="1" applyAlignment="1" applyProtection="1">
      <alignment vertical="center"/>
      <protection hidden="1"/>
    </xf>
    <xf numFmtId="168" fontId="9" fillId="5" borderId="15" xfId="4" applyNumberFormat="1" applyFont="1" applyFill="1" applyBorder="1" applyAlignment="1" applyProtection="1">
      <alignment vertical="center"/>
      <protection hidden="1"/>
    </xf>
    <xf numFmtId="0" fontId="10" fillId="6" borderId="43" xfId="4" applyNumberFormat="1" applyFont="1" applyFill="1" applyBorder="1" applyAlignment="1" applyProtection="1">
      <protection hidden="1"/>
    </xf>
    <xf numFmtId="0" fontId="10" fillId="6" borderId="16" xfId="4" applyNumberFormat="1" applyFont="1" applyFill="1" applyBorder="1" applyAlignment="1" applyProtection="1">
      <protection hidden="1"/>
    </xf>
    <xf numFmtId="0" fontId="10" fillId="3" borderId="9" xfId="4" applyFont="1" applyFill="1" applyBorder="1" applyProtection="1">
      <protection hidden="1"/>
    </xf>
    <xf numFmtId="0" fontId="10" fillId="6" borderId="0" xfId="4" applyFont="1" applyFill="1" applyBorder="1" applyProtection="1">
      <protection hidden="1"/>
    </xf>
    <xf numFmtId="0" fontId="10" fillId="3" borderId="9" xfId="4" quotePrefix="1" applyFont="1" applyFill="1" applyBorder="1" applyProtection="1">
      <protection hidden="1"/>
    </xf>
    <xf numFmtId="0" fontId="10" fillId="3" borderId="0" xfId="4" quotePrefix="1" applyFont="1" applyFill="1" applyBorder="1" applyProtection="1">
      <protection hidden="1"/>
    </xf>
    <xf numFmtId="168" fontId="22" fillId="5" borderId="0" xfId="4" applyNumberFormat="1" applyFont="1" applyFill="1" applyBorder="1" applyAlignment="1" applyProtection="1">
      <protection hidden="1"/>
    </xf>
    <xf numFmtId="0" fontId="22" fillId="5" borderId="0" xfId="4" applyNumberFormat="1" applyFont="1" applyFill="1" applyBorder="1" applyAlignment="1" applyProtection="1">
      <protection hidden="1"/>
    </xf>
    <xf numFmtId="168" fontId="22" fillId="6" borderId="0" xfId="4" applyNumberFormat="1" applyFont="1" applyFill="1" applyBorder="1" applyAlignment="1" applyProtection="1">
      <protection hidden="1"/>
    </xf>
    <xf numFmtId="168" fontId="10" fillId="5" borderId="0" xfId="4" applyNumberFormat="1" applyFont="1" applyFill="1" applyBorder="1" applyProtection="1">
      <protection hidden="1"/>
    </xf>
    <xf numFmtId="168" fontId="10" fillId="6" borderId="0" xfId="4" applyNumberFormat="1" applyFont="1" applyFill="1" applyBorder="1" applyProtection="1">
      <protection hidden="1"/>
    </xf>
    <xf numFmtId="0" fontId="9" fillId="3" borderId="41" xfId="4" applyFont="1" applyFill="1" applyBorder="1" applyProtection="1">
      <protection hidden="1"/>
    </xf>
    <xf numFmtId="0" fontId="10" fillId="3" borderId="50" xfId="4" applyFont="1" applyFill="1" applyBorder="1" applyProtection="1">
      <protection hidden="1"/>
    </xf>
    <xf numFmtId="0" fontId="10" fillId="5" borderId="50" xfId="4" applyFont="1" applyFill="1" applyBorder="1" applyProtection="1">
      <protection hidden="1"/>
    </xf>
    <xf numFmtId="0" fontId="10" fillId="6" borderId="50" xfId="4" applyNumberFormat="1" applyFont="1" applyFill="1" applyBorder="1" applyAlignment="1" applyProtection="1">
      <protection hidden="1"/>
    </xf>
    <xf numFmtId="0" fontId="10" fillId="6" borderId="50" xfId="4" applyFont="1" applyFill="1" applyBorder="1" applyProtection="1">
      <protection hidden="1"/>
    </xf>
    <xf numFmtId="0" fontId="10" fillId="6" borderId="42" xfId="4" applyNumberFormat="1" applyFont="1" applyFill="1" applyBorder="1" applyAlignment="1" applyProtection="1">
      <protection hidden="1"/>
    </xf>
    <xf numFmtId="168" fontId="10" fillId="5" borderId="24" xfId="4" applyNumberFormat="1" applyFont="1" applyFill="1" applyBorder="1" applyAlignment="1" applyProtection="1">
      <alignment vertical="center"/>
      <protection hidden="1"/>
    </xf>
    <xf numFmtId="168" fontId="10" fillId="5" borderId="40" xfId="4" applyNumberFormat="1" applyFont="1" applyFill="1" applyBorder="1" applyAlignment="1" applyProtection="1">
      <alignment vertical="center"/>
      <protection hidden="1"/>
    </xf>
    <xf numFmtId="0" fontId="10" fillId="15" borderId="0" xfId="0" applyFont="1" applyFill="1" applyBorder="1" applyAlignment="1" applyProtection="1">
      <alignment horizontal="center"/>
      <protection hidden="1"/>
    </xf>
    <xf numFmtId="0" fontId="10" fillId="3" borderId="9" xfId="4" applyNumberFormat="1" applyFont="1" applyFill="1" applyBorder="1" applyAlignment="1" applyProtection="1">
      <protection hidden="1"/>
    </xf>
    <xf numFmtId="0" fontId="10" fillId="3" borderId="9" xfId="0" applyNumberFormat="1" applyFont="1" applyFill="1" applyBorder="1" applyAlignment="1" applyProtection="1">
      <protection hidden="1"/>
    </xf>
    <xf numFmtId="0" fontId="10" fillId="3" borderId="9" xfId="0" quotePrefix="1" applyNumberFormat="1" applyFont="1" applyFill="1" applyBorder="1" applyAlignment="1" applyProtection="1">
      <protection hidden="1"/>
    </xf>
    <xf numFmtId="0" fontId="10" fillId="3" borderId="11" xfId="4" applyNumberFormat="1" applyFont="1" applyFill="1" applyBorder="1" applyAlignment="1" applyProtection="1">
      <protection hidden="1"/>
    </xf>
    <xf numFmtId="0" fontId="10" fillId="3" borderId="11" xfId="0" applyNumberFormat="1" applyFont="1" applyFill="1" applyBorder="1" applyAlignment="1" applyProtection="1">
      <protection hidden="1"/>
    </xf>
    <xf numFmtId="0" fontId="10" fillId="3" borderId="0" xfId="0" applyNumberFormat="1" applyFont="1" applyFill="1" applyBorder="1" applyAlignment="1" applyProtection="1">
      <protection hidden="1"/>
    </xf>
    <xf numFmtId="168" fontId="10" fillId="11" borderId="14" xfId="4" applyNumberFormat="1" applyFont="1" applyFill="1" applyBorder="1" applyAlignment="1" applyProtection="1">
      <alignment vertical="center"/>
      <protection hidden="1"/>
    </xf>
    <xf numFmtId="168" fontId="10" fillId="11" borderId="15" xfId="4" applyNumberFormat="1" applyFont="1" applyFill="1" applyBorder="1" applyAlignment="1" applyProtection="1">
      <alignment vertical="center"/>
      <protection hidden="1"/>
    </xf>
    <xf numFmtId="168" fontId="9" fillId="0" borderId="15" xfId="4" applyNumberFormat="1" applyFont="1" applyFill="1" applyBorder="1" applyAlignment="1" applyProtection="1">
      <alignment vertical="center"/>
      <protection locked="0"/>
    </xf>
    <xf numFmtId="0" fontId="10" fillId="3" borderId="31" xfId="4" applyNumberFormat="1" applyFont="1" applyFill="1" applyBorder="1" applyAlignment="1" applyProtection="1">
      <protection hidden="1"/>
    </xf>
    <xf numFmtId="0" fontId="10" fillId="3" borderId="12" xfId="4" applyNumberFormat="1" applyFont="1" applyFill="1" applyBorder="1" applyAlignment="1" applyProtection="1">
      <protection hidden="1"/>
    </xf>
    <xf numFmtId="168" fontId="9" fillId="3" borderId="12" xfId="4" applyNumberFormat="1" applyFont="1" applyFill="1" applyBorder="1" applyAlignment="1" applyProtection="1">
      <alignment vertical="center"/>
      <protection hidden="1"/>
    </xf>
    <xf numFmtId="0" fontId="10" fillId="3" borderId="8" xfId="4" applyNumberFormat="1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alignment horizontal="left" vertical="center" wrapText="1" indent="1"/>
      <protection hidden="1"/>
    </xf>
    <xf numFmtId="0" fontId="13" fillId="3" borderId="11" xfId="0" applyFont="1" applyFill="1" applyBorder="1" applyAlignment="1" applyProtection="1">
      <alignment horizontal="left" vertical="center" wrapText="1" indent="1"/>
      <protection hidden="1"/>
    </xf>
    <xf numFmtId="172" fontId="9" fillId="3" borderId="11" xfId="0" quotePrefix="1" applyNumberFormat="1" applyFont="1" applyFill="1" applyBorder="1" applyAlignment="1" applyProtection="1">
      <alignment horizontal="center" vertical="center"/>
      <protection hidden="1"/>
    </xf>
    <xf numFmtId="172" fontId="9" fillId="3" borderId="22" xfId="4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top"/>
      <protection hidden="1"/>
    </xf>
    <xf numFmtId="0" fontId="9" fillId="3" borderId="25" xfId="0" applyFont="1" applyFill="1" applyBorder="1" applyAlignment="1" applyProtection="1">
      <alignment horizontal="center" vertical="top"/>
      <protection hidden="1"/>
    </xf>
    <xf numFmtId="0" fontId="9" fillId="3" borderId="0" xfId="0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vertical="top"/>
      <protection hidden="1"/>
    </xf>
    <xf numFmtId="0" fontId="9" fillId="3" borderId="22" xfId="0" applyFont="1" applyFill="1" applyBorder="1" applyAlignment="1" applyProtection="1">
      <alignment horizontal="center" vertical="top"/>
      <protection hidden="1"/>
    </xf>
    <xf numFmtId="164" fontId="18" fillId="4" borderId="58" xfId="0" applyNumberFormat="1" applyFont="1" applyFill="1" applyBorder="1" applyAlignment="1" applyProtection="1">
      <alignment horizontal="centerContinuous" vertical="center"/>
      <protection hidden="1"/>
    </xf>
    <xf numFmtId="164" fontId="18" fillId="4" borderId="59" xfId="0" applyNumberFormat="1" applyFont="1" applyFill="1" applyBorder="1" applyAlignment="1" applyProtection="1">
      <alignment horizontal="centerContinuous" vertical="center"/>
      <protection hidden="1"/>
    </xf>
    <xf numFmtId="164" fontId="18" fillId="4" borderId="60" xfId="0" applyNumberFormat="1" applyFont="1" applyFill="1" applyBorder="1" applyAlignment="1" applyProtection="1">
      <alignment horizontal="centerContinuous" vertical="center"/>
      <protection hidden="1"/>
    </xf>
    <xf numFmtId="0" fontId="18" fillId="5" borderId="22" xfId="0" applyFont="1" applyFill="1" applyBorder="1" applyAlignment="1" applyProtection="1">
      <alignment horizontal="center" vertical="center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68" fontId="9" fillId="5" borderId="22" xfId="4" applyNumberFormat="1" applyFont="1" applyFill="1" applyBorder="1" applyAlignment="1" applyProtection="1">
      <alignment vertical="center"/>
      <protection hidden="1"/>
    </xf>
    <xf numFmtId="0" fontId="10" fillId="5" borderId="22" xfId="4" applyFont="1" applyFill="1" applyBorder="1" applyProtection="1">
      <protection hidden="1"/>
    </xf>
    <xf numFmtId="168" fontId="9" fillId="5" borderId="31" xfId="4" applyNumberFormat="1" applyFont="1" applyFill="1" applyBorder="1" applyAlignment="1" applyProtection="1">
      <alignment vertical="center"/>
      <protection hidden="1"/>
    </xf>
    <xf numFmtId="168" fontId="9" fillId="5" borderId="38" xfId="4" applyNumberFormat="1" applyFont="1" applyFill="1" applyBorder="1" applyAlignment="1" applyProtection="1">
      <alignment vertical="center"/>
      <protection hidden="1"/>
    </xf>
    <xf numFmtId="168" fontId="9" fillId="5" borderId="36" xfId="4" applyNumberFormat="1" applyFont="1" applyFill="1" applyBorder="1" applyAlignment="1" applyProtection="1">
      <alignment vertical="center"/>
      <protection hidden="1"/>
    </xf>
    <xf numFmtId="168" fontId="10" fillId="5" borderId="49" xfId="4" applyNumberFormat="1" applyFont="1" applyFill="1" applyBorder="1" applyAlignment="1" applyProtection="1">
      <alignment vertical="center"/>
      <protection hidden="1"/>
    </xf>
    <xf numFmtId="168" fontId="10" fillId="5" borderId="12" xfId="4" applyNumberFormat="1" applyFont="1" applyFill="1" applyBorder="1" applyAlignment="1" applyProtection="1">
      <alignment vertical="center"/>
      <protection hidden="1"/>
    </xf>
    <xf numFmtId="168" fontId="10" fillId="5" borderId="22" xfId="4" applyNumberFormat="1" applyFont="1" applyFill="1" applyBorder="1" applyAlignment="1" applyProtection="1">
      <alignment vertical="center"/>
      <protection hidden="1"/>
    </xf>
    <xf numFmtId="168" fontId="10" fillId="5" borderId="31" xfId="4" applyNumberFormat="1" applyFont="1" applyFill="1" applyBorder="1" applyAlignment="1" applyProtection="1">
      <alignment vertical="center"/>
      <protection hidden="1"/>
    </xf>
    <xf numFmtId="0" fontId="18" fillId="6" borderId="11" xfId="0" applyFont="1" applyFill="1" applyBorder="1" applyAlignment="1" applyProtection="1">
      <alignment horizontal="center" vertical="center"/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10" fillId="6" borderId="11" xfId="4" applyFont="1" applyFill="1" applyBorder="1" applyProtection="1">
      <protection hidden="1"/>
    </xf>
    <xf numFmtId="0" fontId="10" fillId="6" borderId="12" xfId="4" applyNumberFormat="1" applyFont="1" applyFill="1" applyBorder="1" applyAlignment="1" applyProtection="1">
      <protection hidden="1"/>
    </xf>
    <xf numFmtId="165" fontId="10" fillId="8" borderId="49" xfId="7" quotePrefix="1" applyNumberFormat="1" applyFont="1" applyFill="1" applyBorder="1" applyAlignment="1" applyProtection="1">
      <alignment vertical="center"/>
      <protection hidden="1"/>
    </xf>
    <xf numFmtId="168" fontId="9" fillId="5" borderId="12" xfId="4" applyNumberFormat="1" applyFont="1" applyFill="1" applyBorder="1" applyAlignment="1" applyProtection="1">
      <alignment vertical="center"/>
      <protection hidden="1"/>
    </xf>
    <xf numFmtId="165" fontId="10" fillId="17" borderId="12" xfId="7" quotePrefix="1" applyNumberFormat="1" applyFont="1" applyFill="1" applyBorder="1" applyAlignment="1" applyProtection="1">
      <alignment vertical="center"/>
      <protection hidden="1"/>
    </xf>
    <xf numFmtId="165" fontId="10" fillId="18" borderId="11" xfId="7" quotePrefix="1" applyNumberFormat="1" applyFont="1" applyFill="1" applyBorder="1" applyAlignment="1" applyProtection="1">
      <alignment vertical="center"/>
      <protection hidden="1"/>
    </xf>
    <xf numFmtId="0" fontId="10" fillId="3" borderId="48" xfId="4" applyNumberFormat="1" applyFont="1" applyFill="1" applyBorder="1" applyAlignment="1" applyProtection="1">
      <alignment vertical="center"/>
      <protection hidden="1"/>
    </xf>
    <xf numFmtId="168" fontId="10" fillId="11" borderId="30" xfId="4" applyNumberFormat="1" applyFont="1" applyFill="1" applyBorder="1" applyAlignment="1" applyProtection="1">
      <alignment vertical="center"/>
      <protection hidden="1"/>
    </xf>
    <xf numFmtId="165" fontId="10" fillId="18" borderId="54" xfId="7" quotePrefix="1" applyNumberFormat="1" applyFont="1" applyFill="1" applyBorder="1" applyAlignment="1" applyProtection="1">
      <alignment vertical="center"/>
      <protection hidden="1"/>
    </xf>
    <xf numFmtId="165" fontId="10" fillId="18" borderId="6" xfId="7" quotePrefix="1" applyNumberFormat="1" applyFont="1" applyFill="1" applyBorder="1" applyAlignment="1" applyProtection="1">
      <alignment vertical="center"/>
      <protection hidden="1"/>
    </xf>
    <xf numFmtId="0" fontId="10" fillId="6" borderId="8" xfId="4" applyFont="1" applyFill="1" applyBorder="1" applyProtection="1">
      <protection hidden="1"/>
    </xf>
    <xf numFmtId="0" fontId="10" fillId="6" borderId="22" xfId="4" applyFont="1" applyFill="1" applyBorder="1" applyProtection="1">
      <protection hidden="1"/>
    </xf>
    <xf numFmtId="165" fontId="10" fillId="18" borderId="22" xfId="7" quotePrefix="1" applyNumberFormat="1" applyFont="1" applyFill="1" applyBorder="1" applyAlignment="1" applyProtection="1">
      <alignment vertical="center"/>
      <protection hidden="1"/>
    </xf>
    <xf numFmtId="0" fontId="10" fillId="6" borderId="31" xfId="4" applyNumberFormat="1" applyFont="1" applyFill="1" applyBorder="1" applyAlignment="1" applyProtection="1">
      <protection hidden="1"/>
    </xf>
    <xf numFmtId="0" fontId="25" fillId="11" borderId="9" xfId="0" applyNumberFormat="1" applyFont="1" applyFill="1" applyBorder="1" applyAlignment="1" applyProtection="1">
      <protection hidden="1"/>
    </xf>
    <xf numFmtId="0" fontId="10" fillId="11" borderId="9" xfId="0" applyNumberFormat="1" applyFont="1" applyFill="1" applyBorder="1" applyAlignment="1" applyProtection="1">
      <protection hidden="1"/>
    </xf>
    <xf numFmtId="0" fontId="10" fillId="11" borderId="9" xfId="4" applyNumberFormat="1" applyFont="1" applyFill="1" applyBorder="1" applyAlignment="1" applyProtection="1">
      <protection hidden="1"/>
    </xf>
    <xf numFmtId="168" fontId="20" fillId="3" borderId="9" xfId="4" applyNumberFormat="1" applyFont="1" applyFill="1" applyBorder="1" applyAlignment="1" applyProtection="1">
      <alignment horizontal="center" vertical="center"/>
      <protection hidden="1"/>
    </xf>
    <xf numFmtId="0" fontId="20" fillId="3" borderId="9" xfId="4" applyNumberFormat="1" applyFont="1" applyFill="1" applyBorder="1" applyAlignment="1" applyProtection="1">
      <alignment horizontal="center" vertical="center"/>
      <protection hidden="1"/>
    </xf>
    <xf numFmtId="0" fontId="20" fillId="3" borderId="15" xfId="4" applyNumberFormat="1" applyFont="1" applyFill="1" applyBorder="1" applyAlignment="1" applyProtection="1">
      <alignment horizontal="center" vertical="center"/>
      <protection hidden="1"/>
    </xf>
    <xf numFmtId="0" fontId="9" fillId="3" borderId="25" xfId="4" applyNumberFormat="1" applyFont="1" applyFill="1" applyBorder="1" applyAlignment="1" applyProtection="1">
      <alignment horizontal="center" vertical="center"/>
      <protection hidden="1"/>
    </xf>
    <xf numFmtId="0" fontId="20" fillId="3" borderId="25" xfId="4" applyNumberFormat="1" applyFont="1" applyFill="1" applyBorder="1" applyAlignment="1" applyProtection="1">
      <alignment horizontal="center" vertical="center"/>
      <protection hidden="1"/>
    </xf>
    <xf numFmtId="0" fontId="9" fillId="3" borderId="20" xfId="4" applyNumberFormat="1" applyFont="1" applyFill="1" applyBorder="1" applyAlignment="1" applyProtection="1">
      <alignment horizontal="center" vertical="center"/>
      <protection hidden="1"/>
    </xf>
    <xf numFmtId="0" fontId="9" fillId="3" borderId="39" xfId="4" applyNumberFormat="1" applyFont="1" applyFill="1" applyBorder="1" applyAlignment="1" applyProtection="1">
      <alignment horizontal="center" vertical="center"/>
      <protection hidden="1"/>
    </xf>
    <xf numFmtId="0" fontId="9" fillId="3" borderId="15" xfId="4" applyNumberFormat="1" applyFont="1" applyFill="1" applyBorder="1" applyAlignment="1" applyProtection="1">
      <alignment horizontal="center" vertical="center"/>
      <protection hidden="1"/>
    </xf>
    <xf numFmtId="0" fontId="20" fillId="11" borderId="15" xfId="4" applyNumberFormat="1" applyFont="1" applyFill="1" applyBorder="1" applyAlignment="1" applyProtection="1">
      <alignment horizontal="center" vertical="center"/>
      <protection hidden="1"/>
    </xf>
    <xf numFmtId="0" fontId="21" fillId="11" borderId="25" xfId="4" applyNumberFormat="1" applyFont="1" applyFill="1" applyBorder="1" applyAlignment="1" applyProtection="1">
      <alignment horizontal="center" vertical="center"/>
      <protection hidden="1"/>
    </xf>
    <xf numFmtId="0" fontId="20" fillId="11" borderId="25" xfId="4" applyNumberFormat="1" applyFont="1" applyFill="1" applyBorder="1" applyAlignment="1" applyProtection="1">
      <alignment horizontal="center" vertical="center"/>
      <protection hidden="1"/>
    </xf>
    <xf numFmtId="0" fontId="21" fillId="11" borderId="20" xfId="4" applyNumberFormat="1" applyFont="1" applyFill="1" applyBorder="1" applyAlignment="1" applyProtection="1">
      <alignment horizontal="center" vertical="center"/>
      <protection hidden="1"/>
    </xf>
    <xf numFmtId="0" fontId="21" fillId="11" borderId="39" xfId="4" applyNumberFormat="1" applyFont="1" applyFill="1" applyBorder="1" applyAlignment="1" applyProtection="1">
      <alignment horizontal="center" vertical="center"/>
      <protection hidden="1"/>
    </xf>
    <xf numFmtId="0" fontId="9" fillId="3" borderId="15" xfId="4" applyNumberFormat="1" applyFont="1" applyFill="1" applyBorder="1" applyAlignment="1" applyProtection="1">
      <alignment vertical="center"/>
      <protection hidden="1"/>
    </xf>
    <xf numFmtId="0" fontId="13" fillId="3" borderId="12" xfId="0" applyFont="1" applyFill="1" applyBorder="1" applyAlignment="1" applyProtection="1">
      <alignment horizontal="left" vertical="center" wrapText="1" indent="1"/>
      <protection hidden="1"/>
    </xf>
    <xf numFmtId="0" fontId="10" fillId="3" borderId="31" xfId="4" applyFont="1" applyFill="1" applyBorder="1" applyProtection="1">
      <protection hidden="1"/>
    </xf>
    <xf numFmtId="0" fontId="13" fillId="3" borderId="22" xfId="0" applyFont="1" applyFill="1" applyBorder="1" applyAlignment="1" applyProtection="1">
      <alignment horizontal="left" vertical="center" wrapText="1" indent="1"/>
      <protection hidden="1"/>
    </xf>
    <xf numFmtId="0" fontId="10" fillId="3" borderId="22" xfId="0" applyNumberFormat="1" applyFont="1" applyFill="1" applyBorder="1" applyAlignment="1" applyProtection="1">
      <protection hidden="1"/>
    </xf>
    <xf numFmtId="168" fontId="10" fillId="0" borderId="49" xfId="4" applyNumberFormat="1" applyFont="1" applyFill="1" applyBorder="1" applyAlignment="1" applyProtection="1">
      <alignment vertical="center"/>
      <protection locked="0"/>
    </xf>
    <xf numFmtId="172" fontId="9" fillId="6" borderId="11" xfId="0" quotePrefix="1" applyNumberFormat="1" applyFont="1" applyFill="1" applyBorder="1" applyAlignment="1" applyProtection="1">
      <alignment horizontal="center" vertical="center"/>
      <protection hidden="1"/>
    </xf>
    <xf numFmtId="0" fontId="10" fillId="11" borderId="77" xfId="0" quotePrefix="1" applyFont="1" applyFill="1" applyBorder="1" applyAlignment="1" applyProtection="1">
      <protection hidden="1"/>
    </xf>
    <xf numFmtId="0" fontId="10" fillId="2" borderId="11" xfId="0" applyFont="1" applyFill="1" applyBorder="1" applyProtection="1">
      <protection hidden="1"/>
    </xf>
    <xf numFmtId="0" fontId="10" fillId="2" borderId="42" xfId="0" applyFont="1" applyFill="1" applyBorder="1" applyProtection="1">
      <protection hidden="1"/>
    </xf>
    <xf numFmtId="0" fontId="8" fillId="11" borderId="27" xfId="0" applyNumberFormat="1" applyFont="1" applyFill="1" applyBorder="1" applyAlignment="1" applyProtection="1">
      <protection hidden="1"/>
    </xf>
    <xf numFmtId="0" fontId="10" fillId="2" borderId="18" xfId="0" applyFont="1" applyFill="1" applyBorder="1" applyProtection="1">
      <protection hidden="1"/>
    </xf>
    <xf numFmtId="0" fontId="10" fillId="2" borderId="28" xfId="0" applyFont="1" applyFill="1" applyBorder="1" applyProtection="1">
      <protection hidden="1"/>
    </xf>
    <xf numFmtId="0" fontId="8" fillId="11" borderId="19" xfId="0" applyNumberFormat="1" applyFont="1" applyFill="1" applyBorder="1" applyAlignment="1" applyProtection="1">
      <protection hidden="1"/>
    </xf>
    <xf numFmtId="0" fontId="8" fillId="11" borderId="24" xfId="0" applyNumberFormat="1" applyFont="1" applyFill="1" applyBorder="1" applyAlignment="1" applyProtection="1">
      <protection hidden="1"/>
    </xf>
    <xf numFmtId="0" fontId="8" fillId="11" borderId="38" xfId="0" applyNumberFormat="1" applyFont="1" applyFill="1" applyBorder="1" applyAlignment="1" applyProtection="1">
      <protection hidden="1"/>
    </xf>
    <xf numFmtId="0" fontId="8" fillId="11" borderId="40" xfId="0" applyNumberFormat="1" applyFont="1" applyFill="1" applyBorder="1" applyAlignment="1" applyProtection="1">
      <protection hidden="1"/>
    </xf>
    <xf numFmtId="0" fontId="10" fillId="11" borderId="24" xfId="0" applyNumberFormat="1" applyFont="1" applyFill="1" applyBorder="1" applyAlignment="1" applyProtection="1">
      <protection hidden="1"/>
    </xf>
    <xf numFmtId="0" fontId="13" fillId="11" borderId="40" xfId="0" applyFont="1" applyFill="1" applyBorder="1" applyAlignment="1" applyProtection="1">
      <protection hidden="1"/>
    </xf>
    <xf numFmtId="0" fontId="10" fillId="11" borderId="40" xfId="0" applyFont="1" applyFill="1" applyBorder="1" applyAlignment="1" applyProtection="1">
      <protection hidden="1"/>
    </xf>
    <xf numFmtId="0" fontId="13" fillId="10" borderId="35" xfId="0" applyFont="1" applyFill="1" applyBorder="1" applyAlignment="1" applyProtection="1">
      <alignment horizontal="left" vertical="center" wrapText="1" indent="1"/>
      <protection hidden="1"/>
    </xf>
    <xf numFmtId="0" fontId="8" fillId="11" borderId="82" xfId="0" applyNumberFormat="1" applyFont="1" applyFill="1" applyBorder="1" applyAlignment="1" applyProtection="1">
      <protection hidden="1"/>
    </xf>
    <xf numFmtId="0" fontId="8" fillId="11" borderId="45" xfId="0" applyNumberFormat="1" applyFont="1" applyFill="1" applyBorder="1" applyAlignment="1" applyProtection="1">
      <protection hidden="1"/>
    </xf>
    <xf numFmtId="0" fontId="8" fillId="2" borderId="47" xfId="0" applyNumberFormat="1" applyFont="1" applyFill="1" applyBorder="1" applyAlignment="1" applyProtection="1">
      <alignment horizontal="left" vertical="top" wrapText="1"/>
      <protection locked="0"/>
    </xf>
    <xf numFmtId="0" fontId="8" fillId="11" borderId="96" xfId="0" applyNumberFormat="1" applyFont="1" applyFill="1" applyBorder="1" applyAlignment="1" applyProtection="1">
      <protection hidden="1"/>
    </xf>
    <xf numFmtId="0" fontId="8" fillId="11" borderId="97" xfId="0" applyNumberFormat="1" applyFont="1" applyFill="1" applyBorder="1" applyAlignment="1" applyProtection="1">
      <protection hidden="1"/>
    </xf>
    <xf numFmtId="0" fontId="8" fillId="11" borderId="47" xfId="0" applyNumberFormat="1" applyFont="1" applyFill="1" applyBorder="1" applyAlignment="1" applyProtection="1">
      <protection hidden="1"/>
    </xf>
    <xf numFmtId="0" fontId="10" fillId="11" borderId="47" xfId="0" applyNumberFormat="1" applyFont="1" applyFill="1" applyBorder="1" applyAlignment="1" applyProtection="1">
      <protection hidden="1"/>
    </xf>
    <xf numFmtId="0" fontId="8" fillId="2" borderId="96" xfId="0" applyNumberFormat="1" applyFont="1" applyFill="1" applyBorder="1" applyAlignment="1" applyProtection="1">
      <alignment horizontal="left" vertical="top" wrapText="1"/>
      <protection locked="0"/>
    </xf>
    <xf numFmtId="0" fontId="13" fillId="11" borderId="19" xfId="0" applyFont="1" applyFill="1" applyBorder="1" applyAlignment="1" applyProtection="1">
      <protection hidden="1"/>
    </xf>
    <xf numFmtId="0" fontId="13" fillId="11" borderId="5" xfId="0" applyFont="1" applyFill="1" applyBorder="1" applyAlignment="1" applyProtection="1">
      <protection hidden="1"/>
    </xf>
    <xf numFmtId="0" fontId="13" fillId="11" borderId="38" xfId="0" applyFont="1" applyFill="1" applyBorder="1" applyAlignment="1" applyProtection="1">
      <protection hidden="1"/>
    </xf>
    <xf numFmtId="0" fontId="13" fillId="11" borderId="24" xfId="0" applyFont="1" applyFill="1" applyBorder="1" applyAlignment="1" applyProtection="1">
      <protection hidden="1"/>
    </xf>
    <xf numFmtId="0" fontId="13" fillId="11" borderId="35" xfId="0" applyFont="1" applyFill="1" applyBorder="1" applyAlignment="1" applyProtection="1">
      <protection hidden="1"/>
    </xf>
    <xf numFmtId="0" fontId="13" fillId="16" borderId="30" xfId="0" applyFont="1" applyFill="1" applyBorder="1" applyAlignment="1" applyProtection="1">
      <alignment horizontal="left" vertical="center" wrapText="1" indent="1"/>
      <protection hidden="1"/>
    </xf>
    <xf numFmtId="0" fontId="10" fillId="2" borderId="0" xfId="0" applyFont="1" applyFill="1" applyBorder="1" applyProtection="1">
      <protection hidden="1"/>
    </xf>
    <xf numFmtId="167" fontId="9" fillId="11" borderId="0" xfId="0" applyNumberFormat="1" applyFont="1" applyFill="1" applyBorder="1" applyAlignment="1" applyProtection="1">
      <protection hidden="1"/>
    </xf>
    <xf numFmtId="0" fontId="10" fillId="11" borderId="17" xfId="0" applyNumberFormat="1" applyFont="1" applyFill="1" applyBorder="1" applyAlignment="1" applyProtection="1">
      <protection hidden="1"/>
    </xf>
    <xf numFmtId="0" fontId="10" fillId="11" borderId="0" xfId="0" applyNumberFormat="1" applyFont="1" applyFill="1" applyBorder="1" applyAlignment="1" applyProtection="1">
      <protection hidden="1"/>
    </xf>
    <xf numFmtId="167" fontId="9" fillId="11" borderId="17" xfId="0" applyNumberFormat="1" applyFont="1" applyFill="1" applyBorder="1" applyAlignment="1" applyProtection="1">
      <protection hidden="1"/>
    </xf>
    <xf numFmtId="168" fontId="10" fillId="9" borderId="75" xfId="4" applyNumberFormat="1" applyFont="1" applyFill="1" applyBorder="1" applyAlignment="1" applyProtection="1">
      <alignment vertical="center"/>
      <protection locked="0"/>
    </xf>
    <xf numFmtId="168" fontId="10" fillId="0" borderId="48" xfId="4" applyNumberFormat="1" applyFont="1" applyFill="1" applyBorder="1" applyAlignment="1" applyProtection="1">
      <alignment vertical="center"/>
      <protection locked="0"/>
    </xf>
    <xf numFmtId="0" fontId="10" fillId="11" borderId="78" xfId="4" applyFont="1" applyFill="1" applyBorder="1" applyProtection="1">
      <protection hidden="1"/>
    </xf>
    <xf numFmtId="0" fontId="9" fillId="3" borderId="100" xfId="4" applyNumberFormat="1" applyFont="1" applyFill="1" applyBorder="1" applyAlignment="1" applyProtection="1">
      <protection hidden="1"/>
    </xf>
    <xf numFmtId="164" fontId="10" fillId="3" borderId="100" xfId="4" applyNumberFormat="1" applyFont="1" applyFill="1" applyBorder="1" applyProtection="1">
      <protection hidden="1"/>
    </xf>
    <xf numFmtId="0" fontId="10" fillId="3" borderId="100" xfId="4" applyFont="1" applyFill="1" applyBorder="1" applyProtection="1">
      <protection hidden="1"/>
    </xf>
    <xf numFmtId="0" fontId="10" fillId="3" borderId="99" xfId="4" applyFont="1" applyFill="1" applyBorder="1" applyProtection="1">
      <protection hidden="1"/>
    </xf>
    <xf numFmtId="0" fontId="10" fillId="11" borderId="97" xfId="4" applyFont="1" applyFill="1" applyBorder="1" applyProtection="1">
      <protection hidden="1"/>
    </xf>
    <xf numFmtId="0" fontId="9" fillId="3" borderId="0" xfId="4" applyNumberFormat="1" applyFont="1" applyFill="1" applyBorder="1" applyAlignment="1" applyProtection="1">
      <protection hidden="1"/>
    </xf>
    <xf numFmtId="164" fontId="10" fillId="3" borderId="0" xfId="4" applyNumberFormat="1" applyFont="1" applyFill="1" applyBorder="1" applyProtection="1">
      <protection hidden="1"/>
    </xf>
    <xf numFmtId="0" fontId="10" fillId="3" borderId="76" xfId="4" applyFont="1" applyFill="1" applyBorder="1" applyProtection="1">
      <protection hidden="1"/>
    </xf>
    <xf numFmtId="0" fontId="9" fillId="19" borderId="0" xfId="4" applyFont="1" applyFill="1" applyBorder="1" applyAlignment="1" applyProtection="1">
      <alignment horizontal="left" vertical="center"/>
      <protection hidden="1"/>
    </xf>
    <xf numFmtId="0" fontId="9" fillId="11" borderId="9" xfId="4" applyNumberFormat="1" applyFont="1" applyFill="1" applyBorder="1" applyAlignment="1" applyProtection="1">
      <alignment vertical="center"/>
      <protection hidden="1"/>
    </xf>
    <xf numFmtId="164" fontId="9" fillId="3" borderId="0" xfId="4" applyNumberFormat="1" applyFont="1" applyFill="1" applyBorder="1" applyAlignment="1" applyProtection="1">
      <protection hidden="1"/>
    </xf>
    <xf numFmtId="0" fontId="10" fillId="3" borderId="0" xfId="4" applyFont="1" applyFill="1" applyBorder="1" applyAlignment="1" applyProtection="1">
      <alignment horizontal="center" vertical="center" wrapText="1"/>
      <protection hidden="1"/>
    </xf>
    <xf numFmtId="0" fontId="27" fillId="3" borderId="0" xfId="4" applyFont="1" applyFill="1" applyBorder="1" applyAlignment="1" applyProtection="1">
      <protection hidden="1"/>
    </xf>
    <xf numFmtId="0" fontId="27" fillId="3" borderId="76" xfId="4" applyFont="1" applyFill="1" applyBorder="1" applyAlignment="1" applyProtection="1">
      <protection hidden="1"/>
    </xf>
    <xf numFmtId="0" fontId="10" fillId="11" borderId="97" xfId="4" applyFont="1" applyFill="1" applyBorder="1" applyAlignment="1" applyProtection="1">
      <protection hidden="1"/>
    </xf>
    <xf numFmtId="0" fontId="10" fillId="3" borderId="0" xfId="4" applyFont="1" applyFill="1" applyBorder="1" applyAlignment="1" applyProtection="1">
      <alignment vertical="center"/>
      <protection hidden="1"/>
    </xf>
    <xf numFmtId="0" fontId="10" fillId="3" borderId="50" xfId="4" applyFont="1" applyFill="1" applyBorder="1" applyAlignment="1" applyProtection="1">
      <alignment vertical="center"/>
      <protection hidden="1"/>
    </xf>
    <xf numFmtId="164" fontId="9" fillId="3" borderId="20" xfId="4" applyNumberFormat="1" applyFont="1" applyFill="1" applyBorder="1" applyAlignment="1" applyProtection="1">
      <alignment horizontal="center" vertical="top" wrapText="1"/>
      <protection hidden="1"/>
    </xf>
    <xf numFmtId="164" fontId="9" fillId="3" borderId="21" xfId="4" applyNumberFormat="1" applyFont="1" applyFill="1" applyBorder="1" applyAlignment="1" applyProtection="1">
      <alignment horizontal="center" vertical="top" wrapText="1"/>
      <protection hidden="1"/>
    </xf>
    <xf numFmtId="0" fontId="9" fillId="3" borderId="25" xfId="4" applyFont="1" applyFill="1" applyBorder="1" applyAlignment="1" applyProtection="1">
      <alignment horizontal="center" vertical="center"/>
      <protection hidden="1"/>
    </xf>
    <xf numFmtId="0" fontId="9" fillId="3" borderId="25" xfId="4" applyFont="1" applyFill="1" applyBorder="1" applyAlignment="1" applyProtection="1">
      <alignment horizontal="center" vertical="center" wrapText="1"/>
      <protection hidden="1"/>
    </xf>
    <xf numFmtId="0" fontId="10" fillId="3" borderId="27" xfId="4" applyFont="1" applyFill="1" applyBorder="1" applyAlignment="1" applyProtection="1">
      <protection hidden="1"/>
    </xf>
    <xf numFmtId="164" fontId="9" fillId="3" borderId="25" xfId="4" applyNumberFormat="1" applyFont="1" applyFill="1" applyBorder="1" applyAlignment="1" applyProtection="1">
      <alignment horizontal="center" vertical="center"/>
      <protection hidden="1"/>
    </xf>
    <xf numFmtId="164" fontId="9" fillId="3" borderId="76" xfId="4" applyNumberFormat="1" applyFont="1" applyFill="1" applyBorder="1" applyAlignment="1" applyProtection="1">
      <alignment horizontal="center" vertical="center"/>
      <protection hidden="1"/>
    </xf>
    <xf numFmtId="164" fontId="9" fillId="3" borderId="27" xfId="4" applyNumberFormat="1" applyFont="1" applyFill="1" applyBorder="1" applyAlignment="1" applyProtection="1">
      <alignment horizontal="center" vertical="center"/>
      <protection hidden="1"/>
    </xf>
    <xf numFmtId="0" fontId="10" fillId="3" borderId="74" xfId="4" applyFont="1" applyFill="1" applyBorder="1" applyAlignment="1" applyProtection="1">
      <alignment horizontal="left" vertical="center" wrapText="1" indent="2"/>
      <protection hidden="1"/>
    </xf>
    <xf numFmtId="172" fontId="9" fillId="3" borderId="4" xfId="4" quotePrefix="1" applyNumberFormat="1" applyFont="1" applyFill="1" applyBorder="1" applyAlignment="1" applyProtection="1">
      <alignment horizontal="center" vertical="center"/>
      <protection hidden="1"/>
    </xf>
    <xf numFmtId="172" fontId="9" fillId="3" borderId="26" xfId="4" quotePrefix="1" applyNumberFormat="1" applyFont="1" applyFill="1" applyBorder="1" applyAlignment="1" applyProtection="1">
      <alignment horizontal="center" vertical="center"/>
      <protection hidden="1"/>
    </xf>
    <xf numFmtId="173" fontId="12" fillId="3" borderId="9" xfId="4" applyNumberFormat="1" applyFont="1" applyFill="1" applyBorder="1" applyAlignment="1" applyProtection="1">
      <alignment horizontal="left" vertical="center" indent="1"/>
      <protection hidden="1"/>
    </xf>
    <xf numFmtId="164" fontId="10" fillId="3" borderId="101" xfId="4" quotePrefix="1" applyNumberFormat="1" applyFont="1" applyFill="1" applyBorder="1" applyAlignment="1" applyProtection="1">
      <alignment horizontal="center" vertical="center"/>
      <protection hidden="1"/>
    </xf>
    <xf numFmtId="164" fontId="10" fillId="3" borderId="76" xfId="4" quotePrefix="1" applyNumberFormat="1" applyFont="1" applyFill="1" applyBorder="1" applyAlignment="1" applyProtection="1">
      <alignment horizontal="center" vertical="center"/>
      <protection hidden="1"/>
    </xf>
    <xf numFmtId="0" fontId="27" fillId="3" borderId="11" xfId="4" applyFont="1" applyFill="1" applyBorder="1" applyAlignment="1" applyProtection="1">
      <protection hidden="1"/>
    </xf>
    <xf numFmtId="0" fontId="9" fillId="3" borderId="9" xfId="4" applyFont="1" applyFill="1" applyBorder="1" applyAlignment="1" applyProtection="1">
      <alignment horizontal="left" vertical="center" indent="2"/>
      <protection hidden="1"/>
    </xf>
    <xf numFmtId="171" fontId="9" fillId="3" borderId="102" xfId="4" applyNumberFormat="1" applyFont="1" applyFill="1" applyBorder="1" applyAlignment="1" applyProtection="1">
      <alignment vertical="center"/>
      <protection hidden="1"/>
    </xf>
    <xf numFmtId="171" fontId="9" fillId="3" borderId="103" xfId="4" applyNumberFormat="1" applyFont="1" applyFill="1" applyBorder="1" applyAlignment="1" applyProtection="1">
      <alignment vertical="center"/>
      <protection hidden="1"/>
    </xf>
    <xf numFmtId="0" fontId="9" fillId="3" borderId="28" xfId="4" applyFont="1" applyFill="1" applyBorder="1" applyAlignment="1" applyProtection="1">
      <alignment horizontal="center" vertical="center"/>
      <protection hidden="1"/>
    </xf>
    <xf numFmtId="0" fontId="9" fillId="3" borderId="74" xfId="4" applyFont="1" applyFill="1" applyBorder="1" applyAlignment="1" applyProtection="1">
      <alignment horizontal="left" vertical="center" indent="2"/>
      <protection hidden="1"/>
    </xf>
    <xf numFmtId="164" fontId="10" fillId="3" borderId="101" xfId="4" applyNumberFormat="1" applyFont="1" applyFill="1" applyBorder="1" applyAlignment="1" applyProtection="1">
      <alignment vertical="center"/>
      <protection hidden="1"/>
    </xf>
    <xf numFmtId="164" fontId="10" fillId="3" borderId="104" xfId="4" applyNumberFormat="1" applyFont="1" applyFill="1" applyBorder="1" applyAlignment="1" applyProtection="1">
      <alignment vertical="center"/>
      <protection hidden="1"/>
    </xf>
    <xf numFmtId="164" fontId="10" fillId="3" borderId="25" xfId="4" applyNumberFormat="1" applyFont="1" applyFill="1" applyBorder="1" applyAlignment="1" applyProtection="1">
      <alignment vertical="center"/>
      <protection hidden="1"/>
    </xf>
    <xf numFmtId="164" fontId="10" fillId="3" borderId="76" xfId="4" applyNumberFormat="1" applyFont="1" applyFill="1" applyBorder="1" applyAlignment="1" applyProtection="1">
      <alignment vertical="center"/>
      <protection hidden="1"/>
    </xf>
    <xf numFmtId="171" fontId="9" fillId="3" borderId="51" xfId="4" applyNumberFormat="1" applyFont="1" applyFill="1" applyBorder="1" applyAlignment="1" applyProtection="1">
      <alignment vertical="center"/>
      <protection hidden="1"/>
    </xf>
    <xf numFmtId="174" fontId="9" fillId="11" borderId="41" xfId="4" applyNumberFormat="1" applyFont="1" applyFill="1" applyBorder="1" applyAlignment="1" applyProtection="1">
      <alignment horizontal="left" vertical="center" indent="2"/>
      <protection hidden="1"/>
    </xf>
    <xf numFmtId="171" fontId="9" fillId="3" borderId="105" xfId="4" applyNumberFormat="1" applyFont="1" applyFill="1" applyBorder="1" applyAlignment="1" applyProtection="1">
      <alignment vertical="center"/>
      <protection hidden="1"/>
    </xf>
    <xf numFmtId="171" fontId="9" fillId="3" borderId="36" xfId="4" applyNumberFormat="1" applyFont="1" applyFill="1" applyBorder="1" applyAlignment="1" applyProtection="1">
      <alignment vertical="center"/>
      <protection hidden="1"/>
    </xf>
    <xf numFmtId="0" fontId="27" fillId="11" borderId="76" xfId="4" applyFont="1" applyFill="1" applyBorder="1" applyAlignment="1" applyProtection="1">
      <protection hidden="1"/>
    </xf>
    <xf numFmtId="164" fontId="10" fillId="3" borderId="0" xfId="4" applyNumberFormat="1" applyFont="1" applyFill="1" applyBorder="1" applyAlignment="1" applyProtection="1">
      <alignment horizontal="center"/>
      <protection hidden="1"/>
    </xf>
    <xf numFmtId="0" fontId="10" fillId="3" borderId="19" xfId="4" applyFont="1" applyFill="1" applyBorder="1" applyAlignment="1" applyProtection="1">
      <alignment vertical="center"/>
      <protection hidden="1"/>
    </xf>
    <xf numFmtId="164" fontId="9" fillId="3" borderId="25" xfId="4" applyNumberFormat="1" applyFont="1" applyFill="1" applyBorder="1" applyAlignment="1" applyProtection="1">
      <alignment horizontal="center" vertical="top" wrapText="1"/>
      <protection hidden="1"/>
    </xf>
    <xf numFmtId="164" fontId="9" fillId="3" borderId="27" xfId="4" applyNumberFormat="1" applyFont="1" applyFill="1" applyBorder="1" applyAlignment="1" applyProtection="1">
      <alignment horizontal="center" vertical="top" wrapText="1"/>
      <protection hidden="1"/>
    </xf>
    <xf numFmtId="0" fontId="10" fillId="3" borderId="9" xfId="4" applyFont="1" applyFill="1" applyBorder="1" applyAlignment="1" applyProtection="1">
      <alignment horizontal="left" vertical="center" wrapText="1" indent="2"/>
      <protection hidden="1"/>
    </xf>
    <xf numFmtId="175" fontId="9" fillId="11" borderId="36" xfId="4" applyNumberFormat="1" applyFont="1" applyFill="1" applyBorder="1" applyAlignment="1" applyProtection="1">
      <alignment vertical="center"/>
      <protection hidden="1"/>
    </xf>
    <xf numFmtId="165" fontId="9" fillId="3" borderId="36" xfId="4" applyNumberFormat="1" applyFont="1" applyFill="1" applyBorder="1" applyAlignment="1" applyProtection="1">
      <alignment vertical="center"/>
      <protection hidden="1"/>
    </xf>
    <xf numFmtId="0" fontId="10" fillId="3" borderId="50" xfId="4" applyFont="1" applyFill="1" applyBorder="1" applyAlignment="1" applyProtection="1">
      <protection hidden="1"/>
    </xf>
    <xf numFmtId="0" fontId="12" fillId="3" borderId="19" xfId="4" applyFont="1" applyFill="1" applyBorder="1" applyAlignment="1" applyProtection="1">
      <alignment horizontal="left" vertical="center" wrapText="1" indent="2"/>
      <protection hidden="1"/>
    </xf>
    <xf numFmtId="164" fontId="9" fillId="3" borderId="73" xfId="4" applyNumberFormat="1" applyFont="1" applyFill="1" applyBorder="1" applyAlignment="1" applyProtection="1">
      <alignment horizontal="center" vertical="top" wrapText="1"/>
      <protection hidden="1"/>
    </xf>
    <xf numFmtId="0" fontId="10" fillId="3" borderId="24" xfId="4" applyFont="1" applyFill="1" applyBorder="1" applyAlignment="1" applyProtection="1">
      <alignment horizontal="left"/>
      <protection hidden="1"/>
    </xf>
    <xf numFmtId="0" fontId="9" fillId="3" borderId="97" xfId="4" applyFont="1" applyFill="1" applyBorder="1" applyAlignment="1" applyProtection="1">
      <alignment horizontal="center" vertical="center"/>
      <protection hidden="1"/>
    </xf>
    <xf numFmtId="164" fontId="9" fillId="3" borderId="97" xfId="4" applyNumberFormat="1" applyFont="1" applyFill="1" applyBorder="1" applyAlignment="1" applyProtection="1">
      <alignment horizontal="center" vertical="center"/>
      <protection hidden="1"/>
    </xf>
    <xf numFmtId="0" fontId="10" fillId="3" borderId="5" xfId="4" applyFont="1" applyFill="1" applyBorder="1" applyAlignment="1" applyProtection="1">
      <alignment horizontal="left" wrapText="1" indent="2"/>
      <protection hidden="1"/>
    </xf>
    <xf numFmtId="173" fontId="12" fillId="3" borderId="24" xfId="4" applyNumberFormat="1" applyFont="1" applyFill="1" applyBorder="1" applyAlignment="1" applyProtection="1">
      <alignment horizontal="left" vertical="center" indent="1"/>
      <protection hidden="1"/>
    </xf>
    <xf numFmtId="0" fontId="10" fillId="3" borderId="89" xfId="4" applyNumberFormat="1" applyFont="1" applyFill="1" applyBorder="1" applyAlignment="1" applyProtection="1">
      <alignment vertical="center"/>
      <protection hidden="1"/>
    </xf>
    <xf numFmtId="171" fontId="9" fillId="3" borderId="25" xfId="4" applyNumberFormat="1" applyFont="1" applyFill="1" applyBorder="1" applyAlignment="1" applyProtection="1">
      <alignment vertical="center"/>
      <protection hidden="1"/>
    </xf>
    <xf numFmtId="165" fontId="9" fillId="3" borderId="25" xfId="4" applyNumberFormat="1" applyFont="1" applyFill="1" applyBorder="1" applyAlignment="1" applyProtection="1">
      <alignment vertical="center"/>
      <protection hidden="1"/>
    </xf>
    <xf numFmtId="0" fontId="10" fillId="3" borderId="45" xfId="4" applyFont="1" applyFill="1" applyBorder="1" applyProtection="1">
      <protection hidden="1"/>
    </xf>
    <xf numFmtId="171" fontId="9" fillId="3" borderId="4" xfId="4" applyNumberFormat="1" applyFont="1" applyFill="1" applyBorder="1" applyAlignment="1" applyProtection="1">
      <alignment vertical="center"/>
      <protection hidden="1"/>
    </xf>
    <xf numFmtId="165" fontId="9" fillId="3" borderId="4" xfId="4" applyNumberFormat="1" applyFont="1" applyFill="1" applyBorder="1" applyAlignment="1" applyProtection="1">
      <alignment vertical="center"/>
      <protection hidden="1"/>
    </xf>
    <xf numFmtId="164" fontId="9" fillId="3" borderId="26" xfId="4" applyNumberFormat="1" applyFont="1" applyFill="1" applyBorder="1" applyAlignment="1" applyProtection="1">
      <alignment horizontal="center" vertical="center"/>
      <protection hidden="1"/>
    </xf>
    <xf numFmtId="0" fontId="9" fillId="3" borderId="24" xfId="4" applyFont="1" applyFill="1" applyBorder="1" applyAlignment="1" applyProtection="1">
      <alignment horizontal="left" vertical="center" indent="3"/>
      <protection hidden="1"/>
    </xf>
    <xf numFmtId="171" fontId="9" fillId="3" borderId="30" xfId="4" applyNumberFormat="1" applyFont="1" applyFill="1" applyBorder="1" applyAlignment="1" applyProtection="1">
      <alignment vertical="center"/>
      <protection hidden="1"/>
    </xf>
    <xf numFmtId="165" fontId="9" fillId="3" borderId="30" xfId="4" applyNumberFormat="1" applyFont="1" applyFill="1" applyBorder="1" applyAlignment="1" applyProtection="1">
      <alignment vertical="center"/>
      <protection hidden="1"/>
    </xf>
    <xf numFmtId="164" fontId="9" fillId="3" borderId="6" xfId="4" applyNumberFormat="1" applyFont="1" applyFill="1" applyBorder="1" applyAlignment="1" applyProtection="1">
      <alignment horizontal="center" vertical="center"/>
      <protection hidden="1"/>
    </xf>
    <xf numFmtId="0" fontId="10" fillId="3" borderId="30" xfId="4" applyFont="1" applyFill="1" applyBorder="1" applyAlignment="1" applyProtection="1">
      <alignment vertical="center"/>
      <protection hidden="1"/>
    </xf>
    <xf numFmtId="0" fontId="10" fillId="3" borderId="6" xfId="4" applyFont="1" applyFill="1" applyBorder="1" applyAlignment="1" applyProtection="1">
      <alignment vertical="center"/>
      <protection hidden="1"/>
    </xf>
    <xf numFmtId="173" fontId="12" fillId="3" borderId="65" xfId="4" applyNumberFormat="1" applyFont="1" applyFill="1" applyBorder="1" applyAlignment="1" applyProtection="1">
      <alignment horizontal="left" vertical="center" indent="1"/>
      <protection hidden="1"/>
    </xf>
    <xf numFmtId="0" fontId="9" fillId="3" borderId="38" xfId="4" applyFont="1" applyFill="1" applyBorder="1" applyAlignment="1" applyProtection="1">
      <alignment horizontal="left" vertical="center" indent="2"/>
      <protection hidden="1"/>
    </xf>
    <xf numFmtId="164" fontId="9" fillId="3" borderId="37" xfId="4" applyNumberFormat="1" applyFont="1" applyFill="1" applyBorder="1" applyAlignment="1" applyProtection="1">
      <alignment horizontal="center" vertical="center"/>
      <protection hidden="1"/>
    </xf>
    <xf numFmtId="0" fontId="10" fillId="11" borderId="45" xfId="4" applyFont="1" applyFill="1" applyBorder="1" applyProtection="1">
      <protection hidden="1"/>
    </xf>
    <xf numFmtId="174" fontId="10" fillId="3" borderId="98" xfId="4" applyNumberFormat="1" applyFont="1" applyFill="1" applyBorder="1" applyAlignment="1" applyProtection="1">
      <alignment vertical="center"/>
      <protection hidden="1"/>
    </xf>
    <xf numFmtId="0" fontId="10" fillId="3" borderId="98" xfId="4" applyFont="1" applyFill="1" applyBorder="1" applyAlignment="1" applyProtection="1">
      <alignment vertical="center"/>
      <protection hidden="1"/>
    </xf>
    <xf numFmtId="0" fontId="27" fillId="3" borderId="106" xfId="4" applyFont="1" applyFill="1" applyBorder="1" applyAlignment="1" applyProtection="1">
      <protection hidden="1"/>
    </xf>
    <xf numFmtId="0" fontId="10" fillId="3" borderId="0" xfId="4" quotePrefix="1" applyNumberFormat="1" applyFont="1" applyFill="1" applyBorder="1" applyAlignment="1" applyProtection="1">
      <protection hidden="1"/>
    </xf>
    <xf numFmtId="0" fontId="10" fillId="11" borderId="0" xfId="4" applyNumberFormat="1" applyFont="1" applyFill="1" applyBorder="1" applyAlignment="1" applyProtection="1">
      <protection hidden="1"/>
    </xf>
    <xf numFmtId="165" fontId="9" fillId="3" borderId="37" xfId="4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protection hidden="1"/>
    </xf>
    <xf numFmtId="0" fontId="10" fillId="6" borderId="0" xfId="0" applyNumberFormat="1" applyFont="1" applyFill="1" applyBorder="1" applyAlignment="1" applyProtection="1">
      <protection hidden="1"/>
    </xf>
    <xf numFmtId="0" fontId="10" fillId="3" borderId="0" xfId="0" quotePrefix="1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10" fillId="15" borderId="0" xfId="0" applyNumberFormat="1" applyFont="1" applyFill="1" applyBorder="1" applyAlignment="1" applyProtection="1">
      <protection hidden="1"/>
    </xf>
    <xf numFmtId="0" fontId="9" fillId="3" borderId="7" xfId="0" applyFont="1" applyFill="1" applyBorder="1" applyAlignment="1" applyProtection="1">
      <alignment horizontal="center" vertical="top" wrapText="1"/>
      <protection hidden="1"/>
    </xf>
    <xf numFmtId="0" fontId="9" fillId="3" borderId="25" xfId="0" applyFont="1" applyFill="1" applyBorder="1" applyAlignment="1" applyProtection="1">
      <alignment horizontal="center" vertical="top" wrapText="1"/>
      <protection hidden="1"/>
    </xf>
    <xf numFmtId="0" fontId="9" fillId="2" borderId="22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10" fillId="11" borderId="0" xfId="0" applyFont="1" applyFill="1" applyBorder="1" applyAlignment="1" applyProtection="1">
      <protection hidden="1"/>
    </xf>
    <xf numFmtId="0" fontId="10" fillId="2" borderId="22" xfId="0" applyFont="1" applyFill="1" applyBorder="1" applyAlignment="1" applyProtection="1">
      <protection hidden="1"/>
    </xf>
    <xf numFmtId="0" fontId="10" fillId="2" borderId="11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172" fontId="9" fillId="3" borderId="9" xfId="0" quotePrefix="1" applyNumberFormat="1" applyFont="1" applyFill="1" applyBorder="1" applyAlignment="1" applyProtection="1">
      <alignment horizontal="center" vertical="center"/>
      <protection hidden="1"/>
    </xf>
    <xf numFmtId="172" fontId="9" fillId="3" borderId="25" xfId="0" quotePrefix="1" applyNumberFormat="1" applyFont="1" applyFill="1" applyBorder="1" applyAlignment="1" applyProtection="1">
      <alignment horizontal="center" vertical="center"/>
      <protection hidden="1"/>
    </xf>
    <xf numFmtId="172" fontId="9" fillId="3" borderId="0" xfId="0" quotePrefix="1" applyNumberFormat="1" applyFont="1" applyFill="1" applyBorder="1" applyAlignment="1" applyProtection="1">
      <alignment horizontal="center" vertical="center"/>
      <protection hidden="1"/>
    </xf>
    <xf numFmtId="0" fontId="9" fillId="3" borderId="25" xfId="0" quotePrefix="1" applyFont="1" applyFill="1" applyBorder="1" applyAlignment="1" applyProtection="1">
      <alignment horizontal="center" vertical="center"/>
      <protection hidden="1"/>
    </xf>
    <xf numFmtId="172" fontId="9" fillId="2" borderId="11" xfId="0" quotePrefix="1" applyNumberFormat="1" applyFont="1" applyFill="1" applyBorder="1" applyAlignment="1" applyProtection="1">
      <alignment horizontal="center" vertical="center"/>
      <protection hidden="1"/>
    </xf>
    <xf numFmtId="0" fontId="9" fillId="2" borderId="0" xfId="0" quotePrefix="1" applyFont="1" applyFill="1" applyBorder="1" applyAlignment="1" applyProtection="1">
      <alignment horizontal="center" vertical="center"/>
      <protection hidden="1"/>
    </xf>
    <xf numFmtId="172" fontId="9" fillId="15" borderId="24" xfId="0" quotePrefix="1" applyNumberFormat="1" applyFont="1" applyFill="1" applyBorder="1" applyAlignment="1" applyProtection="1">
      <alignment horizontal="center" vertical="center"/>
      <protection hidden="1"/>
    </xf>
    <xf numFmtId="172" fontId="9" fillId="15" borderId="25" xfId="0" quotePrefix="1" applyNumberFormat="1" applyFont="1" applyFill="1" applyBorder="1" applyAlignment="1" applyProtection="1">
      <alignment horizontal="center" vertical="center"/>
      <protection hidden="1"/>
    </xf>
    <xf numFmtId="172" fontId="9" fillId="15" borderId="27" xfId="0" quotePrefix="1" applyNumberFormat="1" applyFont="1" applyFill="1" applyBorder="1" applyAlignment="1" applyProtection="1">
      <alignment horizontal="center" vertical="center"/>
      <protection hidden="1"/>
    </xf>
    <xf numFmtId="172" fontId="9" fillId="15" borderId="22" xfId="0" quotePrefix="1" applyNumberFormat="1" applyFont="1" applyFill="1" applyBorder="1" applyAlignment="1" applyProtection="1">
      <alignment horizontal="center" vertical="center"/>
      <protection hidden="1"/>
    </xf>
    <xf numFmtId="0" fontId="9" fillId="3" borderId="9" xfId="0" quotePrefix="1" applyFont="1" applyFill="1" applyBorder="1" applyAlignment="1" applyProtection="1">
      <alignment horizontal="center" vertical="center"/>
      <protection hidden="1"/>
    </xf>
    <xf numFmtId="0" fontId="9" fillId="3" borderId="44" xfId="0" quotePrefix="1" applyFont="1" applyFill="1" applyBorder="1" applyAlignment="1" applyProtection="1">
      <alignment horizontal="center" vertical="center"/>
      <protection hidden="1"/>
    </xf>
    <xf numFmtId="0" fontId="9" fillId="3" borderId="0" xfId="0" quotePrefix="1" applyFont="1" applyFill="1" applyBorder="1" applyAlignment="1" applyProtection="1">
      <alignment horizontal="center" vertical="center"/>
      <protection hidden="1"/>
    </xf>
    <xf numFmtId="0" fontId="9" fillId="3" borderId="1" xfId="0" quotePrefix="1" applyFont="1" applyFill="1" applyBorder="1" applyAlignment="1" applyProtection="1">
      <alignment horizontal="center" vertical="center"/>
      <protection hidden="1"/>
    </xf>
    <xf numFmtId="171" fontId="9" fillId="3" borderId="107" xfId="4" applyNumberFormat="1" applyFont="1" applyFill="1" applyBorder="1" applyAlignment="1" applyProtection="1">
      <alignment vertical="center"/>
      <protection hidden="1"/>
    </xf>
    <xf numFmtId="0" fontId="10" fillId="20" borderId="9" xfId="4" applyFont="1" applyFill="1" applyBorder="1" applyProtection="1">
      <protection hidden="1"/>
    </xf>
    <xf numFmtId="0" fontId="10" fillId="20" borderId="0" xfId="4" applyFont="1" applyFill="1" applyBorder="1" applyProtection="1">
      <protection hidden="1"/>
    </xf>
    <xf numFmtId="169" fontId="10" fillId="20" borderId="0" xfId="4" applyNumberFormat="1" applyFont="1" applyFill="1" applyBorder="1" applyProtection="1">
      <protection hidden="1"/>
    </xf>
    <xf numFmtId="0" fontId="10" fillId="20" borderId="0" xfId="4" applyFont="1" applyFill="1" applyProtection="1">
      <protection hidden="1"/>
    </xf>
    <xf numFmtId="0" fontId="23" fillId="20" borderId="0" xfId="0" applyFont="1" applyFill="1" applyAlignment="1" applyProtection="1">
      <alignment vertical="top"/>
      <protection hidden="1"/>
    </xf>
    <xf numFmtId="0" fontId="23" fillId="20" borderId="0" xfId="0" applyFont="1" applyFill="1" applyBorder="1" applyAlignment="1" applyProtection="1">
      <alignment vertical="top"/>
      <protection hidden="1"/>
    </xf>
    <xf numFmtId="0" fontId="9" fillId="20" borderId="0" xfId="0" applyFont="1" applyFill="1" applyBorder="1" applyAlignment="1" applyProtection="1">
      <alignment vertical="center"/>
      <protection hidden="1"/>
    </xf>
    <xf numFmtId="0" fontId="10" fillId="20" borderId="0" xfId="0" applyFont="1" applyFill="1" applyBorder="1" applyProtection="1">
      <protection hidden="1"/>
    </xf>
    <xf numFmtId="0" fontId="10" fillId="20" borderId="0" xfId="0" applyFont="1" applyFill="1" applyProtection="1">
      <protection hidden="1"/>
    </xf>
    <xf numFmtId="0" fontId="10" fillId="20" borderId="0" xfId="0" applyFont="1" applyFill="1" applyBorder="1" applyAlignment="1" applyProtection="1">
      <protection hidden="1"/>
    </xf>
    <xf numFmtId="0" fontId="10" fillId="20" borderId="58" xfId="0" applyFont="1" applyFill="1" applyBorder="1" applyAlignment="1" applyProtection="1">
      <alignment horizontal="left" vertical="center" indent="1"/>
      <protection hidden="1"/>
    </xf>
    <xf numFmtId="0" fontId="10" fillId="20" borderId="59" xfId="0" applyFont="1" applyFill="1" applyBorder="1" applyProtection="1">
      <protection hidden="1"/>
    </xf>
    <xf numFmtId="168" fontId="10" fillId="20" borderId="60" xfId="0" applyNumberFormat="1" applyFont="1" applyFill="1" applyBorder="1" applyAlignment="1" applyProtection="1">
      <alignment vertical="center"/>
      <protection hidden="1"/>
    </xf>
    <xf numFmtId="0" fontId="10" fillId="20" borderId="61" xfId="0" applyFont="1" applyFill="1" applyBorder="1" applyAlignment="1" applyProtection="1">
      <alignment horizontal="left" vertical="center" indent="1"/>
      <protection hidden="1"/>
    </xf>
    <xf numFmtId="0" fontId="10" fillId="20" borderId="62" xfId="0" applyFont="1" applyFill="1" applyBorder="1" applyProtection="1">
      <protection hidden="1"/>
    </xf>
    <xf numFmtId="0" fontId="10" fillId="20" borderId="63" xfId="0" applyFont="1" applyFill="1" applyBorder="1" applyAlignment="1" applyProtection="1">
      <alignment vertical="center"/>
      <protection hidden="1"/>
    </xf>
    <xf numFmtId="0" fontId="10" fillId="20" borderId="64" xfId="4" applyFont="1" applyFill="1" applyBorder="1" applyProtection="1">
      <protection hidden="1"/>
    </xf>
    <xf numFmtId="0" fontId="10" fillId="20" borderId="17" xfId="0" applyFont="1" applyFill="1" applyBorder="1" applyAlignment="1" applyProtection="1">
      <alignment vertical="center"/>
      <protection hidden="1"/>
    </xf>
    <xf numFmtId="0" fontId="10" fillId="20" borderId="17" xfId="4" applyFont="1" applyFill="1" applyBorder="1" applyProtection="1">
      <protection hidden="1"/>
    </xf>
    <xf numFmtId="0" fontId="10" fillId="20" borderId="18" xfId="4" applyFont="1" applyFill="1" applyBorder="1" applyProtection="1">
      <protection hidden="1"/>
    </xf>
    <xf numFmtId="0" fontId="10" fillId="20" borderId="29" xfId="0" applyFont="1" applyFill="1" applyBorder="1" applyAlignment="1" applyProtection="1">
      <alignment horizontal="left" vertical="center" indent="1"/>
      <protection hidden="1"/>
    </xf>
    <xf numFmtId="0" fontId="10" fillId="20" borderId="48" xfId="0" applyFont="1" applyFill="1" applyBorder="1" applyProtection="1">
      <protection hidden="1"/>
    </xf>
    <xf numFmtId="165" fontId="10" fillId="20" borderId="28" xfId="0" applyNumberFormat="1" applyFont="1" applyFill="1" applyBorder="1" applyAlignment="1" applyProtection="1">
      <alignment vertical="center"/>
      <protection hidden="1"/>
    </xf>
    <xf numFmtId="0" fontId="10" fillId="20" borderId="40" xfId="0" applyFont="1" applyFill="1" applyBorder="1" applyAlignment="1" applyProtection="1">
      <alignment horizontal="left" vertical="center" indent="1"/>
      <protection hidden="1"/>
    </xf>
    <xf numFmtId="0" fontId="10" fillId="20" borderId="47" xfId="0" applyFont="1" applyFill="1" applyBorder="1" applyProtection="1">
      <protection hidden="1"/>
    </xf>
    <xf numFmtId="0" fontId="10" fillId="20" borderId="46" xfId="0" applyFont="1" applyFill="1" applyBorder="1" applyAlignment="1" applyProtection="1">
      <alignment vertical="center"/>
      <protection hidden="1"/>
    </xf>
    <xf numFmtId="0" fontId="10" fillId="20" borderId="30" xfId="4" applyFont="1" applyFill="1" applyBorder="1" applyProtection="1">
      <protection hidden="1"/>
    </xf>
    <xf numFmtId="0" fontId="10" fillId="20" borderId="48" xfId="0" applyFont="1" applyFill="1" applyBorder="1" applyAlignment="1" applyProtection="1">
      <alignment vertical="center"/>
      <protection hidden="1"/>
    </xf>
    <xf numFmtId="0" fontId="10" fillId="20" borderId="48" xfId="4" applyFont="1" applyFill="1" applyBorder="1" applyProtection="1">
      <protection hidden="1"/>
    </xf>
    <xf numFmtId="0" fontId="10" fillId="20" borderId="28" xfId="4" applyFont="1" applyFill="1" applyBorder="1" applyProtection="1">
      <protection hidden="1"/>
    </xf>
    <xf numFmtId="168" fontId="10" fillId="20" borderId="28" xfId="0" applyNumberFormat="1" applyFont="1" applyFill="1" applyBorder="1" applyAlignment="1" applyProtection="1">
      <alignment vertical="center"/>
      <protection hidden="1"/>
    </xf>
    <xf numFmtId="0" fontId="10" fillId="20" borderId="65" xfId="0" applyFont="1" applyFill="1" applyBorder="1" applyAlignment="1" applyProtection="1">
      <alignment horizontal="left" vertical="center" indent="1"/>
      <protection hidden="1"/>
    </xf>
    <xf numFmtId="0" fontId="10" fillId="20" borderId="78" xfId="0" applyFont="1" applyFill="1" applyBorder="1" applyProtection="1">
      <protection hidden="1"/>
    </xf>
    <xf numFmtId="0" fontId="10" fillId="20" borderId="79" xfId="0" applyFont="1" applyFill="1" applyBorder="1" applyProtection="1">
      <protection hidden="1"/>
    </xf>
    <xf numFmtId="0" fontId="10" fillId="20" borderId="80" xfId="0" applyFont="1" applyFill="1" applyBorder="1" applyAlignment="1" applyProtection="1">
      <alignment vertical="center"/>
      <protection hidden="1"/>
    </xf>
    <xf numFmtId="0" fontId="10" fillId="20" borderId="51" xfId="4" applyFont="1" applyFill="1" applyBorder="1" applyProtection="1">
      <protection hidden="1"/>
    </xf>
    <xf numFmtId="0" fontId="10" fillId="20" borderId="0" xfId="0" applyFont="1" applyFill="1" applyBorder="1" applyAlignment="1" applyProtection="1">
      <alignment vertical="center"/>
      <protection hidden="1"/>
    </xf>
    <xf numFmtId="0" fontId="10" fillId="20" borderId="11" xfId="4" applyFont="1" applyFill="1" applyBorder="1" applyProtection="1">
      <protection hidden="1"/>
    </xf>
    <xf numFmtId="0" fontId="10" fillId="20" borderId="35" xfId="0" applyFont="1" applyFill="1" applyBorder="1" applyAlignment="1" applyProtection="1">
      <alignment horizontal="left" vertical="center" indent="1"/>
      <protection hidden="1"/>
    </xf>
    <xf numFmtId="0" fontId="10" fillId="20" borderId="32" xfId="0" applyFont="1" applyFill="1" applyBorder="1" applyProtection="1">
      <protection hidden="1"/>
    </xf>
    <xf numFmtId="0" fontId="10" fillId="20" borderId="32" xfId="0" applyFont="1" applyFill="1" applyBorder="1" applyAlignment="1" applyProtection="1">
      <alignment vertical="center"/>
      <protection hidden="1"/>
    </xf>
    <xf numFmtId="0" fontId="10" fillId="20" borderId="32" xfId="4" applyFont="1" applyFill="1" applyBorder="1" applyProtection="1">
      <protection hidden="1"/>
    </xf>
    <xf numFmtId="0" fontId="10" fillId="20" borderId="34" xfId="4" applyFont="1" applyFill="1" applyBorder="1" applyProtection="1">
      <protection hidden="1"/>
    </xf>
    <xf numFmtId="0" fontId="10" fillId="20" borderId="9" xfId="0" applyFont="1" applyFill="1" applyBorder="1" applyAlignment="1" applyProtection="1">
      <alignment horizontal="left" vertical="center" indent="1"/>
      <protection hidden="1"/>
    </xf>
    <xf numFmtId="165" fontId="10" fillId="20" borderId="66" xfId="0" applyNumberFormat="1" applyFont="1" applyFill="1" applyBorder="1" applyAlignment="1" applyProtection="1">
      <alignment vertical="center"/>
      <protection hidden="1"/>
    </xf>
    <xf numFmtId="0" fontId="10" fillId="20" borderId="83" xfId="0" applyFont="1" applyFill="1" applyBorder="1" applyAlignment="1" applyProtection="1">
      <alignment horizontal="left" vertical="center" indent="1"/>
      <protection hidden="1"/>
    </xf>
    <xf numFmtId="171" fontId="10" fillId="20" borderId="34" xfId="0" applyNumberFormat="1" applyFont="1" applyFill="1" applyBorder="1" applyAlignment="1" applyProtection="1">
      <alignment vertical="center"/>
      <protection hidden="1"/>
    </xf>
    <xf numFmtId="0" fontId="10" fillId="20" borderId="0" xfId="0" applyFont="1" applyFill="1" applyAlignment="1" applyProtection="1">
      <alignment vertical="center"/>
      <protection hidden="1"/>
    </xf>
    <xf numFmtId="0" fontId="10" fillId="20" borderId="0" xfId="4" applyNumberFormat="1" applyFont="1" applyFill="1" applyAlignment="1" applyProtection="1">
      <protection hidden="1"/>
    </xf>
    <xf numFmtId="0" fontId="10" fillId="20" borderId="0" xfId="4" applyFont="1" applyFill="1" applyAlignment="1" applyProtection="1">
      <alignment vertical="top"/>
      <protection hidden="1"/>
    </xf>
    <xf numFmtId="0" fontId="10" fillId="20" borderId="0" xfId="4" applyFont="1" applyFill="1" applyAlignment="1" applyProtection="1">
      <protection hidden="1"/>
    </xf>
    <xf numFmtId="0" fontId="9" fillId="20" borderId="0" xfId="0" applyFont="1" applyFill="1" applyBorder="1" applyAlignment="1" applyProtection="1">
      <alignment wrapText="1"/>
      <protection hidden="1"/>
    </xf>
    <xf numFmtId="0" fontId="10" fillId="20" borderId="22" xfId="0" applyFont="1" applyFill="1" applyBorder="1" applyAlignment="1" applyProtection="1">
      <alignment vertical="center" wrapText="1"/>
      <protection hidden="1"/>
    </xf>
    <xf numFmtId="172" fontId="9" fillId="20" borderId="24" xfId="0" quotePrefix="1" applyNumberFormat="1" applyFont="1" applyFill="1" applyBorder="1" applyAlignment="1" applyProtection="1">
      <alignment horizontal="center" vertical="center" wrapText="1"/>
      <protection hidden="1"/>
    </xf>
    <xf numFmtId="172" fontId="9" fillId="20" borderId="25" xfId="0" quotePrefix="1" applyNumberFormat="1" applyFont="1" applyFill="1" applyBorder="1" applyAlignment="1" applyProtection="1">
      <alignment horizontal="center" vertical="center" wrapText="1"/>
      <protection hidden="1"/>
    </xf>
    <xf numFmtId="172" fontId="9" fillId="20" borderId="27" xfId="0" quotePrefix="1" applyNumberFormat="1" applyFont="1" applyFill="1" applyBorder="1" applyAlignment="1" applyProtection="1">
      <alignment horizontal="center" vertical="center" wrapText="1"/>
      <protection hidden="1"/>
    </xf>
    <xf numFmtId="1" fontId="10" fillId="20" borderId="0" xfId="0" applyNumberFormat="1" applyFont="1" applyFill="1" applyBorder="1" applyAlignment="1" applyProtection="1">
      <alignment horizontal="center" vertical="center"/>
      <protection hidden="1"/>
    </xf>
    <xf numFmtId="0" fontId="10" fillId="20" borderId="5" xfId="0" quotePrefix="1" applyFont="1" applyFill="1" applyBorder="1" applyAlignment="1" applyProtection="1">
      <alignment horizontal="center" vertical="center"/>
      <protection hidden="1"/>
    </xf>
    <xf numFmtId="0" fontId="10" fillId="20" borderId="4" xfId="0" applyFont="1" applyFill="1" applyBorder="1" applyAlignment="1" applyProtection="1">
      <alignment horizontal="center" vertical="center"/>
      <protection hidden="1"/>
    </xf>
    <xf numFmtId="0" fontId="10" fillId="20" borderId="26" xfId="0" applyFont="1" applyFill="1" applyBorder="1" applyAlignment="1" applyProtection="1">
      <alignment horizontal="center" vertical="center"/>
      <protection hidden="1"/>
    </xf>
    <xf numFmtId="0" fontId="10" fillId="20" borderId="0" xfId="0" applyFont="1" applyFill="1" applyBorder="1" applyAlignment="1" applyProtection="1">
      <alignment horizontal="center"/>
      <protection hidden="1"/>
    </xf>
    <xf numFmtId="0" fontId="10" fillId="20" borderId="5" xfId="0" quotePrefix="1" applyFont="1" applyFill="1" applyBorder="1" applyAlignment="1" applyProtection="1">
      <protection hidden="1"/>
    </xf>
    <xf numFmtId="0" fontId="10" fillId="20" borderId="4" xfId="0" applyFont="1" applyFill="1" applyBorder="1" applyAlignment="1" applyProtection="1">
      <protection hidden="1"/>
    </xf>
    <xf numFmtId="0" fontId="10" fillId="20" borderId="6" xfId="0" applyFont="1" applyFill="1" applyBorder="1" applyAlignment="1" applyProtection="1">
      <protection hidden="1"/>
    </xf>
    <xf numFmtId="0" fontId="10" fillId="20" borderId="5" xfId="0" quotePrefix="1" applyFont="1" applyFill="1" applyBorder="1" applyAlignment="1" applyProtection="1">
      <alignment horizontal="center"/>
      <protection hidden="1"/>
    </xf>
    <xf numFmtId="0" fontId="10" fillId="20" borderId="4" xfId="0" applyFont="1" applyFill="1" applyBorder="1" applyAlignment="1" applyProtection="1">
      <alignment horizontal="center"/>
      <protection hidden="1"/>
    </xf>
    <xf numFmtId="0" fontId="10" fillId="20" borderId="6" xfId="0" applyFont="1" applyFill="1" applyBorder="1" applyAlignment="1" applyProtection="1">
      <alignment horizontal="center"/>
      <protection hidden="1"/>
    </xf>
    <xf numFmtId="170" fontId="10" fillId="20" borderId="0" xfId="0" applyNumberFormat="1" applyFont="1" applyFill="1" applyBorder="1" applyProtection="1">
      <protection hidden="1"/>
    </xf>
    <xf numFmtId="170" fontId="10" fillId="20" borderId="0" xfId="0" applyNumberFormat="1" applyFont="1" applyFill="1" applyBorder="1" applyAlignment="1" applyProtection="1">
      <alignment vertical="center"/>
      <protection hidden="1"/>
    </xf>
    <xf numFmtId="0" fontId="10" fillId="20" borderId="0" xfId="4" applyNumberFormat="1" applyFont="1" applyFill="1" applyBorder="1" applyAlignment="1" applyProtection="1">
      <protection hidden="1"/>
    </xf>
    <xf numFmtId="0" fontId="10" fillId="20" borderId="0" xfId="0" quotePrefix="1" applyFont="1" applyFill="1" applyBorder="1" applyAlignment="1" applyProtection="1">
      <protection hidden="1"/>
    </xf>
    <xf numFmtId="0" fontId="10" fillId="20" borderId="1" xfId="0" applyFont="1" applyFill="1" applyBorder="1" applyAlignment="1" applyProtection="1">
      <protection hidden="1"/>
    </xf>
    <xf numFmtId="0" fontId="10" fillId="20" borderId="0" xfId="0" quotePrefix="1" applyFont="1" applyFill="1" applyBorder="1" applyAlignment="1" applyProtection="1">
      <alignment horizontal="center"/>
      <protection hidden="1"/>
    </xf>
    <xf numFmtId="0" fontId="10" fillId="20" borderId="1" xfId="0" applyFont="1" applyFill="1" applyBorder="1" applyAlignment="1" applyProtection="1">
      <alignment horizontal="center"/>
      <protection hidden="1"/>
    </xf>
    <xf numFmtId="0" fontId="10" fillId="20" borderId="2" xfId="4" applyNumberFormat="1" applyFont="1" applyFill="1" applyBorder="1" applyAlignment="1" applyProtection="1">
      <protection hidden="1"/>
    </xf>
    <xf numFmtId="0" fontId="10" fillId="20" borderId="2" xfId="0" applyFont="1" applyFill="1" applyBorder="1" applyAlignment="1" applyProtection="1">
      <alignment horizontal="center"/>
      <protection hidden="1"/>
    </xf>
    <xf numFmtId="0" fontId="10" fillId="20" borderId="2" xfId="4" applyFont="1" applyFill="1" applyBorder="1" applyProtection="1">
      <protection hidden="1"/>
    </xf>
    <xf numFmtId="0" fontId="10" fillId="20" borderId="3" xfId="0" applyFont="1" applyFill="1" applyBorder="1" applyAlignment="1" applyProtection="1">
      <alignment horizontal="center"/>
      <protection hidden="1"/>
    </xf>
    <xf numFmtId="167" fontId="10" fillId="20" borderId="0" xfId="0" applyNumberFormat="1" applyFont="1" applyFill="1" applyAlignment="1" applyProtection="1">
      <alignment vertical="center"/>
      <protection hidden="1"/>
    </xf>
    <xf numFmtId="0" fontId="10" fillId="20" borderId="0" xfId="0" applyFont="1" applyFill="1" applyAlignment="1" applyProtection="1">
      <alignment horizontal="center" wrapText="1"/>
      <protection hidden="1"/>
    </xf>
    <xf numFmtId="164" fontId="10" fillId="20" borderId="0" xfId="0" applyNumberFormat="1" applyFont="1" applyFill="1" applyProtection="1">
      <protection hidden="1"/>
    </xf>
    <xf numFmtId="0" fontId="10" fillId="20" borderId="0" xfId="0" applyNumberFormat="1" applyFont="1" applyFill="1" applyAlignment="1" applyProtection="1">
      <alignment horizontal="center"/>
      <protection hidden="1"/>
    </xf>
    <xf numFmtId="0" fontId="10" fillId="20" borderId="0" xfId="0" applyFont="1" applyFill="1" applyAlignment="1" applyProtection="1">
      <alignment vertical="top"/>
      <protection hidden="1"/>
    </xf>
    <xf numFmtId="0" fontId="10" fillId="20" borderId="0" xfId="0" applyFont="1" applyFill="1" applyAlignment="1" applyProtection="1">
      <protection hidden="1"/>
    </xf>
    <xf numFmtId="0" fontId="13" fillId="20" borderId="84" xfId="7" applyNumberFormat="1" applyFont="1" applyFill="1" applyBorder="1" applyAlignment="1" applyProtection="1">
      <alignment horizontal="center" vertical="center"/>
      <protection hidden="1"/>
    </xf>
    <xf numFmtId="0" fontId="13" fillId="20" borderId="67" xfId="7" applyNumberFormat="1" applyFont="1" applyFill="1" applyBorder="1" applyAlignment="1" applyProtection="1">
      <alignment horizontal="center" vertical="center"/>
      <protection hidden="1"/>
    </xf>
    <xf numFmtId="0" fontId="10" fillId="20" borderId="85" xfId="7" applyNumberFormat="1" applyFont="1" applyFill="1" applyBorder="1" applyAlignment="1" applyProtection="1">
      <protection hidden="1"/>
    </xf>
    <xf numFmtId="0" fontId="10" fillId="20" borderId="88" xfId="7" applyNumberFormat="1" applyFont="1" applyFill="1" applyBorder="1" applyAlignment="1" applyProtection="1">
      <alignment horizontal="center" vertical="center"/>
      <protection hidden="1"/>
    </xf>
    <xf numFmtId="0" fontId="10" fillId="20" borderId="89" xfId="7" applyNumberFormat="1" applyFont="1" applyFill="1" applyBorder="1" applyAlignment="1" applyProtection="1">
      <alignment horizontal="center" vertical="center"/>
      <protection hidden="1"/>
    </xf>
    <xf numFmtId="0" fontId="10" fillId="20" borderId="90" xfId="0" applyFont="1" applyFill="1" applyBorder="1" applyProtection="1">
      <protection hidden="1"/>
    </xf>
    <xf numFmtId="0" fontId="10" fillId="20" borderId="5" xfId="7" applyNumberFormat="1" applyFont="1" applyFill="1" applyBorder="1" applyAlignment="1" applyProtection="1">
      <alignment horizontal="center" vertical="center"/>
      <protection hidden="1"/>
    </xf>
    <xf numFmtId="0" fontId="10" fillId="20" borderId="4" xfId="7" applyNumberFormat="1" applyFont="1" applyFill="1" applyBorder="1" applyAlignment="1" applyProtection="1">
      <alignment horizontal="center" vertical="center"/>
      <protection hidden="1"/>
    </xf>
    <xf numFmtId="0" fontId="10" fillId="20" borderId="27" xfId="0" applyFont="1" applyFill="1" applyBorder="1" applyProtection="1">
      <protection hidden="1"/>
    </xf>
    <xf numFmtId="0" fontId="10" fillId="20" borderId="85" xfId="0" applyFont="1" applyFill="1" applyBorder="1" applyProtection="1">
      <protection hidden="1"/>
    </xf>
    <xf numFmtId="0" fontId="13" fillId="20" borderId="91" xfId="7" applyNumberFormat="1" applyFont="1" applyFill="1" applyBorder="1" applyAlignment="1" applyProtection="1">
      <alignment horizontal="center" vertical="center"/>
      <protection hidden="1"/>
    </xf>
    <xf numFmtId="0" fontId="10" fillId="20" borderId="56" xfId="7" applyNumberFormat="1" applyFont="1" applyFill="1" applyBorder="1" applyAlignment="1" applyProtection="1">
      <alignment horizontal="center" vertical="center"/>
      <protection hidden="1"/>
    </xf>
    <xf numFmtId="0" fontId="10" fillId="20" borderId="92" xfId="7" applyNumberFormat="1" applyFont="1" applyFill="1" applyBorder="1" applyAlignment="1" applyProtection="1">
      <alignment horizontal="center" vertical="center"/>
      <protection hidden="1"/>
    </xf>
    <xf numFmtId="0" fontId="10" fillId="20" borderId="11" xfId="0" applyFont="1" applyFill="1" applyBorder="1" applyProtection="1">
      <protection hidden="1"/>
    </xf>
    <xf numFmtId="0" fontId="10" fillId="20" borderId="65" xfId="7" applyNumberFormat="1" applyFont="1" applyFill="1" applyBorder="1" applyAlignment="1" applyProtection="1">
      <alignment horizontal="center" vertical="center"/>
      <protection hidden="1"/>
    </xf>
    <xf numFmtId="0" fontId="10" fillId="20" borderId="51" xfId="7" applyNumberFormat="1" applyFont="1" applyFill="1" applyBorder="1" applyAlignment="1" applyProtection="1">
      <alignment horizontal="center" vertical="center"/>
      <protection hidden="1"/>
    </xf>
    <xf numFmtId="0" fontId="10" fillId="20" borderId="10" xfId="0" applyFont="1" applyFill="1" applyBorder="1" applyProtection="1">
      <protection hidden="1"/>
    </xf>
    <xf numFmtId="0" fontId="10" fillId="20" borderId="26" xfId="0" applyFont="1" applyFill="1" applyBorder="1" applyProtection="1">
      <protection hidden="1"/>
    </xf>
    <xf numFmtId="0" fontId="10" fillId="20" borderId="84" xfId="7" applyNumberFormat="1" applyFont="1" applyFill="1" applyBorder="1" applyAlignment="1" applyProtection="1">
      <alignment horizontal="center" vertical="center"/>
      <protection hidden="1"/>
    </xf>
    <xf numFmtId="0" fontId="10" fillId="20" borderId="67" xfId="7" applyNumberFormat="1" applyFont="1" applyFill="1" applyBorder="1" applyAlignment="1" applyProtection="1">
      <alignment horizontal="center" vertical="center"/>
      <protection hidden="1"/>
    </xf>
    <xf numFmtId="0" fontId="10" fillId="20" borderId="91" xfId="0" applyFont="1" applyFill="1" applyBorder="1" applyProtection="1">
      <protection hidden="1"/>
    </xf>
    <xf numFmtId="0" fontId="10" fillId="20" borderId="24" xfId="7" applyNumberFormat="1" applyFont="1" applyFill="1" applyBorder="1" applyAlignment="1" applyProtection="1">
      <alignment horizontal="center" vertical="center"/>
      <protection hidden="1"/>
    </xf>
    <xf numFmtId="0" fontId="10" fillId="20" borderId="25" xfId="7" applyNumberFormat="1" applyFont="1" applyFill="1" applyBorder="1" applyAlignment="1" applyProtection="1">
      <alignment horizontal="center" vertical="center"/>
      <protection hidden="1"/>
    </xf>
    <xf numFmtId="0" fontId="10" fillId="20" borderId="93" xfId="7" applyNumberFormat="1" applyFont="1" applyFill="1" applyBorder="1" applyAlignment="1" applyProtection="1">
      <protection hidden="1"/>
    </xf>
    <xf numFmtId="0" fontId="10" fillId="20" borderId="94" xfId="7" applyNumberFormat="1" applyFont="1" applyFill="1" applyBorder="1" applyAlignment="1" applyProtection="1">
      <protection hidden="1"/>
    </xf>
    <xf numFmtId="0" fontId="10" fillId="20" borderId="95" xfId="0" applyFont="1" applyFill="1" applyBorder="1" applyAlignment="1" applyProtection="1">
      <protection hidden="1"/>
    </xf>
    <xf numFmtId="0" fontId="13" fillId="20" borderId="86" xfId="7" applyNumberFormat="1" applyFont="1" applyFill="1" applyBorder="1" applyAlignment="1" applyProtection="1">
      <alignment horizontal="center" vertical="center"/>
      <protection hidden="1"/>
    </xf>
    <xf numFmtId="0" fontId="13" fillId="20" borderId="87" xfId="7" applyNumberFormat="1" applyFont="1" applyFill="1" applyBorder="1" applyAlignment="1" applyProtection="1">
      <alignment horizontal="center" vertical="center"/>
      <protection hidden="1"/>
    </xf>
    <xf numFmtId="0" fontId="10" fillId="20" borderId="42" xfId="0" applyFont="1" applyFill="1" applyBorder="1" applyProtection="1">
      <protection hidden="1"/>
    </xf>
    <xf numFmtId="0" fontId="13" fillId="20" borderId="0" xfId="7" applyNumberFormat="1" applyFont="1" applyFill="1" applyBorder="1" applyAlignment="1" applyProtection="1">
      <alignment horizontal="center"/>
      <protection hidden="1"/>
    </xf>
    <xf numFmtId="0" fontId="16" fillId="20" borderId="0" xfId="0" applyNumberFormat="1" applyFont="1" applyFill="1" applyAlignment="1" applyProtection="1">
      <alignment horizontal="center"/>
      <protection hidden="1"/>
    </xf>
    <xf numFmtId="0" fontId="9" fillId="20" borderId="0" xfId="4" applyFont="1" applyFill="1" applyProtection="1">
      <protection hidden="1"/>
    </xf>
    <xf numFmtId="164" fontId="10" fillId="20" borderId="0" xfId="4" applyNumberFormat="1" applyFont="1" applyFill="1" applyProtection="1">
      <protection hidden="1"/>
    </xf>
    <xf numFmtId="176" fontId="10" fillId="20" borderId="0" xfId="4" applyNumberFormat="1" applyFont="1" applyFill="1" applyProtection="1">
      <protection hidden="1"/>
    </xf>
    <xf numFmtId="177" fontId="10" fillId="20" borderId="0" xfId="4" applyNumberFormat="1" applyFont="1" applyFill="1" applyProtection="1">
      <protection hidden="1"/>
    </xf>
    <xf numFmtId="0" fontId="9" fillId="3" borderId="22" xfId="0" quotePrefix="1" applyFont="1" applyFill="1" applyBorder="1" applyAlignment="1" applyProtection="1">
      <alignment horizontal="center" vertical="center"/>
      <protection hidden="1"/>
    </xf>
    <xf numFmtId="0" fontId="13" fillId="3" borderId="71" xfId="0" applyFont="1" applyFill="1" applyBorder="1" applyAlignment="1" applyProtection="1">
      <alignment horizontal="left" vertical="center" wrapText="1" indent="1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0" fontId="9" fillId="6" borderId="27" xfId="0" applyFont="1" applyFill="1" applyBorder="1" applyAlignment="1" applyProtection="1">
      <alignment horizontal="center" vertical="center"/>
      <protection hidden="1"/>
    </xf>
    <xf numFmtId="172" fontId="9" fillId="6" borderId="41" xfId="0" quotePrefix="1" applyNumberFormat="1" applyFont="1" applyFill="1" applyBorder="1" applyAlignment="1" applyProtection="1">
      <alignment horizontal="center" vertical="center"/>
      <protection hidden="1"/>
    </xf>
    <xf numFmtId="172" fontId="9" fillId="6" borderId="55" xfId="0" quotePrefix="1" applyNumberFormat="1" applyFont="1" applyFill="1" applyBorder="1" applyAlignment="1" applyProtection="1">
      <alignment horizontal="center" vertical="center"/>
      <protection hidden="1"/>
    </xf>
    <xf numFmtId="0" fontId="10" fillId="20" borderId="61" xfId="0" quotePrefix="1" applyFont="1" applyFill="1" applyBorder="1" applyAlignment="1" applyProtection="1">
      <alignment horizontal="center" vertical="center"/>
      <protection hidden="1"/>
    </xf>
    <xf numFmtId="0" fontId="10" fillId="20" borderId="64" xfId="0" applyFont="1" applyFill="1" applyBorder="1" applyAlignment="1" applyProtection="1">
      <alignment horizontal="center" vertical="center"/>
      <protection hidden="1"/>
    </xf>
    <xf numFmtId="0" fontId="10" fillId="20" borderId="108" xfId="0" applyFont="1" applyFill="1" applyBorder="1" applyAlignment="1" applyProtection="1">
      <alignment horizontal="center" vertical="center"/>
      <protection hidden="1"/>
    </xf>
    <xf numFmtId="0" fontId="10" fillId="11" borderId="78" xfId="0" applyNumberFormat="1" applyFont="1" applyFill="1" applyBorder="1" applyProtection="1">
      <protection hidden="1"/>
    </xf>
    <xf numFmtId="164" fontId="9" fillId="3" borderId="0" xfId="4" applyNumberFormat="1" applyFont="1" applyFill="1" applyBorder="1" applyAlignment="1" applyProtection="1">
      <alignment vertical="center"/>
      <protection hidden="1"/>
    </xf>
    <xf numFmtId="164" fontId="10" fillId="11" borderId="0" xfId="4" applyNumberFormat="1" applyFont="1" applyFill="1" applyBorder="1" applyAlignment="1" applyProtection="1">
      <alignment vertical="center"/>
      <protection hidden="1"/>
    </xf>
    <xf numFmtId="164" fontId="10" fillId="11" borderId="76" xfId="4" applyNumberFormat="1" applyFont="1" applyFill="1" applyBorder="1" applyAlignment="1" applyProtection="1">
      <alignment vertical="center"/>
      <protection hidden="1"/>
    </xf>
    <xf numFmtId="164" fontId="9" fillId="11" borderId="0" xfId="4" applyNumberFormat="1" applyFont="1" applyFill="1" applyBorder="1" applyAlignment="1" applyProtection="1">
      <alignment vertical="center"/>
      <protection hidden="1"/>
    </xf>
    <xf numFmtId="164" fontId="9" fillId="11" borderId="76" xfId="4" applyNumberFormat="1" applyFont="1" applyFill="1" applyBorder="1" applyAlignment="1" applyProtection="1">
      <alignment vertical="center"/>
      <protection hidden="1"/>
    </xf>
    <xf numFmtId="0" fontId="9" fillId="11" borderId="0" xfId="0" applyFont="1" applyFill="1" applyBorder="1" applyProtection="1">
      <protection hidden="1"/>
    </xf>
    <xf numFmtId="0" fontId="10" fillId="11" borderId="0" xfId="0" applyFont="1" applyFill="1" applyBorder="1" applyProtection="1">
      <protection hidden="1"/>
    </xf>
    <xf numFmtId="0" fontId="10" fillId="11" borderId="76" xfId="0" applyFont="1" applyFill="1" applyBorder="1" applyProtection="1">
      <protection hidden="1"/>
    </xf>
    <xf numFmtId="0" fontId="9" fillId="11" borderId="40" xfId="0" applyFont="1" applyFill="1" applyBorder="1" applyAlignment="1" applyProtection="1">
      <alignment horizontal="center" vertical="top" wrapText="1"/>
      <protection hidden="1"/>
    </xf>
    <xf numFmtId="0" fontId="9" fillId="11" borderId="47" xfId="0" applyFont="1" applyFill="1" applyBorder="1" applyAlignment="1" applyProtection="1">
      <alignment horizontal="left" vertical="top" indent="1"/>
      <protection hidden="1"/>
    </xf>
    <xf numFmtId="0" fontId="30" fillId="0" borderId="65" xfId="0" applyFont="1" applyFill="1" applyBorder="1" applyAlignment="1" applyProtection="1">
      <alignment horizontal="left" vertical="center" indent="1"/>
      <protection hidden="1"/>
    </xf>
    <xf numFmtId="0" fontId="31" fillId="0" borderId="11" xfId="0" applyFont="1" applyFill="1" applyBorder="1" applyAlignment="1" applyProtection="1">
      <alignment horizontal="center" vertical="center"/>
      <protection hidden="1"/>
    </xf>
    <xf numFmtId="0" fontId="10" fillId="11" borderId="76" xfId="0" applyFont="1" applyFill="1" applyBorder="1" applyAlignment="1" applyProtection="1">
      <alignment horizontal="center" vertical="center"/>
      <protection hidden="1"/>
    </xf>
    <xf numFmtId="0" fontId="32" fillId="11" borderId="40" xfId="0" applyFont="1" applyFill="1" applyBorder="1" applyAlignment="1" applyProtection="1">
      <alignment horizontal="left" vertical="center" indent="1"/>
      <protection hidden="1"/>
    </xf>
    <xf numFmtId="0" fontId="32" fillId="11" borderId="46" xfId="0" applyFont="1" applyFill="1" applyBorder="1" applyAlignment="1" applyProtection="1">
      <alignment horizontal="left" vertical="center" indent="1"/>
      <protection hidden="1"/>
    </xf>
    <xf numFmtId="0" fontId="31" fillId="11" borderId="28" xfId="0" applyFont="1" applyFill="1" applyBorder="1" applyAlignment="1" applyProtection="1">
      <alignment horizontal="center" vertical="center"/>
      <protection hidden="1"/>
    </xf>
    <xf numFmtId="0" fontId="33" fillId="11" borderId="76" xfId="0" applyFont="1" applyFill="1" applyBorder="1" applyAlignment="1" applyProtection="1">
      <alignment horizontal="center" vertical="center"/>
      <protection hidden="1"/>
    </xf>
    <xf numFmtId="0" fontId="10" fillId="11" borderId="2" xfId="0" applyFont="1" applyFill="1" applyBorder="1" applyProtection="1">
      <protection hidden="1"/>
    </xf>
    <xf numFmtId="0" fontId="10" fillId="11" borderId="3" xfId="0" applyFont="1" applyFill="1" applyBorder="1" applyProtection="1">
      <protection hidden="1"/>
    </xf>
    <xf numFmtId="0" fontId="34" fillId="3" borderId="0" xfId="0" applyFont="1" applyFill="1" applyAlignment="1" applyProtection="1">
      <alignment vertical="center"/>
      <protection hidden="1"/>
    </xf>
    <xf numFmtId="0" fontId="10" fillId="3" borderId="0" xfId="0" applyFont="1" applyFill="1" applyAlignment="1" applyProtection="1">
      <protection hidden="1"/>
    </xf>
    <xf numFmtId="0" fontId="10" fillId="11" borderId="78" xfId="0" applyFont="1" applyFill="1" applyBorder="1" applyAlignment="1" applyProtection="1">
      <alignment vertical="center"/>
      <protection hidden="1"/>
    </xf>
    <xf numFmtId="0" fontId="9" fillId="3" borderId="79" xfId="0" applyNumberFormat="1" applyFont="1" applyFill="1" applyBorder="1" applyAlignment="1" applyProtection="1">
      <protection hidden="1"/>
    </xf>
    <xf numFmtId="0" fontId="10" fillId="3" borderId="80" xfId="0" applyFont="1" applyFill="1" applyBorder="1" applyAlignment="1" applyProtection="1">
      <alignment vertical="center"/>
      <protection hidden="1"/>
    </xf>
    <xf numFmtId="0" fontId="10" fillId="11" borderId="77" xfId="0" applyFont="1" applyFill="1" applyBorder="1" applyProtection="1">
      <protection hidden="1"/>
    </xf>
    <xf numFmtId="0" fontId="9" fillId="19" borderId="0" xfId="0" applyFont="1" applyFill="1" applyBorder="1" applyAlignment="1" applyProtection="1">
      <alignment horizontal="left" vertical="center"/>
      <protection hidden="1"/>
    </xf>
    <xf numFmtId="0" fontId="10" fillId="11" borderId="0" xfId="0" applyNumberFormat="1" applyFont="1" applyFill="1" applyBorder="1" applyAlignment="1" applyProtection="1">
      <alignment vertical="center"/>
      <protection hidden="1"/>
    </xf>
    <xf numFmtId="0" fontId="9" fillId="0" borderId="30" xfId="0" applyNumberFormat="1" applyFont="1" applyFill="1" applyBorder="1" applyAlignment="1" applyProtection="1">
      <alignment horizontal="left" vertical="center" indent="1"/>
      <protection hidden="1"/>
    </xf>
    <xf numFmtId="0" fontId="33" fillId="11" borderId="0" xfId="0" applyFont="1" applyFill="1" applyBorder="1" applyAlignment="1" applyProtection="1">
      <alignment horizontal="center" vertical="center"/>
      <protection hidden="1"/>
    </xf>
    <xf numFmtId="0" fontId="10" fillId="11" borderId="77" xfId="0" applyFont="1" applyFill="1" applyBorder="1" applyAlignment="1" applyProtection="1">
      <protection hidden="1"/>
    </xf>
    <xf numFmtId="0" fontId="10" fillId="3" borderId="76" xfId="0" applyFont="1" applyFill="1" applyBorder="1" applyAlignment="1" applyProtection="1">
      <protection hidden="1"/>
    </xf>
    <xf numFmtId="0" fontId="10" fillId="11" borderId="45" xfId="0" applyFont="1" applyFill="1" applyBorder="1" applyProtection="1">
      <protection hidden="1"/>
    </xf>
    <xf numFmtId="0" fontId="9" fillId="19" borderId="0" xfId="0" applyFont="1" applyFill="1" applyBorder="1" applyAlignment="1" applyProtection="1">
      <alignment horizontal="left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11" borderId="76" xfId="0" applyFont="1" applyFill="1" applyBorder="1" applyAlignment="1" applyProtection="1">
      <protection hidden="1"/>
    </xf>
    <xf numFmtId="0" fontId="9" fillId="3" borderId="79" xfId="0" applyFont="1" applyFill="1" applyBorder="1" applyAlignment="1" applyProtection="1">
      <alignment horizontal="center" vertical="center" wrapText="1"/>
      <protection hidden="1"/>
    </xf>
    <xf numFmtId="0" fontId="9" fillId="11" borderId="76" xfId="0" applyNumberFormat="1" applyFont="1" applyFill="1" applyBorder="1" applyAlignment="1" applyProtection="1">
      <alignment vertical="center"/>
      <protection hidden="1"/>
    </xf>
    <xf numFmtId="0" fontId="10" fillId="11" borderId="76" xfId="0" applyNumberFormat="1" applyFont="1" applyFill="1" applyBorder="1" applyAlignment="1" applyProtection="1">
      <protection hidden="1"/>
    </xf>
    <xf numFmtId="164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10" fillId="11" borderId="76" xfId="0" applyFont="1" applyFill="1" applyBorder="1" applyAlignment="1" applyProtection="1">
      <alignment vertical="top" wrapText="1"/>
      <protection hidden="1"/>
    </xf>
    <xf numFmtId="172" fontId="9" fillId="3" borderId="42" xfId="0" quotePrefix="1" applyNumberFormat="1" applyFont="1" applyFill="1" applyBorder="1" applyAlignment="1" applyProtection="1">
      <alignment horizontal="center" vertical="center"/>
      <protection hidden="1"/>
    </xf>
    <xf numFmtId="0" fontId="9" fillId="11" borderId="76" xfId="0" applyFont="1" applyFill="1" applyBorder="1" applyAlignment="1" applyProtection="1">
      <alignment vertical="top" wrapText="1"/>
      <protection hidden="1"/>
    </xf>
    <xf numFmtId="0" fontId="9" fillId="11" borderId="109" xfId="5" applyFont="1" applyFill="1" applyBorder="1" applyAlignment="1" applyProtection="1">
      <alignment horizontal="left" vertical="center" indent="1"/>
      <protection hidden="1"/>
    </xf>
    <xf numFmtId="168" fontId="28" fillId="3" borderId="60" xfId="0" applyNumberFormat="1" applyFont="1" applyFill="1" applyBorder="1" applyAlignment="1" applyProtection="1">
      <alignment vertical="center"/>
      <protection hidden="1"/>
    </xf>
    <xf numFmtId="0" fontId="9" fillId="11" borderId="33" xfId="0" applyFont="1" applyFill="1" applyBorder="1" applyAlignment="1" applyProtection="1">
      <alignment horizontal="left" vertical="center" indent="1"/>
      <protection hidden="1"/>
    </xf>
    <xf numFmtId="168" fontId="9" fillId="11" borderId="42" xfId="0" applyNumberFormat="1" applyFont="1" applyFill="1" applyBorder="1" applyAlignment="1" applyProtection="1">
      <alignment vertical="center"/>
      <protection hidden="1"/>
    </xf>
    <xf numFmtId="0" fontId="10" fillId="12" borderId="17" xfId="0" applyFont="1" applyFill="1" applyBorder="1" applyAlignment="1" applyProtection="1">
      <protection hidden="1"/>
    </xf>
    <xf numFmtId="164" fontId="10" fillId="11" borderId="0" xfId="0" applyNumberFormat="1" applyFont="1" applyFill="1" applyBorder="1" applyProtection="1">
      <protection hidden="1"/>
    </xf>
    <xf numFmtId="164" fontId="10" fillId="11" borderId="2" xfId="0" applyNumberFormat="1" applyFont="1" applyFill="1" applyBorder="1" applyProtection="1">
      <protection hidden="1"/>
    </xf>
    <xf numFmtId="164" fontId="9" fillId="3" borderId="27" xfId="0" applyNumberFormat="1" applyFont="1" applyFill="1" applyBorder="1" applyAlignment="1" applyProtection="1">
      <alignment horizontal="center" vertical="center"/>
      <protection hidden="1"/>
    </xf>
    <xf numFmtId="0" fontId="11" fillId="21" borderId="74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2" xfId="0" applyFont="1" applyFill="1" applyBorder="1" applyAlignment="1" applyProtection="1">
      <protection hidden="1"/>
    </xf>
    <xf numFmtId="0" fontId="9" fillId="11" borderId="0" xfId="0" applyFont="1" applyFill="1" applyBorder="1" applyAlignment="1" applyProtection="1">
      <alignment vertical="center"/>
      <protection hidden="1"/>
    </xf>
    <xf numFmtId="0" fontId="33" fillId="11" borderId="77" xfId="0" applyFont="1" applyFill="1" applyBorder="1" applyAlignment="1" applyProtection="1">
      <alignment horizontal="center" vertical="center"/>
      <protection hidden="1"/>
    </xf>
    <xf numFmtId="0" fontId="10" fillId="11" borderId="98" xfId="0" applyFont="1" applyFill="1" applyBorder="1" applyProtection="1">
      <protection hidden="1"/>
    </xf>
    <xf numFmtId="180" fontId="9" fillId="3" borderId="0" xfId="0" applyNumberFormat="1" applyFont="1" applyFill="1" applyBorder="1" applyAlignment="1" applyProtection="1">
      <alignment vertical="center"/>
      <protection hidden="1"/>
    </xf>
    <xf numFmtId="0" fontId="35" fillId="11" borderId="0" xfId="0" applyFont="1" applyFill="1" applyBorder="1" applyAlignment="1" applyProtection="1">
      <protection hidden="1"/>
    </xf>
    <xf numFmtId="0" fontId="13" fillId="11" borderId="0" xfId="0" applyFont="1" applyFill="1" applyBorder="1" applyAlignment="1" applyProtection="1">
      <protection hidden="1"/>
    </xf>
    <xf numFmtId="0" fontId="32" fillId="11" borderId="41" xfId="0" applyFont="1" applyFill="1" applyBorder="1" applyAlignment="1" applyProtection="1">
      <alignment horizontal="left" vertical="center" indent="1"/>
      <protection hidden="1"/>
    </xf>
    <xf numFmtId="0" fontId="30" fillId="11" borderId="70" xfId="0" applyFont="1" applyFill="1" applyBorder="1" applyAlignment="1" applyProtection="1">
      <alignment horizontal="left" vertical="center" indent="1"/>
      <protection hidden="1"/>
    </xf>
    <xf numFmtId="0" fontId="30" fillId="11" borderId="42" xfId="0" applyFont="1" applyFill="1" applyBorder="1" applyAlignment="1" applyProtection="1">
      <alignment horizontal="center" vertical="center"/>
      <protection hidden="1"/>
    </xf>
    <xf numFmtId="0" fontId="9" fillId="11" borderId="100" xfId="0" applyFont="1" applyFill="1" applyBorder="1" applyAlignment="1" applyProtection="1">
      <alignment horizontal="center" vertical="center" wrapText="1"/>
      <protection hidden="1"/>
    </xf>
    <xf numFmtId="0" fontId="9" fillId="12" borderId="0" xfId="0" applyFont="1" applyFill="1" applyBorder="1" applyAlignment="1" applyProtection="1">
      <alignment horizontal="left"/>
      <protection hidden="1"/>
    </xf>
    <xf numFmtId="0" fontId="9" fillId="11" borderId="0" xfId="0" applyFont="1" applyFill="1" applyBorder="1" applyAlignment="1" applyProtection="1">
      <alignment horizontal="center" vertical="center" wrapText="1"/>
      <protection hidden="1"/>
    </xf>
    <xf numFmtId="0" fontId="9" fillId="12" borderId="0" xfId="0" applyFont="1" applyFill="1" applyBorder="1" applyAlignment="1" applyProtection="1">
      <alignment horizontal="left" vertical="center"/>
      <protection hidden="1"/>
    </xf>
    <xf numFmtId="0" fontId="9" fillId="11" borderId="100" xfId="0" applyNumberFormat="1" applyFont="1" applyFill="1" applyBorder="1" applyAlignment="1" applyProtection="1">
      <protection hidden="1"/>
    </xf>
    <xf numFmtId="0" fontId="9" fillId="11" borderId="99" xfId="0" applyFont="1" applyFill="1" applyBorder="1" applyAlignment="1" applyProtection="1">
      <alignment horizontal="center" vertical="center" wrapText="1"/>
      <protection hidden="1"/>
    </xf>
    <xf numFmtId="0" fontId="9" fillId="11" borderId="76" xfId="0" applyFont="1" applyFill="1" applyBorder="1" applyAlignment="1" applyProtection="1">
      <alignment horizontal="center" vertical="center" wrapText="1"/>
      <protection hidden="1"/>
    </xf>
    <xf numFmtId="0" fontId="33" fillId="11" borderId="76" xfId="0" applyNumberFormat="1" applyFont="1" applyFill="1" applyBorder="1" applyAlignment="1" applyProtection="1">
      <alignment horizontal="center" vertical="center"/>
      <protection hidden="1"/>
    </xf>
    <xf numFmtId="0" fontId="9" fillId="11" borderId="19" xfId="0" applyFont="1" applyFill="1" applyBorder="1" applyAlignment="1" applyProtection="1">
      <alignment horizontal="left" vertical="center" indent="1"/>
      <protection hidden="1"/>
    </xf>
    <xf numFmtId="0" fontId="9" fillId="11" borderId="20" xfId="0" applyFont="1" applyFill="1" applyBorder="1" applyAlignment="1" applyProtection="1">
      <alignment horizontal="left" vertical="center" indent="1"/>
      <protection hidden="1"/>
    </xf>
    <xf numFmtId="0" fontId="9" fillId="11" borderId="21" xfId="0" applyFont="1" applyFill="1" applyBorder="1" applyAlignment="1" applyProtection="1">
      <alignment horizontal="center" vertical="top" wrapText="1"/>
      <protection hidden="1"/>
    </xf>
    <xf numFmtId="0" fontId="9" fillId="11" borderId="110" xfId="0" applyFont="1" applyFill="1" applyBorder="1" applyAlignment="1" applyProtection="1">
      <alignment horizontal="left" vertical="center" indent="1"/>
      <protection hidden="1"/>
    </xf>
    <xf numFmtId="0" fontId="9" fillId="11" borderId="25" xfId="0" applyFont="1" applyFill="1" applyBorder="1" applyAlignment="1" applyProtection="1">
      <alignment horizontal="left" vertical="center" indent="1"/>
      <protection hidden="1"/>
    </xf>
    <xf numFmtId="0" fontId="9" fillId="11" borderId="27" xfId="0" applyFont="1" applyFill="1" applyBorder="1" applyAlignment="1" applyProtection="1">
      <alignment horizontal="center" vertical="center"/>
      <protection hidden="1"/>
    </xf>
    <xf numFmtId="0" fontId="10" fillId="11" borderId="38" xfId="0" applyFont="1" applyFill="1" applyBorder="1" applyProtection="1">
      <protection hidden="1"/>
    </xf>
    <xf numFmtId="0" fontId="10" fillId="11" borderId="39" xfId="0" applyFont="1" applyFill="1" applyBorder="1" applyProtection="1">
      <protection hidden="1"/>
    </xf>
    <xf numFmtId="0" fontId="9" fillId="11" borderId="14" xfId="0" applyFont="1" applyFill="1" applyBorder="1" applyAlignment="1" applyProtection="1">
      <alignment horizontal="left" vertical="center" indent="1"/>
      <protection hidden="1"/>
    </xf>
    <xf numFmtId="0" fontId="10" fillId="11" borderId="75" xfId="0" applyFont="1" applyFill="1" applyBorder="1" applyAlignment="1" applyProtection="1">
      <alignment horizontal="left" vertical="center" indent="1"/>
      <protection hidden="1"/>
    </xf>
    <xf numFmtId="0" fontId="9" fillId="11" borderId="11" xfId="0" applyFont="1" applyFill="1" applyBorder="1" applyAlignment="1" applyProtection="1">
      <alignment horizontal="center" vertical="center"/>
      <protection hidden="1"/>
    </xf>
    <xf numFmtId="172" fontId="9" fillId="11" borderId="42" xfId="0" applyNumberFormat="1" applyFont="1" applyFill="1" applyBorder="1" applyAlignment="1" applyProtection="1">
      <alignment horizontal="center" vertical="center"/>
      <protection hidden="1"/>
    </xf>
    <xf numFmtId="168" fontId="10" fillId="0" borderId="11" xfId="0" applyNumberFormat="1" applyFont="1" applyFill="1" applyBorder="1" applyAlignment="1" applyProtection="1">
      <alignment vertical="center"/>
      <protection locked="0"/>
    </xf>
    <xf numFmtId="168" fontId="10" fillId="0" borderId="28" xfId="0" applyNumberFormat="1" applyFont="1" applyFill="1" applyBorder="1" applyAlignment="1" applyProtection="1">
      <alignment vertical="center"/>
      <protection locked="0"/>
    </xf>
    <xf numFmtId="168" fontId="10" fillId="0" borderId="42" xfId="0" applyNumberFormat="1" applyFont="1" applyFill="1" applyBorder="1" applyAlignment="1" applyProtection="1">
      <alignment vertical="center"/>
      <protection locked="0"/>
    </xf>
    <xf numFmtId="175" fontId="10" fillId="11" borderId="71" xfId="0" applyNumberFormat="1" applyFont="1" applyFill="1" applyBorder="1" applyAlignment="1" applyProtection="1">
      <alignment vertical="center"/>
      <protection hidden="1"/>
    </xf>
    <xf numFmtId="168" fontId="9" fillId="11" borderId="71" xfId="0" applyNumberFormat="1" applyFont="1" applyFill="1" applyBorder="1" applyAlignment="1" applyProtection="1">
      <alignment vertical="center"/>
      <protection hidden="1"/>
    </xf>
    <xf numFmtId="0" fontId="10" fillId="20" borderId="26" xfId="0" applyFont="1" applyFill="1" applyBorder="1" applyAlignment="1" applyProtection="1">
      <protection hidden="1"/>
    </xf>
    <xf numFmtId="0" fontId="10" fillId="20" borderId="35" xfId="0" quotePrefix="1" applyFont="1" applyFill="1" applyBorder="1" applyAlignment="1" applyProtection="1">
      <protection hidden="1"/>
    </xf>
    <xf numFmtId="0" fontId="10" fillId="20" borderId="36" xfId="0" applyFont="1" applyFill="1" applyBorder="1" applyAlignment="1" applyProtection="1">
      <protection hidden="1"/>
    </xf>
    <xf numFmtId="0" fontId="10" fillId="20" borderId="37" xfId="0" applyFont="1" applyFill="1" applyBorder="1" applyAlignment="1" applyProtection="1">
      <protection hidden="1"/>
    </xf>
    <xf numFmtId="0" fontId="10" fillId="20" borderId="38" xfId="0" quotePrefix="1" applyFont="1" applyFill="1" applyBorder="1" applyAlignment="1" applyProtection="1">
      <protection hidden="1"/>
    </xf>
    <xf numFmtId="0" fontId="10" fillId="20" borderId="39" xfId="0" applyFont="1" applyFill="1" applyBorder="1" applyAlignment="1" applyProtection="1">
      <protection hidden="1"/>
    </xf>
    <xf numFmtId="0" fontId="10" fillId="20" borderId="55" xfId="0" applyFont="1" applyFill="1" applyBorder="1" applyAlignment="1" applyProtection="1">
      <protection hidden="1"/>
    </xf>
    <xf numFmtId="0" fontId="8" fillId="11" borderId="6" xfId="0" applyNumberFormat="1" applyFont="1" applyFill="1" applyBorder="1" applyAlignment="1" applyProtection="1">
      <alignment horizontal="left" vertical="top" wrapText="1"/>
      <protection locked="0"/>
    </xf>
    <xf numFmtId="0" fontId="9" fillId="3" borderId="7" xfId="0" applyNumberFormat="1" applyFont="1" applyFill="1" applyBorder="1" applyAlignment="1" applyProtection="1">
      <alignment horizontal="right" vertical="center"/>
      <protection hidden="1"/>
    </xf>
    <xf numFmtId="0" fontId="9" fillId="11" borderId="40" xfId="0" applyFont="1" applyFill="1" applyBorder="1" applyAlignment="1" applyProtection="1">
      <alignment horizontal="left" vertical="center" indent="1"/>
      <protection hidden="1"/>
    </xf>
    <xf numFmtId="0" fontId="9" fillId="11" borderId="38" xfId="0" applyFont="1" applyFill="1" applyBorder="1" applyAlignment="1" applyProtection="1">
      <alignment horizontal="left" vertical="center" indent="1"/>
      <protection hidden="1"/>
    </xf>
    <xf numFmtId="0" fontId="9" fillId="11" borderId="30" xfId="0" applyFont="1" applyFill="1" applyBorder="1" applyAlignment="1" applyProtection="1">
      <alignment horizontal="left" vertical="center" indent="1"/>
      <protection hidden="1"/>
    </xf>
    <xf numFmtId="0" fontId="9" fillId="11" borderId="39" xfId="0" applyFont="1" applyFill="1" applyBorder="1" applyAlignment="1" applyProtection="1">
      <alignment horizontal="left" vertical="center" indent="1"/>
      <protection hidden="1"/>
    </xf>
    <xf numFmtId="175" fontId="9" fillId="11" borderId="27" xfId="0" applyNumberFormat="1" applyFont="1" applyFill="1" applyBorder="1" applyAlignment="1" applyProtection="1">
      <alignment vertical="center"/>
      <protection hidden="1"/>
    </xf>
    <xf numFmtId="175" fontId="9" fillId="11" borderId="6" xfId="0" applyNumberFormat="1" applyFont="1" applyFill="1" applyBorder="1" applyAlignment="1" applyProtection="1">
      <alignment vertical="center"/>
      <protection hidden="1"/>
    </xf>
    <xf numFmtId="175" fontId="9" fillId="11" borderId="55" xfId="0" applyNumberFormat="1" applyFont="1" applyFill="1" applyBorder="1" applyAlignment="1" applyProtection="1">
      <alignment vertical="center"/>
      <protection hidden="1"/>
    </xf>
    <xf numFmtId="0" fontId="13" fillId="20" borderId="0" xfId="7" applyNumberFormat="1" applyFont="1" applyFill="1" applyBorder="1" applyAlignment="1" applyProtection="1">
      <alignment horizontal="center" vertical="center"/>
      <protection hidden="1"/>
    </xf>
    <xf numFmtId="0" fontId="21" fillId="20" borderId="0" xfId="0" applyFont="1" applyFill="1" applyAlignment="1" applyProtection="1">
      <alignment vertical="center"/>
      <protection hidden="1"/>
    </xf>
    <xf numFmtId="0" fontId="10" fillId="3" borderId="17" xfId="4" applyFont="1" applyFill="1" applyBorder="1" applyAlignment="1" applyProtection="1">
      <protection hidden="1"/>
    </xf>
    <xf numFmtId="0" fontId="9" fillId="22" borderId="17" xfId="4" applyFont="1" applyFill="1" applyBorder="1" applyAlignment="1" applyProtection="1">
      <alignment horizontal="right" vertical="center"/>
      <protection hidden="1"/>
    </xf>
    <xf numFmtId="0" fontId="33" fillId="11" borderId="76" xfId="0" applyFont="1" applyFill="1" applyBorder="1" applyAlignment="1" applyProtection="1">
      <protection hidden="1"/>
    </xf>
    <xf numFmtId="0" fontId="10" fillId="11" borderId="97" xfId="0" applyNumberFormat="1" applyFont="1" applyFill="1" applyBorder="1" applyProtection="1">
      <protection hidden="1"/>
    </xf>
    <xf numFmtId="0" fontId="9" fillId="11" borderId="100" xfId="0" applyFont="1" applyFill="1" applyBorder="1" applyProtection="1">
      <protection hidden="1"/>
    </xf>
    <xf numFmtId="0" fontId="10" fillId="11" borderId="100" xfId="0" applyFont="1" applyFill="1" applyBorder="1" applyProtection="1">
      <protection hidden="1"/>
    </xf>
    <xf numFmtId="0" fontId="10" fillId="11" borderId="99" xfId="0" applyFont="1" applyFill="1" applyBorder="1" applyProtection="1">
      <protection hidden="1"/>
    </xf>
    <xf numFmtId="0" fontId="10" fillId="11" borderId="97" xfId="0" applyFont="1" applyFill="1" applyBorder="1" applyAlignment="1" applyProtection="1">
      <alignment horizontal="left" indent="1"/>
      <protection hidden="1"/>
    </xf>
    <xf numFmtId="0" fontId="10" fillId="11" borderId="97" xfId="0" applyFont="1" applyFill="1" applyBorder="1" applyAlignment="1" applyProtection="1">
      <protection hidden="1"/>
    </xf>
    <xf numFmtId="0" fontId="10" fillId="11" borderId="97" xfId="0" applyFont="1" applyFill="1" applyBorder="1" applyAlignment="1" applyProtection="1">
      <alignment vertical="center"/>
      <protection hidden="1"/>
    </xf>
    <xf numFmtId="0" fontId="10" fillId="11" borderId="97" xfId="0" applyFont="1" applyFill="1" applyBorder="1" applyProtection="1">
      <protection hidden="1"/>
    </xf>
    <xf numFmtId="0" fontId="10" fillId="11" borderId="97" xfId="0" applyNumberFormat="1" applyFont="1" applyFill="1" applyBorder="1" applyAlignment="1" applyProtection="1">
      <alignment vertical="center"/>
      <protection hidden="1"/>
    </xf>
    <xf numFmtId="0" fontId="26" fillId="11" borderId="6" xfId="0" applyFont="1" applyFill="1" applyBorder="1" applyProtection="1">
      <protection locked="0"/>
    </xf>
    <xf numFmtId="0" fontId="26" fillId="11" borderId="37" xfId="0" applyFont="1" applyFill="1" applyBorder="1" applyProtection="1">
      <protection locked="0"/>
    </xf>
    <xf numFmtId="0" fontId="10" fillId="11" borderId="0" xfId="9" applyFont="1" applyFill="1" applyAlignment="1" applyProtection="1">
      <alignment horizontal="center" vertical="center"/>
      <protection hidden="1"/>
    </xf>
    <xf numFmtId="0" fontId="34" fillId="3" borderId="0" xfId="9" applyFont="1" applyFill="1" applyAlignment="1" applyProtection="1">
      <alignment vertical="center"/>
      <protection hidden="1"/>
    </xf>
    <xf numFmtId="0" fontId="10" fillId="3" borderId="0" xfId="9" applyFont="1" applyFill="1" applyProtection="1">
      <protection hidden="1"/>
    </xf>
    <xf numFmtId="0" fontId="10" fillId="3" borderId="0" xfId="9" applyFont="1" applyFill="1" applyAlignment="1" applyProtection="1">
      <protection hidden="1"/>
    </xf>
    <xf numFmtId="0" fontId="10" fillId="20" borderId="0" xfId="9" applyFont="1" applyFill="1" applyProtection="1">
      <protection hidden="1"/>
    </xf>
    <xf numFmtId="0" fontId="10" fillId="11" borderId="112" xfId="9" applyFont="1" applyFill="1" applyBorder="1" applyProtection="1">
      <protection hidden="1"/>
    </xf>
    <xf numFmtId="0" fontId="9" fillId="3" borderId="113" xfId="9" applyNumberFormat="1" applyFont="1" applyFill="1" applyBorder="1" applyAlignment="1" applyProtection="1">
      <protection hidden="1"/>
    </xf>
    <xf numFmtId="0" fontId="10" fillId="19" borderId="113" xfId="9" applyFont="1" applyFill="1" applyBorder="1" applyAlignment="1" applyProtection="1">
      <alignment vertical="center"/>
      <protection hidden="1"/>
    </xf>
    <xf numFmtId="0" fontId="9" fillId="19" borderId="111" xfId="9" applyFont="1" applyFill="1" applyBorder="1" applyAlignment="1" applyProtection="1">
      <alignment vertical="center"/>
      <protection hidden="1"/>
    </xf>
    <xf numFmtId="0" fontId="9" fillId="19" borderId="0" xfId="9" applyFont="1" applyFill="1" applyBorder="1" applyAlignment="1" applyProtection="1">
      <alignment vertical="center"/>
      <protection hidden="1"/>
    </xf>
    <xf numFmtId="0" fontId="10" fillId="2" borderId="0" xfId="9" applyFont="1" applyFill="1" applyProtection="1">
      <protection hidden="1"/>
    </xf>
    <xf numFmtId="0" fontId="10" fillId="11" borderId="97" xfId="9" applyFont="1" applyFill="1" applyBorder="1" applyProtection="1">
      <protection hidden="1"/>
    </xf>
    <xf numFmtId="0" fontId="10" fillId="19" borderId="0" xfId="9" applyFont="1" applyFill="1" applyBorder="1" applyAlignment="1" applyProtection="1">
      <alignment horizontal="left" indent="2"/>
      <protection hidden="1"/>
    </xf>
    <xf numFmtId="0" fontId="10" fillId="19" borderId="76" xfId="9" applyFont="1" applyFill="1" applyBorder="1" applyAlignment="1" applyProtection="1">
      <protection hidden="1"/>
    </xf>
    <xf numFmtId="0" fontId="10" fillId="19" borderId="0" xfId="9" applyFont="1" applyFill="1" applyBorder="1" applyAlignment="1" applyProtection="1">
      <protection hidden="1"/>
    </xf>
    <xf numFmtId="0" fontId="9" fillId="2" borderId="0" xfId="9" applyFont="1" applyFill="1" applyBorder="1" applyAlignment="1" applyProtection="1">
      <alignment vertical="center"/>
      <protection hidden="1"/>
    </xf>
    <xf numFmtId="0" fontId="10" fillId="11" borderId="0" xfId="9" applyFont="1" applyFill="1" applyBorder="1" applyProtection="1">
      <protection hidden="1"/>
    </xf>
    <xf numFmtId="0" fontId="9" fillId="19" borderId="0" xfId="9" applyFont="1" applyFill="1" applyBorder="1" applyAlignment="1" applyProtection="1">
      <protection hidden="1"/>
    </xf>
    <xf numFmtId="0" fontId="9" fillId="3" borderId="0" xfId="9" applyFont="1" applyFill="1" applyBorder="1" applyAlignment="1" applyProtection="1">
      <alignment horizontal="left" vertical="center" indent="1"/>
      <protection hidden="1"/>
    </xf>
    <xf numFmtId="0" fontId="9" fillId="19" borderId="0" xfId="9" applyFont="1" applyFill="1" applyBorder="1" applyAlignment="1" applyProtection="1">
      <alignment horizontal="right" vertical="center"/>
      <protection hidden="1"/>
    </xf>
    <xf numFmtId="0" fontId="9" fillId="19" borderId="51" xfId="9" applyFont="1" applyFill="1" applyBorder="1" applyAlignment="1" applyProtection="1">
      <alignment horizontal="center" vertical="top"/>
      <protection hidden="1"/>
    </xf>
    <xf numFmtId="0" fontId="9" fillId="19" borderId="10" xfId="9" applyFont="1" applyFill="1" applyBorder="1" applyAlignment="1" applyProtection="1">
      <alignment horizontal="center" vertical="top" wrapText="1"/>
      <protection hidden="1"/>
    </xf>
    <xf numFmtId="0" fontId="10" fillId="19" borderId="76" xfId="9" applyFont="1" applyFill="1" applyBorder="1" applyAlignment="1" applyProtection="1">
      <alignment vertical="center"/>
      <protection hidden="1"/>
    </xf>
    <xf numFmtId="0" fontId="10" fillId="19" borderId="0" xfId="9" applyFont="1" applyFill="1" applyBorder="1" applyAlignment="1" applyProtection="1">
      <alignment vertical="center"/>
      <protection hidden="1"/>
    </xf>
    <xf numFmtId="0" fontId="10" fillId="19" borderId="22" xfId="9" applyFont="1" applyFill="1" applyBorder="1" applyAlignment="1" applyProtection="1">
      <alignment vertical="center" wrapText="1"/>
      <protection hidden="1"/>
    </xf>
    <xf numFmtId="0" fontId="9" fillId="19" borderId="25" xfId="9" applyFont="1" applyFill="1" applyBorder="1" applyAlignment="1" applyProtection="1">
      <alignment horizontal="center" vertical="center"/>
      <protection hidden="1"/>
    </xf>
    <xf numFmtId="0" fontId="9" fillId="19" borderId="27" xfId="9" applyFont="1" applyFill="1" applyBorder="1" applyAlignment="1" applyProtection="1">
      <alignment horizontal="center" vertical="center"/>
      <protection hidden="1"/>
    </xf>
    <xf numFmtId="0" fontId="9" fillId="2" borderId="10" xfId="9" applyFont="1" applyFill="1" applyBorder="1" applyAlignment="1" applyProtection="1">
      <alignment horizontal="center" vertical="top" wrapText="1"/>
      <protection hidden="1"/>
    </xf>
    <xf numFmtId="0" fontId="10" fillId="2" borderId="0" xfId="9" applyFont="1" applyFill="1" applyAlignment="1" applyProtection="1">
      <protection hidden="1"/>
    </xf>
    <xf numFmtId="0" fontId="9" fillId="19" borderId="22" xfId="9" applyFont="1" applyFill="1" applyBorder="1" applyAlignment="1" applyProtection="1">
      <alignment horizontal="left" vertical="center" indent="2"/>
      <protection hidden="1"/>
    </xf>
    <xf numFmtId="0" fontId="10" fillId="19" borderId="76" xfId="9" applyFont="1" applyFill="1" applyBorder="1" applyProtection="1">
      <protection hidden="1"/>
    </xf>
    <xf numFmtId="178" fontId="10" fillId="0" borderId="30" xfId="9" applyNumberFormat="1" applyFont="1" applyFill="1" applyBorder="1" applyAlignment="1" applyProtection="1">
      <alignment vertical="center"/>
      <protection locked="0"/>
    </xf>
    <xf numFmtId="0" fontId="11" fillId="19" borderId="76" xfId="9" applyFont="1" applyFill="1" applyBorder="1" applyAlignment="1" applyProtection="1">
      <alignment vertical="top"/>
      <protection hidden="1"/>
    </xf>
    <xf numFmtId="0" fontId="11" fillId="19" borderId="0" xfId="9" applyFont="1" applyFill="1" applyBorder="1" applyAlignment="1" applyProtection="1">
      <alignment vertical="top"/>
      <protection hidden="1"/>
    </xf>
    <xf numFmtId="0" fontId="10" fillId="20" borderId="0" xfId="9" applyFont="1" applyFill="1" applyAlignment="1" applyProtection="1">
      <protection hidden="1"/>
    </xf>
    <xf numFmtId="0" fontId="10" fillId="2" borderId="39" xfId="9" applyFont="1" applyFill="1" applyBorder="1" applyAlignment="1" applyProtection="1">
      <protection hidden="1"/>
    </xf>
    <xf numFmtId="0" fontId="10" fillId="2" borderId="17" xfId="9" applyNumberFormat="1" applyFont="1" applyFill="1" applyBorder="1" applyAlignment="1" applyProtection="1">
      <protection hidden="1"/>
    </xf>
    <xf numFmtId="0" fontId="10" fillId="19" borderId="17" xfId="9" applyFont="1" applyFill="1" applyBorder="1" applyAlignment="1" applyProtection="1">
      <protection hidden="1"/>
    </xf>
    <xf numFmtId="0" fontId="9" fillId="23" borderId="0" xfId="12" applyFont="1" applyFill="1" applyBorder="1" applyAlignment="1" applyProtection="1">
      <alignment horizontal="centerContinuous" vertical="center"/>
      <protection hidden="1"/>
    </xf>
    <xf numFmtId="0" fontId="10" fillId="11" borderId="45" xfId="9" applyFont="1" applyFill="1" applyBorder="1" applyProtection="1">
      <protection hidden="1"/>
    </xf>
    <xf numFmtId="0" fontId="11" fillId="19" borderId="98" xfId="9" applyFont="1" applyFill="1" applyBorder="1" applyAlignment="1" applyProtection="1">
      <alignment horizontal="left" vertical="center"/>
      <protection hidden="1"/>
    </xf>
    <xf numFmtId="0" fontId="10" fillId="19" borderId="98" xfId="9" applyFont="1" applyFill="1" applyBorder="1" applyAlignment="1" applyProtection="1">
      <alignment vertical="center"/>
      <protection hidden="1"/>
    </xf>
    <xf numFmtId="0" fontId="10" fillId="19" borderId="106" xfId="9" applyFont="1" applyFill="1" applyBorder="1" applyAlignment="1" applyProtection="1">
      <alignment vertical="center"/>
      <protection hidden="1"/>
    </xf>
    <xf numFmtId="0" fontId="10" fillId="20" borderId="0" xfId="9" applyFont="1" applyFill="1" applyBorder="1" applyProtection="1">
      <protection hidden="1"/>
    </xf>
    <xf numFmtId="0" fontId="9" fillId="20" borderId="0" xfId="9" applyFont="1" applyFill="1" applyAlignment="1" applyProtection="1">
      <alignment vertical="top" wrapText="1"/>
      <protection hidden="1"/>
    </xf>
    <xf numFmtId="0" fontId="10" fillId="11" borderId="0" xfId="9" applyFont="1" applyFill="1" applyProtection="1">
      <protection hidden="1"/>
    </xf>
    <xf numFmtId="0" fontId="10" fillId="19" borderId="113" xfId="9" applyFont="1" applyFill="1" applyBorder="1" applyProtection="1">
      <protection hidden="1"/>
    </xf>
    <xf numFmtId="0" fontId="9" fillId="19" borderId="113" xfId="9" applyFont="1" applyFill="1" applyBorder="1" applyAlignment="1" applyProtection="1">
      <alignment horizontal="right"/>
      <protection hidden="1"/>
    </xf>
    <xf numFmtId="0" fontId="9" fillId="19" borderId="111" xfId="9" applyFont="1" applyFill="1" applyBorder="1" applyAlignment="1" applyProtection="1">
      <alignment horizontal="right"/>
      <protection hidden="1"/>
    </xf>
    <xf numFmtId="0" fontId="10" fillId="19" borderId="0" xfId="9" applyFont="1" applyFill="1" applyBorder="1" applyProtection="1">
      <protection hidden="1"/>
    </xf>
    <xf numFmtId="0" fontId="11" fillId="19" borderId="0" xfId="9" applyFont="1" applyFill="1" applyBorder="1" applyProtection="1">
      <protection hidden="1"/>
    </xf>
    <xf numFmtId="0" fontId="10" fillId="19" borderId="76" xfId="9" applyFont="1" applyFill="1" applyBorder="1" applyAlignment="1" applyProtection="1">
      <alignment horizontal="left" indent="2"/>
      <protection hidden="1"/>
    </xf>
    <xf numFmtId="0" fontId="9" fillId="19" borderId="0" xfId="9" applyFont="1" applyFill="1" applyBorder="1" applyAlignment="1" applyProtection="1">
      <alignment horizontal="left" vertical="center"/>
      <protection hidden="1"/>
    </xf>
    <xf numFmtId="0" fontId="9" fillId="19" borderId="0" xfId="9" applyFont="1" applyFill="1" applyBorder="1" applyAlignment="1" applyProtection="1">
      <alignment horizontal="left"/>
      <protection hidden="1"/>
    </xf>
    <xf numFmtId="0" fontId="9" fillId="23" borderId="0" xfId="12" applyFont="1" applyFill="1" applyBorder="1" applyProtection="1">
      <protection hidden="1"/>
    </xf>
    <xf numFmtId="0" fontId="9" fillId="19" borderId="69" xfId="9" applyFont="1" applyFill="1" applyBorder="1" applyAlignment="1" applyProtection="1">
      <alignment horizontal="left"/>
      <protection hidden="1"/>
    </xf>
    <xf numFmtId="0" fontId="9" fillId="19" borderId="18" xfId="9" applyFont="1" applyFill="1" applyBorder="1" applyAlignment="1" applyProtection="1">
      <alignment horizontal="center" vertical="center"/>
      <protection hidden="1"/>
    </xf>
    <xf numFmtId="0" fontId="9" fillId="19" borderId="76" xfId="9" applyFont="1" applyFill="1" applyBorder="1" applyAlignment="1" applyProtection="1">
      <alignment vertical="center"/>
      <protection hidden="1"/>
    </xf>
    <xf numFmtId="0" fontId="9" fillId="19" borderId="22" xfId="9" applyFont="1" applyFill="1" applyBorder="1" applyAlignment="1" applyProtection="1">
      <alignment horizontal="center" vertical="center"/>
      <protection hidden="1"/>
    </xf>
    <xf numFmtId="0" fontId="9" fillId="19" borderId="65" xfId="9" applyFont="1" applyFill="1" applyBorder="1" applyAlignment="1" applyProtection="1">
      <alignment horizontal="center" vertical="top"/>
      <protection hidden="1"/>
    </xf>
    <xf numFmtId="0" fontId="9" fillId="19" borderId="51" xfId="9" applyFont="1" applyFill="1" applyBorder="1" applyAlignment="1" applyProtection="1">
      <alignment horizontal="center" vertical="top" wrapText="1"/>
      <protection hidden="1"/>
    </xf>
    <xf numFmtId="0" fontId="9" fillId="19" borderId="81" xfId="9" applyFont="1" applyFill="1" applyBorder="1" applyAlignment="1" applyProtection="1">
      <alignment horizontal="center" vertical="top" wrapText="1"/>
      <protection hidden="1"/>
    </xf>
    <xf numFmtId="0" fontId="9" fillId="19" borderId="11" xfId="9" applyFont="1" applyFill="1" applyBorder="1" applyAlignment="1" applyProtection="1">
      <alignment horizontal="center" vertical="top" wrapText="1"/>
      <protection hidden="1"/>
    </xf>
    <xf numFmtId="0" fontId="9" fillId="19" borderId="76" xfId="9" applyFont="1" applyFill="1" applyBorder="1" applyAlignment="1" applyProtection="1">
      <alignment horizontal="center" vertical="top" wrapText="1"/>
      <protection hidden="1"/>
    </xf>
    <xf numFmtId="0" fontId="10" fillId="19" borderId="9" xfId="9" applyFont="1" applyFill="1" applyBorder="1" applyAlignment="1" applyProtection="1">
      <alignment vertical="center"/>
      <protection hidden="1"/>
    </xf>
    <xf numFmtId="0" fontId="9" fillId="19" borderId="110" xfId="9" applyFont="1" applyFill="1" applyBorder="1" applyAlignment="1" applyProtection="1">
      <alignment horizontal="center" vertical="center" wrapText="1"/>
      <protection hidden="1"/>
    </xf>
    <xf numFmtId="0" fontId="9" fillId="19" borderId="25" xfId="9" applyFont="1" applyFill="1" applyBorder="1" applyAlignment="1" applyProtection="1">
      <alignment horizontal="center" vertical="center" wrapText="1"/>
      <protection hidden="1"/>
    </xf>
    <xf numFmtId="0" fontId="9" fillId="19" borderId="27" xfId="9" applyFont="1" applyFill="1" applyBorder="1" applyAlignment="1" applyProtection="1">
      <alignment horizontal="center" vertical="center" wrapText="1"/>
      <protection hidden="1"/>
    </xf>
    <xf numFmtId="0" fontId="9" fillId="19" borderId="11" xfId="9" applyFont="1" applyFill="1" applyBorder="1" applyAlignment="1" applyProtection="1">
      <alignment horizontal="center" vertical="center" wrapText="1"/>
      <protection hidden="1"/>
    </xf>
    <xf numFmtId="0" fontId="9" fillId="19" borderId="9" xfId="9" applyFont="1" applyFill="1" applyBorder="1" applyAlignment="1" applyProtection="1">
      <alignment horizontal="center" vertical="center"/>
      <protection hidden="1"/>
    </xf>
    <xf numFmtId="0" fontId="9" fillId="19" borderId="0" xfId="9" applyFont="1" applyFill="1" applyBorder="1" applyAlignment="1" applyProtection="1">
      <alignment horizontal="center" vertical="center"/>
      <protection hidden="1"/>
    </xf>
    <xf numFmtId="0" fontId="10" fillId="19" borderId="41" xfId="9" applyFont="1" applyFill="1" applyBorder="1" applyAlignment="1" applyProtection="1">
      <alignment vertical="center"/>
      <protection hidden="1"/>
    </xf>
    <xf numFmtId="172" fontId="9" fillId="3" borderId="31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3" borderId="38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3" borderId="39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3" borderId="55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3" borderId="70" xfId="9" quotePrefix="1" applyNumberFormat="1" applyFont="1" applyFill="1" applyBorder="1" applyAlignment="1" applyProtection="1">
      <alignment horizontal="center" vertical="center" wrapText="1"/>
      <protection hidden="1"/>
    </xf>
    <xf numFmtId="0" fontId="9" fillId="3" borderId="76" xfId="9" quotePrefix="1" applyFont="1" applyFill="1" applyBorder="1" applyAlignment="1" applyProtection="1">
      <alignment horizontal="center" vertical="center" wrapText="1"/>
      <protection hidden="1"/>
    </xf>
    <xf numFmtId="0" fontId="10" fillId="19" borderId="9" xfId="9" applyFont="1" applyFill="1" applyBorder="1" applyAlignment="1" applyProtection="1">
      <alignment horizontal="left" vertical="center" indent="1"/>
      <protection hidden="1"/>
    </xf>
    <xf numFmtId="178" fontId="10" fillId="0" borderId="25" xfId="9" applyNumberFormat="1" applyFont="1" applyFill="1" applyBorder="1" applyAlignment="1" applyProtection="1">
      <alignment vertical="center"/>
      <protection locked="0"/>
    </xf>
    <xf numFmtId="178" fontId="10" fillId="0" borderId="76" xfId="9" applyNumberFormat="1" applyFont="1" applyFill="1" applyBorder="1" applyAlignment="1" applyProtection="1">
      <alignment vertical="center"/>
      <protection locked="0"/>
    </xf>
    <xf numFmtId="178" fontId="10" fillId="0" borderId="97" xfId="9" applyNumberFormat="1" applyFont="1" applyFill="1" applyBorder="1" applyAlignment="1" applyProtection="1">
      <alignment vertical="center"/>
      <protection locked="0"/>
    </xf>
    <xf numFmtId="178" fontId="10" fillId="0" borderId="0" xfId="9" applyNumberFormat="1" applyFont="1" applyFill="1" applyBorder="1" applyAlignment="1" applyProtection="1">
      <alignment vertical="center"/>
      <protection locked="0"/>
    </xf>
    <xf numFmtId="178" fontId="10" fillId="24" borderId="25" xfId="9" applyNumberFormat="1" applyFont="1" applyFill="1" applyBorder="1" applyAlignment="1" applyProtection="1">
      <alignment vertical="center"/>
      <protection locked="0"/>
    </xf>
    <xf numFmtId="178" fontId="10" fillId="24" borderId="27" xfId="9" applyNumberFormat="1" applyFont="1" applyFill="1" applyBorder="1" applyAlignment="1" applyProtection="1">
      <alignment vertical="center"/>
      <protection locked="0"/>
    </xf>
    <xf numFmtId="183" fontId="9" fillId="26" borderId="76" xfId="9" applyNumberFormat="1" applyFont="1" applyFill="1" applyBorder="1" applyAlignment="1" applyProtection="1">
      <alignment vertical="center"/>
      <protection hidden="1"/>
    </xf>
    <xf numFmtId="0" fontId="10" fillId="19" borderId="29" xfId="9" applyFont="1" applyFill="1" applyBorder="1" applyAlignment="1" applyProtection="1">
      <alignment horizontal="left" vertical="center" indent="1"/>
      <protection hidden="1"/>
    </xf>
    <xf numFmtId="178" fontId="10" fillId="24" borderId="30" xfId="9" applyNumberFormat="1" applyFont="1" applyFill="1" applyBorder="1" applyAlignment="1" applyProtection="1">
      <alignment vertical="center"/>
      <protection locked="0"/>
    </xf>
    <xf numFmtId="178" fontId="10" fillId="24" borderId="6" xfId="9" applyNumberFormat="1" applyFont="1" applyFill="1" applyBorder="1" applyAlignment="1" applyProtection="1">
      <alignment vertical="center"/>
      <protection locked="0"/>
    </xf>
    <xf numFmtId="168" fontId="9" fillId="11" borderId="33" xfId="9" applyNumberFormat="1" applyFont="1" applyFill="1" applyBorder="1" applyAlignment="1" applyProtection="1">
      <alignment vertical="center"/>
      <protection hidden="1"/>
    </xf>
    <xf numFmtId="0" fontId="10" fillId="19" borderId="98" xfId="9" applyFont="1" applyFill="1" applyBorder="1" applyAlignment="1" applyProtection="1">
      <protection hidden="1"/>
    </xf>
    <xf numFmtId="0" fontId="10" fillId="19" borderId="98" xfId="9" applyFont="1" applyFill="1" applyBorder="1" applyProtection="1">
      <protection hidden="1"/>
    </xf>
    <xf numFmtId="0" fontId="10" fillId="19" borderId="106" xfId="9" applyFont="1" applyFill="1" applyBorder="1" applyProtection="1">
      <protection hidden="1"/>
    </xf>
    <xf numFmtId="0" fontId="9" fillId="19" borderId="113" xfId="9" applyFont="1" applyFill="1" applyBorder="1" applyAlignment="1" applyProtection="1">
      <alignment horizontal="left" vertical="center" indent="1"/>
      <protection hidden="1"/>
    </xf>
    <xf numFmtId="168" fontId="10" fillId="9" borderId="2" xfId="4" applyNumberFormat="1" applyFont="1" applyFill="1" applyBorder="1" applyAlignment="1" applyProtection="1">
      <alignment vertical="center"/>
      <protection locked="0"/>
    </xf>
    <xf numFmtId="0" fontId="9" fillId="0" borderId="0" xfId="13" applyFont="1" applyProtection="1">
      <protection hidden="1"/>
    </xf>
    <xf numFmtId="0" fontId="10" fillId="0" borderId="0" xfId="13" applyFont="1" applyProtection="1">
      <protection hidden="1"/>
    </xf>
    <xf numFmtId="0" fontId="10" fillId="0" borderId="0" xfId="13" applyFont="1" applyAlignment="1" applyProtection="1">
      <alignment horizontal="center"/>
      <protection hidden="1"/>
    </xf>
    <xf numFmtId="0" fontId="9" fillId="0" borderId="0" xfId="14" applyFont="1" applyFill="1" applyProtection="1">
      <protection hidden="1"/>
    </xf>
    <xf numFmtId="0" fontId="10" fillId="0" borderId="0" xfId="14" applyFont="1" applyFill="1" applyProtection="1">
      <protection hidden="1"/>
    </xf>
    <xf numFmtId="0" fontId="10" fillId="0" borderId="0" xfId="14" applyFont="1" applyFill="1" applyAlignment="1" applyProtection="1">
      <protection hidden="1"/>
    </xf>
    <xf numFmtId="0" fontId="10" fillId="0" borderId="0" xfId="14" applyFont="1" applyProtection="1">
      <protection hidden="1"/>
    </xf>
    <xf numFmtId="0" fontId="10" fillId="0" borderId="50" xfId="14" applyFont="1" applyBorder="1" applyProtection="1">
      <protection hidden="1"/>
    </xf>
    <xf numFmtId="0" fontId="10" fillId="0" borderId="0" xfId="14" applyFont="1" applyBorder="1" applyProtection="1">
      <protection hidden="1"/>
    </xf>
    <xf numFmtId="0" fontId="10" fillId="0" borderId="69" xfId="14" applyFont="1" applyBorder="1" applyProtection="1">
      <protection hidden="1"/>
    </xf>
    <xf numFmtId="0" fontId="10" fillId="0" borderId="18" xfId="14" applyFont="1" applyBorder="1" applyProtection="1">
      <protection hidden="1"/>
    </xf>
    <xf numFmtId="171" fontId="9" fillId="0" borderId="73" xfId="5" applyNumberFormat="1" applyFont="1" applyFill="1" applyBorder="1" applyAlignment="1" applyProtection="1">
      <alignment horizontal="center" vertical="top" wrapText="1"/>
      <protection hidden="1"/>
    </xf>
    <xf numFmtId="0" fontId="10" fillId="0" borderId="0" xfId="14" applyNumberFormat="1" applyFont="1" applyFill="1" applyBorder="1" applyAlignment="1" applyProtection="1">
      <protection hidden="1"/>
    </xf>
    <xf numFmtId="0" fontId="10" fillId="0" borderId="0" xfId="5" applyNumberFormat="1" applyFont="1" applyFill="1" applyBorder="1" applyAlignment="1" applyProtection="1">
      <protection hidden="1"/>
    </xf>
    <xf numFmtId="171" fontId="10" fillId="0" borderId="76" xfId="5" applyNumberFormat="1" applyFont="1" applyFill="1" applyBorder="1" applyAlignment="1" applyProtection="1">
      <protection hidden="1"/>
    </xf>
    <xf numFmtId="0" fontId="9" fillId="0" borderId="9" xfId="14" applyFont="1" applyBorder="1" applyAlignment="1" applyProtection="1">
      <alignment horizontal="center" vertical="top" wrapText="1"/>
      <protection hidden="1"/>
    </xf>
    <xf numFmtId="0" fontId="9" fillId="0" borderId="51" xfId="14" applyFont="1" applyBorder="1" applyAlignment="1" applyProtection="1">
      <alignment horizontal="center" vertical="top" wrapText="1"/>
      <protection hidden="1"/>
    </xf>
    <xf numFmtId="0" fontId="9" fillId="0" borderId="11" xfId="14" applyFont="1" applyBorder="1" applyAlignment="1" applyProtection="1">
      <alignment horizontal="center" vertical="top" wrapText="1"/>
      <protection hidden="1"/>
    </xf>
    <xf numFmtId="0" fontId="9" fillId="0" borderId="110" xfId="5" applyNumberFormat="1" applyFont="1" applyFill="1" applyBorder="1" applyAlignment="1" applyProtection="1">
      <alignment horizontal="center" vertical="top" wrapText="1"/>
      <protection hidden="1"/>
    </xf>
    <xf numFmtId="0" fontId="9" fillId="0" borderId="25" xfId="5" applyNumberFormat="1" applyFont="1" applyFill="1" applyBorder="1" applyAlignment="1" applyProtection="1">
      <alignment horizontal="center" vertical="top" wrapText="1"/>
      <protection hidden="1"/>
    </xf>
    <xf numFmtId="0" fontId="9" fillId="0" borderId="11" xfId="14" applyFont="1" applyBorder="1" applyAlignment="1" applyProtection="1">
      <alignment horizontal="center" vertical="top"/>
      <protection hidden="1"/>
    </xf>
    <xf numFmtId="171" fontId="9" fillId="0" borderId="9" xfId="5" applyNumberFormat="1" applyFont="1" applyFill="1" applyBorder="1" applyAlignment="1" applyProtection="1">
      <alignment horizontal="center" vertical="top" wrapText="1"/>
      <protection hidden="1"/>
    </xf>
    <xf numFmtId="171" fontId="9" fillId="0" borderId="25" xfId="5" applyNumberFormat="1" applyFont="1" applyFill="1" applyBorder="1" applyAlignment="1" applyProtection="1">
      <alignment horizontal="center" vertical="top" wrapText="1"/>
      <protection hidden="1"/>
    </xf>
    <xf numFmtId="171" fontId="9" fillId="0" borderId="0" xfId="5" applyNumberFormat="1" applyFont="1" applyFill="1" applyBorder="1" applyAlignment="1" applyProtection="1">
      <alignment horizontal="center" vertical="top" wrapText="1"/>
      <protection hidden="1"/>
    </xf>
    <xf numFmtId="171" fontId="9" fillId="0" borderId="77" xfId="5" applyNumberFormat="1" applyFont="1" applyFill="1" applyBorder="1" applyAlignment="1" applyProtection="1">
      <alignment horizontal="center" vertical="top" wrapText="1"/>
      <protection hidden="1"/>
    </xf>
    <xf numFmtId="171" fontId="9" fillId="0" borderId="10" xfId="5" applyNumberFormat="1" applyFont="1" applyFill="1" applyBorder="1" applyAlignment="1" applyProtection="1">
      <alignment horizontal="center" vertical="top" wrapText="1"/>
      <protection hidden="1"/>
    </xf>
    <xf numFmtId="171" fontId="9" fillId="0" borderId="110" xfId="5" applyNumberFormat="1" applyFont="1" applyFill="1" applyBorder="1" applyAlignment="1" applyProtection="1">
      <alignment horizontal="center" vertical="top" wrapText="1"/>
      <protection hidden="1"/>
    </xf>
    <xf numFmtId="0" fontId="9" fillId="0" borderId="25" xfId="14" applyFont="1" applyBorder="1" applyAlignment="1" applyProtection="1">
      <alignment horizontal="center" vertical="top" wrapText="1"/>
      <protection hidden="1"/>
    </xf>
    <xf numFmtId="0" fontId="9" fillId="0" borderId="76" xfId="14" applyNumberFormat="1" applyFont="1" applyFill="1" applyBorder="1" applyAlignment="1" applyProtection="1">
      <alignment horizontal="center" vertical="top" wrapText="1"/>
      <protection hidden="1"/>
    </xf>
    <xf numFmtId="0" fontId="9" fillId="0" borderId="25" xfId="14" applyNumberFormat="1" applyFont="1" applyFill="1" applyBorder="1" applyAlignment="1" applyProtection="1">
      <alignment horizontal="center" vertical="top" wrapText="1"/>
      <protection hidden="1"/>
    </xf>
    <xf numFmtId="0" fontId="9" fillId="0" borderId="51" xfId="14" applyNumberFormat="1" applyFont="1" applyFill="1" applyBorder="1" applyAlignment="1" applyProtection="1">
      <alignment horizontal="center" vertical="top" wrapText="1"/>
      <protection hidden="1"/>
    </xf>
    <xf numFmtId="0" fontId="9" fillId="0" borderId="77" xfId="14" applyNumberFormat="1" applyFont="1" applyFill="1" applyBorder="1" applyAlignment="1" applyProtection="1">
      <alignment horizontal="center" vertical="top" wrapText="1"/>
      <protection hidden="1"/>
    </xf>
    <xf numFmtId="0" fontId="9" fillId="0" borderId="10" xfId="14" applyFont="1" applyBorder="1" applyAlignment="1" applyProtection="1">
      <alignment horizontal="left" vertical="top" indent="1"/>
      <protection hidden="1"/>
    </xf>
    <xf numFmtId="0" fontId="9" fillId="0" borderId="110" xfId="8" applyFont="1" applyBorder="1" applyAlignment="1" applyProtection="1">
      <alignment horizontal="center" vertical="center"/>
      <protection hidden="1"/>
    </xf>
    <xf numFmtId="0" fontId="9" fillId="0" borderId="25" xfId="8" applyFont="1" applyBorder="1" applyAlignment="1" applyProtection="1">
      <alignment horizontal="center" vertical="center"/>
      <protection hidden="1"/>
    </xf>
    <xf numFmtId="0" fontId="9" fillId="0" borderId="27" xfId="8" applyFont="1" applyBorder="1" applyAlignment="1" applyProtection="1">
      <alignment horizontal="center" vertical="center"/>
      <protection hidden="1"/>
    </xf>
    <xf numFmtId="0" fontId="9" fillId="0" borderId="9" xfId="9" applyFont="1" applyBorder="1" applyAlignment="1" applyProtection="1">
      <alignment horizontal="center" vertical="center"/>
      <protection hidden="1"/>
    </xf>
    <xf numFmtId="0" fontId="9" fillId="0" borderId="25" xfId="9" applyFont="1" applyBorder="1" applyAlignment="1" applyProtection="1">
      <alignment horizontal="center" vertical="center"/>
      <protection hidden="1"/>
    </xf>
    <xf numFmtId="0" fontId="9" fillId="0" borderId="77" xfId="9" applyFont="1" applyBorder="1" applyAlignment="1" applyProtection="1">
      <alignment horizontal="center" vertical="center"/>
      <protection hidden="1"/>
    </xf>
    <xf numFmtId="0" fontId="9" fillId="0" borderId="76" xfId="9" applyFont="1" applyBorder="1" applyAlignment="1" applyProtection="1">
      <alignment horizontal="center" vertical="center"/>
      <protection hidden="1"/>
    </xf>
    <xf numFmtId="0" fontId="9" fillId="0" borderId="27" xfId="9" applyFont="1" applyBorder="1" applyAlignment="1" applyProtection="1">
      <alignment horizontal="center" vertical="center"/>
      <protection hidden="1"/>
    </xf>
    <xf numFmtId="0" fontId="9" fillId="0" borderId="110" xfId="9" applyFont="1" applyBorder="1" applyAlignment="1" applyProtection="1">
      <alignment horizontal="center" vertical="center"/>
      <protection hidden="1"/>
    </xf>
    <xf numFmtId="0" fontId="9" fillId="0" borderId="11" xfId="14" applyFont="1" applyBorder="1" applyAlignment="1" applyProtection="1">
      <alignment horizontal="center" vertical="center"/>
      <protection hidden="1"/>
    </xf>
    <xf numFmtId="0" fontId="9" fillId="0" borderId="76" xfId="14" applyFont="1" applyBorder="1" applyAlignment="1" applyProtection="1">
      <alignment horizontal="center" vertical="center"/>
      <protection hidden="1"/>
    </xf>
    <xf numFmtId="0" fontId="9" fillId="0" borderId="25" xfId="14" applyFont="1" applyBorder="1" applyAlignment="1" applyProtection="1">
      <alignment horizontal="center" vertical="center"/>
      <protection hidden="1"/>
    </xf>
    <xf numFmtId="0" fontId="9" fillId="0" borderId="77" xfId="14" applyFont="1" applyBorder="1" applyAlignment="1" applyProtection="1">
      <alignment horizontal="center" vertical="center"/>
      <protection hidden="1"/>
    </xf>
    <xf numFmtId="172" fontId="9" fillId="0" borderId="106" xfId="14" quotePrefix="1" applyNumberFormat="1" applyFont="1" applyBorder="1" applyAlignment="1" applyProtection="1">
      <alignment horizontal="center" vertical="center"/>
      <protection hidden="1"/>
    </xf>
    <xf numFmtId="172" fontId="9" fillId="0" borderId="5" xfId="14" quotePrefix="1" applyNumberFormat="1" applyFont="1" applyBorder="1" applyAlignment="1" applyProtection="1">
      <alignment horizontal="center" vertical="center"/>
      <protection hidden="1"/>
    </xf>
    <xf numFmtId="172" fontId="9" fillId="0" borderId="4" xfId="15" quotePrefix="1" applyNumberFormat="1" applyFont="1" applyBorder="1" applyAlignment="1" applyProtection="1">
      <alignment horizontal="center" vertical="center"/>
      <protection hidden="1"/>
    </xf>
    <xf numFmtId="172" fontId="9" fillId="0" borderId="26" xfId="15" quotePrefix="1" applyNumberFormat="1" applyFont="1" applyBorder="1" applyAlignment="1" applyProtection="1">
      <alignment horizontal="center" vertical="center"/>
      <protection hidden="1"/>
    </xf>
    <xf numFmtId="172" fontId="9" fillId="0" borderId="4" xfId="14" quotePrefix="1" applyNumberFormat="1" applyFont="1" applyBorder="1" applyAlignment="1" applyProtection="1">
      <alignment horizontal="center" vertical="center"/>
      <protection hidden="1"/>
    </xf>
    <xf numFmtId="172" fontId="9" fillId="0" borderId="45" xfId="15" quotePrefix="1" applyNumberFormat="1" applyFont="1" applyBorder="1" applyAlignment="1" applyProtection="1">
      <alignment horizontal="center" vertical="center"/>
      <protection hidden="1"/>
    </xf>
    <xf numFmtId="172" fontId="9" fillId="0" borderId="13" xfId="14" quotePrefix="1" applyNumberFormat="1" applyFont="1" applyBorder="1" applyAlignment="1" applyProtection="1">
      <alignment horizontal="center" vertical="center"/>
      <protection hidden="1"/>
    </xf>
    <xf numFmtId="172" fontId="9" fillId="0" borderId="5" xfId="15" quotePrefix="1" applyNumberFormat="1" applyFont="1" applyBorder="1" applyAlignment="1" applyProtection="1">
      <alignment horizontal="center" vertical="center"/>
      <protection hidden="1"/>
    </xf>
    <xf numFmtId="172" fontId="9" fillId="0" borderId="26" xfId="14" quotePrefix="1" applyNumberFormat="1" applyFont="1" applyBorder="1" applyAlignment="1" applyProtection="1">
      <alignment horizontal="center" vertical="center"/>
      <protection hidden="1"/>
    </xf>
    <xf numFmtId="185" fontId="10" fillId="0" borderId="72" xfId="14" applyNumberFormat="1" applyFont="1" applyBorder="1" applyProtection="1">
      <protection hidden="1"/>
    </xf>
    <xf numFmtId="0" fontId="10" fillId="0" borderId="116" xfId="14" applyFont="1" applyFill="1" applyBorder="1" applyAlignment="1" applyProtection="1">
      <alignment horizontal="left" indent="1"/>
      <protection hidden="1"/>
    </xf>
    <xf numFmtId="175" fontId="10" fillId="0" borderId="110" xfId="14" applyNumberFormat="1" applyFont="1" applyBorder="1" applyProtection="1">
      <protection hidden="1"/>
    </xf>
    <xf numFmtId="171" fontId="10" fillId="0" borderId="9" xfId="14" applyNumberFormat="1" applyFont="1" applyBorder="1" applyAlignment="1" applyProtection="1">
      <protection hidden="1"/>
    </xf>
    <xf numFmtId="171" fontId="10" fillId="0" borderId="51" xfId="14" applyNumberFormat="1" applyFont="1" applyBorder="1" applyAlignment="1" applyProtection="1">
      <protection hidden="1"/>
    </xf>
    <xf numFmtId="171" fontId="10" fillId="0" borderId="10" xfId="14" applyNumberFormat="1" applyFont="1" applyBorder="1" applyAlignment="1" applyProtection="1">
      <protection hidden="1"/>
    </xf>
    <xf numFmtId="171" fontId="9" fillId="0" borderId="11" xfId="14" applyNumberFormat="1" applyFont="1" applyBorder="1" applyAlignment="1" applyProtection="1">
      <protection hidden="1"/>
    </xf>
    <xf numFmtId="171" fontId="9" fillId="0" borderId="27" xfId="9" applyNumberFormat="1" applyFont="1" applyFill="1" applyBorder="1" applyAlignment="1" applyProtection="1">
      <protection hidden="1"/>
    </xf>
    <xf numFmtId="171" fontId="10" fillId="0" borderId="65" xfId="8" applyNumberFormat="1" applyFont="1" applyFill="1" applyBorder="1" applyAlignment="1" applyProtection="1">
      <protection hidden="1"/>
    </xf>
    <xf numFmtId="171" fontId="10" fillId="0" borderId="25" xfId="14" applyNumberFormat="1" applyFont="1" applyBorder="1" applyAlignment="1" applyProtection="1">
      <protection hidden="1"/>
    </xf>
    <xf numFmtId="171" fontId="10" fillId="0" borderId="51" xfId="8" applyNumberFormat="1" applyFont="1" applyFill="1" applyBorder="1" applyAlignment="1" applyProtection="1">
      <protection hidden="1"/>
    </xf>
    <xf numFmtId="171" fontId="10" fillId="0" borderId="51" xfId="9" applyNumberFormat="1" applyFont="1" applyFill="1" applyBorder="1" applyAlignment="1" applyProtection="1">
      <protection hidden="1"/>
    </xf>
    <xf numFmtId="171" fontId="10" fillId="0" borderId="111" xfId="9" applyNumberFormat="1" applyFont="1" applyFill="1" applyBorder="1" applyAlignment="1" applyProtection="1">
      <protection hidden="1"/>
    </xf>
    <xf numFmtId="171" fontId="10" fillId="0" borderId="25" xfId="9" applyNumberFormat="1" applyFont="1" applyFill="1" applyBorder="1" applyAlignment="1" applyProtection="1">
      <protection hidden="1"/>
    </xf>
    <xf numFmtId="171" fontId="10" fillId="0" borderId="0" xfId="9" applyNumberFormat="1" applyFont="1" applyFill="1" applyBorder="1" applyAlignment="1" applyProtection="1">
      <protection hidden="1"/>
    </xf>
    <xf numFmtId="171" fontId="10" fillId="0" borderId="27" xfId="14" applyNumberFormat="1" applyFont="1" applyBorder="1" applyAlignment="1" applyProtection="1">
      <protection hidden="1"/>
    </xf>
    <xf numFmtId="185" fontId="10" fillId="0" borderId="9" xfId="14" applyNumberFormat="1" applyFont="1" applyBorder="1" applyProtection="1">
      <protection hidden="1"/>
    </xf>
    <xf numFmtId="0" fontId="10" fillId="0" borderId="11" xfId="14" applyFont="1" applyFill="1" applyBorder="1" applyAlignment="1" applyProtection="1">
      <alignment horizontal="left" indent="1"/>
      <protection hidden="1"/>
    </xf>
    <xf numFmtId="171" fontId="10" fillId="0" borderId="25" xfId="8" applyNumberFormat="1" applyFont="1" applyFill="1" applyBorder="1" applyAlignment="1" applyProtection="1">
      <protection hidden="1"/>
    </xf>
    <xf numFmtId="171" fontId="10" fillId="0" borderId="76" xfId="8" applyNumberFormat="1" applyFont="1" applyFill="1" applyBorder="1" applyAlignment="1" applyProtection="1">
      <protection hidden="1"/>
    </xf>
    <xf numFmtId="175" fontId="9" fillId="0" borderId="11" xfId="14" applyNumberFormat="1" applyFont="1" applyBorder="1" applyAlignment="1" applyProtection="1">
      <protection hidden="1"/>
    </xf>
    <xf numFmtId="171" fontId="10" fillId="0" borderId="77" xfId="9" applyNumberFormat="1" applyFont="1" applyFill="1" applyBorder="1" applyAlignment="1" applyProtection="1">
      <protection hidden="1"/>
    </xf>
    <xf numFmtId="171" fontId="10" fillId="0" borderId="110" xfId="8" applyNumberFormat="1" applyFont="1" applyFill="1" applyBorder="1" applyAlignment="1" applyProtection="1">
      <protection hidden="1"/>
    </xf>
    <xf numFmtId="171" fontId="10" fillId="0" borderId="110" xfId="9" applyNumberFormat="1" applyFont="1" applyFill="1" applyBorder="1" applyAlignment="1" applyProtection="1">
      <protection hidden="1"/>
    </xf>
    <xf numFmtId="171" fontId="10" fillId="0" borderId="76" xfId="14" applyNumberFormat="1" applyFont="1" applyBorder="1" applyAlignment="1" applyProtection="1">
      <protection hidden="1"/>
    </xf>
    <xf numFmtId="171" fontId="10" fillId="0" borderId="27" xfId="9" applyNumberFormat="1" applyFont="1" applyFill="1" applyBorder="1" applyAlignment="1" applyProtection="1">
      <protection hidden="1"/>
    </xf>
    <xf numFmtId="0" fontId="10" fillId="0" borderId="11" xfId="15" applyNumberFormat="1" applyFont="1" applyBorder="1" applyAlignment="1" applyProtection="1">
      <alignment horizontal="left" indent="1"/>
      <protection hidden="1"/>
    </xf>
    <xf numFmtId="171" fontId="10" fillId="0" borderId="110" xfId="14" applyNumberFormat="1" applyFont="1" applyBorder="1" applyAlignment="1" applyProtection="1">
      <protection hidden="1"/>
    </xf>
    <xf numFmtId="171" fontId="10" fillId="0" borderId="11" xfId="14" applyNumberFormat="1" applyFont="1" applyBorder="1" applyAlignment="1" applyProtection="1">
      <protection hidden="1"/>
    </xf>
    <xf numFmtId="0" fontId="10" fillId="0" borderId="41" xfId="14" applyFont="1" applyBorder="1" applyAlignment="1" applyProtection="1">
      <protection hidden="1"/>
    </xf>
    <xf numFmtId="0" fontId="9" fillId="0" borderId="42" xfId="14" applyFont="1" applyFill="1" applyBorder="1" applyAlignment="1" applyProtection="1">
      <alignment horizontal="left" vertical="center" indent="1"/>
      <protection hidden="1"/>
    </xf>
    <xf numFmtId="175" fontId="9" fillId="0" borderId="38" xfId="14" applyNumberFormat="1" applyFont="1" applyBorder="1" applyAlignment="1" applyProtection="1">
      <alignment vertical="center"/>
      <protection hidden="1"/>
    </xf>
    <xf numFmtId="175" fontId="9" fillId="0" borderId="70" xfId="14" applyNumberFormat="1" applyFont="1" applyBorder="1" applyAlignment="1" applyProtection="1">
      <alignment vertical="center"/>
      <protection hidden="1"/>
    </xf>
    <xf numFmtId="175" fontId="9" fillId="0" borderId="41" xfId="14" applyNumberFormat="1" applyFont="1" applyBorder="1" applyAlignment="1" applyProtection="1">
      <alignment vertical="center"/>
      <protection hidden="1"/>
    </xf>
    <xf numFmtId="175" fontId="9" fillId="0" borderId="39" xfId="14" applyNumberFormat="1" applyFont="1" applyBorder="1" applyAlignment="1" applyProtection="1">
      <alignment vertical="center"/>
      <protection hidden="1"/>
    </xf>
    <xf numFmtId="175" fontId="9" fillId="0" borderId="55" xfId="14" applyNumberFormat="1" applyFont="1" applyBorder="1" applyAlignment="1" applyProtection="1">
      <alignment vertical="center"/>
      <protection hidden="1"/>
    </xf>
    <xf numFmtId="171" fontId="9" fillId="0" borderId="38" xfId="14" applyNumberFormat="1" applyFont="1" applyBorder="1" applyAlignment="1" applyProtection="1">
      <alignment vertical="center"/>
      <protection hidden="1"/>
    </xf>
    <xf numFmtId="171" fontId="9" fillId="0" borderId="70" xfId="14" applyNumberFormat="1" applyFont="1" applyBorder="1" applyAlignment="1" applyProtection="1">
      <alignment vertical="center"/>
      <protection hidden="1"/>
    </xf>
    <xf numFmtId="171" fontId="9" fillId="0" borderId="39" xfId="14" applyNumberFormat="1" applyFont="1" applyBorder="1" applyAlignment="1" applyProtection="1">
      <alignment vertical="center"/>
      <protection hidden="1"/>
    </xf>
    <xf numFmtId="171" fontId="9" fillId="0" borderId="55" xfId="14" applyNumberFormat="1" applyFont="1" applyBorder="1" applyAlignment="1" applyProtection="1">
      <alignment vertical="center"/>
      <protection hidden="1"/>
    </xf>
    <xf numFmtId="171" fontId="9" fillId="0" borderId="41" xfId="14" applyNumberFormat="1" applyFont="1" applyBorder="1" applyAlignment="1" applyProtection="1">
      <alignment vertical="center"/>
      <protection hidden="1"/>
    </xf>
    <xf numFmtId="171" fontId="9" fillId="0" borderId="126" xfId="14" applyNumberFormat="1" applyFont="1" applyBorder="1" applyAlignment="1" applyProtection="1">
      <alignment vertical="center"/>
      <protection hidden="1"/>
    </xf>
    <xf numFmtId="0" fontId="10" fillId="0" borderId="0" xfId="14" applyFont="1" applyAlignment="1" applyProtection="1">
      <protection hidden="1"/>
    </xf>
    <xf numFmtId="0" fontId="9" fillId="0" borderId="0" xfId="13" applyFont="1" applyFill="1" applyProtection="1">
      <protection hidden="1"/>
    </xf>
    <xf numFmtId="0" fontId="10" fillId="0" borderId="0" xfId="13" applyFont="1" applyFill="1" applyProtection="1">
      <protection hidden="1"/>
    </xf>
    <xf numFmtId="0" fontId="10" fillId="0" borderId="69" xfId="13" applyFont="1" applyBorder="1" applyProtection="1">
      <protection hidden="1"/>
    </xf>
    <xf numFmtId="0" fontId="10" fillId="0" borderId="18" xfId="13" applyFont="1" applyBorder="1" applyProtection="1">
      <protection hidden="1"/>
    </xf>
    <xf numFmtId="0" fontId="9" fillId="0" borderId="58" xfId="13" applyFont="1" applyBorder="1" applyAlignment="1" applyProtection="1">
      <alignment horizontal="centerContinuous" vertical="center"/>
      <protection hidden="1"/>
    </xf>
    <xf numFmtId="0" fontId="9" fillId="0" borderId="59" xfId="13" applyFont="1" applyBorder="1" applyAlignment="1" applyProtection="1">
      <alignment horizontal="centerContinuous" vertical="center"/>
      <protection hidden="1"/>
    </xf>
    <xf numFmtId="0" fontId="9" fillId="0" borderId="60" xfId="13" applyFont="1" applyBorder="1" applyAlignment="1" applyProtection="1">
      <alignment horizontal="centerContinuous" vertical="center"/>
      <protection hidden="1"/>
    </xf>
    <xf numFmtId="0" fontId="9" fillId="0" borderId="0" xfId="13" applyFont="1" applyBorder="1" applyAlignment="1" applyProtection="1">
      <alignment horizontal="center" vertical="center" wrapText="1"/>
      <protection hidden="1"/>
    </xf>
    <xf numFmtId="0" fontId="10" fillId="0" borderId="9" xfId="13" applyFont="1" applyBorder="1" applyProtection="1">
      <protection hidden="1"/>
    </xf>
    <xf numFmtId="0" fontId="10" fillId="0" borderId="11" xfId="13" applyFont="1" applyBorder="1" applyProtection="1">
      <protection hidden="1"/>
    </xf>
    <xf numFmtId="0" fontId="9" fillId="0" borderId="9" xfId="13" applyFont="1" applyFill="1" applyBorder="1" applyAlignment="1" applyProtection="1">
      <alignment horizontal="center" vertical="top" wrapText="1"/>
      <protection hidden="1"/>
    </xf>
    <xf numFmtId="0" fontId="9" fillId="0" borderId="25" xfId="13" applyFont="1" applyFill="1" applyBorder="1" applyAlignment="1" applyProtection="1">
      <alignment horizontal="center" vertical="top" wrapText="1"/>
      <protection hidden="1"/>
    </xf>
    <xf numFmtId="0" fontId="9" fillId="0" borderId="25" xfId="15" applyNumberFormat="1" applyFont="1" applyBorder="1" applyAlignment="1" applyProtection="1">
      <alignment horizontal="center" vertical="top" wrapText="1"/>
      <protection hidden="1"/>
    </xf>
    <xf numFmtId="0" fontId="9" fillId="0" borderId="77" xfId="13" applyFont="1" applyFill="1" applyBorder="1" applyAlignment="1" applyProtection="1">
      <alignment horizontal="center" vertical="top" wrapText="1"/>
      <protection hidden="1"/>
    </xf>
    <xf numFmtId="0" fontId="9" fillId="0" borderId="81" xfId="13" applyFont="1" applyFill="1" applyBorder="1" applyAlignment="1" applyProtection="1">
      <alignment horizontal="center" vertical="top"/>
      <protection hidden="1"/>
    </xf>
    <xf numFmtId="0" fontId="9" fillId="0" borderId="0" xfId="13" applyFont="1" applyBorder="1" applyAlignment="1" applyProtection="1">
      <alignment horizontal="center" vertical="top" wrapText="1"/>
      <protection hidden="1"/>
    </xf>
    <xf numFmtId="0" fontId="9" fillId="0" borderId="11" xfId="13" applyFont="1" applyBorder="1" applyAlignment="1" applyProtection="1">
      <alignment horizontal="left" vertical="center" indent="1"/>
      <protection hidden="1"/>
    </xf>
    <xf numFmtId="0" fontId="9" fillId="0" borderId="0" xfId="13" applyFont="1" applyBorder="1" applyAlignment="1" applyProtection="1">
      <alignment horizontal="center" vertical="center"/>
      <protection hidden="1"/>
    </xf>
    <xf numFmtId="0" fontId="9" fillId="0" borderId="51" xfId="13" applyFont="1" applyBorder="1" applyAlignment="1" applyProtection="1">
      <alignment horizontal="center" vertical="center"/>
      <protection hidden="1"/>
    </xf>
    <xf numFmtId="0" fontId="9" fillId="0" borderId="78" xfId="13" applyFont="1" applyBorder="1" applyAlignment="1" applyProtection="1">
      <alignment horizontal="center" vertical="center"/>
      <protection hidden="1"/>
    </xf>
    <xf numFmtId="0" fontId="9" fillId="0" borderId="65" xfId="13" applyFont="1" applyBorder="1" applyAlignment="1" applyProtection="1">
      <alignment horizontal="center" vertical="center"/>
      <protection hidden="1"/>
    </xf>
    <xf numFmtId="0" fontId="9" fillId="0" borderId="10" xfId="13" applyFont="1" applyBorder="1" applyAlignment="1" applyProtection="1">
      <alignment horizontal="center" vertical="center"/>
      <protection hidden="1"/>
    </xf>
    <xf numFmtId="0" fontId="10" fillId="0" borderId="24" xfId="13" applyFont="1" applyBorder="1" applyProtection="1">
      <protection hidden="1"/>
    </xf>
    <xf numFmtId="0" fontId="10" fillId="0" borderId="25" xfId="13" applyFont="1" applyBorder="1" applyProtection="1">
      <protection hidden="1"/>
    </xf>
    <xf numFmtId="0" fontId="10" fillId="0" borderId="77" xfId="13" applyFont="1" applyBorder="1" applyProtection="1">
      <protection hidden="1"/>
    </xf>
    <xf numFmtId="0" fontId="10" fillId="0" borderId="22" xfId="13" applyFont="1" applyBorder="1" applyProtection="1">
      <protection hidden="1"/>
    </xf>
    <xf numFmtId="0" fontId="10" fillId="0" borderId="0" xfId="13" applyFont="1" applyBorder="1" applyProtection="1">
      <protection hidden="1"/>
    </xf>
    <xf numFmtId="0" fontId="10" fillId="0" borderId="9" xfId="13" applyFont="1" applyBorder="1" applyAlignment="1" applyProtection="1">
      <protection hidden="1"/>
    </xf>
    <xf numFmtId="0" fontId="9" fillId="0" borderId="11" xfId="13" applyFont="1" applyBorder="1" applyAlignment="1" applyProtection="1">
      <alignment horizontal="left" vertical="top" indent="1"/>
      <protection hidden="1"/>
    </xf>
    <xf numFmtId="0" fontId="9" fillId="0" borderId="77" xfId="13" applyFont="1" applyBorder="1" applyAlignment="1" applyProtection="1">
      <alignment horizontal="center" vertical="center"/>
      <protection hidden="1"/>
    </xf>
    <xf numFmtId="0" fontId="9" fillId="0" borderId="25" xfId="13" applyFont="1" applyBorder="1" applyAlignment="1" applyProtection="1">
      <alignment horizontal="center" vertical="center"/>
      <protection hidden="1"/>
    </xf>
    <xf numFmtId="0" fontId="9" fillId="0" borderId="76" xfId="13" applyFont="1" applyBorder="1" applyAlignment="1" applyProtection="1">
      <alignment horizontal="center" vertical="center"/>
      <protection hidden="1"/>
    </xf>
    <xf numFmtId="0" fontId="9" fillId="0" borderId="24" xfId="13" applyFont="1" applyBorder="1" applyAlignment="1" applyProtection="1">
      <alignment horizontal="center" vertical="center"/>
      <protection hidden="1"/>
    </xf>
    <xf numFmtId="0" fontId="9" fillId="0" borderId="27" xfId="13" applyFont="1" applyBorder="1" applyAlignment="1" applyProtection="1">
      <alignment horizontal="center" vertical="center"/>
      <protection hidden="1"/>
    </xf>
    <xf numFmtId="0" fontId="9" fillId="0" borderId="22" xfId="13" applyFont="1" applyBorder="1" applyAlignment="1" applyProtection="1">
      <alignment horizontal="center" vertical="center"/>
      <protection hidden="1"/>
    </xf>
    <xf numFmtId="172" fontId="9" fillId="0" borderId="0" xfId="13" quotePrefix="1" applyNumberFormat="1" applyFont="1" applyBorder="1" applyAlignment="1" applyProtection="1">
      <alignment horizontal="center" vertical="center"/>
      <protection hidden="1"/>
    </xf>
    <xf numFmtId="172" fontId="9" fillId="0" borderId="77" xfId="15" quotePrefix="1" applyNumberFormat="1" applyFont="1" applyBorder="1" applyAlignment="1" applyProtection="1">
      <alignment horizontal="center" vertical="center"/>
      <protection hidden="1"/>
    </xf>
    <xf numFmtId="172" fontId="9" fillId="0" borderId="74" xfId="15" quotePrefix="1" applyNumberFormat="1" applyFont="1" applyBorder="1" applyAlignment="1" applyProtection="1">
      <alignment horizontal="center" vertical="center"/>
      <protection hidden="1"/>
    </xf>
    <xf numFmtId="172" fontId="9" fillId="0" borderId="4" xfId="13" quotePrefix="1" applyNumberFormat="1" applyFont="1" applyBorder="1" applyAlignment="1" applyProtection="1">
      <alignment horizontal="center" vertical="center"/>
      <protection hidden="1"/>
    </xf>
    <xf numFmtId="172" fontId="9" fillId="0" borderId="45" xfId="13" quotePrefix="1" applyNumberFormat="1" applyFont="1" applyBorder="1" applyAlignment="1" applyProtection="1">
      <alignment horizontal="center" vertical="center"/>
      <protection hidden="1"/>
    </xf>
    <xf numFmtId="172" fontId="9" fillId="0" borderId="23" xfId="15" quotePrefix="1" applyNumberFormat="1" applyFont="1" applyBorder="1" applyAlignment="1" applyProtection="1">
      <alignment horizontal="center" vertical="center"/>
      <protection hidden="1"/>
    </xf>
    <xf numFmtId="172" fontId="9" fillId="0" borderId="0" xfId="15" quotePrefix="1" applyNumberFormat="1" applyFont="1" applyBorder="1" applyAlignment="1" applyProtection="1">
      <alignment horizontal="center" vertical="center"/>
      <protection hidden="1"/>
    </xf>
    <xf numFmtId="170" fontId="10" fillId="0" borderId="9" xfId="13" applyNumberFormat="1" applyFont="1" applyBorder="1" applyProtection="1">
      <protection hidden="1"/>
    </xf>
    <xf numFmtId="0" fontId="9" fillId="0" borderId="116" xfId="9" applyFont="1" applyFill="1" applyBorder="1" applyAlignment="1" applyProtection="1">
      <alignment horizontal="left" indent="1"/>
      <protection hidden="1"/>
    </xf>
    <xf numFmtId="171" fontId="10" fillId="0" borderId="65" xfId="9" applyNumberFormat="1" applyFont="1" applyFill="1" applyBorder="1" applyAlignment="1" applyProtection="1">
      <protection hidden="1"/>
    </xf>
    <xf numFmtId="171" fontId="10" fillId="0" borderId="78" xfId="9" applyNumberFormat="1" applyFont="1" applyFill="1" applyBorder="1" applyAlignment="1" applyProtection="1">
      <protection hidden="1"/>
    </xf>
    <xf numFmtId="171" fontId="9" fillId="0" borderId="78" xfId="9" applyNumberFormat="1" applyFont="1" applyFill="1" applyBorder="1" applyAlignment="1" applyProtection="1">
      <protection hidden="1"/>
    </xf>
    <xf numFmtId="171" fontId="9" fillId="0" borderId="78" xfId="14" applyNumberFormat="1" applyFont="1" applyBorder="1" applyAlignment="1" applyProtection="1">
      <protection hidden="1"/>
    </xf>
    <xf numFmtId="171" fontId="10" fillId="0" borderId="10" xfId="9" applyNumberFormat="1" applyFont="1" applyFill="1" applyBorder="1" applyAlignment="1" applyProtection="1">
      <protection hidden="1"/>
    </xf>
    <xf numFmtId="171" fontId="10" fillId="0" borderId="76" xfId="9" applyNumberFormat="1" applyFont="1" applyFill="1" applyBorder="1" applyAlignment="1" applyProtection="1">
      <protection hidden="1"/>
    </xf>
    <xf numFmtId="0" fontId="10" fillId="0" borderId="81" xfId="14" applyNumberFormat="1" applyFont="1" applyBorder="1" applyAlignment="1" applyProtection="1">
      <protection hidden="1"/>
    </xf>
    <xf numFmtId="171" fontId="10" fillId="0" borderId="81" xfId="9" applyNumberFormat="1" applyFont="1" applyFill="1" applyBorder="1" applyAlignment="1" applyProtection="1">
      <protection hidden="1"/>
    </xf>
    <xf numFmtId="0" fontId="9" fillId="0" borderId="11" xfId="9" applyFont="1" applyFill="1" applyBorder="1" applyAlignment="1" applyProtection="1">
      <alignment horizontal="left" vertical="center" indent="1"/>
      <protection hidden="1"/>
    </xf>
    <xf numFmtId="0" fontId="10" fillId="0" borderId="24" xfId="9" applyFont="1" applyFill="1" applyBorder="1" applyAlignment="1" applyProtection="1">
      <protection hidden="1"/>
    </xf>
    <xf numFmtId="0" fontId="10" fillId="0" borderId="77" xfId="9" applyFont="1" applyFill="1" applyBorder="1" applyAlignment="1" applyProtection="1">
      <protection hidden="1"/>
    </xf>
    <xf numFmtId="0" fontId="10" fillId="0" borderId="25" xfId="9" applyFont="1" applyFill="1" applyBorder="1" applyAlignment="1" applyProtection="1">
      <protection hidden="1"/>
    </xf>
    <xf numFmtId="171" fontId="10" fillId="0" borderId="77" xfId="14" applyNumberFormat="1" applyFont="1" applyBorder="1" applyAlignment="1" applyProtection="1">
      <protection hidden="1"/>
    </xf>
    <xf numFmtId="0" fontId="10" fillId="0" borderId="27" xfId="9" applyFont="1" applyFill="1" applyBorder="1" applyAlignment="1" applyProtection="1">
      <protection hidden="1"/>
    </xf>
    <xf numFmtId="0" fontId="10" fillId="0" borderId="22" xfId="14" applyNumberFormat="1" applyFont="1" applyBorder="1" applyAlignment="1" applyProtection="1">
      <protection hidden="1"/>
    </xf>
    <xf numFmtId="171" fontId="10" fillId="0" borderId="22" xfId="9" applyNumberFormat="1" applyFont="1" applyFill="1" applyBorder="1" applyAlignment="1" applyProtection="1">
      <protection hidden="1"/>
    </xf>
    <xf numFmtId="0" fontId="9" fillId="0" borderId="11" xfId="9" applyFont="1" applyFill="1" applyBorder="1" applyAlignment="1" applyProtection="1">
      <alignment horizontal="left" vertical="center" indent="3"/>
      <protection hidden="1"/>
    </xf>
    <xf numFmtId="0" fontId="10" fillId="0" borderId="24" xfId="14" applyFont="1" applyBorder="1" applyAlignment="1" applyProtection="1">
      <protection hidden="1"/>
    </xf>
    <xf numFmtId="0" fontId="10" fillId="0" borderId="77" xfId="14" applyFont="1" applyBorder="1" applyAlignment="1" applyProtection="1">
      <protection hidden="1"/>
    </xf>
    <xf numFmtId="0" fontId="10" fillId="0" borderId="25" xfId="14" applyFont="1" applyBorder="1" applyAlignment="1" applyProtection="1">
      <protection hidden="1"/>
    </xf>
    <xf numFmtId="0" fontId="10" fillId="0" borderId="27" xfId="14" applyFont="1" applyBorder="1" applyAlignment="1" applyProtection="1">
      <protection hidden="1"/>
    </xf>
    <xf numFmtId="170" fontId="10" fillId="0" borderId="9" xfId="13" applyNumberFormat="1" applyFont="1" applyBorder="1" applyAlignment="1" applyProtection="1">
      <alignment vertical="center"/>
      <protection hidden="1"/>
    </xf>
    <xf numFmtId="0" fontId="10" fillId="0" borderId="11" xfId="9" applyFont="1" applyFill="1" applyBorder="1" applyAlignment="1" applyProtection="1">
      <alignment horizontal="left" vertical="center" indent="4"/>
      <protection hidden="1"/>
    </xf>
    <xf numFmtId="171" fontId="10" fillId="0" borderId="24" xfId="9" applyNumberFormat="1" applyFont="1" applyFill="1" applyBorder="1" applyAlignment="1" applyProtection="1">
      <alignment vertical="center"/>
      <protection hidden="1"/>
    </xf>
    <xf numFmtId="171" fontId="10" fillId="0" borderId="77" xfId="9" applyNumberFormat="1" applyFont="1" applyFill="1" applyBorder="1" applyAlignment="1" applyProtection="1">
      <alignment vertical="center"/>
      <protection hidden="1"/>
    </xf>
    <xf numFmtId="171" fontId="10" fillId="0" borderId="25" xfId="9" applyNumberFormat="1" applyFont="1" applyFill="1" applyBorder="1" applyAlignment="1" applyProtection="1">
      <alignment vertical="center"/>
      <protection hidden="1"/>
    </xf>
    <xf numFmtId="171" fontId="9" fillId="0" borderId="77" xfId="9" applyNumberFormat="1" applyFont="1" applyFill="1" applyBorder="1" applyAlignment="1" applyProtection="1">
      <protection hidden="1"/>
    </xf>
    <xf numFmtId="171" fontId="9" fillId="0" borderId="77" xfId="14" applyNumberFormat="1" applyFont="1" applyBorder="1" applyAlignment="1" applyProtection="1">
      <protection hidden="1"/>
    </xf>
    <xf numFmtId="171" fontId="10" fillId="0" borderId="27" xfId="9" applyNumberFormat="1" applyFont="1" applyFill="1" applyBorder="1" applyAlignment="1" applyProtection="1">
      <alignment vertical="center"/>
      <protection hidden="1"/>
    </xf>
    <xf numFmtId="171" fontId="10" fillId="0" borderId="76" xfId="9" applyNumberFormat="1" applyFont="1" applyFill="1" applyBorder="1" applyAlignment="1" applyProtection="1">
      <alignment vertical="center"/>
      <protection hidden="1"/>
    </xf>
    <xf numFmtId="171" fontId="10" fillId="0" borderId="0" xfId="9" applyNumberFormat="1" applyFont="1" applyFill="1" applyBorder="1" applyAlignment="1" applyProtection="1">
      <alignment vertical="center"/>
      <protection hidden="1"/>
    </xf>
    <xf numFmtId="171" fontId="9" fillId="0" borderId="22" xfId="14" applyNumberFormat="1" applyFont="1" applyBorder="1" applyAlignment="1" applyProtection="1">
      <alignment vertical="center"/>
      <protection hidden="1"/>
    </xf>
    <xf numFmtId="170" fontId="10" fillId="0" borderId="9" xfId="13" applyNumberFormat="1" applyFont="1" applyBorder="1" applyAlignment="1" applyProtection="1">
      <alignment horizontal="right"/>
      <protection hidden="1"/>
    </xf>
    <xf numFmtId="0" fontId="10" fillId="0" borderId="0" xfId="13" applyFont="1" applyAlignment="1" applyProtection="1">
      <alignment horizontal="right"/>
      <protection hidden="1"/>
    </xf>
    <xf numFmtId="0" fontId="9" fillId="0" borderId="11" xfId="9" applyFont="1" applyFill="1" applyBorder="1" applyAlignment="1" applyProtection="1">
      <alignment horizontal="left" vertical="center" indent="4"/>
      <protection hidden="1"/>
    </xf>
    <xf numFmtId="0" fontId="10" fillId="0" borderId="24" xfId="13" applyFont="1" applyBorder="1" applyAlignment="1" applyProtection="1">
      <alignment horizontal="right"/>
      <protection hidden="1"/>
    </xf>
    <xf numFmtId="0" fontId="10" fillId="0" borderId="77" xfId="13" applyFont="1" applyBorder="1" applyAlignment="1" applyProtection="1">
      <alignment horizontal="right"/>
      <protection hidden="1"/>
    </xf>
    <xf numFmtId="0" fontId="10" fillId="0" borderId="25" xfId="13" applyFont="1" applyBorder="1" applyAlignment="1" applyProtection="1">
      <alignment horizontal="right"/>
      <protection hidden="1"/>
    </xf>
    <xf numFmtId="0" fontId="10" fillId="0" borderId="27" xfId="13" applyFont="1" applyBorder="1" applyAlignment="1" applyProtection="1">
      <alignment horizontal="right"/>
      <protection hidden="1"/>
    </xf>
    <xf numFmtId="171" fontId="10" fillId="0" borderId="0" xfId="14" applyNumberFormat="1" applyFont="1" applyBorder="1" applyAlignment="1" applyProtection="1">
      <protection hidden="1"/>
    </xf>
    <xf numFmtId="171" fontId="10" fillId="0" borderId="22" xfId="14" applyNumberFormat="1" applyFont="1" applyBorder="1" applyAlignment="1" applyProtection="1">
      <protection hidden="1"/>
    </xf>
    <xf numFmtId="0" fontId="10" fillId="0" borderId="11" xfId="9" applyFont="1" applyFill="1" applyBorder="1" applyAlignment="1" applyProtection="1">
      <alignment horizontal="left" vertical="center" indent="5"/>
      <protection hidden="1"/>
    </xf>
    <xf numFmtId="170" fontId="10" fillId="0" borderId="9" xfId="13" applyNumberFormat="1" applyFont="1" applyBorder="1" applyAlignment="1" applyProtection="1">
      <alignment horizontal="right" vertical="center"/>
      <protection hidden="1"/>
    </xf>
    <xf numFmtId="0" fontId="10" fillId="0" borderId="24" xfId="13" applyFont="1" applyBorder="1" applyAlignment="1" applyProtection="1">
      <protection hidden="1"/>
    </xf>
    <xf numFmtId="0" fontId="10" fillId="0" borderId="77" xfId="13" applyFont="1" applyBorder="1" applyAlignment="1" applyProtection="1">
      <protection hidden="1"/>
    </xf>
    <xf numFmtId="0" fontId="10" fillId="0" borderId="25" xfId="13" applyFont="1" applyBorder="1" applyAlignment="1" applyProtection="1">
      <protection hidden="1"/>
    </xf>
    <xf numFmtId="0" fontId="10" fillId="0" borderId="27" xfId="13" applyFont="1" applyBorder="1" applyAlignment="1" applyProtection="1">
      <protection hidden="1"/>
    </xf>
    <xf numFmtId="171" fontId="9" fillId="0" borderId="25" xfId="9" applyNumberFormat="1" applyFont="1" applyFill="1" applyBorder="1" applyAlignment="1" applyProtection="1">
      <protection hidden="1"/>
    </xf>
    <xf numFmtId="170" fontId="10" fillId="0" borderId="9" xfId="13" applyNumberFormat="1" applyFont="1" applyBorder="1" applyAlignment="1" applyProtection="1">
      <protection hidden="1"/>
    </xf>
    <xf numFmtId="171" fontId="10" fillId="0" borderId="0" xfId="14" applyNumberFormat="1" applyFont="1" applyAlignment="1" applyProtection="1">
      <protection hidden="1"/>
    </xf>
    <xf numFmtId="171" fontId="9" fillId="0" borderId="24" xfId="9" applyNumberFormat="1" applyFont="1" applyFill="1" applyBorder="1" applyAlignment="1" applyProtection="1">
      <alignment vertical="center"/>
      <protection hidden="1"/>
    </xf>
    <xf numFmtId="171" fontId="9" fillId="0" borderId="77" xfId="9" applyNumberFormat="1" applyFont="1" applyFill="1" applyBorder="1" applyAlignment="1" applyProtection="1">
      <alignment vertical="center"/>
      <protection hidden="1"/>
    </xf>
    <xf numFmtId="171" fontId="9" fillId="0" borderId="25" xfId="9" applyNumberFormat="1" applyFont="1" applyFill="1" applyBorder="1" applyAlignment="1" applyProtection="1">
      <alignment vertical="center"/>
      <protection hidden="1"/>
    </xf>
    <xf numFmtId="171" fontId="9" fillId="0" borderId="27" xfId="9" applyNumberFormat="1" applyFont="1" applyFill="1" applyBorder="1" applyAlignment="1" applyProtection="1">
      <alignment vertical="center"/>
      <protection hidden="1"/>
    </xf>
    <xf numFmtId="187" fontId="10" fillId="0" borderId="41" xfId="13" applyNumberFormat="1" applyFont="1" applyBorder="1" applyAlignment="1" applyProtection="1">
      <alignment vertical="center"/>
      <protection hidden="1"/>
    </xf>
    <xf numFmtId="0" fontId="9" fillId="0" borderId="42" xfId="13" applyFont="1" applyBorder="1" applyAlignment="1" applyProtection="1">
      <alignment horizontal="left" vertical="center" indent="1"/>
      <protection hidden="1"/>
    </xf>
    <xf numFmtId="171" fontId="9" fillId="0" borderId="38" xfId="9" applyNumberFormat="1" applyFont="1" applyFill="1" applyBorder="1" applyAlignment="1" applyProtection="1">
      <alignment vertical="center"/>
      <protection hidden="1"/>
    </xf>
    <xf numFmtId="171" fontId="9" fillId="0" borderId="126" xfId="9" applyNumberFormat="1" applyFont="1" applyFill="1" applyBorder="1" applyAlignment="1" applyProtection="1">
      <alignment vertical="center"/>
      <protection hidden="1"/>
    </xf>
    <xf numFmtId="171" fontId="9" fillId="0" borderId="39" xfId="9" applyNumberFormat="1" applyFont="1" applyFill="1" applyBorder="1" applyAlignment="1" applyProtection="1">
      <alignment vertical="center"/>
      <protection hidden="1"/>
    </xf>
    <xf numFmtId="171" fontId="9" fillId="0" borderId="55" xfId="9" applyNumberFormat="1" applyFont="1" applyFill="1" applyBorder="1" applyAlignment="1" applyProtection="1">
      <alignment vertical="center"/>
      <protection hidden="1"/>
    </xf>
    <xf numFmtId="0" fontId="10" fillId="0" borderId="0" xfId="13" applyNumberFormat="1" applyFont="1" applyAlignment="1" applyProtection="1">
      <protection hidden="1"/>
    </xf>
    <xf numFmtId="0" fontId="10" fillId="0" borderId="0" xfId="9" applyNumberFormat="1" applyFont="1" applyFill="1" applyBorder="1" applyAlignment="1" applyProtection="1">
      <protection hidden="1"/>
    </xf>
    <xf numFmtId="0" fontId="10" fillId="0" borderId="0" xfId="13" applyNumberFormat="1" applyFont="1" applyBorder="1" applyAlignment="1" applyProtection="1">
      <protection hidden="1"/>
    </xf>
    <xf numFmtId="0" fontId="9" fillId="0" borderId="0" xfId="13" applyNumberFormat="1" applyFont="1" applyBorder="1" applyAlignment="1" applyProtection="1">
      <protection hidden="1"/>
    </xf>
    <xf numFmtId="0" fontId="9" fillId="0" borderId="19" xfId="13" applyNumberFormat="1" applyFont="1" applyBorder="1" applyAlignment="1" applyProtection="1">
      <alignment horizontal="center" vertical="center"/>
      <protection hidden="1"/>
    </xf>
    <xf numFmtId="0" fontId="9" fillId="0" borderId="17" xfId="13" applyFont="1" applyFill="1" applyBorder="1" applyAlignment="1" applyProtection="1">
      <alignment horizontal="center" vertical="top" wrapText="1"/>
      <protection hidden="1"/>
    </xf>
    <xf numFmtId="0" fontId="9" fillId="0" borderId="20" xfId="13" applyFont="1" applyFill="1" applyBorder="1" applyAlignment="1" applyProtection="1">
      <alignment horizontal="center" vertical="top" wrapText="1"/>
      <protection hidden="1"/>
    </xf>
    <xf numFmtId="0" fontId="9" fillId="0" borderId="20" xfId="15" applyNumberFormat="1" applyFont="1" applyBorder="1" applyAlignment="1" applyProtection="1">
      <alignment horizontal="center" vertical="top" wrapText="1"/>
      <protection hidden="1"/>
    </xf>
    <xf numFmtId="0" fontId="9" fillId="0" borderId="21" xfId="13" applyFont="1" applyFill="1" applyBorder="1" applyAlignment="1" applyProtection="1">
      <alignment horizontal="center" vertical="top" wrapText="1"/>
      <protection hidden="1"/>
    </xf>
    <xf numFmtId="0" fontId="9" fillId="0" borderId="18" xfId="13" applyFont="1" applyFill="1" applyBorder="1" applyAlignment="1" applyProtection="1">
      <alignment horizontal="center" vertical="top"/>
      <protection hidden="1"/>
    </xf>
    <xf numFmtId="0" fontId="10" fillId="0" borderId="24" xfId="13" applyNumberFormat="1" applyFont="1" applyBorder="1" applyAlignment="1" applyProtection="1">
      <protection hidden="1"/>
    </xf>
    <xf numFmtId="0" fontId="9" fillId="0" borderId="11" xfId="13" applyFont="1" applyBorder="1" applyAlignment="1" applyProtection="1">
      <alignment horizontal="center" vertical="center"/>
      <protection hidden="1"/>
    </xf>
    <xf numFmtId="172" fontId="9" fillId="0" borderId="13" xfId="15" quotePrefix="1" applyNumberFormat="1" applyFont="1" applyBorder="1" applyAlignment="1" applyProtection="1">
      <alignment horizontal="center" vertical="center"/>
      <protection hidden="1"/>
    </xf>
    <xf numFmtId="171" fontId="10" fillId="0" borderId="51" xfId="13" applyNumberFormat="1" applyFont="1" applyBorder="1" applyAlignment="1" applyProtection="1">
      <protection hidden="1"/>
    </xf>
    <xf numFmtId="171" fontId="10" fillId="0" borderId="10" xfId="13" applyNumberFormat="1" applyFont="1" applyBorder="1" applyAlignment="1" applyProtection="1">
      <protection hidden="1"/>
    </xf>
    <xf numFmtId="171" fontId="9" fillId="0" borderId="116" xfId="13" applyNumberFormat="1" applyFont="1" applyBorder="1" applyAlignment="1" applyProtection="1">
      <protection hidden="1"/>
    </xf>
    <xf numFmtId="171" fontId="10" fillId="0" borderId="25" xfId="13" applyNumberFormat="1" applyFont="1" applyBorder="1" applyAlignment="1" applyProtection="1">
      <protection hidden="1"/>
    </xf>
    <xf numFmtId="171" fontId="10" fillId="0" borderId="27" xfId="13" applyNumberFormat="1" applyFont="1" applyBorder="1" applyAlignment="1" applyProtection="1">
      <protection hidden="1"/>
    </xf>
    <xf numFmtId="171" fontId="9" fillId="0" borderId="11" xfId="13" applyNumberFormat="1" applyFont="1" applyBorder="1" applyAlignment="1" applyProtection="1">
      <protection hidden="1"/>
    </xf>
    <xf numFmtId="171" fontId="9" fillId="0" borderId="39" xfId="13" applyNumberFormat="1" applyFont="1" applyBorder="1" applyAlignment="1" applyProtection="1">
      <alignment vertical="center"/>
      <protection hidden="1"/>
    </xf>
    <xf numFmtId="171" fontId="9" fillId="0" borderId="55" xfId="13" applyNumberFormat="1" applyFont="1" applyBorder="1" applyAlignment="1" applyProtection="1">
      <alignment vertical="center"/>
      <protection hidden="1"/>
    </xf>
    <xf numFmtId="171" fontId="9" fillId="0" borderId="42" xfId="13" applyNumberFormat="1" applyFont="1" applyBorder="1" applyAlignment="1" applyProtection="1">
      <alignment vertical="center"/>
      <protection hidden="1"/>
    </xf>
    <xf numFmtId="0" fontId="9" fillId="0" borderId="19" xfId="13" applyNumberFormat="1" applyFont="1" applyBorder="1" applyAlignment="1" applyProtection="1">
      <alignment horizontal="center" vertical="center" wrapText="1"/>
      <protection hidden="1"/>
    </xf>
    <xf numFmtId="0" fontId="9" fillId="0" borderId="18" xfId="13" applyNumberFormat="1" applyFont="1" applyBorder="1" applyAlignment="1" applyProtection="1">
      <alignment horizontal="center" vertical="center" wrapText="1"/>
      <protection hidden="1"/>
    </xf>
    <xf numFmtId="0" fontId="10" fillId="0" borderId="0" xfId="13" applyNumberFormat="1" applyFont="1" applyFill="1" applyBorder="1" applyAlignment="1" applyProtection="1">
      <protection hidden="1"/>
    </xf>
    <xf numFmtId="175" fontId="10" fillId="0" borderId="9" xfId="13" applyNumberFormat="1" applyFont="1" applyFill="1" applyBorder="1" applyAlignment="1" applyProtection="1">
      <protection hidden="1"/>
    </xf>
    <xf numFmtId="175" fontId="10" fillId="0" borderId="10" xfId="13" applyNumberFormat="1" applyFont="1" applyFill="1" applyBorder="1" applyAlignment="1" applyProtection="1">
      <protection hidden="1"/>
    </xf>
    <xf numFmtId="0" fontId="10" fillId="0" borderId="0" xfId="13" quotePrefix="1" applyNumberFormat="1" applyFont="1" applyFill="1" applyBorder="1" applyAlignment="1" applyProtection="1">
      <protection hidden="1"/>
    </xf>
    <xf numFmtId="175" fontId="10" fillId="0" borderId="27" xfId="13" quotePrefix="1" applyNumberFormat="1" applyFont="1" applyFill="1" applyBorder="1" applyAlignment="1" applyProtection="1">
      <protection hidden="1"/>
    </xf>
    <xf numFmtId="175" fontId="10" fillId="0" borderId="27" xfId="13" applyNumberFormat="1" applyFont="1" applyFill="1" applyBorder="1" applyAlignment="1" applyProtection="1">
      <protection hidden="1"/>
    </xf>
    <xf numFmtId="175" fontId="10" fillId="0" borderId="9" xfId="5" applyNumberFormat="1" applyFont="1" applyFill="1" applyBorder="1" applyAlignment="1" applyProtection="1">
      <protection hidden="1"/>
    </xf>
    <xf numFmtId="175" fontId="10" fillId="0" borderId="9" xfId="13" applyNumberFormat="1" applyFont="1" applyBorder="1" applyAlignment="1" applyProtection="1">
      <protection hidden="1"/>
    </xf>
    <xf numFmtId="175" fontId="10" fillId="0" borderId="27" xfId="13" applyNumberFormat="1" applyFont="1" applyBorder="1" applyAlignment="1" applyProtection="1">
      <protection hidden="1"/>
    </xf>
    <xf numFmtId="175" fontId="9" fillId="0" borderId="41" xfId="13" applyNumberFormat="1" applyFont="1" applyBorder="1" applyAlignment="1" applyProtection="1">
      <alignment vertical="center"/>
      <protection hidden="1"/>
    </xf>
    <xf numFmtId="175" fontId="9" fillId="0" borderId="55" xfId="13" applyNumberFormat="1" applyFont="1" applyBorder="1" applyAlignment="1" applyProtection="1">
      <alignment vertical="center"/>
      <protection hidden="1"/>
    </xf>
    <xf numFmtId="0" fontId="10" fillId="0" borderId="8" xfId="13" applyFont="1" applyBorder="1" applyProtection="1">
      <protection hidden="1"/>
    </xf>
    <xf numFmtId="0" fontId="9" fillId="0" borderId="9" xfId="13" applyFont="1" applyFill="1" applyBorder="1" applyAlignment="1" applyProtection="1">
      <alignment horizontal="center" vertical="center"/>
      <protection hidden="1"/>
    </xf>
    <xf numFmtId="164" fontId="9" fillId="0" borderId="78" xfId="13" applyNumberFormat="1" applyFont="1" applyFill="1" applyBorder="1" applyAlignment="1" applyProtection="1">
      <alignment horizontal="center" vertical="top" wrapText="1"/>
      <protection hidden="1"/>
    </xf>
    <xf numFmtId="164" fontId="9" fillId="0" borderId="10" xfId="13" applyNumberFormat="1" applyFont="1" applyFill="1" applyBorder="1" applyAlignment="1" applyProtection="1">
      <alignment horizontal="center" vertical="top"/>
      <protection hidden="1"/>
    </xf>
    <xf numFmtId="0" fontId="9" fillId="0" borderId="9" xfId="13" applyFont="1" applyFill="1" applyBorder="1" applyAlignment="1" applyProtection="1">
      <protection hidden="1"/>
    </xf>
    <xf numFmtId="164" fontId="9" fillId="0" borderId="77" xfId="13" applyNumberFormat="1" applyFont="1" applyFill="1" applyBorder="1" applyAlignment="1" applyProtection="1">
      <alignment horizontal="center" vertical="center"/>
      <protection hidden="1"/>
    </xf>
    <xf numFmtId="164" fontId="9" fillId="0" borderId="27" xfId="13" applyNumberFormat="1" applyFont="1" applyFill="1" applyBorder="1" applyAlignment="1" applyProtection="1">
      <alignment horizontal="center" vertical="center"/>
      <protection hidden="1"/>
    </xf>
    <xf numFmtId="172" fontId="9" fillId="0" borderId="41" xfId="13" applyNumberFormat="1" applyFont="1" applyFill="1" applyBorder="1" applyAlignment="1" applyProtection="1">
      <alignment horizontal="center" vertical="center"/>
      <protection hidden="1"/>
    </xf>
    <xf numFmtId="172" fontId="9" fillId="0" borderId="126" xfId="13" quotePrefix="1" applyNumberFormat="1" applyFont="1" applyFill="1" applyBorder="1" applyAlignment="1" applyProtection="1">
      <alignment horizontal="center" vertical="center"/>
      <protection hidden="1"/>
    </xf>
    <xf numFmtId="172" fontId="9" fillId="0" borderId="126" xfId="13" applyNumberFormat="1" applyFont="1" applyFill="1" applyBorder="1" applyAlignment="1" applyProtection="1">
      <alignment horizontal="center" vertical="center"/>
      <protection hidden="1"/>
    </xf>
    <xf numFmtId="172" fontId="9" fillId="0" borderId="55" xfId="13" applyNumberFormat="1" applyFont="1" applyFill="1" applyBorder="1" applyAlignment="1" applyProtection="1">
      <alignment horizontal="center" vertical="center"/>
      <protection hidden="1"/>
    </xf>
    <xf numFmtId="188" fontId="10" fillId="0" borderId="109" xfId="13" applyNumberFormat="1" applyFont="1" applyBorder="1" applyAlignment="1" applyProtection="1">
      <alignment vertical="center"/>
      <protection hidden="1"/>
    </xf>
    <xf numFmtId="0" fontId="10" fillId="0" borderId="29" xfId="13" applyFont="1" applyFill="1" applyBorder="1" applyAlignment="1" applyProtection="1">
      <alignment horizontal="left" vertical="center" indent="2"/>
      <protection hidden="1"/>
    </xf>
    <xf numFmtId="189" fontId="10" fillId="0" borderId="47" xfId="13" applyNumberFormat="1" applyFont="1" applyFill="1" applyBorder="1" applyAlignment="1" applyProtection="1">
      <alignment vertical="center"/>
      <protection hidden="1"/>
    </xf>
    <xf numFmtId="189" fontId="10" fillId="0" borderId="6" xfId="13" applyNumberFormat="1" applyFont="1" applyFill="1" applyBorder="1" applyAlignment="1" applyProtection="1">
      <alignment vertical="center"/>
      <protection hidden="1"/>
    </xf>
    <xf numFmtId="188" fontId="10" fillId="0" borderId="49" xfId="13" applyNumberFormat="1" applyFont="1" applyBorder="1" applyAlignment="1" applyProtection="1">
      <alignment vertical="center"/>
      <protection hidden="1"/>
    </xf>
    <xf numFmtId="188" fontId="10" fillId="0" borderId="81" xfId="13" applyNumberFormat="1" applyFont="1" applyBorder="1" applyAlignment="1" applyProtection="1">
      <alignment vertical="center"/>
      <protection hidden="1"/>
    </xf>
    <xf numFmtId="0" fontId="10" fillId="0" borderId="12" xfId="13" applyFont="1" applyBorder="1" applyProtection="1">
      <protection hidden="1"/>
    </xf>
    <xf numFmtId="0" fontId="9" fillId="0" borderId="14" xfId="5" applyFont="1" applyFill="1" applyBorder="1" applyAlignment="1" applyProtection="1">
      <alignment horizontal="left" vertical="center" indent="1"/>
      <protection hidden="1"/>
    </xf>
    <xf numFmtId="168" fontId="9" fillId="0" borderId="15" xfId="13" applyNumberFormat="1" applyFont="1" applyFill="1" applyBorder="1" applyAlignment="1" applyProtection="1">
      <alignment vertical="center"/>
      <protection hidden="1"/>
    </xf>
    <xf numFmtId="168" fontId="9" fillId="0" borderId="16" xfId="13" applyNumberFormat="1" applyFont="1" applyFill="1" applyBorder="1" applyAlignment="1" applyProtection="1">
      <alignment vertical="center"/>
      <protection hidden="1"/>
    </xf>
    <xf numFmtId="0" fontId="10" fillId="0" borderId="73" xfId="13" applyNumberFormat="1" applyFont="1" applyBorder="1" applyAlignment="1" applyProtection="1">
      <protection hidden="1"/>
    </xf>
    <xf numFmtId="0" fontId="10" fillId="0" borderId="76" xfId="13" applyNumberFormat="1" applyFont="1" applyBorder="1" applyAlignment="1" applyProtection="1">
      <protection hidden="1"/>
    </xf>
    <xf numFmtId="0" fontId="9" fillId="0" borderId="76" xfId="13" applyNumberFormat="1" applyFont="1" applyBorder="1" applyAlignment="1" applyProtection="1">
      <alignment horizontal="center" vertical="center"/>
      <protection hidden="1"/>
    </xf>
    <xf numFmtId="0" fontId="9" fillId="0" borderId="76" xfId="13" applyNumberFormat="1" applyFont="1" applyBorder="1" applyAlignment="1" applyProtection="1">
      <alignment horizontal="center" vertical="top"/>
      <protection hidden="1"/>
    </xf>
    <xf numFmtId="0" fontId="9" fillId="0" borderId="25" xfId="13" applyNumberFormat="1" applyFont="1" applyBorder="1" applyAlignment="1" applyProtection="1">
      <alignment horizontal="center" vertical="top"/>
      <protection hidden="1"/>
    </xf>
    <xf numFmtId="0" fontId="9" fillId="0" borderId="11" xfId="13" applyNumberFormat="1" applyFont="1" applyBorder="1" applyAlignment="1" applyProtection="1">
      <alignment horizontal="center" vertical="top" wrapText="1"/>
      <protection hidden="1"/>
    </xf>
    <xf numFmtId="0" fontId="9" fillId="0" borderId="25" xfId="13" applyNumberFormat="1" applyFont="1" applyBorder="1" applyAlignment="1" applyProtection="1">
      <alignment horizontal="center" vertical="center"/>
      <protection hidden="1"/>
    </xf>
    <xf numFmtId="0" fontId="9" fillId="0" borderId="11" xfId="13" applyNumberFormat="1" applyFont="1" applyBorder="1" applyAlignment="1" applyProtection="1">
      <alignment horizontal="center" vertical="center"/>
      <protection hidden="1"/>
    </xf>
    <xf numFmtId="0" fontId="9" fillId="0" borderId="24" xfId="13" applyNumberFormat="1" applyFont="1" applyBorder="1" applyAlignment="1" applyProtection="1">
      <alignment horizontal="center" vertical="center"/>
      <protection hidden="1"/>
    </xf>
    <xf numFmtId="0" fontId="10" fillId="0" borderId="106" xfId="13" applyNumberFormat="1" applyFont="1" applyBorder="1" applyAlignment="1" applyProtection="1">
      <protection hidden="1"/>
    </xf>
    <xf numFmtId="190" fontId="9" fillId="0" borderId="4" xfId="13" applyNumberFormat="1" applyFont="1" applyBorder="1" applyAlignment="1" applyProtection="1">
      <alignment horizontal="center" vertical="center"/>
      <protection hidden="1"/>
    </xf>
    <xf numFmtId="190" fontId="9" fillId="0" borderId="26" xfId="13" applyNumberFormat="1" applyFont="1" applyBorder="1" applyAlignment="1" applyProtection="1">
      <alignment horizontal="center" vertical="center"/>
      <protection hidden="1"/>
    </xf>
    <xf numFmtId="190" fontId="9" fillId="0" borderId="5" xfId="13" applyNumberFormat="1" applyFont="1" applyBorder="1" applyAlignment="1" applyProtection="1">
      <alignment horizontal="center" vertical="center"/>
      <protection hidden="1"/>
    </xf>
    <xf numFmtId="190" fontId="9" fillId="0" borderId="106" xfId="13" applyNumberFormat="1" applyFont="1" applyBorder="1" applyAlignment="1" applyProtection="1">
      <alignment horizontal="center" vertical="center"/>
      <protection hidden="1"/>
    </xf>
    <xf numFmtId="0" fontId="10" fillId="0" borderId="76" xfId="13" applyNumberFormat="1" applyFont="1" applyBorder="1" applyAlignment="1" applyProtection="1">
      <alignment horizontal="left" indent="1"/>
      <protection hidden="1"/>
    </xf>
    <xf numFmtId="175" fontId="10" fillId="0" borderId="76" xfId="13" applyNumberFormat="1" applyFont="1" applyBorder="1" applyAlignment="1" applyProtection="1">
      <protection hidden="1"/>
    </xf>
    <xf numFmtId="175" fontId="10" fillId="0" borderId="25" xfId="13" applyNumberFormat="1" applyFont="1" applyBorder="1" applyAlignment="1" applyProtection="1">
      <protection hidden="1"/>
    </xf>
    <xf numFmtId="175" fontId="10" fillId="0" borderId="11" xfId="13" applyNumberFormat="1" applyFont="1" applyBorder="1" applyAlignment="1" applyProtection="1">
      <protection hidden="1"/>
    </xf>
    <xf numFmtId="175" fontId="9" fillId="0" borderId="70" xfId="13" applyNumberFormat="1" applyFont="1" applyBorder="1" applyAlignment="1" applyProtection="1">
      <alignment vertical="center"/>
      <protection hidden="1"/>
    </xf>
    <xf numFmtId="175" fontId="9" fillId="0" borderId="39" xfId="13" applyNumberFormat="1" applyFont="1" applyBorder="1" applyAlignment="1" applyProtection="1">
      <alignment vertical="center"/>
      <protection hidden="1"/>
    </xf>
    <xf numFmtId="0" fontId="9" fillId="0" borderId="0" xfId="13" applyNumberFormat="1" applyFont="1" applyAlignment="1" applyProtection="1">
      <protection hidden="1"/>
    </xf>
    <xf numFmtId="0" fontId="9" fillId="0" borderId="51" xfId="13" applyNumberFormat="1" applyFont="1" applyBorder="1" applyAlignment="1" applyProtection="1">
      <alignment horizontal="left" vertical="top" indent="1"/>
      <protection hidden="1"/>
    </xf>
    <xf numFmtId="0" fontId="9" fillId="0" borderId="116" xfId="13" applyNumberFormat="1" applyFont="1" applyBorder="1" applyAlignment="1" applyProtection="1">
      <alignment horizontal="center" vertical="top" wrapText="1"/>
      <protection hidden="1"/>
    </xf>
    <xf numFmtId="0" fontId="10" fillId="0" borderId="25" xfId="13" applyNumberFormat="1" applyFont="1" applyBorder="1" applyAlignment="1" applyProtection="1">
      <protection hidden="1"/>
    </xf>
    <xf numFmtId="190" fontId="9" fillId="0" borderId="13" xfId="13" applyNumberFormat="1" applyFont="1" applyBorder="1" applyAlignment="1" applyProtection="1">
      <alignment horizontal="center" vertical="center"/>
      <protection hidden="1"/>
    </xf>
    <xf numFmtId="0" fontId="10" fillId="0" borderId="11" xfId="13" applyNumberFormat="1" applyFont="1" applyBorder="1" applyAlignment="1" applyProtection="1">
      <protection hidden="1"/>
    </xf>
    <xf numFmtId="0" fontId="10" fillId="0" borderId="25" xfId="13" applyNumberFormat="1" applyFont="1" applyBorder="1" applyAlignment="1" applyProtection="1">
      <alignment horizontal="left" indent="1"/>
      <protection hidden="1"/>
    </xf>
    <xf numFmtId="175" fontId="9" fillId="0" borderId="11" xfId="13" applyNumberFormat="1" applyFont="1" applyBorder="1" applyAlignment="1" applyProtection="1">
      <alignment vertical="center"/>
      <protection hidden="1"/>
    </xf>
    <xf numFmtId="0" fontId="10" fillId="0" borderId="4" xfId="13" applyNumberFormat="1" applyFont="1" applyBorder="1" applyAlignment="1" applyProtection="1">
      <protection hidden="1"/>
    </xf>
    <xf numFmtId="175" fontId="10" fillId="0" borderId="13" xfId="13" applyNumberFormat="1" applyFont="1" applyBorder="1" applyAlignment="1" applyProtection="1">
      <alignment vertical="center"/>
      <protection hidden="1"/>
    </xf>
    <xf numFmtId="0" fontId="10" fillId="0" borderId="39" xfId="13" applyNumberFormat="1" applyFont="1" applyBorder="1" applyAlignment="1" applyProtection="1">
      <protection hidden="1"/>
    </xf>
    <xf numFmtId="175" fontId="9" fillId="0" borderId="42" xfId="13" applyNumberFormat="1" applyFont="1" applyBorder="1" applyAlignment="1" applyProtection="1">
      <alignment vertical="center"/>
      <protection hidden="1"/>
    </xf>
    <xf numFmtId="0" fontId="66" fillId="0" borderId="0" xfId="14" applyFont="1" applyProtection="1">
      <protection hidden="1"/>
    </xf>
    <xf numFmtId="0" fontId="67" fillId="0" borderId="0" xfId="14" applyFont="1" applyAlignment="1" applyProtection="1">
      <alignment vertical="center"/>
      <protection hidden="1"/>
    </xf>
    <xf numFmtId="0" fontId="67" fillId="0" borderId="0" xfId="0" applyFont="1" applyAlignment="1" applyProtection="1">
      <alignment horizontal="left" vertical="center" indent="1"/>
      <protection hidden="1"/>
    </xf>
    <xf numFmtId="0" fontId="67" fillId="0" borderId="0" xfId="14" applyFont="1" applyFill="1" applyBorder="1" applyAlignment="1" applyProtection="1">
      <protection hidden="1"/>
    </xf>
    <xf numFmtId="0" fontId="66" fillId="0" borderId="0" xfId="14" applyNumberFormat="1" applyFont="1" applyFill="1" applyProtection="1">
      <protection hidden="1"/>
    </xf>
    <xf numFmtId="0" fontId="66" fillId="0" borderId="0" xfId="14" applyNumberFormat="1" applyFont="1" applyBorder="1" applyProtection="1">
      <protection hidden="1"/>
    </xf>
    <xf numFmtId="0" fontId="66" fillId="0" borderId="0" xfId="8" applyNumberFormat="1" applyFont="1" applyFill="1" applyBorder="1" applyAlignment="1" applyProtection="1">
      <protection hidden="1"/>
    </xf>
    <xf numFmtId="0" fontId="66" fillId="0" borderId="0" xfId="9" applyNumberFormat="1" applyFont="1" applyFill="1" applyBorder="1" applyAlignment="1" applyProtection="1">
      <protection hidden="1"/>
    </xf>
    <xf numFmtId="0" fontId="66" fillId="0" borderId="0" xfId="14" applyFont="1" applyFill="1" applyProtection="1">
      <protection hidden="1"/>
    </xf>
    <xf numFmtId="164" fontId="67" fillId="0" borderId="0" xfId="14" applyNumberFormat="1" applyFont="1" applyFill="1" applyBorder="1" applyAlignment="1" applyProtection="1">
      <protection hidden="1"/>
    </xf>
    <xf numFmtId="0" fontId="66" fillId="0" borderId="0" xfId="14" applyFont="1" applyBorder="1" applyAlignment="1" applyProtection="1">
      <protection hidden="1"/>
    </xf>
    <xf numFmtId="0" fontId="66" fillId="0" borderId="0" xfId="14" applyFont="1" applyBorder="1" applyProtection="1">
      <protection hidden="1"/>
    </xf>
    <xf numFmtId="0" fontId="66" fillId="0" borderId="0" xfId="156" applyFont="1" applyFill="1" applyBorder="1" applyProtection="1">
      <protection hidden="1"/>
    </xf>
    <xf numFmtId="0" fontId="67" fillId="0" borderId="65" xfId="14" applyFont="1" applyBorder="1" applyAlignment="1" applyProtection="1">
      <alignment horizontal="center" vertical="top" wrapText="1"/>
      <protection hidden="1"/>
    </xf>
    <xf numFmtId="185" fontId="66" fillId="0" borderId="9" xfId="14" applyNumberFormat="1" applyFont="1" applyBorder="1" applyProtection="1">
      <protection hidden="1"/>
    </xf>
    <xf numFmtId="192" fontId="66" fillId="0" borderId="25" xfId="14" applyNumberFormat="1" applyFont="1" applyFill="1" applyBorder="1" applyAlignment="1" applyProtection="1">
      <alignment horizontal="center"/>
      <protection hidden="1"/>
    </xf>
    <xf numFmtId="187" fontId="66" fillId="0" borderId="76" xfId="14" applyNumberFormat="1" applyFont="1" applyFill="1" applyBorder="1" applyAlignment="1" applyProtection="1">
      <protection hidden="1"/>
    </xf>
    <xf numFmtId="187" fontId="66" fillId="0" borderId="77" xfId="14" applyNumberFormat="1" applyFont="1" applyFill="1" applyBorder="1" applyAlignment="1" applyProtection="1">
      <protection hidden="1"/>
    </xf>
    <xf numFmtId="185" fontId="66" fillId="0" borderId="27" xfId="14" applyNumberFormat="1" applyFont="1" applyBorder="1" applyAlignment="1" applyProtection="1">
      <protection hidden="1"/>
    </xf>
    <xf numFmtId="0" fontId="66" fillId="0" borderId="76" xfId="14" applyFont="1" applyFill="1" applyBorder="1" applyAlignment="1" applyProtection="1">
      <alignment horizontal="left" indent="1"/>
      <protection hidden="1"/>
    </xf>
    <xf numFmtId="188" fontId="66" fillId="0" borderId="41" xfId="14" applyNumberFormat="1" applyFont="1" applyBorder="1" applyAlignment="1" applyProtection="1">
      <alignment vertical="center"/>
      <protection hidden="1"/>
    </xf>
    <xf numFmtId="187" fontId="66" fillId="0" borderId="70" xfId="14" applyNumberFormat="1" applyFont="1" applyFill="1" applyBorder="1" applyAlignment="1" applyProtection="1">
      <alignment vertical="center"/>
      <protection hidden="1"/>
    </xf>
    <xf numFmtId="187" fontId="66" fillId="0" borderId="126" xfId="14" applyNumberFormat="1" applyFont="1" applyFill="1" applyBorder="1" applyAlignment="1" applyProtection="1">
      <alignment vertical="center"/>
      <protection hidden="1"/>
    </xf>
    <xf numFmtId="185" fontId="66" fillId="0" borderId="55" xfId="14" applyNumberFormat="1" applyFont="1" applyBorder="1" applyAlignment="1" applyProtection="1">
      <alignment vertical="center"/>
      <protection hidden="1"/>
    </xf>
    <xf numFmtId="0" fontId="10" fillId="20" borderId="0" xfId="4" applyNumberFormat="1" applyFont="1" applyFill="1" applyBorder="1" applyAlignment="1" applyProtection="1">
      <alignment horizontal="center"/>
      <protection hidden="1"/>
    </xf>
    <xf numFmtId="168" fontId="10" fillId="5" borderId="0" xfId="4" applyNumberFormat="1" applyFont="1" applyFill="1" applyBorder="1" applyAlignment="1" applyProtection="1">
      <protection hidden="1"/>
    </xf>
    <xf numFmtId="168" fontId="10" fillId="5" borderId="9" xfId="4" applyNumberFormat="1" applyFont="1" applyFill="1" applyBorder="1" applyAlignment="1" applyProtection="1">
      <alignment vertical="center"/>
      <protection hidden="1"/>
    </xf>
    <xf numFmtId="168" fontId="10" fillId="5" borderId="25" xfId="4" applyNumberFormat="1" applyFont="1" applyFill="1" applyBorder="1" applyAlignment="1" applyProtection="1">
      <alignment vertical="center"/>
      <protection hidden="1"/>
    </xf>
    <xf numFmtId="0" fontId="13" fillId="3" borderId="49" xfId="0" applyFont="1" applyFill="1" applyBorder="1" applyAlignment="1" applyProtection="1">
      <alignment horizontal="left" vertical="center" wrapText="1" indent="1"/>
      <protection hidden="1"/>
    </xf>
    <xf numFmtId="168" fontId="10" fillId="3" borderId="12" xfId="4" applyNumberFormat="1" applyFont="1" applyFill="1" applyBorder="1" applyAlignment="1" applyProtection="1">
      <alignment horizontal="left" vertical="center" wrapText="1" indent="1"/>
      <protection hidden="1"/>
    </xf>
    <xf numFmtId="168" fontId="10" fillId="3" borderId="49" xfId="4" applyNumberFormat="1" applyFont="1" applyFill="1" applyBorder="1" applyAlignment="1" applyProtection="1">
      <alignment horizontal="left" vertical="center" wrapText="1" indent="1"/>
      <protection hidden="1"/>
    </xf>
    <xf numFmtId="168" fontId="10" fillId="3" borderId="23" xfId="4" applyNumberFormat="1" applyFont="1" applyFill="1" applyBorder="1" applyAlignment="1" applyProtection="1">
      <alignment horizontal="left" vertical="center" wrapText="1" indent="1"/>
      <protection hidden="1"/>
    </xf>
    <xf numFmtId="0" fontId="10" fillId="11" borderId="110" xfId="0" applyNumberFormat="1" applyFont="1" applyFill="1" applyBorder="1" applyAlignment="1" applyProtection="1">
      <protection hidden="1"/>
    </xf>
    <xf numFmtId="0" fontId="10" fillId="11" borderId="73" xfId="0" applyFont="1" applyFill="1" applyBorder="1" applyAlignment="1" applyProtection="1">
      <protection hidden="1"/>
    </xf>
    <xf numFmtId="0" fontId="10" fillId="11" borderId="3" xfId="0" applyFont="1" applyFill="1" applyBorder="1" applyAlignment="1" applyProtection="1">
      <protection hidden="1"/>
    </xf>
    <xf numFmtId="0" fontId="13" fillId="10" borderId="46" xfId="0" applyFont="1" applyFill="1" applyBorder="1" applyAlignment="1" applyProtection="1">
      <alignment horizontal="left" vertical="center" wrapText="1" indent="1"/>
      <protection hidden="1"/>
    </xf>
    <xf numFmtId="0" fontId="10" fillId="11" borderId="114" xfId="0" applyFont="1" applyFill="1" applyBorder="1" applyAlignment="1" applyProtection="1">
      <protection hidden="1"/>
    </xf>
    <xf numFmtId="0" fontId="10" fillId="11" borderId="46" xfId="0" applyFont="1" applyFill="1" applyBorder="1" applyAlignment="1" applyProtection="1">
      <protection hidden="1"/>
    </xf>
    <xf numFmtId="0" fontId="13" fillId="11" borderId="46" xfId="0" applyFont="1" applyFill="1" applyBorder="1" applyAlignment="1" applyProtection="1">
      <protection hidden="1"/>
    </xf>
    <xf numFmtId="0" fontId="13" fillId="10" borderId="114" xfId="0" applyFont="1" applyFill="1" applyBorder="1" applyAlignment="1" applyProtection="1">
      <alignment horizontal="left" vertical="center" wrapText="1" indent="1"/>
      <protection hidden="1"/>
    </xf>
    <xf numFmtId="0" fontId="10" fillId="3" borderId="31" xfId="4" applyFont="1" applyFill="1" applyBorder="1" applyAlignment="1" applyProtection="1">
      <protection hidden="1"/>
    </xf>
    <xf numFmtId="0" fontId="12" fillId="3" borderId="22" xfId="4" applyFont="1" applyFill="1" applyBorder="1" applyAlignment="1" applyProtection="1">
      <alignment horizontal="left" vertical="center" indent="4"/>
      <protection hidden="1"/>
    </xf>
    <xf numFmtId="0" fontId="14" fillId="3" borderId="22" xfId="4" applyFont="1" applyFill="1" applyBorder="1" applyAlignment="1" applyProtection="1">
      <alignment horizontal="left" vertical="center" indent="5"/>
      <protection hidden="1"/>
    </xf>
    <xf numFmtId="0" fontId="14" fillId="3" borderId="31" xfId="4" applyFont="1" applyFill="1" applyBorder="1" applyAlignment="1" applyProtection="1">
      <alignment horizontal="left" vertical="center" indent="4"/>
      <protection hidden="1"/>
    </xf>
    <xf numFmtId="0" fontId="13" fillId="16" borderId="76" xfId="0" applyFont="1" applyFill="1" applyBorder="1" applyAlignment="1" applyProtection="1">
      <alignment horizontal="left" vertical="center" wrapText="1" indent="1"/>
      <protection hidden="1"/>
    </xf>
    <xf numFmtId="0" fontId="8" fillId="2" borderId="97" xfId="0" applyNumberFormat="1" applyFont="1" applyFill="1" applyBorder="1" applyAlignment="1" applyProtection="1">
      <alignment horizontal="left" vertical="top" wrapText="1"/>
      <protection locked="0"/>
    </xf>
    <xf numFmtId="0" fontId="13" fillId="10" borderId="110" xfId="0" applyFont="1" applyFill="1" applyBorder="1" applyAlignment="1" applyProtection="1">
      <alignment horizontal="left" vertical="center" wrapText="1" indent="1"/>
      <protection hidden="1"/>
    </xf>
    <xf numFmtId="0" fontId="8" fillId="2" borderId="27" xfId="0" applyNumberFormat="1" applyFont="1" applyFill="1" applyBorder="1" applyAlignment="1" applyProtection="1">
      <alignment horizontal="left" vertical="top" wrapText="1"/>
      <protection locked="0"/>
    </xf>
    <xf numFmtId="0" fontId="67" fillId="0" borderId="111" xfId="14" applyFont="1" applyBorder="1" applyAlignment="1" applyProtection="1">
      <alignment horizontal="left" vertical="top" indent="1"/>
      <protection hidden="1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81" xfId="5" applyNumberFormat="1" applyFont="1" applyFill="1" applyBorder="1" applyAlignment="1" applyProtection="1">
      <alignment horizontal="left" vertical="center" wrapText="1" indent="1"/>
      <protection locked="0"/>
    </xf>
    <xf numFmtId="0" fontId="10" fillId="12" borderId="0" xfId="0" applyFont="1" applyFill="1" applyBorder="1" applyAlignment="1" applyProtection="1">
      <alignment horizontal="left" indent="2"/>
      <protection hidden="1"/>
    </xf>
    <xf numFmtId="0" fontId="30" fillId="0" borderId="40" xfId="0" applyFont="1" applyFill="1" applyBorder="1" applyAlignment="1" applyProtection="1">
      <alignment horizontal="left" vertical="center" indent="1"/>
      <protection hidden="1"/>
    </xf>
    <xf numFmtId="0" fontId="30" fillId="0" borderId="30" xfId="0" applyFont="1" applyFill="1" applyBorder="1" applyAlignment="1" applyProtection="1">
      <alignment horizontal="left" vertical="center" indent="1"/>
      <protection hidden="1"/>
    </xf>
    <xf numFmtId="0" fontId="31" fillId="0" borderId="28" xfId="0" applyFont="1" applyFill="1" applyBorder="1" applyAlignment="1" applyProtection="1">
      <alignment horizontal="center" vertical="center"/>
      <protection hidden="1"/>
    </xf>
    <xf numFmtId="0" fontId="9" fillId="11" borderId="113" xfId="0" applyFont="1" applyFill="1" applyBorder="1" applyAlignment="1" applyProtection="1">
      <alignment horizontal="center" vertical="center" wrapText="1"/>
      <protection hidden="1"/>
    </xf>
    <xf numFmtId="0" fontId="9" fillId="11" borderId="27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Protection="1">
      <protection hidden="1"/>
    </xf>
    <xf numFmtId="0" fontId="9" fillId="0" borderId="51" xfId="0" applyNumberFormat="1" applyFont="1" applyFill="1" applyBorder="1" applyAlignment="1" applyProtection="1">
      <alignment horizontal="center" vertical="top" wrapText="1"/>
      <protection hidden="1"/>
    </xf>
    <xf numFmtId="0" fontId="9" fillId="0" borderId="111" xfId="0" applyNumberFormat="1" applyFont="1" applyFill="1" applyBorder="1" applyAlignment="1" applyProtection="1">
      <alignment horizontal="center" vertical="top" wrapText="1"/>
      <protection hidden="1"/>
    </xf>
    <xf numFmtId="0" fontId="9" fillId="0" borderId="78" xfId="0" applyNumberFormat="1" applyFont="1" applyFill="1" applyBorder="1" applyAlignment="1" applyProtection="1">
      <alignment horizontal="center" vertical="top" wrapText="1"/>
      <protection hidden="1"/>
    </xf>
    <xf numFmtId="0" fontId="10" fillId="0" borderId="25" xfId="0" applyNumberFormat="1" applyFont="1" applyFill="1" applyBorder="1" applyAlignment="1" applyProtection="1">
      <protection hidden="1"/>
    </xf>
    <xf numFmtId="0" fontId="9" fillId="0" borderId="65" xfId="0" applyFont="1" applyBorder="1" applyAlignment="1" applyProtection="1">
      <alignment horizontal="center" vertical="top"/>
      <protection hidden="1"/>
    </xf>
    <xf numFmtId="0" fontId="9" fillId="0" borderId="25" xfId="0" applyFont="1" applyBorder="1" applyAlignment="1" applyProtection="1">
      <alignment horizontal="center" vertical="top"/>
      <protection hidden="1"/>
    </xf>
    <xf numFmtId="0" fontId="9" fillId="0" borderId="97" xfId="0" applyFont="1" applyBorder="1" applyAlignment="1" applyProtection="1">
      <alignment horizontal="center" vertical="top" wrapText="1"/>
      <protection hidden="1"/>
    </xf>
    <xf numFmtId="172" fontId="9" fillId="0" borderId="3" xfId="0" applyNumberFormat="1" applyFont="1" applyFill="1" applyBorder="1" applyAlignment="1" applyProtection="1">
      <alignment horizontal="center" vertical="center"/>
      <protection hidden="1"/>
    </xf>
    <xf numFmtId="172" fontId="9" fillId="0" borderId="45" xfId="0" applyNumberFormat="1" applyFont="1" applyFill="1" applyBorder="1" applyAlignment="1" applyProtection="1">
      <alignment horizontal="center" vertical="center"/>
      <protection hidden="1"/>
    </xf>
    <xf numFmtId="172" fontId="9" fillId="0" borderId="26" xfId="0" applyNumberFormat="1" applyFont="1" applyFill="1" applyBorder="1" applyAlignment="1" applyProtection="1">
      <alignment horizontal="center" vertical="center"/>
      <protection hidden="1"/>
    </xf>
    <xf numFmtId="172" fontId="9" fillId="0" borderId="5" xfId="0" applyNumberFormat="1" applyFont="1" applyFill="1" applyBorder="1" applyAlignment="1" applyProtection="1">
      <alignment horizontal="center" vertical="center"/>
      <protection hidden="1"/>
    </xf>
    <xf numFmtId="172" fontId="9" fillId="0" borderId="4" xfId="0" applyNumberFormat="1" applyFont="1" applyFill="1" applyBorder="1" applyAlignment="1" applyProtection="1">
      <alignment horizontal="center" vertical="center"/>
      <protection hidden="1"/>
    </xf>
    <xf numFmtId="0" fontId="66" fillId="0" borderId="69" xfId="14" applyFont="1" applyBorder="1" applyAlignment="1" applyProtection="1">
      <protection hidden="1"/>
    </xf>
    <xf numFmtId="0" fontId="66" fillId="0" borderId="73" xfId="14" applyFont="1" applyBorder="1" applyAlignment="1" applyProtection="1">
      <protection hidden="1"/>
    </xf>
    <xf numFmtId="0" fontId="66" fillId="0" borderId="111" xfId="14" applyFont="1" applyFill="1" applyBorder="1" applyAlignment="1" applyProtection="1">
      <alignment horizontal="left" indent="1"/>
      <protection hidden="1"/>
    </xf>
    <xf numFmtId="0" fontId="66" fillId="0" borderId="76" xfId="15" applyNumberFormat="1" applyFont="1" applyBorder="1" applyAlignment="1" applyProtection="1">
      <alignment horizontal="left" indent="1"/>
      <protection hidden="1"/>
    </xf>
    <xf numFmtId="0" fontId="66" fillId="0" borderId="70" xfId="14" applyFont="1" applyFill="1" applyBorder="1" applyAlignment="1" applyProtection="1">
      <alignment horizontal="left" vertical="center" indent="1"/>
      <protection hidden="1"/>
    </xf>
    <xf numFmtId="185" fontId="66" fillId="0" borderId="72" xfId="14" applyNumberFormat="1" applyFont="1" applyBorder="1" applyProtection="1">
      <protection hidden="1"/>
    </xf>
    <xf numFmtId="0" fontId="9" fillId="0" borderId="9" xfId="0" applyNumberFormat="1" applyFont="1" applyFill="1" applyBorder="1" applyAlignment="1" applyProtection="1">
      <alignment horizontal="center" vertical="top" wrapText="1"/>
      <protection hidden="1"/>
    </xf>
    <xf numFmtId="0" fontId="10" fillId="0" borderId="11" xfId="0" applyFont="1" applyBorder="1" applyProtection="1">
      <protection hidden="1"/>
    </xf>
    <xf numFmtId="192" fontId="66" fillId="0" borderId="9" xfId="14" applyNumberFormat="1" applyFont="1" applyFill="1" applyBorder="1" applyAlignment="1" applyProtection="1">
      <alignment horizontal="center"/>
      <protection hidden="1"/>
    </xf>
    <xf numFmtId="192" fontId="66" fillId="0" borderId="41" xfId="14" applyNumberFormat="1" applyFont="1" applyFill="1" applyBorder="1" applyAlignment="1" applyProtection="1">
      <alignment horizontal="center"/>
      <protection hidden="1"/>
    </xf>
    <xf numFmtId="164" fontId="66" fillId="0" borderId="42" xfId="14" applyNumberFormat="1" applyFont="1" applyFill="1" applyBorder="1" applyProtection="1">
      <protection hidden="1"/>
    </xf>
    <xf numFmtId="0" fontId="10" fillId="0" borderId="9" xfId="0" applyNumberFormat="1" applyFont="1" applyFill="1" applyBorder="1" applyAlignment="1" applyProtection="1">
      <protection hidden="1"/>
    </xf>
    <xf numFmtId="172" fontId="9" fillId="0" borderId="74" xfId="0" applyNumberFormat="1" applyFont="1" applyFill="1" applyBorder="1" applyAlignment="1" applyProtection="1">
      <alignment horizontal="center" vertical="center"/>
      <protection hidden="1"/>
    </xf>
    <xf numFmtId="0" fontId="9" fillId="0" borderId="11" xfId="0" applyNumberFormat="1" applyFont="1" applyFill="1" applyBorder="1" applyAlignment="1" applyProtection="1">
      <alignment horizontal="center" vertical="top" wrapText="1"/>
      <protection hidden="1"/>
    </xf>
    <xf numFmtId="172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66" fillId="0" borderId="25" xfId="14" applyFont="1" applyFill="1" applyBorder="1" applyProtection="1">
      <protection hidden="1"/>
    </xf>
    <xf numFmtId="0" fontId="66" fillId="0" borderId="39" xfId="14" applyFont="1" applyFill="1" applyBorder="1" applyProtection="1">
      <protection hidden="1"/>
    </xf>
    <xf numFmtId="192" fontId="66" fillId="0" borderId="39" xfId="14" applyNumberFormat="1" applyFont="1" applyFill="1" applyBorder="1" applyAlignment="1" applyProtection="1">
      <alignment horizontal="center"/>
      <protection hidden="1"/>
    </xf>
    <xf numFmtId="171" fontId="9" fillId="0" borderId="70" xfId="9" applyNumberFormat="1" applyFont="1" applyFill="1" applyBorder="1" applyAlignment="1" applyProtection="1">
      <alignment vertical="center"/>
      <protection hidden="1"/>
    </xf>
    <xf numFmtId="171" fontId="9" fillId="0" borderId="50" xfId="9" applyNumberFormat="1" applyFont="1" applyFill="1" applyBorder="1" applyAlignment="1" applyProtection="1">
      <alignment vertical="center"/>
      <protection hidden="1"/>
    </xf>
    <xf numFmtId="171" fontId="9" fillId="0" borderId="31" xfId="9" applyNumberFormat="1" applyFont="1" applyFill="1" applyBorder="1" applyAlignment="1" applyProtection="1">
      <alignment vertical="center"/>
      <protection hidden="1"/>
    </xf>
    <xf numFmtId="0" fontId="66" fillId="0" borderId="38" xfId="14" applyFont="1" applyFill="1" applyBorder="1" applyProtection="1">
      <protection hidden="1"/>
    </xf>
    <xf numFmtId="187" fontId="66" fillId="0" borderId="110" xfId="14" applyNumberFormat="1" applyFont="1" applyFill="1" applyBorder="1" applyAlignment="1" applyProtection="1">
      <protection hidden="1"/>
    </xf>
    <xf numFmtId="0" fontId="10" fillId="11" borderId="78" xfId="78" applyFont="1" applyFill="1" applyBorder="1" applyProtection="1">
      <protection hidden="1"/>
    </xf>
    <xf numFmtId="0" fontId="34" fillId="3" borderId="0" xfId="78" applyFont="1" applyFill="1" applyAlignment="1" applyProtection="1">
      <alignment vertical="center"/>
      <protection hidden="1"/>
    </xf>
    <xf numFmtId="0" fontId="10" fillId="3" borderId="0" xfId="78" applyFont="1" applyFill="1" applyAlignment="1" applyProtection="1">
      <protection hidden="1"/>
    </xf>
    <xf numFmtId="0" fontId="10" fillId="20" borderId="0" xfId="78" applyFont="1" applyFill="1" applyProtection="1">
      <protection hidden="1"/>
    </xf>
    <xf numFmtId="0" fontId="10" fillId="11" borderId="78" xfId="78" applyFont="1" applyFill="1" applyBorder="1" applyAlignment="1" applyProtection="1">
      <alignment vertical="center"/>
      <protection hidden="1"/>
    </xf>
    <xf numFmtId="0" fontId="9" fillId="3" borderId="113" xfId="78" applyNumberFormat="1" applyFont="1" applyFill="1" applyBorder="1" applyAlignment="1" applyProtection="1">
      <protection hidden="1"/>
    </xf>
    <xf numFmtId="0" fontId="9" fillId="3" borderId="113" xfId="78" applyFont="1" applyFill="1" applyBorder="1" applyAlignment="1" applyProtection="1">
      <alignment horizontal="center" vertical="center" wrapText="1"/>
      <protection hidden="1"/>
    </xf>
    <xf numFmtId="0" fontId="9" fillId="3" borderId="111" xfId="78" applyFont="1" applyFill="1" applyBorder="1" applyAlignment="1" applyProtection="1">
      <alignment horizontal="center" vertical="center" wrapText="1"/>
      <protection hidden="1"/>
    </xf>
    <xf numFmtId="0" fontId="10" fillId="20" borderId="0" xfId="78" applyFont="1" applyFill="1" applyAlignment="1" applyProtection="1">
      <alignment vertical="center"/>
      <protection hidden="1"/>
    </xf>
    <xf numFmtId="0" fontId="10" fillId="11" borderId="97" xfId="78" applyFont="1" applyFill="1" applyBorder="1" applyAlignment="1" applyProtection="1">
      <alignment vertical="center"/>
      <protection hidden="1"/>
    </xf>
    <xf numFmtId="0" fontId="9" fillId="19" borderId="0" xfId="78" applyFont="1" applyFill="1" applyBorder="1" applyAlignment="1" applyProtection="1">
      <alignment horizontal="left"/>
      <protection hidden="1"/>
    </xf>
    <xf numFmtId="0" fontId="9" fillId="3" borderId="0" xfId="78" applyNumberFormat="1" applyFont="1" applyFill="1" applyBorder="1" applyAlignment="1" applyProtection="1">
      <protection hidden="1"/>
    </xf>
    <xf numFmtId="0" fontId="9" fillId="3" borderId="0" xfId="78" applyFont="1" applyFill="1" applyBorder="1" applyAlignment="1" applyProtection="1">
      <alignment horizontal="center" vertical="center" wrapText="1"/>
      <protection hidden="1"/>
    </xf>
    <xf numFmtId="0" fontId="9" fillId="3" borderId="76" xfId="78" applyFont="1" applyFill="1" applyBorder="1" applyAlignment="1" applyProtection="1">
      <alignment horizontal="center" vertical="center" wrapText="1"/>
      <protection hidden="1"/>
    </xf>
    <xf numFmtId="0" fontId="10" fillId="11" borderId="97" xfId="78" applyFont="1" applyFill="1" applyBorder="1" applyProtection="1">
      <protection hidden="1"/>
    </xf>
    <xf numFmtId="0" fontId="9" fillId="19" borderId="0" xfId="78" applyFont="1" applyFill="1" applyBorder="1" applyAlignment="1" applyProtection="1">
      <alignment horizontal="left" vertical="center"/>
      <protection hidden="1"/>
    </xf>
    <xf numFmtId="0" fontId="35" fillId="19" borderId="76" xfId="78" applyFont="1" applyFill="1" applyBorder="1" applyAlignment="1" applyProtection="1">
      <alignment horizontal="center" vertical="center"/>
      <protection hidden="1"/>
    </xf>
    <xf numFmtId="0" fontId="10" fillId="11" borderId="97" xfId="78" applyFont="1" applyFill="1" applyBorder="1" applyAlignment="1" applyProtection="1">
      <protection hidden="1"/>
    </xf>
    <xf numFmtId="0" fontId="9" fillId="11" borderId="0" xfId="78" applyFont="1" applyFill="1" applyBorder="1" applyProtection="1">
      <protection hidden="1"/>
    </xf>
    <xf numFmtId="0" fontId="10" fillId="3" borderId="0" xfId="78" applyFont="1" applyFill="1" applyBorder="1" applyAlignment="1" applyProtection="1">
      <alignment horizontal="center" vertical="center" wrapText="1"/>
      <protection hidden="1"/>
    </xf>
    <xf numFmtId="0" fontId="10" fillId="3" borderId="76" xfId="78" applyFont="1" applyFill="1" applyBorder="1" applyAlignment="1" applyProtection="1">
      <alignment horizontal="center" vertical="center" wrapText="1"/>
      <protection hidden="1"/>
    </xf>
    <xf numFmtId="0" fontId="10" fillId="20" borderId="0" xfId="78" applyFont="1" applyFill="1" applyAlignment="1" applyProtection="1">
      <protection hidden="1"/>
    </xf>
    <xf numFmtId="0" fontId="10" fillId="3" borderId="50" xfId="78" applyFont="1" applyFill="1" applyBorder="1" applyAlignment="1" applyProtection="1">
      <alignment vertical="center"/>
      <protection hidden="1"/>
    </xf>
    <xf numFmtId="0" fontId="10" fillId="3" borderId="8" xfId="78" applyFont="1" applyFill="1" applyBorder="1" applyAlignment="1" applyProtection="1">
      <protection hidden="1"/>
    </xf>
    <xf numFmtId="164" fontId="9" fillId="3" borderId="76" xfId="78" applyNumberFormat="1" applyFont="1" applyFill="1" applyBorder="1" applyAlignment="1" applyProtection="1">
      <alignment horizontal="center" vertical="top" wrapText="1"/>
      <protection hidden="1"/>
    </xf>
    <xf numFmtId="0" fontId="9" fillId="3" borderId="22" xfId="78" applyFont="1" applyFill="1" applyBorder="1" applyAlignment="1" applyProtection="1">
      <alignment horizontal="left" vertical="center" indent="1"/>
      <protection hidden="1"/>
    </xf>
    <xf numFmtId="164" fontId="9" fillId="3" borderId="76" xfId="78" applyNumberFormat="1" applyFont="1" applyFill="1" applyBorder="1" applyAlignment="1" applyProtection="1">
      <alignment horizontal="center" vertical="center"/>
      <protection hidden="1"/>
    </xf>
    <xf numFmtId="164" fontId="9" fillId="3" borderId="27" xfId="78" applyNumberFormat="1" applyFont="1" applyFill="1" applyBorder="1" applyAlignment="1" applyProtection="1">
      <alignment horizontal="center" vertical="center"/>
      <protection hidden="1"/>
    </xf>
    <xf numFmtId="0" fontId="12" fillId="3" borderId="22" xfId="78" applyFont="1" applyFill="1" applyBorder="1" applyAlignment="1" applyProtection="1">
      <alignment vertical="center"/>
      <protection hidden="1"/>
    </xf>
    <xf numFmtId="173" fontId="12" fillId="3" borderId="31" xfId="78" applyNumberFormat="1" applyFont="1" applyFill="1" applyBorder="1" applyAlignment="1" applyProtection="1">
      <protection hidden="1"/>
    </xf>
    <xf numFmtId="172" fontId="9" fillId="3" borderId="70" xfId="78" quotePrefix="1" applyNumberFormat="1" applyFont="1" applyFill="1" applyBorder="1" applyAlignment="1" applyProtection="1">
      <alignment horizontal="center" vertical="center"/>
      <protection hidden="1"/>
    </xf>
    <xf numFmtId="172" fontId="9" fillId="3" borderId="42" xfId="78" quotePrefix="1" applyNumberFormat="1" applyFont="1" applyFill="1" applyBorder="1" applyAlignment="1" applyProtection="1">
      <alignment horizontal="center" vertical="center"/>
      <protection hidden="1"/>
    </xf>
    <xf numFmtId="164" fontId="9" fillId="3" borderId="76" xfId="78" quotePrefix="1" applyNumberFormat="1" applyFont="1" applyFill="1" applyBorder="1" applyAlignment="1" applyProtection="1">
      <alignment horizontal="center" vertical="center"/>
      <protection hidden="1"/>
    </xf>
    <xf numFmtId="0" fontId="9" fillId="11" borderId="22" xfId="5" applyFont="1" applyFill="1" applyBorder="1" applyAlignment="1" applyProtection="1">
      <alignment horizontal="left" vertical="center" indent="1"/>
      <protection hidden="1"/>
    </xf>
    <xf numFmtId="178" fontId="10" fillId="3" borderId="130" xfId="78" applyNumberFormat="1" applyFont="1" applyFill="1" applyBorder="1" applyAlignment="1" applyProtection="1">
      <alignment vertical="center"/>
      <protection hidden="1"/>
    </xf>
    <xf numFmtId="168" fontId="28" fillId="3" borderId="76" xfId="78" applyNumberFormat="1" applyFont="1" applyFill="1" applyBorder="1" applyAlignment="1" applyProtection="1">
      <alignment vertical="center"/>
      <protection hidden="1"/>
    </xf>
    <xf numFmtId="0" fontId="9" fillId="11" borderId="33" xfId="5" applyFont="1" applyFill="1" applyBorder="1" applyAlignment="1" applyProtection="1">
      <alignment horizontal="left" vertical="center" indent="1"/>
      <protection hidden="1"/>
    </xf>
    <xf numFmtId="178" fontId="10" fillId="3" borderId="131" xfId="78" applyNumberFormat="1" applyFont="1" applyFill="1" applyBorder="1" applyAlignment="1" applyProtection="1">
      <alignment vertical="center"/>
      <protection hidden="1"/>
    </xf>
    <xf numFmtId="0" fontId="10" fillId="12" borderId="0" xfId="78" applyFont="1" applyFill="1" applyBorder="1" applyAlignment="1" applyProtection="1">
      <protection hidden="1"/>
    </xf>
    <xf numFmtId="178" fontId="10" fillId="3" borderId="0" xfId="78" applyNumberFormat="1" applyFont="1" applyFill="1" applyBorder="1" applyAlignment="1" applyProtection="1">
      <alignment vertical="center"/>
      <protection hidden="1"/>
    </xf>
    <xf numFmtId="0" fontId="10" fillId="12" borderId="0" xfId="78" applyFont="1" applyFill="1" applyBorder="1" applyAlignment="1" applyProtection="1">
      <alignment horizontal="left" indent="2"/>
      <protection hidden="1"/>
    </xf>
    <xf numFmtId="0" fontId="10" fillId="11" borderId="45" xfId="78" applyFont="1" applyFill="1" applyBorder="1" applyProtection="1">
      <protection hidden="1"/>
    </xf>
    <xf numFmtId="0" fontId="10" fillId="12" borderId="2" xfId="78" applyFont="1" applyFill="1" applyBorder="1" applyAlignment="1" applyProtection="1">
      <protection hidden="1"/>
    </xf>
    <xf numFmtId="0" fontId="10" fillId="11" borderId="2" xfId="78" applyFont="1" applyFill="1" applyBorder="1" applyProtection="1">
      <protection hidden="1"/>
    </xf>
    <xf numFmtId="164" fontId="10" fillId="11" borderId="2" xfId="78" applyNumberFormat="1" applyFont="1" applyFill="1" applyBorder="1" applyProtection="1">
      <protection hidden="1"/>
    </xf>
    <xf numFmtId="164" fontId="10" fillId="11" borderId="3" xfId="78" applyNumberFormat="1" applyFont="1" applyFill="1" applyBorder="1" applyProtection="1">
      <protection hidden="1"/>
    </xf>
    <xf numFmtId="0" fontId="10" fillId="20" borderId="0" xfId="78" applyNumberFormat="1" applyFont="1" applyFill="1" applyBorder="1" applyProtection="1">
      <protection hidden="1"/>
    </xf>
    <xf numFmtId="164" fontId="10" fillId="20" borderId="0" xfId="78" applyNumberFormat="1" applyFont="1" applyFill="1" applyProtection="1">
      <protection hidden="1"/>
    </xf>
    <xf numFmtId="0" fontId="10" fillId="3" borderId="111" xfId="78" applyFont="1" applyFill="1" applyBorder="1" applyAlignment="1" applyProtection="1">
      <alignment vertical="center"/>
      <protection hidden="1"/>
    </xf>
    <xf numFmtId="0" fontId="9" fillId="3" borderId="76" xfId="78" applyFont="1" applyFill="1" applyBorder="1" applyAlignment="1" applyProtection="1">
      <alignment horizontal="right" indent="1"/>
      <protection hidden="1"/>
    </xf>
    <xf numFmtId="0" fontId="33" fillId="11" borderId="0" xfId="78" applyFont="1" applyFill="1" applyBorder="1" applyAlignment="1" applyProtection="1">
      <alignment horizontal="center" vertical="center"/>
      <protection hidden="1"/>
    </xf>
    <xf numFmtId="0" fontId="10" fillId="11" borderId="76" xfId="78" applyFont="1" applyFill="1" applyBorder="1" applyProtection="1">
      <protection hidden="1"/>
    </xf>
    <xf numFmtId="0" fontId="10" fillId="3" borderId="76" xfId="78" applyFont="1" applyFill="1" applyBorder="1" applyAlignment="1" applyProtection="1">
      <protection hidden="1"/>
    </xf>
    <xf numFmtId="0" fontId="13" fillId="3" borderId="50" xfId="78" applyFont="1" applyFill="1" applyBorder="1" applyAlignment="1" applyProtection="1">
      <alignment vertical="center"/>
      <protection hidden="1"/>
    </xf>
    <xf numFmtId="0" fontId="35" fillId="19" borderId="0" xfId="78" applyFont="1" applyFill="1" applyBorder="1" applyAlignment="1" applyProtection="1">
      <alignment horizontal="center" vertical="center"/>
      <protection hidden="1"/>
    </xf>
    <xf numFmtId="0" fontId="10" fillId="3" borderId="76" xfId="78" applyNumberFormat="1" applyFont="1" applyFill="1" applyBorder="1" applyAlignment="1" applyProtection="1">
      <protection hidden="1"/>
    </xf>
    <xf numFmtId="0" fontId="10" fillId="3" borderId="69" xfId="78" applyFont="1" applyFill="1" applyBorder="1" applyAlignment="1" applyProtection="1">
      <protection hidden="1"/>
    </xf>
    <xf numFmtId="0" fontId="10" fillId="3" borderId="9" xfId="78" applyFont="1" applyFill="1" applyBorder="1" applyAlignment="1" applyProtection="1">
      <protection hidden="1"/>
    </xf>
    <xf numFmtId="164" fontId="9" fillId="3" borderId="111" xfId="78" applyNumberFormat="1" applyFont="1" applyFill="1" applyBorder="1" applyAlignment="1" applyProtection="1">
      <alignment horizontal="center" vertical="center"/>
      <protection hidden="1"/>
    </xf>
    <xf numFmtId="164" fontId="9" fillId="3" borderId="51" xfId="78" applyNumberFormat="1" applyFont="1" applyFill="1" applyBorder="1" applyAlignment="1" applyProtection="1">
      <alignment horizontal="center" vertical="center"/>
      <protection hidden="1"/>
    </xf>
    <xf numFmtId="164" fontId="9" fillId="3" borderId="10" xfId="78" applyNumberFormat="1" applyFont="1" applyFill="1" applyBorder="1" applyAlignment="1" applyProtection="1">
      <alignment horizontal="center" vertical="center"/>
      <protection hidden="1"/>
    </xf>
    <xf numFmtId="164" fontId="9" fillId="3" borderId="97" xfId="78" applyNumberFormat="1" applyFont="1" applyFill="1" applyBorder="1" applyAlignment="1" applyProtection="1">
      <alignment horizontal="center" vertical="center"/>
      <protection hidden="1"/>
    </xf>
    <xf numFmtId="164" fontId="9" fillId="3" borderId="22" xfId="78" applyNumberFormat="1" applyFont="1" applyFill="1" applyBorder="1" applyAlignment="1" applyProtection="1">
      <alignment horizontal="center" vertical="center"/>
      <protection hidden="1"/>
    </xf>
    <xf numFmtId="164" fontId="9" fillId="3" borderId="25" xfId="78" applyNumberFormat="1" applyFont="1" applyFill="1" applyBorder="1" applyAlignment="1" applyProtection="1">
      <alignment horizontal="center" vertical="center"/>
      <protection hidden="1"/>
    </xf>
    <xf numFmtId="0" fontId="10" fillId="11" borderId="110" xfId="78" applyFont="1" applyFill="1" applyBorder="1" applyAlignment="1" applyProtection="1">
      <alignment vertical="top" wrapText="1"/>
      <protection hidden="1"/>
    </xf>
    <xf numFmtId="0" fontId="10" fillId="11" borderId="76" xfId="78" applyFont="1" applyFill="1" applyBorder="1" applyAlignment="1" applyProtection="1">
      <alignment vertical="top" wrapText="1"/>
      <protection hidden="1"/>
    </xf>
    <xf numFmtId="172" fontId="9" fillId="3" borderId="126" xfId="78" quotePrefix="1" applyNumberFormat="1" applyFont="1" applyFill="1" applyBorder="1" applyAlignment="1" applyProtection="1">
      <alignment horizontal="center" vertical="center"/>
      <protection hidden="1"/>
    </xf>
    <xf numFmtId="172" fontId="9" fillId="3" borderId="31" xfId="78" quotePrefix="1" applyNumberFormat="1" applyFont="1" applyFill="1" applyBorder="1" applyAlignment="1" applyProtection="1">
      <alignment horizontal="center" vertical="center"/>
      <protection hidden="1"/>
    </xf>
    <xf numFmtId="172" fontId="9" fillId="3" borderId="50" xfId="78" quotePrefix="1" applyNumberFormat="1" applyFont="1" applyFill="1" applyBorder="1" applyAlignment="1" applyProtection="1">
      <alignment horizontal="center" vertical="center"/>
      <protection hidden="1"/>
    </xf>
    <xf numFmtId="172" fontId="9" fillId="3" borderId="39" xfId="78" quotePrefix="1" applyNumberFormat="1" applyFont="1" applyFill="1" applyBorder="1" applyAlignment="1" applyProtection="1">
      <alignment horizontal="center" vertical="center"/>
      <protection hidden="1"/>
    </xf>
    <xf numFmtId="0" fontId="9" fillId="11" borderId="76" xfId="78" applyFont="1" applyFill="1" applyBorder="1" applyAlignment="1" applyProtection="1">
      <alignment vertical="top" wrapText="1"/>
      <protection hidden="1"/>
    </xf>
    <xf numFmtId="0" fontId="10" fillId="0" borderId="74" xfId="5" applyNumberFormat="1" applyFont="1" applyFill="1" applyBorder="1" applyAlignment="1" applyProtection="1">
      <alignment horizontal="left" vertical="center" wrapText="1" indent="1"/>
      <protection locked="0"/>
    </xf>
    <xf numFmtId="178" fontId="8" fillId="0" borderId="129" xfId="78" applyNumberFormat="1" applyFont="1" applyFill="1" applyBorder="1" applyAlignment="1" applyProtection="1">
      <alignment vertical="center"/>
      <protection locked="0"/>
    </xf>
    <xf numFmtId="178" fontId="8" fillId="0" borderId="22" xfId="78" applyNumberFormat="1" applyFont="1" applyFill="1" applyBorder="1" applyAlignment="1" applyProtection="1">
      <alignment vertical="center"/>
      <protection locked="0"/>
    </xf>
    <xf numFmtId="178" fontId="8" fillId="0" borderId="0" xfId="78" applyNumberFormat="1" applyFont="1" applyFill="1" applyBorder="1" applyAlignment="1" applyProtection="1">
      <alignment vertical="center"/>
      <protection locked="0"/>
    </xf>
    <xf numFmtId="178" fontId="8" fillId="0" borderId="97" xfId="78" applyNumberFormat="1" applyFont="1" applyFill="1" applyBorder="1" applyAlignment="1" applyProtection="1">
      <alignment vertical="center"/>
      <protection locked="0"/>
    </xf>
    <xf numFmtId="168" fontId="28" fillId="11" borderId="27" xfId="78" applyNumberFormat="1" applyFont="1" applyFill="1" applyBorder="1" applyAlignment="1" applyProtection="1">
      <alignment vertical="center"/>
      <protection hidden="1"/>
    </xf>
    <xf numFmtId="0" fontId="10" fillId="0" borderId="29" xfId="5" applyNumberFormat="1" applyFont="1" applyFill="1" applyBorder="1" applyAlignment="1" applyProtection="1">
      <alignment horizontal="left" vertical="center" wrapText="1" indent="1"/>
      <protection locked="0"/>
    </xf>
    <xf numFmtId="178" fontId="8" fillId="0" borderId="132" xfId="78" applyNumberFormat="1" applyFont="1" applyFill="1" applyBorder="1" applyAlignment="1" applyProtection="1">
      <alignment vertical="center"/>
      <protection locked="0"/>
    </xf>
    <xf numFmtId="178" fontId="8" fillId="0" borderId="49" xfId="78" applyNumberFormat="1" applyFont="1" applyFill="1" applyBorder="1" applyAlignment="1" applyProtection="1">
      <alignment vertical="center"/>
      <protection locked="0"/>
    </xf>
    <xf numFmtId="178" fontId="8" fillId="0" borderId="48" xfId="78" applyNumberFormat="1" applyFont="1" applyFill="1" applyBorder="1" applyAlignment="1" applyProtection="1">
      <alignment vertical="center"/>
      <protection locked="0"/>
    </xf>
    <xf numFmtId="178" fontId="8" fillId="0" borderId="47" xfId="78" applyNumberFormat="1" applyFont="1" applyFill="1" applyBorder="1" applyAlignment="1" applyProtection="1">
      <alignment vertical="center"/>
      <protection locked="0"/>
    </xf>
    <xf numFmtId="0" fontId="9" fillId="11" borderId="61" xfId="5" applyFont="1" applyFill="1" applyBorder="1" applyAlignment="1" applyProtection="1">
      <alignment horizontal="left" vertical="center" indent="1"/>
      <protection hidden="1"/>
    </xf>
    <xf numFmtId="168" fontId="28" fillId="3" borderId="59" xfId="78" applyNumberFormat="1" applyFont="1" applyFill="1" applyBorder="1" applyAlignment="1" applyProtection="1">
      <alignment vertical="center"/>
      <protection hidden="1"/>
    </xf>
    <xf numFmtId="168" fontId="28" fillId="3" borderId="109" xfId="78" applyNumberFormat="1" applyFont="1" applyFill="1" applyBorder="1" applyAlignment="1" applyProtection="1">
      <alignment vertical="center"/>
      <protection hidden="1"/>
    </xf>
    <xf numFmtId="168" fontId="28" fillId="3" borderId="63" xfId="78" applyNumberFormat="1" applyFont="1" applyFill="1" applyBorder="1" applyAlignment="1" applyProtection="1">
      <alignment vertical="center"/>
      <protection hidden="1"/>
    </xf>
    <xf numFmtId="168" fontId="28" fillId="3" borderId="64" xfId="78" applyNumberFormat="1" applyFont="1" applyFill="1" applyBorder="1" applyAlignment="1" applyProtection="1">
      <alignment vertical="center"/>
      <protection hidden="1"/>
    </xf>
    <xf numFmtId="168" fontId="28" fillId="3" borderId="108" xfId="78" applyNumberFormat="1" applyFont="1" applyFill="1" applyBorder="1" applyAlignment="1" applyProtection="1">
      <alignment vertical="center"/>
      <protection hidden="1"/>
    </xf>
    <xf numFmtId="0" fontId="9" fillId="11" borderId="40" xfId="78" applyFont="1" applyFill="1" applyBorder="1" applyAlignment="1" applyProtection="1">
      <alignment horizontal="left" vertical="center" indent="1"/>
      <protection hidden="1"/>
    </xf>
    <xf numFmtId="178" fontId="9" fillId="3" borderId="48" xfId="78" applyNumberFormat="1" applyFont="1" applyFill="1" applyBorder="1" applyAlignment="1" applyProtection="1">
      <alignment vertical="center"/>
      <protection hidden="1"/>
    </xf>
    <xf numFmtId="178" fontId="9" fillId="3" borderId="49" xfId="78" applyNumberFormat="1" applyFont="1" applyFill="1" applyBorder="1" applyAlignment="1" applyProtection="1">
      <alignment vertical="center"/>
      <protection hidden="1"/>
    </xf>
    <xf numFmtId="178" fontId="9" fillId="3" borderId="47" xfId="78" applyNumberFormat="1" applyFont="1" applyFill="1" applyBorder="1" applyAlignment="1" applyProtection="1">
      <alignment vertical="center"/>
      <protection hidden="1"/>
    </xf>
    <xf numFmtId="178" fontId="9" fillId="3" borderId="6" xfId="78" applyNumberFormat="1" applyFont="1" applyFill="1" applyBorder="1" applyAlignment="1" applyProtection="1">
      <alignment vertical="center"/>
      <protection hidden="1"/>
    </xf>
    <xf numFmtId="0" fontId="9" fillId="11" borderId="38" xfId="78" applyFont="1" applyFill="1" applyBorder="1" applyAlignment="1" applyProtection="1">
      <alignment horizontal="left" vertical="center" indent="1"/>
      <protection hidden="1"/>
    </xf>
    <xf numFmtId="168" fontId="9" fillId="11" borderId="50" xfId="78" applyNumberFormat="1" applyFont="1" applyFill="1" applyBorder="1" applyAlignment="1" applyProtection="1">
      <alignment vertical="center"/>
      <protection hidden="1"/>
    </xf>
    <xf numFmtId="168" fontId="9" fillId="11" borderId="31" xfId="78" applyNumberFormat="1" applyFont="1" applyFill="1" applyBorder="1" applyAlignment="1" applyProtection="1">
      <alignment vertical="center"/>
      <protection hidden="1"/>
    </xf>
    <xf numFmtId="168" fontId="9" fillId="11" borderId="126" xfId="78" applyNumberFormat="1" applyFont="1" applyFill="1" applyBorder="1" applyAlignment="1" applyProtection="1">
      <alignment vertical="center"/>
      <protection hidden="1"/>
    </xf>
    <xf numFmtId="168" fontId="9" fillId="11" borderId="55" xfId="78" applyNumberFormat="1" applyFont="1" applyFill="1" applyBorder="1" applyAlignment="1" applyProtection="1">
      <alignment vertical="center"/>
      <protection hidden="1"/>
    </xf>
    <xf numFmtId="0" fontId="10" fillId="11" borderId="3" xfId="78" applyFont="1" applyFill="1" applyBorder="1" applyProtection="1">
      <protection hidden="1"/>
    </xf>
    <xf numFmtId="0" fontId="10" fillId="3" borderId="22" xfId="78" applyFont="1" applyFill="1" applyBorder="1" applyAlignment="1" applyProtection="1">
      <protection hidden="1"/>
    </xf>
    <xf numFmtId="172" fontId="9" fillId="3" borderId="55" xfId="78" quotePrefix="1" applyNumberFormat="1" applyFont="1" applyFill="1" applyBorder="1" applyAlignment="1" applyProtection="1">
      <alignment horizontal="center" vertical="center"/>
      <protection hidden="1"/>
    </xf>
    <xf numFmtId="178" fontId="10" fillId="3" borderId="108" xfId="78" applyNumberFormat="1" applyFont="1" applyFill="1" applyBorder="1" applyAlignment="1" applyProtection="1">
      <alignment vertical="center"/>
      <protection locked="0"/>
    </xf>
    <xf numFmtId="178" fontId="10" fillId="3" borderId="37" xfId="78" applyNumberFormat="1" applyFont="1" applyFill="1" applyBorder="1" applyAlignment="1" applyProtection="1">
      <alignment vertical="center"/>
      <protection locked="0"/>
    </xf>
    <xf numFmtId="0" fontId="33" fillId="11" borderId="97" xfId="78" applyFont="1" applyFill="1" applyBorder="1" applyProtection="1">
      <protection hidden="1"/>
    </xf>
    <xf numFmtId="0" fontId="9" fillId="3" borderId="9" xfId="78" applyFont="1" applyFill="1" applyBorder="1" applyAlignment="1" applyProtection="1">
      <alignment horizontal="center" vertical="top"/>
      <protection hidden="1"/>
    </xf>
    <xf numFmtId="0" fontId="9" fillId="0" borderId="51" xfId="0" applyFont="1" applyBorder="1" applyAlignment="1" applyProtection="1">
      <alignment horizontal="center" vertical="top" wrapText="1"/>
      <protection hidden="1"/>
    </xf>
    <xf numFmtId="0" fontId="66" fillId="0" borderId="51" xfId="14" applyFont="1" applyFill="1" applyBorder="1" applyProtection="1">
      <protection hidden="1"/>
    </xf>
    <xf numFmtId="0" fontId="66" fillId="0" borderId="51" xfId="9" applyNumberFormat="1" applyFont="1" applyFill="1" applyBorder="1" applyAlignment="1" applyProtection="1">
      <protection hidden="1"/>
    </xf>
    <xf numFmtId="0" fontId="66" fillId="0" borderId="25" xfId="9" applyNumberFormat="1" applyFont="1" applyFill="1" applyBorder="1" applyAlignment="1" applyProtection="1">
      <protection hidden="1"/>
    </xf>
    <xf numFmtId="185" fontId="66" fillId="0" borderId="25" xfId="14" applyNumberFormat="1" applyFont="1" applyFill="1" applyBorder="1" applyProtection="1">
      <protection hidden="1"/>
    </xf>
    <xf numFmtId="185" fontId="66" fillId="0" borderId="25" xfId="9" applyNumberFormat="1" applyFont="1" applyFill="1" applyBorder="1" applyAlignment="1" applyProtection="1">
      <protection hidden="1"/>
    </xf>
    <xf numFmtId="0" fontId="66" fillId="0" borderId="39" xfId="9" applyNumberFormat="1" applyFont="1" applyFill="1" applyBorder="1" applyAlignment="1" applyProtection="1">
      <protection hidden="1"/>
    </xf>
    <xf numFmtId="0" fontId="10" fillId="0" borderId="9" xfId="5" applyNumberFormat="1" applyFont="1" applyFill="1" applyBorder="1" applyAlignment="1" applyProtection="1">
      <alignment horizontal="left" vertical="center" wrapText="1" indent="1"/>
      <protection locked="0"/>
    </xf>
    <xf numFmtId="168" fontId="28" fillId="11" borderId="6" xfId="78" applyNumberFormat="1" applyFont="1" applyFill="1" applyBorder="1" applyAlignment="1" applyProtection="1">
      <alignment vertical="center"/>
      <protection hidden="1"/>
    </xf>
    <xf numFmtId="164" fontId="10" fillId="11" borderId="76" xfId="78" applyNumberFormat="1" applyFont="1" applyFill="1" applyBorder="1" applyProtection="1"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164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15" borderId="11" xfId="0" applyFont="1" applyFill="1" applyBorder="1" applyAlignment="1" applyProtection="1">
      <alignment horizontal="center" vertical="center"/>
      <protection hidden="1"/>
    </xf>
    <xf numFmtId="172" fontId="9" fillId="15" borderId="42" xfId="0" applyNumberFormat="1" applyFont="1" applyFill="1" applyBorder="1" applyAlignment="1" applyProtection="1">
      <alignment horizontal="center" vertical="center"/>
      <protection hidden="1"/>
    </xf>
    <xf numFmtId="175" fontId="9" fillId="15" borderId="11" xfId="0" applyNumberFormat="1" applyFont="1" applyFill="1" applyBorder="1" applyAlignment="1" applyProtection="1">
      <alignment vertical="center"/>
      <protection hidden="1"/>
    </xf>
    <xf numFmtId="175" fontId="9" fillId="15" borderId="28" xfId="0" applyNumberFormat="1" applyFont="1" applyFill="1" applyBorder="1" applyAlignment="1" applyProtection="1">
      <alignment vertical="center"/>
      <protection hidden="1"/>
    </xf>
    <xf numFmtId="175" fontId="9" fillId="15" borderId="42" xfId="0" applyNumberFormat="1" applyFont="1" applyFill="1" applyBorder="1" applyAlignment="1" applyProtection="1">
      <alignment vertical="center"/>
      <protection hidden="1"/>
    </xf>
    <xf numFmtId="168" fontId="9" fillId="15" borderId="71" xfId="0" applyNumberFormat="1" applyFont="1" applyFill="1" applyBorder="1" applyAlignment="1" applyProtection="1">
      <alignment vertical="center"/>
      <protection hidden="1"/>
    </xf>
    <xf numFmtId="178" fontId="10" fillId="15" borderId="0" xfId="78" applyNumberFormat="1" applyFont="1" applyFill="1" applyBorder="1" applyAlignment="1" applyProtection="1">
      <alignment vertical="center"/>
      <protection hidden="1"/>
    </xf>
    <xf numFmtId="178" fontId="10" fillId="15" borderId="32" xfId="78" applyNumberFormat="1" applyFont="1" applyFill="1" applyBorder="1" applyAlignment="1" applyProtection="1">
      <alignment vertical="center"/>
      <protection hidden="1"/>
    </xf>
    <xf numFmtId="164" fontId="9" fillId="15" borderId="0" xfId="78" applyNumberFormat="1" applyFont="1" applyFill="1" applyBorder="1" applyAlignment="1" applyProtection="1">
      <alignment horizontal="center" vertical="center" wrapText="1"/>
      <protection hidden="1"/>
    </xf>
    <xf numFmtId="164" fontId="9" fillId="15" borderId="97" xfId="78" applyNumberFormat="1" applyFont="1" applyFill="1" applyBorder="1" applyAlignment="1" applyProtection="1">
      <alignment horizontal="center" vertical="center"/>
      <protection hidden="1"/>
    </xf>
    <xf numFmtId="172" fontId="9" fillId="15" borderId="50" xfId="78" quotePrefix="1" applyNumberFormat="1" applyFont="1" applyFill="1" applyBorder="1" applyAlignment="1" applyProtection="1">
      <alignment horizontal="center" vertical="center"/>
      <protection hidden="1"/>
    </xf>
    <xf numFmtId="0" fontId="10" fillId="15" borderId="78" xfId="78" applyFont="1" applyFill="1" applyBorder="1" applyProtection="1">
      <protection hidden="1"/>
    </xf>
    <xf numFmtId="0" fontId="34" fillId="15" borderId="0" xfId="78" applyFont="1" applyFill="1" applyAlignment="1" applyProtection="1">
      <alignment vertical="center"/>
      <protection hidden="1"/>
    </xf>
    <xf numFmtId="0" fontId="10" fillId="15" borderId="0" xfId="78" applyFont="1" applyFill="1" applyAlignment="1" applyProtection="1">
      <protection hidden="1"/>
    </xf>
    <xf numFmtId="0" fontId="10" fillId="15" borderId="78" xfId="78" applyFont="1" applyFill="1" applyBorder="1" applyAlignment="1" applyProtection="1">
      <alignment vertical="center"/>
      <protection hidden="1"/>
    </xf>
    <xf numFmtId="0" fontId="9" fillId="15" borderId="113" xfId="78" applyNumberFormat="1" applyFont="1" applyFill="1" applyBorder="1" applyAlignment="1" applyProtection="1">
      <protection hidden="1"/>
    </xf>
    <xf numFmtId="0" fontId="9" fillId="15" borderId="113" xfId="78" applyFont="1" applyFill="1" applyBorder="1" applyAlignment="1" applyProtection="1">
      <alignment horizontal="center" vertical="center" wrapText="1"/>
      <protection hidden="1"/>
    </xf>
    <xf numFmtId="0" fontId="10" fillId="15" borderId="111" xfId="78" applyFont="1" applyFill="1" applyBorder="1" applyAlignment="1" applyProtection="1">
      <alignment vertical="center"/>
      <protection hidden="1"/>
    </xf>
    <xf numFmtId="0" fontId="10" fillId="15" borderId="97" xfId="78" applyFont="1" applyFill="1" applyBorder="1" applyAlignment="1" applyProtection="1">
      <alignment vertical="center"/>
      <protection hidden="1"/>
    </xf>
    <xf numFmtId="0" fontId="9" fillId="58" borderId="0" xfId="78" applyFont="1" applyFill="1" applyBorder="1" applyAlignment="1" applyProtection="1">
      <alignment horizontal="left"/>
      <protection hidden="1"/>
    </xf>
    <xf numFmtId="0" fontId="9" fillId="15" borderId="0" xfId="78" applyFont="1" applyFill="1" applyBorder="1" applyAlignment="1" applyProtection="1">
      <alignment horizontal="center" vertical="center" wrapText="1"/>
      <protection hidden="1"/>
    </xf>
    <xf numFmtId="0" fontId="9" fillId="15" borderId="76" xfId="78" applyFont="1" applyFill="1" applyBorder="1" applyAlignment="1" applyProtection="1">
      <alignment horizontal="right" indent="1"/>
      <protection hidden="1"/>
    </xf>
    <xf numFmtId="0" fontId="10" fillId="15" borderId="97" xfId="78" applyFont="1" applyFill="1" applyBorder="1" applyProtection="1">
      <protection hidden="1"/>
    </xf>
    <xf numFmtId="0" fontId="9" fillId="58" borderId="0" xfId="78" applyFont="1" applyFill="1" applyBorder="1" applyAlignment="1" applyProtection="1">
      <alignment horizontal="left" vertical="center"/>
      <protection hidden="1"/>
    </xf>
    <xf numFmtId="0" fontId="33" fillId="15" borderId="0" xfId="78" applyFont="1" applyFill="1" applyBorder="1" applyAlignment="1" applyProtection="1">
      <alignment horizontal="center" vertical="center"/>
      <protection hidden="1"/>
    </xf>
    <xf numFmtId="0" fontId="10" fillId="15" borderId="0" xfId="78" applyFont="1" applyFill="1" applyBorder="1" applyAlignment="1" applyProtection="1">
      <alignment horizontal="center" vertical="center" wrapText="1"/>
      <protection hidden="1"/>
    </xf>
    <xf numFmtId="0" fontId="10" fillId="15" borderId="76" xfId="78" applyFont="1" applyFill="1" applyBorder="1" applyProtection="1">
      <protection hidden="1"/>
    </xf>
    <xf numFmtId="0" fontId="10" fillId="15" borderId="97" xfId="78" applyFont="1" applyFill="1" applyBorder="1" applyAlignment="1" applyProtection="1">
      <protection hidden="1"/>
    </xf>
    <xf numFmtId="0" fontId="10" fillId="15" borderId="76" xfId="78" applyFont="1" applyFill="1" applyBorder="1" applyAlignment="1" applyProtection="1">
      <protection hidden="1"/>
    </xf>
    <xf numFmtId="0" fontId="9" fillId="58" borderId="0" xfId="78" applyFont="1" applyFill="1" applyBorder="1" applyAlignment="1" applyProtection="1">
      <protection hidden="1"/>
    </xf>
    <xf numFmtId="0" fontId="13" fillId="15" borderId="50" xfId="78" applyFont="1" applyFill="1" applyBorder="1" applyAlignment="1" applyProtection="1">
      <alignment vertical="center"/>
      <protection hidden="1"/>
    </xf>
    <xf numFmtId="0" fontId="35" fillId="58" borderId="0" xfId="78" applyFont="1" applyFill="1" applyBorder="1" applyAlignment="1" applyProtection="1">
      <alignment horizontal="center" vertical="center"/>
      <protection hidden="1"/>
    </xf>
    <xf numFmtId="0" fontId="10" fillId="15" borderId="76" xfId="78" applyNumberFormat="1" applyFont="1" applyFill="1" applyBorder="1" applyAlignment="1" applyProtection="1">
      <protection hidden="1"/>
    </xf>
    <xf numFmtId="0" fontId="10" fillId="15" borderId="69" xfId="78" applyFont="1" applyFill="1" applyBorder="1" applyAlignment="1" applyProtection="1">
      <protection hidden="1"/>
    </xf>
    <xf numFmtId="0" fontId="10" fillId="15" borderId="9" xfId="78" applyFont="1" applyFill="1" applyBorder="1" applyAlignment="1" applyProtection="1">
      <protection hidden="1"/>
    </xf>
    <xf numFmtId="164" fontId="9" fillId="15" borderId="111" xfId="78" applyNumberFormat="1" applyFont="1" applyFill="1" applyBorder="1" applyAlignment="1" applyProtection="1">
      <alignment horizontal="center" vertical="center"/>
      <protection hidden="1"/>
    </xf>
    <xf numFmtId="164" fontId="9" fillId="15" borderId="51" xfId="78" applyNumberFormat="1" applyFont="1" applyFill="1" applyBorder="1" applyAlignment="1" applyProtection="1">
      <alignment horizontal="center" vertical="center"/>
      <protection hidden="1"/>
    </xf>
    <xf numFmtId="164" fontId="9" fillId="15" borderId="10" xfId="78" applyNumberFormat="1" applyFont="1" applyFill="1" applyBorder="1" applyAlignment="1" applyProtection="1">
      <alignment horizontal="center" vertical="center"/>
      <protection hidden="1"/>
    </xf>
    <xf numFmtId="0" fontId="9" fillId="15" borderId="9" xfId="78" applyFont="1" applyFill="1" applyBorder="1" applyAlignment="1" applyProtection="1">
      <alignment horizontal="center" vertical="top"/>
      <protection hidden="1"/>
    </xf>
    <xf numFmtId="164" fontId="9" fillId="15" borderId="22" xfId="78" applyNumberFormat="1" applyFont="1" applyFill="1" applyBorder="1" applyAlignment="1" applyProtection="1">
      <alignment horizontal="center" vertical="center"/>
      <protection hidden="1"/>
    </xf>
    <xf numFmtId="164" fontId="9" fillId="15" borderId="76" xfId="78" applyNumberFormat="1" applyFont="1" applyFill="1" applyBorder="1" applyAlignment="1" applyProtection="1">
      <alignment horizontal="center" vertical="center"/>
      <protection hidden="1"/>
    </xf>
    <xf numFmtId="164" fontId="9" fillId="15" borderId="25" xfId="78" applyNumberFormat="1" applyFont="1" applyFill="1" applyBorder="1" applyAlignment="1" applyProtection="1">
      <alignment horizontal="center" vertical="center"/>
      <protection hidden="1"/>
    </xf>
    <xf numFmtId="0" fontId="10" fillId="15" borderId="110" xfId="78" applyFont="1" applyFill="1" applyBorder="1" applyAlignment="1" applyProtection="1">
      <alignment vertical="top" wrapText="1"/>
      <protection hidden="1"/>
    </xf>
    <xf numFmtId="164" fontId="9" fillId="15" borderId="27" xfId="78" applyNumberFormat="1" applyFont="1" applyFill="1" applyBorder="1" applyAlignment="1" applyProtection="1">
      <alignment horizontal="center" vertical="center"/>
      <protection hidden="1"/>
    </xf>
    <xf numFmtId="0" fontId="10" fillId="15" borderId="76" xfId="78" applyFont="1" applyFill="1" applyBorder="1" applyAlignment="1" applyProtection="1">
      <alignment vertical="top" wrapText="1"/>
      <protection hidden="1"/>
    </xf>
    <xf numFmtId="172" fontId="9" fillId="15" borderId="126" xfId="78" quotePrefix="1" applyNumberFormat="1" applyFont="1" applyFill="1" applyBorder="1" applyAlignment="1" applyProtection="1">
      <alignment horizontal="center" vertical="center"/>
      <protection hidden="1"/>
    </xf>
    <xf numFmtId="172" fontId="9" fillId="15" borderId="31" xfId="78" quotePrefix="1" applyNumberFormat="1" applyFont="1" applyFill="1" applyBorder="1" applyAlignment="1" applyProtection="1">
      <alignment horizontal="center" vertical="center"/>
      <protection hidden="1"/>
    </xf>
    <xf numFmtId="172" fontId="9" fillId="15" borderId="39" xfId="78" quotePrefix="1" applyNumberFormat="1" applyFont="1" applyFill="1" applyBorder="1" applyAlignment="1" applyProtection="1">
      <alignment horizontal="center" vertical="center"/>
      <protection hidden="1"/>
    </xf>
    <xf numFmtId="172" fontId="9" fillId="15" borderId="42" xfId="78" quotePrefix="1" applyNumberFormat="1" applyFont="1" applyFill="1" applyBorder="1" applyAlignment="1" applyProtection="1">
      <alignment horizontal="center" vertical="center"/>
      <protection hidden="1"/>
    </xf>
    <xf numFmtId="0" fontId="9" fillId="15" borderId="76" xfId="78" applyFont="1" applyFill="1" applyBorder="1" applyAlignment="1" applyProtection="1">
      <alignment vertical="top" wrapText="1"/>
      <protection hidden="1"/>
    </xf>
    <xf numFmtId="0" fontId="33" fillId="15" borderId="97" xfId="78" applyFont="1" applyFill="1" applyBorder="1" applyProtection="1">
      <protection hidden="1"/>
    </xf>
    <xf numFmtId="168" fontId="28" fillId="15" borderId="27" xfId="78" applyNumberFormat="1" applyFont="1" applyFill="1" applyBorder="1" applyAlignment="1" applyProtection="1">
      <alignment vertical="center"/>
      <protection hidden="1"/>
    </xf>
    <xf numFmtId="168" fontId="28" fillId="15" borderId="6" xfId="78" applyNumberFormat="1" applyFont="1" applyFill="1" applyBorder="1" applyAlignment="1" applyProtection="1">
      <alignment vertical="center"/>
      <protection hidden="1"/>
    </xf>
    <xf numFmtId="0" fontId="9" fillId="15" borderId="61" xfId="5" applyFont="1" applyFill="1" applyBorder="1" applyAlignment="1" applyProtection="1">
      <alignment horizontal="left" vertical="center" indent="1"/>
      <protection hidden="1"/>
    </xf>
    <xf numFmtId="168" fontId="28" fillId="15" borderId="59" xfId="78" applyNumberFormat="1" applyFont="1" applyFill="1" applyBorder="1" applyAlignment="1" applyProtection="1">
      <alignment vertical="center"/>
      <protection hidden="1"/>
    </xf>
    <xf numFmtId="168" fontId="28" fillId="15" borderId="109" xfId="78" applyNumberFormat="1" applyFont="1" applyFill="1" applyBorder="1" applyAlignment="1" applyProtection="1">
      <alignment vertical="center"/>
      <protection hidden="1"/>
    </xf>
    <xf numFmtId="168" fontId="28" fillId="15" borderId="63" xfId="78" applyNumberFormat="1" applyFont="1" applyFill="1" applyBorder="1" applyAlignment="1" applyProtection="1">
      <alignment vertical="center"/>
      <protection hidden="1"/>
    </xf>
    <xf numFmtId="168" fontId="28" fillId="15" borderId="64" xfId="78" applyNumberFormat="1" applyFont="1" applyFill="1" applyBorder="1" applyAlignment="1" applyProtection="1">
      <alignment vertical="center"/>
      <protection hidden="1"/>
    </xf>
    <xf numFmtId="168" fontId="28" fillId="15" borderId="108" xfId="78" applyNumberFormat="1" applyFont="1" applyFill="1" applyBorder="1" applyAlignment="1" applyProtection="1">
      <alignment vertical="center"/>
      <protection hidden="1"/>
    </xf>
    <xf numFmtId="0" fontId="9" fillId="15" borderId="40" xfId="78" applyFont="1" applyFill="1" applyBorder="1" applyAlignment="1" applyProtection="1">
      <alignment horizontal="left" vertical="center" indent="1"/>
      <protection hidden="1"/>
    </xf>
    <xf numFmtId="178" fontId="9" fillId="15" borderId="48" xfId="78" applyNumberFormat="1" applyFont="1" applyFill="1" applyBorder="1" applyAlignment="1" applyProtection="1">
      <alignment vertical="center"/>
      <protection hidden="1"/>
    </xf>
    <xf numFmtId="178" fontId="9" fillId="15" borderId="49" xfId="78" applyNumberFormat="1" applyFont="1" applyFill="1" applyBorder="1" applyAlignment="1" applyProtection="1">
      <alignment vertical="center"/>
      <protection hidden="1"/>
    </xf>
    <xf numFmtId="178" fontId="9" fillId="15" borderId="47" xfId="78" applyNumberFormat="1" applyFont="1" applyFill="1" applyBorder="1" applyAlignment="1" applyProtection="1">
      <alignment vertical="center"/>
      <protection hidden="1"/>
    </xf>
    <xf numFmtId="178" fontId="9" fillId="15" borderId="6" xfId="78" applyNumberFormat="1" applyFont="1" applyFill="1" applyBorder="1" applyAlignment="1" applyProtection="1">
      <alignment vertical="center"/>
      <protection hidden="1"/>
    </xf>
    <xf numFmtId="0" fontId="9" fillId="15" borderId="38" xfId="78" applyFont="1" applyFill="1" applyBorder="1" applyAlignment="1" applyProtection="1">
      <alignment horizontal="left" vertical="center" indent="1"/>
      <protection hidden="1"/>
    </xf>
    <xf numFmtId="168" fontId="9" fillId="15" borderId="50" xfId="78" applyNumberFormat="1" applyFont="1" applyFill="1" applyBorder="1" applyAlignment="1" applyProtection="1">
      <alignment vertical="center"/>
      <protection hidden="1"/>
    </xf>
    <xf numFmtId="168" fontId="9" fillId="15" borderId="31" xfId="78" applyNumberFormat="1" applyFont="1" applyFill="1" applyBorder="1" applyAlignment="1" applyProtection="1">
      <alignment vertical="center"/>
      <protection hidden="1"/>
    </xf>
    <xf numFmtId="168" fontId="9" fillId="15" borderId="126" xfId="78" applyNumberFormat="1" applyFont="1" applyFill="1" applyBorder="1" applyAlignment="1" applyProtection="1">
      <alignment vertical="center"/>
      <protection hidden="1"/>
    </xf>
    <xf numFmtId="168" fontId="9" fillId="15" borderId="55" xfId="78" applyNumberFormat="1" applyFont="1" applyFill="1" applyBorder="1" applyAlignment="1" applyProtection="1">
      <alignment vertical="center"/>
      <protection hidden="1"/>
    </xf>
    <xf numFmtId="0" fontId="10" fillId="15" borderId="45" xfId="78" applyFont="1" applyFill="1" applyBorder="1" applyProtection="1">
      <protection hidden="1"/>
    </xf>
    <xf numFmtId="0" fontId="10" fillId="58" borderId="2" xfId="78" applyFont="1" applyFill="1" applyBorder="1" applyAlignment="1" applyProtection="1">
      <protection hidden="1"/>
    </xf>
    <xf numFmtId="164" fontId="10" fillId="15" borderId="2" xfId="78" applyNumberFormat="1" applyFont="1" applyFill="1" applyBorder="1" applyProtection="1">
      <protection hidden="1"/>
    </xf>
    <xf numFmtId="0" fontId="10" fillId="15" borderId="3" xfId="78" applyFont="1" applyFill="1" applyBorder="1" applyProtection="1">
      <protection hidden="1"/>
    </xf>
    <xf numFmtId="0" fontId="10" fillId="15" borderId="9" xfId="5" applyNumberFormat="1" applyFont="1" applyFill="1" applyBorder="1" applyAlignment="1" applyProtection="1">
      <alignment horizontal="left" vertical="center" wrapText="1" indent="1"/>
      <protection hidden="1"/>
    </xf>
    <xf numFmtId="178" fontId="8" fillId="15" borderId="129" xfId="78" applyNumberFormat="1" applyFont="1" applyFill="1" applyBorder="1" applyAlignment="1" applyProtection="1">
      <alignment vertical="center"/>
      <protection hidden="1"/>
    </xf>
    <xf numFmtId="178" fontId="8" fillId="15" borderId="22" xfId="78" applyNumberFormat="1" applyFont="1" applyFill="1" applyBorder="1" applyAlignment="1" applyProtection="1">
      <alignment vertical="center"/>
      <protection hidden="1"/>
    </xf>
    <xf numFmtId="178" fontId="8" fillId="15" borderId="0" xfId="78" applyNumberFormat="1" applyFont="1" applyFill="1" applyBorder="1" applyAlignment="1" applyProtection="1">
      <alignment vertical="center"/>
      <protection hidden="1"/>
    </xf>
    <xf numFmtId="178" fontId="8" fillId="15" borderId="97" xfId="78" applyNumberFormat="1" applyFont="1" applyFill="1" applyBorder="1" applyAlignment="1" applyProtection="1">
      <alignment vertical="center"/>
      <protection hidden="1"/>
    </xf>
    <xf numFmtId="0" fontId="10" fillId="15" borderId="29" xfId="5" applyNumberFormat="1" applyFont="1" applyFill="1" applyBorder="1" applyAlignment="1" applyProtection="1">
      <alignment horizontal="left" vertical="center" wrapText="1" indent="1"/>
      <protection hidden="1"/>
    </xf>
    <xf numFmtId="178" fontId="8" fillId="15" borderId="132" xfId="78" applyNumberFormat="1" applyFont="1" applyFill="1" applyBorder="1" applyAlignment="1" applyProtection="1">
      <alignment vertical="center"/>
      <protection hidden="1"/>
    </xf>
    <xf numFmtId="178" fontId="8" fillId="15" borderId="49" xfId="78" applyNumberFormat="1" applyFont="1" applyFill="1" applyBorder="1" applyAlignment="1" applyProtection="1">
      <alignment vertical="center"/>
      <protection hidden="1"/>
    </xf>
    <xf numFmtId="178" fontId="8" fillId="15" borderId="48" xfId="78" applyNumberFormat="1" applyFont="1" applyFill="1" applyBorder="1" applyAlignment="1" applyProtection="1">
      <alignment vertical="center"/>
      <protection hidden="1"/>
    </xf>
    <xf numFmtId="178" fontId="8" fillId="15" borderId="47" xfId="78" applyNumberFormat="1" applyFont="1" applyFill="1" applyBorder="1" applyAlignment="1" applyProtection="1">
      <alignment vertical="center"/>
      <protection hidden="1"/>
    </xf>
    <xf numFmtId="0" fontId="10" fillId="15" borderId="74" xfId="5" applyNumberFormat="1" applyFont="1" applyFill="1" applyBorder="1" applyAlignment="1" applyProtection="1">
      <alignment horizontal="left" vertical="center" wrapText="1" indent="1"/>
      <protection hidden="1"/>
    </xf>
    <xf numFmtId="0" fontId="9" fillId="2" borderId="8" xfId="9" applyFont="1" applyFill="1" applyBorder="1" applyAlignment="1" applyProtection="1">
      <alignment horizontal="center" vertical="center" wrapText="1"/>
      <protection hidden="1"/>
    </xf>
    <xf numFmtId="0" fontId="9" fillId="23" borderId="22" xfId="9" applyFont="1" applyFill="1" applyBorder="1" applyAlignment="1" applyProtection="1">
      <alignment horizontal="center" vertical="center"/>
      <protection hidden="1"/>
    </xf>
    <xf numFmtId="172" fontId="9" fillId="23" borderId="31" xfId="9" quotePrefix="1" applyNumberFormat="1" applyFont="1" applyFill="1" applyBorder="1" applyAlignment="1" applyProtection="1">
      <alignment horizontal="center" vertical="center"/>
      <protection hidden="1"/>
    </xf>
    <xf numFmtId="0" fontId="10" fillId="19" borderId="22" xfId="9" applyFont="1" applyFill="1" applyBorder="1" applyAlignment="1" applyProtection="1">
      <protection hidden="1"/>
    </xf>
    <xf numFmtId="178" fontId="10" fillId="0" borderId="49" xfId="9" applyNumberFormat="1" applyFont="1" applyFill="1" applyBorder="1" applyAlignment="1" applyProtection="1">
      <alignment vertical="center"/>
      <protection locked="0"/>
    </xf>
    <xf numFmtId="168" fontId="9" fillId="19" borderId="49" xfId="9" applyNumberFormat="1" applyFont="1" applyFill="1" applyBorder="1" applyAlignment="1" applyProtection="1">
      <alignment vertical="center"/>
      <protection hidden="1"/>
    </xf>
    <xf numFmtId="178" fontId="10" fillId="0" borderId="23" xfId="9" applyNumberFormat="1" applyFont="1" applyFill="1" applyBorder="1" applyAlignment="1" applyProtection="1">
      <alignment vertical="center"/>
      <protection locked="0"/>
    </xf>
    <xf numFmtId="0" fontId="10" fillId="19" borderId="109" xfId="9" applyFont="1" applyFill="1" applyBorder="1" applyAlignment="1" applyProtection="1">
      <protection hidden="1"/>
    </xf>
    <xf numFmtId="0" fontId="9" fillId="19" borderId="109" xfId="9" applyFont="1" applyFill="1" applyBorder="1" applyAlignment="1" applyProtection="1">
      <alignment horizontal="left" vertical="center" indent="1"/>
      <protection hidden="1"/>
    </xf>
    <xf numFmtId="0" fontId="10" fillId="0" borderId="49" xfId="9" applyFont="1" applyFill="1" applyBorder="1" applyAlignment="1" applyProtection="1">
      <alignment horizontal="left" vertical="center" wrapText="1" indent="2"/>
      <protection locked="0"/>
    </xf>
    <xf numFmtId="0" fontId="9" fillId="19" borderId="49" xfId="9" applyFont="1" applyFill="1" applyBorder="1" applyAlignment="1" applyProtection="1">
      <alignment horizontal="left" vertical="center" indent="2"/>
      <protection hidden="1"/>
    </xf>
    <xf numFmtId="0" fontId="9" fillId="19" borderId="33" xfId="9" applyFont="1" applyFill="1" applyBorder="1" applyAlignment="1" applyProtection="1">
      <alignment horizontal="left" vertical="center" indent="1"/>
      <protection hidden="1"/>
    </xf>
    <xf numFmtId="0" fontId="9" fillId="0" borderId="12" xfId="9" applyFont="1" applyFill="1" applyBorder="1" applyAlignment="1" applyProtection="1">
      <alignment horizontal="left" vertical="center" indent="1"/>
      <protection hidden="1"/>
    </xf>
    <xf numFmtId="0" fontId="10" fillId="11" borderId="76" xfId="9" applyFont="1" applyFill="1" applyBorder="1" applyAlignment="1" applyProtection="1">
      <protection hidden="1"/>
    </xf>
    <xf numFmtId="0" fontId="10" fillId="0" borderId="49" xfId="0" applyFont="1" applyBorder="1" applyAlignment="1" applyProtection="1">
      <alignment horizontal="left" vertical="center" wrapText="1" indent="2"/>
      <protection locked="0"/>
    </xf>
    <xf numFmtId="0" fontId="9" fillId="19" borderId="22" xfId="9" applyFont="1" applyFill="1" applyBorder="1" applyAlignment="1" applyProtection="1">
      <alignment horizontal="left" vertical="center" indent="1"/>
      <protection hidden="1"/>
    </xf>
    <xf numFmtId="0" fontId="9" fillId="0" borderId="111" xfId="13" applyNumberFormat="1" applyFont="1" applyBorder="1" applyAlignment="1" applyProtection="1">
      <alignment horizontal="left" vertical="top" indent="1"/>
      <protection hidden="1"/>
    </xf>
    <xf numFmtId="0" fontId="10" fillId="0" borderId="70" xfId="13" applyNumberFormat="1" applyFont="1" applyBorder="1" applyAlignment="1" applyProtection="1">
      <protection hidden="1"/>
    </xf>
    <xf numFmtId="0" fontId="9" fillId="0" borderId="69" xfId="13" applyNumberFormat="1" applyFont="1" applyBorder="1" applyAlignment="1" applyProtection="1">
      <alignment horizontal="center" vertical="center"/>
      <protection hidden="1"/>
    </xf>
    <xf numFmtId="175" fontId="10" fillId="0" borderId="17" xfId="13" applyNumberFormat="1" applyFont="1" applyBorder="1" applyAlignment="1" applyProtection="1">
      <protection hidden="1"/>
    </xf>
    <xf numFmtId="0" fontId="9" fillId="0" borderId="0" xfId="13" applyNumberFormat="1" applyFont="1" applyBorder="1" applyAlignment="1" applyProtection="1">
      <alignment horizontal="center" vertical="center" wrapText="1"/>
      <protection hidden="1"/>
    </xf>
    <xf numFmtId="0" fontId="10" fillId="0" borderId="38" xfId="13" applyNumberFormat="1" applyFont="1" applyBorder="1" applyAlignment="1" applyProtection="1">
      <protection hidden="1"/>
    </xf>
    <xf numFmtId="0" fontId="9" fillId="0" borderId="51" xfId="0" applyFont="1" applyBorder="1" applyAlignment="1" applyProtection="1">
      <alignment horizontal="center" vertical="top"/>
      <protection hidden="1"/>
    </xf>
    <xf numFmtId="170" fontId="66" fillId="0" borderId="51" xfId="14" applyNumberFormat="1" applyFont="1" applyFill="1" applyBorder="1" applyProtection="1">
      <protection hidden="1"/>
    </xf>
    <xf numFmtId="170" fontId="66" fillId="0" borderId="25" xfId="14" applyNumberFormat="1" applyFont="1" applyFill="1" applyBorder="1" applyProtection="1">
      <protection hidden="1"/>
    </xf>
    <xf numFmtId="0" fontId="10" fillId="15" borderId="0" xfId="9" applyFont="1" applyFill="1" applyProtection="1">
      <protection hidden="1"/>
    </xf>
    <xf numFmtId="0" fontId="34" fillId="15" borderId="0" xfId="9" applyFont="1" applyFill="1" applyBorder="1" applyAlignment="1" applyProtection="1">
      <alignment vertical="center"/>
      <protection hidden="1"/>
    </xf>
    <xf numFmtId="0" fontId="10" fillId="15" borderId="0" xfId="9" applyFont="1" applyFill="1" applyBorder="1" applyProtection="1">
      <protection hidden="1"/>
    </xf>
    <xf numFmtId="0" fontId="9" fillId="15" borderId="0" xfId="9" applyNumberFormat="1" applyFont="1" applyFill="1" applyBorder="1" applyAlignment="1" applyProtection="1">
      <protection hidden="1"/>
    </xf>
    <xf numFmtId="0" fontId="10" fillId="58" borderId="0" xfId="9" applyFont="1" applyFill="1" applyBorder="1" applyAlignment="1" applyProtection="1">
      <alignment vertical="center"/>
      <protection hidden="1"/>
    </xf>
    <xf numFmtId="0" fontId="9" fillId="15" borderId="0" xfId="9" applyFont="1" applyFill="1" applyBorder="1" applyAlignment="1" applyProtection="1">
      <alignment vertical="center"/>
      <protection hidden="1"/>
    </xf>
    <xf numFmtId="0" fontId="10" fillId="58" borderId="0" xfId="9" applyFont="1" applyFill="1" applyBorder="1" applyAlignment="1" applyProtection="1">
      <alignment horizontal="left" indent="2"/>
      <protection hidden="1"/>
    </xf>
    <xf numFmtId="0" fontId="9" fillId="15" borderId="12" xfId="9" applyFont="1" applyFill="1" applyBorder="1" applyAlignment="1" applyProtection="1">
      <alignment horizontal="left" vertical="center" indent="1"/>
      <protection hidden="1"/>
    </xf>
    <xf numFmtId="0" fontId="33" fillId="15" borderId="0" xfId="0" applyFont="1" applyFill="1" applyBorder="1" applyAlignment="1" applyProtection="1">
      <alignment horizontal="center" vertical="center"/>
      <protection hidden="1"/>
    </xf>
    <xf numFmtId="0" fontId="9" fillId="58" borderId="0" xfId="9" applyFont="1" applyFill="1" applyBorder="1" applyAlignment="1" applyProtection="1">
      <protection hidden="1"/>
    </xf>
    <xf numFmtId="0" fontId="9" fillId="15" borderId="0" xfId="9" applyFont="1" applyFill="1" applyBorder="1" applyAlignment="1" applyProtection="1">
      <alignment horizontal="left" vertical="center" indent="1"/>
      <protection hidden="1"/>
    </xf>
    <xf numFmtId="0" fontId="9" fillId="58" borderId="0" xfId="9" applyFont="1" applyFill="1" applyBorder="1" applyAlignment="1" applyProtection="1">
      <alignment horizontal="right" vertical="center"/>
      <protection hidden="1"/>
    </xf>
    <xf numFmtId="0" fontId="9" fillId="15" borderId="8" xfId="9" applyFont="1" applyFill="1" applyBorder="1" applyAlignment="1" applyProtection="1">
      <alignment horizontal="center" vertical="center" wrapText="1"/>
      <protection hidden="1"/>
    </xf>
    <xf numFmtId="0" fontId="10" fillId="58" borderId="22" xfId="9" applyFont="1" applyFill="1" applyBorder="1" applyAlignment="1" applyProtection="1">
      <alignment vertical="center" wrapText="1"/>
      <protection hidden="1"/>
    </xf>
    <xf numFmtId="0" fontId="9" fillId="58" borderId="22" xfId="9" applyFont="1" applyFill="1" applyBorder="1" applyAlignment="1" applyProtection="1">
      <alignment horizontal="center" vertical="center"/>
      <protection hidden="1"/>
    </xf>
    <xf numFmtId="0" fontId="10" fillId="15" borderId="0" xfId="9" applyFont="1" applyFill="1" applyAlignment="1" applyProtection="1">
      <protection hidden="1"/>
    </xf>
    <xf numFmtId="172" fontId="9" fillId="58" borderId="31" xfId="9" quotePrefix="1" applyNumberFormat="1" applyFont="1" applyFill="1" applyBorder="1" applyAlignment="1" applyProtection="1">
      <alignment horizontal="center" vertical="center"/>
      <protection hidden="1"/>
    </xf>
    <xf numFmtId="0" fontId="9" fillId="58" borderId="109" xfId="9" applyFont="1" applyFill="1" applyBorder="1" applyAlignment="1" applyProtection="1">
      <alignment horizontal="left" vertical="center" indent="1"/>
      <protection hidden="1"/>
    </xf>
    <xf numFmtId="0" fontId="10" fillId="58" borderId="109" xfId="9" applyFont="1" applyFill="1" applyBorder="1" applyAlignment="1" applyProtection="1">
      <protection hidden="1"/>
    </xf>
    <xf numFmtId="0" fontId="9" fillId="58" borderId="49" xfId="9" applyFont="1" applyFill="1" applyBorder="1" applyAlignment="1" applyProtection="1">
      <alignment horizontal="left" vertical="center" indent="2"/>
      <protection hidden="1"/>
    </xf>
    <xf numFmtId="168" fontId="9" fillId="58" borderId="49" xfId="9" applyNumberFormat="1" applyFont="1" applyFill="1" applyBorder="1" applyAlignment="1" applyProtection="1">
      <alignment vertical="center"/>
      <protection hidden="1"/>
    </xf>
    <xf numFmtId="0" fontId="9" fillId="58" borderId="22" xfId="9" applyFont="1" applyFill="1" applyBorder="1" applyAlignment="1" applyProtection="1">
      <alignment horizontal="left" vertical="center" indent="1"/>
      <protection hidden="1"/>
    </xf>
    <xf numFmtId="0" fontId="10" fillId="58" borderId="22" xfId="9" applyFont="1" applyFill="1" applyBorder="1" applyAlignment="1" applyProtection="1">
      <protection hidden="1"/>
    </xf>
    <xf numFmtId="0" fontId="9" fillId="58" borderId="22" xfId="9" applyFont="1" applyFill="1" applyBorder="1" applyAlignment="1" applyProtection="1">
      <alignment horizontal="left" vertical="center" indent="2"/>
      <protection hidden="1"/>
    </xf>
    <xf numFmtId="0" fontId="9" fillId="58" borderId="33" xfId="9" applyFont="1" applyFill="1" applyBorder="1" applyAlignment="1" applyProtection="1">
      <alignment horizontal="left" vertical="center" indent="1"/>
      <protection hidden="1"/>
    </xf>
    <xf numFmtId="168" fontId="9" fillId="15" borderId="33" xfId="9" applyNumberFormat="1" applyFont="1" applyFill="1" applyBorder="1" applyAlignment="1" applyProtection="1">
      <alignment vertical="center"/>
      <protection hidden="1"/>
    </xf>
    <xf numFmtId="0" fontId="10" fillId="58" borderId="17" xfId="9" applyFont="1" applyFill="1" applyBorder="1" applyAlignment="1" applyProtection="1">
      <protection hidden="1"/>
    </xf>
    <xf numFmtId="0" fontId="9" fillId="58" borderId="0" xfId="12" applyFont="1" applyFill="1" applyBorder="1" applyAlignment="1" applyProtection="1">
      <alignment horizontal="centerContinuous" vertical="center"/>
      <protection hidden="1"/>
    </xf>
    <xf numFmtId="0" fontId="11" fillId="58" borderId="0" xfId="9" applyFont="1" applyFill="1" applyBorder="1" applyAlignment="1" applyProtection="1">
      <alignment horizontal="left" vertical="center"/>
      <protection hidden="1"/>
    </xf>
    <xf numFmtId="0" fontId="9" fillId="20" borderId="24" xfId="0" applyFont="1" applyFill="1" applyBorder="1" applyAlignment="1" applyProtection="1">
      <alignment horizontal="center" vertical="top" wrapText="1"/>
      <protection hidden="1"/>
    </xf>
    <xf numFmtId="0" fontId="9" fillId="20" borderId="27" xfId="0" applyFont="1" applyFill="1" applyBorder="1" applyAlignment="1" applyProtection="1">
      <alignment horizontal="center" vertical="top" wrapText="1"/>
      <protection hidden="1"/>
    </xf>
    <xf numFmtId="0" fontId="9" fillId="20" borderId="25" xfId="0" applyFont="1" applyFill="1" applyBorder="1" applyAlignment="1" applyProtection="1">
      <alignment horizontal="center" vertical="top" wrapText="1"/>
      <protection hidden="1"/>
    </xf>
    <xf numFmtId="164" fontId="9" fillId="3" borderId="0" xfId="78" applyNumberFormat="1" applyFont="1" applyFill="1" applyBorder="1" applyAlignment="1" applyProtection="1">
      <alignment horizontal="center" vertical="center"/>
      <protection hidden="1"/>
    </xf>
    <xf numFmtId="164" fontId="9" fillId="3" borderId="11" xfId="78" applyNumberFormat="1" applyFont="1" applyFill="1" applyBorder="1" applyAlignment="1" applyProtection="1">
      <alignment horizontal="center" vertical="center"/>
      <protection hidden="1"/>
    </xf>
    <xf numFmtId="164" fontId="9" fillId="15" borderId="0" xfId="78" applyNumberFormat="1" applyFont="1" applyFill="1" applyBorder="1" applyAlignment="1" applyProtection="1">
      <alignment horizontal="center" vertical="center"/>
      <protection hidden="1"/>
    </xf>
    <xf numFmtId="164" fontId="9" fillId="15" borderId="11" xfId="78" applyNumberFormat="1" applyFont="1" applyFill="1" applyBorder="1" applyAlignment="1" applyProtection="1">
      <alignment horizontal="center" vertical="center"/>
      <protection hidden="1"/>
    </xf>
    <xf numFmtId="0" fontId="9" fillId="19" borderId="8" xfId="9" applyFont="1" applyFill="1" applyBorder="1" applyAlignment="1" applyProtection="1">
      <alignment horizontal="center" vertical="center" wrapText="1"/>
      <protection hidden="1"/>
    </xf>
    <xf numFmtId="0" fontId="9" fillId="19" borderId="22" xfId="9" applyFont="1" applyFill="1" applyBorder="1" applyAlignment="1" applyProtection="1">
      <alignment horizontal="center" vertical="center" wrapText="1"/>
      <protection hidden="1"/>
    </xf>
    <xf numFmtId="170" fontId="70" fillId="15" borderId="0" xfId="9" applyNumberFormat="1" applyFont="1" applyFill="1" applyAlignment="1" applyProtection="1">
      <alignment vertical="center"/>
      <protection hidden="1"/>
    </xf>
    <xf numFmtId="0" fontId="10" fillId="15" borderId="49" xfId="0" applyFont="1" applyFill="1" applyBorder="1" applyAlignment="1" applyProtection="1">
      <alignment horizontal="left" vertical="center" wrapText="1" indent="2"/>
      <protection hidden="1"/>
    </xf>
    <xf numFmtId="178" fontId="10" fillId="15" borderId="23" xfId="9" applyNumberFormat="1" applyFont="1" applyFill="1" applyBorder="1" applyAlignment="1" applyProtection="1">
      <alignment vertical="center"/>
      <protection hidden="1"/>
    </xf>
    <xf numFmtId="178" fontId="10" fillId="15" borderId="49" xfId="9" applyNumberFormat="1" applyFont="1" applyFill="1" applyBorder="1" applyAlignment="1" applyProtection="1">
      <alignment vertical="center"/>
      <protection hidden="1"/>
    </xf>
    <xf numFmtId="0" fontId="34" fillId="11" borderId="0" xfId="78" applyFont="1" applyFill="1" applyAlignment="1" applyProtection="1">
      <alignment vertical="center"/>
      <protection hidden="1"/>
    </xf>
    <xf numFmtId="0" fontId="9" fillId="19" borderId="11" xfId="9" applyFont="1" applyFill="1" applyBorder="1" applyAlignment="1" applyProtection="1">
      <alignment horizontal="center" vertical="center"/>
      <protection hidden="1"/>
    </xf>
    <xf numFmtId="0" fontId="10" fillId="0" borderId="19" xfId="13" applyNumberFormat="1" applyFont="1" applyBorder="1" applyAlignment="1" applyProtection="1">
      <protection hidden="1"/>
    </xf>
    <xf numFmtId="0" fontId="10" fillId="0" borderId="110" xfId="13" applyNumberFormat="1" applyFont="1" applyBorder="1" applyAlignment="1" applyProtection="1">
      <protection hidden="1"/>
    </xf>
    <xf numFmtId="0" fontId="9" fillId="0" borderId="110" xfId="13" applyNumberFormat="1" applyFont="1" applyBorder="1" applyAlignment="1" applyProtection="1">
      <alignment horizontal="center" vertical="center"/>
      <protection hidden="1"/>
    </xf>
    <xf numFmtId="0" fontId="10" fillId="0" borderId="110" xfId="13" applyNumberFormat="1" applyFont="1" applyBorder="1" applyAlignment="1" applyProtection="1">
      <alignment horizontal="left" indent="1"/>
      <protection hidden="1"/>
    </xf>
    <xf numFmtId="0" fontId="9" fillId="0" borderId="38" xfId="13" applyNumberFormat="1" applyFont="1" applyBorder="1" applyAlignment="1" applyProtection="1">
      <alignment horizontal="left" vertical="center" indent="1"/>
      <protection hidden="1"/>
    </xf>
    <xf numFmtId="0" fontId="9" fillId="0" borderId="51" xfId="13" applyNumberFormat="1" applyFont="1" applyBorder="1" applyAlignment="1" applyProtection="1">
      <alignment horizontal="center" vertical="top"/>
      <protection hidden="1"/>
    </xf>
    <xf numFmtId="185" fontId="66" fillId="0" borderId="25" xfId="8" applyNumberFormat="1" applyFont="1" applyFill="1" applyBorder="1" applyAlignment="1" applyProtection="1">
      <protection hidden="1"/>
    </xf>
    <xf numFmtId="0" fontId="66" fillId="0" borderId="39" xfId="8" applyNumberFormat="1" applyFont="1" applyFill="1" applyBorder="1" applyAlignment="1" applyProtection="1">
      <protection hidden="1"/>
    </xf>
    <xf numFmtId="185" fontId="66" fillId="0" borderId="51" xfId="8" applyNumberFormat="1" applyFont="1" applyFill="1" applyBorder="1" applyAlignment="1" applyProtection="1">
      <protection hidden="1"/>
    </xf>
    <xf numFmtId="0" fontId="9" fillId="0" borderId="78" xfId="0" applyFont="1" applyBorder="1" applyAlignment="1" applyProtection="1">
      <alignment horizontal="center" vertical="top" wrapText="1"/>
      <protection hidden="1"/>
    </xf>
    <xf numFmtId="170" fontId="66" fillId="0" borderId="0" xfId="14" applyNumberFormat="1" applyFont="1" applyFill="1" applyBorder="1" applyProtection="1">
      <protection hidden="1"/>
    </xf>
    <xf numFmtId="0" fontId="66" fillId="0" borderId="0" xfId="14" applyFont="1" applyFill="1" applyBorder="1" applyProtection="1">
      <protection hidden="1"/>
    </xf>
    <xf numFmtId="170" fontId="66" fillId="0" borderId="97" xfId="14" applyNumberFormat="1" applyFont="1" applyFill="1" applyBorder="1" applyProtection="1">
      <protection hidden="1"/>
    </xf>
    <xf numFmtId="0" fontId="66" fillId="0" borderId="50" xfId="14" applyFont="1" applyFill="1" applyBorder="1" applyProtection="1">
      <protection hidden="1"/>
    </xf>
    <xf numFmtId="0" fontId="9" fillId="0" borderId="76" xfId="13" applyNumberFormat="1" applyFont="1" applyBorder="1" applyAlignment="1" applyProtection="1">
      <alignment horizontal="center" vertical="top" wrapText="1"/>
      <protection hidden="1"/>
    </xf>
    <xf numFmtId="0" fontId="10" fillId="58" borderId="0" xfId="9" applyFont="1" applyFill="1" applyBorder="1" applyProtection="1">
      <protection hidden="1"/>
    </xf>
    <xf numFmtId="0" fontId="11" fillId="58" borderId="0" xfId="9" applyFont="1" applyFill="1" applyBorder="1" applyProtection="1">
      <protection hidden="1"/>
    </xf>
    <xf numFmtId="0" fontId="9" fillId="58" borderId="0" xfId="9" applyFont="1" applyFill="1" applyBorder="1" applyAlignment="1" applyProtection="1">
      <alignment horizontal="left" vertical="center"/>
      <protection hidden="1"/>
    </xf>
    <xf numFmtId="0" fontId="9" fillId="58" borderId="0" xfId="9" applyFont="1" applyFill="1" applyBorder="1" applyAlignment="1" applyProtection="1">
      <alignment horizontal="left"/>
      <protection hidden="1"/>
    </xf>
    <xf numFmtId="0" fontId="9" fillId="58" borderId="0" xfId="12" applyFont="1" applyFill="1" applyBorder="1" applyProtection="1">
      <protection hidden="1"/>
    </xf>
    <xf numFmtId="0" fontId="9" fillId="58" borderId="69" xfId="9" applyFont="1" applyFill="1" applyBorder="1" applyAlignment="1" applyProtection="1">
      <alignment horizontal="left"/>
      <protection hidden="1"/>
    </xf>
    <xf numFmtId="0" fontId="9" fillId="58" borderId="18" xfId="9" applyFont="1" applyFill="1" applyBorder="1" applyAlignment="1" applyProtection="1">
      <alignment horizontal="center" vertical="center"/>
      <protection hidden="1"/>
    </xf>
    <xf numFmtId="0" fontId="9" fillId="58" borderId="8" xfId="9" applyFont="1" applyFill="1" applyBorder="1" applyAlignment="1" applyProtection="1">
      <alignment horizontal="center" vertical="center" wrapText="1"/>
      <protection hidden="1"/>
    </xf>
    <xf numFmtId="0" fontId="9" fillId="58" borderId="9" xfId="9" applyFont="1" applyFill="1" applyBorder="1" applyAlignment="1" applyProtection="1">
      <alignment horizontal="left" vertical="center" indent="1"/>
      <protection hidden="1"/>
    </xf>
    <xf numFmtId="0" fontId="9" fillId="58" borderId="65" xfId="9" applyFont="1" applyFill="1" applyBorder="1" applyAlignment="1" applyProtection="1">
      <alignment horizontal="center" vertical="top"/>
      <protection hidden="1"/>
    </xf>
    <xf numFmtId="0" fontId="9" fillId="58" borderId="51" xfId="9" applyFont="1" applyFill="1" applyBorder="1" applyAlignment="1" applyProtection="1">
      <alignment horizontal="center" vertical="top"/>
      <protection hidden="1"/>
    </xf>
    <xf numFmtId="0" fontId="9" fillId="58" borderId="51" xfId="9" applyFont="1" applyFill="1" applyBorder="1" applyAlignment="1" applyProtection="1">
      <alignment horizontal="center" vertical="top" wrapText="1"/>
      <protection hidden="1"/>
    </xf>
    <xf numFmtId="0" fontId="9" fillId="58" borderId="10" xfId="9" applyFont="1" applyFill="1" applyBorder="1" applyAlignment="1" applyProtection="1">
      <alignment horizontal="center" vertical="top" wrapText="1"/>
      <protection hidden="1"/>
    </xf>
    <xf numFmtId="0" fontId="9" fillId="58" borderId="81" xfId="9" applyFont="1" applyFill="1" applyBorder="1" applyAlignment="1" applyProtection="1">
      <alignment horizontal="center" vertical="top" wrapText="1"/>
      <protection hidden="1"/>
    </xf>
    <xf numFmtId="0" fontId="9" fillId="58" borderId="11" xfId="9" applyFont="1" applyFill="1" applyBorder="1" applyAlignment="1" applyProtection="1">
      <alignment horizontal="center" vertical="top" wrapText="1"/>
      <protection hidden="1"/>
    </xf>
    <xf numFmtId="0" fontId="10" fillId="58" borderId="9" xfId="9" applyFont="1" applyFill="1" applyBorder="1" applyAlignment="1" applyProtection="1">
      <alignment vertical="center"/>
      <protection hidden="1"/>
    </xf>
    <xf numFmtId="0" fontId="9" fillId="58" borderId="110" xfId="9" applyFont="1" applyFill="1" applyBorder="1" applyAlignment="1" applyProtection="1">
      <alignment horizontal="center" vertical="center" wrapText="1"/>
      <protection hidden="1"/>
    </xf>
    <xf numFmtId="0" fontId="9" fillId="58" borderId="25" xfId="9" applyFont="1" applyFill="1" applyBorder="1" applyAlignment="1" applyProtection="1">
      <alignment horizontal="center" vertical="center" wrapText="1"/>
      <protection hidden="1"/>
    </xf>
    <xf numFmtId="0" fontId="9" fillId="58" borderId="27" xfId="9" applyFont="1" applyFill="1" applyBorder="1" applyAlignment="1" applyProtection="1">
      <alignment horizontal="center" vertical="center" wrapText="1"/>
      <protection hidden="1"/>
    </xf>
    <xf numFmtId="0" fontId="9" fillId="58" borderId="11" xfId="9" applyFont="1" applyFill="1" applyBorder="1" applyAlignment="1" applyProtection="1">
      <alignment horizontal="center" vertical="center" wrapText="1"/>
      <protection hidden="1"/>
    </xf>
    <xf numFmtId="0" fontId="9" fillId="58" borderId="22" xfId="9" applyFont="1" applyFill="1" applyBorder="1" applyAlignment="1" applyProtection="1">
      <alignment horizontal="center" vertical="center" wrapText="1"/>
      <protection hidden="1"/>
    </xf>
    <xf numFmtId="0" fontId="9" fillId="58" borderId="9" xfId="9" applyFont="1" applyFill="1" applyBorder="1" applyAlignment="1" applyProtection="1">
      <alignment horizontal="center" vertical="center"/>
      <protection hidden="1"/>
    </xf>
    <xf numFmtId="0" fontId="9" fillId="58" borderId="25" xfId="9" applyFont="1" applyFill="1" applyBorder="1" applyAlignment="1" applyProtection="1">
      <alignment horizontal="center" vertical="center"/>
      <protection hidden="1"/>
    </xf>
    <xf numFmtId="0" fontId="9" fillId="58" borderId="0" xfId="9" applyFont="1" applyFill="1" applyBorder="1" applyAlignment="1" applyProtection="1">
      <alignment horizontal="center" vertical="center"/>
      <protection hidden="1"/>
    </xf>
    <xf numFmtId="0" fontId="9" fillId="58" borderId="27" xfId="9" applyFont="1" applyFill="1" applyBorder="1" applyAlignment="1" applyProtection="1">
      <alignment horizontal="center" vertical="center"/>
      <protection hidden="1"/>
    </xf>
    <xf numFmtId="0" fontId="9" fillId="58" borderId="11" xfId="9" applyFont="1" applyFill="1" applyBorder="1" applyAlignment="1" applyProtection="1">
      <alignment horizontal="center" vertical="center"/>
      <protection hidden="1"/>
    </xf>
    <xf numFmtId="0" fontId="10" fillId="58" borderId="41" xfId="9" applyFont="1" applyFill="1" applyBorder="1" applyAlignment="1" applyProtection="1">
      <alignment vertical="center"/>
      <protection hidden="1"/>
    </xf>
    <xf numFmtId="172" fontId="9" fillId="15" borderId="31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15" borderId="38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15" borderId="39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15" borderId="55" xfId="9" quotePrefix="1" applyNumberFormat="1" applyFont="1" applyFill="1" applyBorder="1" applyAlignment="1" applyProtection="1">
      <alignment horizontal="center" vertical="center" wrapText="1"/>
      <protection hidden="1"/>
    </xf>
    <xf numFmtId="172" fontId="9" fillId="15" borderId="70" xfId="9" quotePrefix="1" applyNumberFormat="1" applyFont="1" applyFill="1" applyBorder="1" applyAlignment="1" applyProtection="1">
      <alignment horizontal="center" vertical="center" wrapText="1"/>
      <protection hidden="1"/>
    </xf>
    <xf numFmtId="0" fontId="10" fillId="58" borderId="9" xfId="9" applyFont="1" applyFill="1" applyBorder="1" applyAlignment="1" applyProtection="1">
      <alignment horizontal="left" vertical="center" indent="1"/>
      <protection hidden="1"/>
    </xf>
    <xf numFmtId="178" fontId="33" fillId="59" borderId="11" xfId="9" applyNumberFormat="1" applyFont="1" applyFill="1" applyBorder="1" applyAlignment="1" applyProtection="1">
      <alignment vertical="center"/>
      <protection hidden="1"/>
    </xf>
    <xf numFmtId="168" fontId="9" fillId="59" borderId="8" xfId="9" applyNumberFormat="1" applyFont="1" applyFill="1" applyBorder="1" applyAlignment="1" applyProtection="1">
      <alignment vertical="center"/>
      <protection hidden="1"/>
    </xf>
    <xf numFmtId="0" fontId="10" fillId="58" borderId="29" xfId="9" applyFont="1" applyFill="1" applyBorder="1" applyAlignment="1" applyProtection="1">
      <alignment horizontal="left" vertical="center" indent="1"/>
      <protection hidden="1"/>
    </xf>
    <xf numFmtId="178" fontId="33" fillId="59" borderId="22" xfId="9" applyNumberFormat="1" applyFont="1" applyFill="1" applyBorder="1" applyAlignment="1" applyProtection="1">
      <alignment vertical="center"/>
      <protection hidden="1"/>
    </xf>
    <xf numFmtId="168" fontId="9" fillId="59" borderId="49" xfId="9" applyNumberFormat="1" applyFont="1" applyFill="1" applyBorder="1" applyAlignment="1" applyProtection="1">
      <alignment vertical="center"/>
      <protection hidden="1"/>
    </xf>
    <xf numFmtId="172" fontId="9" fillId="0" borderId="5" xfId="13" applyNumberFormat="1" applyFont="1" applyBorder="1" applyAlignment="1" applyProtection="1">
      <alignment horizontal="center" vertical="center"/>
      <protection hidden="1"/>
    </xf>
    <xf numFmtId="172" fontId="9" fillId="0" borderId="5" xfId="0" applyNumberFormat="1" applyFont="1" applyBorder="1" applyAlignment="1" applyProtection="1">
      <alignment horizontal="center" vertical="center"/>
      <protection hidden="1"/>
    </xf>
    <xf numFmtId="172" fontId="9" fillId="0" borderId="3" xfId="0" applyNumberFormat="1" applyFont="1" applyBorder="1" applyAlignment="1" applyProtection="1">
      <alignment horizontal="center" vertical="center"/>
      <protection hidden="1"/>
    </xf>
    <xf numFmtId="172" fontId="9" fillId="0" borderId="4" xfId="0" applyNumberFormat="1" applyFont="1" applyBorder="1" applyAlignment="1" applyProtection="1">
      <alignment horizontal="center" vertical="center"/>
      <protection hidden="1"/>
    </xf>
    <xf numFmtId="0" fontId="9" fillId="0" borderId="65" xfId="14" applyFont="1" applyBorder="1" applyAlignment="1" applyProtection="1">
      <alignment horizontal="center" vertical="top"/>
      <protection hidden="1"/>
    </xf>
    <xf numFmtId="172" fontId="9" fillId="0" borderId="5" xfId="14" applyNumberFormat="1" applyFont="1" applyBorder="1" applyAlignment="1" applyProtection="1">
      <alignment horizontal="center" vertical="center"/>
      <protection hidden="1"/>
    </xf>
    <xf numFmtId="172" fontId="9" fillId="0" borderId="26" xfId="14" applyNumberFormat="1" applyFont="1" applyBorder="1" applyAlignment="1" applyProtection="1">
      <alignment horizontal="center" vertical="center"/>
      <protection hidden="1"/>
    </xf>
    <xf numFmtId="189" fontId="10" fillId="0" borderId="22" xfId="9" applyNumberFormat="1" applyFont="1" applyFill="1" applyBorder="1" applyAlignment="1" applyProtection="1">
      <alignment vertical="center"/>
      <protection locked="0"/>
    </xf>
    <xf numFmtId="189" fontId="10" fillId="0" borderId="49" xfId="9" applyNumberFormat="1" applyFont="1" applyFill="1" applyBorder="1" applyAlignment="1" applyProtection="1">
      <alignment vertical="center"/>
      <protection locked="0"/>
    </xf>
    <xf numFmtId="0" fontId="9" fillId="58" borderId="0" xfId="9" applyFont="1" applyFill="1" applyBorder="1" applyAlignment="1" applyProtection="1">
      <alignment horizontal="right"/>
      <protection hidden="1"/>
    </xf>
    <xf numFmtId="0" fontId="34" fillId="15" borderId="0" xfId="78" applyFont="1" applyFill="1" applyBorder="1" applyAlignment="1" applyProtection="1">
      <alignment vertical="center"/>
      <protection hidden="1"/>
    </xf>
    <xf numFmtId="0" fontId="9" fillId="58" borderId="0" xfId="9" applyFont="1" applyFill="1" applyBorder="1" applyAlignment="1" applyProtection="1">
      <alignment horizontal="left" vertical="center" indent="1"/>
      <protection hidden="1"/>
    </xf>
    <xf numFmtId="0" fontId="10" fillId="58" borderId="17" xfId="9" applyFont="1" applyFill="1" applyBorder="1" applyProtection="1">
      <protection hidden="1"/>
    </xf>
    <xf numFmtId="178" fontId="33" fillId="25" borderId="11" xfId="0" applyNumberFormat="1" applyFont="1" applyFill="1" applyBorder="1" applyAlignment="1" applyProtection="1">
      <alignment vertical="center"/>
      <protection hidden="1"/>
    </xf>
    <xf numFmtId="178" fontId="33" fillId="26" borderId="11" xfId="0" applyNumberFormat="1" applyFont="1" applyFill="1" applyBorder="1" applyAlignment="1" applyProtection="1">
      <alignment vertical="center"/>
      <protection hidden="1"/>
    </xf>
    <xf numFmtId="168" fontId="9" fillId="26" borderId="8" xfId="0" applyNumberFormat="1" applyFont="1" applyFill="1" applyBorder="1" applyAlignment="1" applyProtection="1">
      <alignment vertical="center"/>
      <protection hidden="1"/>
    </xf>
    <xf numFmtId="178" fontId="33" fillId="25" borderId="22" xfId="0" applyNumberFormat="1" applyFont="1" applyFill="1" applyBorder="1" applyAlignment="1" applyProtection="1">
      <alignment vertical="center"/>
      <protection hidden="1"/>
    </xf>
    <xf numFmtId="168" fontId="9" fillId="26" borderId="49" xfId="0" applyNumberFormat="1" applyFont="1" applyFill="1" applyBorder="1" applyAlignment="1" applyProtection="1">
      <alignment vertical="center"/>
      <protection hidden="1"/>
    </xf>
    <xf numFmtId="172" fontId="9" fillId="0" borderId="74" xfId="14" applyNumberFormat="1" applyFont="1" applyBorder="1" applyAlignment="1" applyProtection="1">
      <alignment horizontal="center" vertical="center"/>
      <protection hidden="1"/>
    </xf>
    <xf numFmtId="172" fontId="9" fillId="0" borderId="13" xfId="14" applyNumberFormat="1" applyFont="1" applyBorder="1" applyAlignment="1" applyProtection="1">
      <alignment horizontal="center" vertical="center"/>
      <protection hidden="1"/>
    </xf>
    <xf numFmtId="0" fontId="9" fillId="0" borderId="0" xfId="0" applyNumberFormat="1" applyFont="1" applyBorder="1" applyAlignment="1" applyProtection="1">
      <protection hidden="1"/>
    </xf>
    <xf numFmtId="0" fontId="10" fillId="0" borderId="0" xfId="0" applyNumberFormat="1" applyFont="1" applyBorder="1" applyAlignment="1" applyProtection="1">
      <protection hidden="1"/>
    </xf>
    <xf numFmtId="0" fontId="10" fillId="0" borderId="19" xfId="0" applyNumberFormat="1" applyFont="1" applyBorder="1" applyAlignment="1" applyProtection="1">
      <protection hidden="1"/>
    </xf>
    <xf numFmtId="0" fontId="10" fillId="0" borderId="110" xfId="0" applyNumberFormat="1" applyFont="1" applyBorder="1" applyAlignment="1" applyProtection="1">
      <protection hidden="1"/>
    </xf>
    <xf numFmtId="0" fontId="9" fillId="0" borderId="110" xfId="0" applyNumberFormat="1" applyFont="1" applyBorder="1" applyAlignment="1" applyProtection="1">
      <alignment horizontal="center" vertical="center"/>
      <protection hidden="1"/>
    </xf>
    <xf numFmtId="0" fontId="9" fillId="0" borderId="76" xfId="0" applyNumberFormat="1" applyFont="1" applyBorder="1" applyAlignment="1" applyProtection="1">
      <alignment horizontal="center" vertical="top"/>
      <protection hidden="1"/>
    </xf>
    <xf numFmtId="0" fontId="9" fillId="0" borderId="25" xfId="0" applyNumberFormat="1" applyFont="1" applyBorder="1" applyAlignment="1" applyProtection="1">
      <alignment horizontal="center" vertical="top"/>
      <protection hidden="1"/>
    </xf>
    <xf numFmtId="0" fontId="9" fillId="0" borderId="11" xfId="0" applyNumberFormat="1" applyFont="1" applyBorder="1" applyAlignment="1" applyProtection="1">
      <alignment horizontal="center" vertical="top" wrapText="1"/>
      <protection hidden="1"/>
    </xf>
    <xf numFmtId="0" fontId="9" fillId="0" borderId="76" xfId="0" applyNumberFormat="1" applyFont="1" applyBorder="1" applyAlignment="1" applyProtection="1">
      <alignment horizontal="center" vertical="center"/>
      <protection hidden="1"/>
    </xf>
    <xf numFmtId="0" fontId="9" fillId="0" borderId="25" xfId="0" applyNumberFormat="1" applyFont="1" applyBorder="1" applyAlignment="1" applyProtection="1">
      <alignment horizontal="center" vertical="center"/>
      <protection hidden="1"/>
    </xf>
    <xf numFmtId="0" fontId="9" fillId="0" borderId="11" xfId="0" applyNumberFormat="1" applyFont="1" applyBorder="1" applyAlignment="1" applyProtection="1">
      <alignment horizontal="center" vertical="center"/>
      <protection hidden="1"/>
    </xf>
    <xf numFmtId="190" fontId="9" fillId="0" borderId="4" xfId="0" applyNumberFormat="1" applyFont="1" applyBorder="1" applyAlignment="1" applyProtection="1">
      <alignment horizontal="center" vertical="center"/>
      <protection hidden="1"/>
    </xf>
    <xf numFmtId="190" fontId="9" fillId="0" borderId="26" xfId="0" applyNumberFormat="1" applyFont="1" applyBorder="1" applyAlignment="1" applyProtection="1">
      <alignment horizontal="center" vertical="center"/>
      <protection hidden="1"/>
    </xf>
    <xf numFmtId="190" fontId="9" fillId="0" borderId="5" xfId="0" applyNumberFormat="1" applyFont="1" applyBorder="1" applyAlignment="1" applyProtection="1">
      <alignment horizontal="center" vertical="center"/>
      <protection hidden="1"/>
    </xf>
    <xf numFmtId="190" fontId="9" fillId="0" borderId="3" xfId="0" applyNumberFormat="1" applyFont="1" applyBorder="1" applyAlignment="1" applyProtection="1">
      <alignment horizontal="center" vertical="center"/>
      <protection hidden="1"/>
    </xf>
    <xf numFmtId="0" fontId="10" fillId="0" borderId="110" xfId="0" applyNumberFormat="1" applyFont="1" applyBorder="1" applyAlignment="1" applyProtection="1">
      <alignment horizontal="left" indent="1"/>
      <protection hidden="1"/>
    </xf>
    <xf numFmtId="175" fontId="10" fillId="0" borderId="76" xfId="0" applyNumberFormat="1" applyFont="1" applyBorder="1" applyAlignment="1" applyProtection="1">
      <protection hidden="1"/>
    </xf>
    <xf numFmtId="175" fontId="10" fillId="0" borderId="25" xfId="0" applyNumberFormat="1" applyFont="1" applyBorder="1" applyAlignment="1" applyProtection="1">
      <protection hidden="1"/>
    </xf>
    <xf numFmtId="175" fontId="10" fillId="0" borderId="11" xfId="0" applyNumberFormat="1" applyFont="1" applyBorder="1" applyAlignment="1" applyProtection="1">
      <protection hidden="1"/>
    </xf>
    <xf numFmtId="0" fontId="9" fillId="0" borderId="38" xfId="0" applyNumberFormat="1" applyFont="1" applyBorder="1" applyAlignment="1" applyProtection="1">
      <alignment horizontal="left" vertical="center" indent="1"/>
      <protection hidden="1"/>
    </xf>
    <xf numFmtId="175" fontId="9" fillId="0" borderId="70" xfId="0" applyNumberFormat="1" applyFont="1" applyBorder="1" applyAlignment="1" applyProtection="1">
      <alignment vertical="center"/>
      <protection hidden="1"/>
    </xf>
    <xf numFmtId="175" fontId="9" fillId="0" borderId="39" xfId="0" applyNumberFormat="1" applyFont="1" applyBorder="1" applyAlignment="1" applyProtection="1">
      <alignment vertical="center"/>
      <protection hidden="1"/>
    </xf>
    <xf numFmtId="175" fontId="9" fillId="0" borderId="55" xfId="0" applyNumberFormat="1" applyFont="1" applyBorder="1" applyAlignment="1" applyProtection="1">
      <alignment vertical="center"/>
      <protection hidden="1"/>
    </xf>
    <xf numFmtId="175" fontId="10" fillId="0" borderId="17" xfId="0" applyNumberFormat="1" applyFont="1" applyBorder="1" applyAlignment="1" applyProtection="1">
      <protection hidden="1"/>
    </xf>
    <xf numFmtId="175" fontId="10" fillId="0" borderId="0" xfId="0" applyNumberFormat="1" applyFont="1" applyBorder="1" applyAlignment="1" applyProtection="1">
      <protection hidden="1"/>
    </xf>
    <xf numFmtId="0" fontId="10" fillId="0" borderId="0" xfId="0" applyNumberFormat="1" applyFont="1" applyBorder="1" applyAlignment="1" applyProtection="1">
      <alignment horizontal="left" indent="1"/>
      <protection hidden="1"/>
    </xf>
    <xf numFmtId="192" fontId="66" fillId="0" borderId="11" xfId="14" applyNumberFormat="1" applyFont="1" applyFill="1" applyBorder="1" applyAlignment="1" applyProtection="1">
      <alignment horizontal="center"/>
      <protection hidden="1"/>
    </xf>
    <xf numFmtId="185" fontId="66" fillId="0" borderId="10" xfId="8" applyNumberFormat="1" applyFont="1" applyFill="1" applyBorder="1" applyAlignment="1" applyProtection="1">
      <protection hidden="1"/>
    </xf>
    <xf numFmtId="185" fontId="66" fillId="0" borderId="27" xfId="8" applyNumberFormat="1" applyFont="1" applyFill="1" applyBorder="1" applyAlignment="1" applyProtection="1">
      <protection hidden="1"/>
    </xf>
    <xf numFmtId="0" fontId="66" fillId="0" borderId="25" xfId="14" applyFont="1" applyBorder="1" applyProtection="1">
      <protection hidden="1"/>
    </xf>
    <xf numFmtId="0" fontId="66" fillId="0" borderId="27" xfId="14" applyFont="1" applyBorder="1" applyProtection="1">
      <protection hidden="1"/>
    </xf>
    <xf numFmtId="0" fontId="66" fillId="0" borderId="39" xfId="14" applyFont="1" applyBorder="1" applyProtection="1">
      <protection hidden="1"/>
    </xf>
    <xf numFmtId="0" fontId="66" fillId="0" borderId="55" xfId="14" applyFont="1" applyBorder="1" applyProtection="1">
      <protection hidden="1"/>
    </xf>
    <xf numFmtId="172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5" xfId="0" applyNumberFormat="1" applyFont="1" applyFill="1" applyBorder="1" applyAlignment="1" applyProtection="1">
      <alignment horizontal="center" vertical="top" wrapText="1"/>
      <protection hidden="1"/>
    </xf>
    <xf numFmtId="170" fontId="10" fillId="16" borderId="30" xfId="9" applyNumberFormat="1" applyFont="1" applyFill="1" applyBorder="1" applyAlignment="1" applyProtection="1">
      <alignment vertical="center"/>
      <protection hidden="1"/>
    </xf>
    <xf numFmtId="193" fontId="10" fillId="16" borderId="30" xfId="9" applyNumberFormat="1" applyFont="1" applyFill="1" applyBorder="1" applyAlignment="1" applyProtection="1">
      <alignment vertical="center"/>
      <protection hidden="1"/>
    </xf>
    <xf numFmtId="193" fontId="10" fillId="16" borderId="46" xfId="9" applyNumberFormat="1" applyFont="1" applyFill="1" applyBorder="1" applyAlignment="1" applyProtection="1">
      <alignment vertical="center"/>
      <protection hidden="1"/>
    </xf>
    <xf numFmtId="184" fontId="10" fillId="16" borderId="30" xfId="9" applyNumberFormat="1" applyFont="1" applyFill="1" applyBorder="1" applyAlignment="1" applyProtection="1">
      <alignment vertical="center"/>
      <protection hidden="1"/>
    </xf>
    <xf numFmtId="193" fontId="10" fillId="16" borderId="47" xfId="9" applyNumberFormat="1" applyFont="1" applyFill="1" applyBorder="1" applyAlignment="1" applyProtection="1">
      <alignment vertical="center"/>
      <protection hidden="1"/>
    </xf>
    <xf numFmtId="168" fontId="9" fillId="60" borderId="30" xfId="9" applyNumberFormat="1" applyFont="1" applyFill="1" applyBorder="1" applyAlignment="1" applyProtection="1">
      <alignment vertical="center"/>
      <protection hidden="1"/>
    </xf>
    <xf numFmtId="183" fontId="9" fillId="60" borderId="30" xfId="9" applyNumberFormat="1" applyFont="1" applyFill="1" applyBorder="1" applyAlignment="1" applyProtection="1">
      <alignment vertical="center"/>
      <protection hidden="1"/>
    </xf>
    <xf numFmtId="170" fontId="10" fillId="16" borderId="110" xfId="9" applyNumberFormat="1" applyFont="1" applyFill="1" applyBorder="1" applyAlignment="1" applyProtection="1">
      <alignment vertical="center"/>
      <protection hidden="1"/>
    </xf>
    <xf numFmtId="170" fontId="10" fillId="16" borderId="40" xfId="9" applyNumberFormat="1" applyFont="1" applyFill="1" applyBorder="1" applyAlignment="1" applyProtection="1">
      <alignment vertical="center"/>
      <protection hidden="1"/>
    </xf>
    <xf numFmtId="170" fontId="10" fillId="16" borderId="46" xfId="9" applyNumberFormat="1" applyFont="1" applyFill="1" applyBorder="1" applyAlignment="1" applyProtection="1">
      <alignment vertical="center"/>
      <protection hidden="1"/>
    </xf>
    <xf numFmtId="184" fontId="10" fillId="16" borderId="47" xfId="9" applyNumberFormat="1" applyFont="1" applyFill="1" applyBorder="1" applyAlignment="1" applyProtection="1">
      <alignment vertical="center"/>
      <protection hidden="1"/>
    </xf>
    <xf numFmtId="170" fontId="10" fillId="16" borderId="48" xfId="9" applyNumberFormat="1" applyFont="1" applyFill="1" applyBorder="1" applyAlignment="1" applyProtection="1">
      <alignment vertical="center"/>
      <protection hidden="1"/>
    </xf>
    <xf numFmtId="193" fontId="10" fillId="16" borderId="40" xfId="9" applyNumberFormat="1" applyFont="1" applyFill="1" applyBorder="1" applyAlignment="1" applyProtection="1">
      <alignment vertical="center"/>
      <protection hidden="1"/>
    </xf>
    <xf numFmtId="0" fontId="30" fillId="0" borderId="111" xfId="0" applyFont="1" applyFill="1" applyBorder="1" applyAlignment="1" applyProtection="1">
      <alignment horizontal="left" vertical="center" indent="1"/>
      <protection hidden="1"/>
    </xf>
    <xf numFmtId="164" fontId="9" fillId="3" borderId="97" xfId="4" applyNumberFormat="1" applyFont="1" applyFill="1" applyBorder="1" applyAlignment="1" applyProtection="1">
      <alignment horizontal="center" vertical="top" wrapText="1"/>
      <protection hidden="1"/>
    </xf>
    <xf numFmtId="164" fontId="9" fillId="3" borderId="0" xfId="4" applyNumberFormat="1" applyFont="1" applyFill="1" applyBorder="1" applyAlignment="1" applyProtection="1">
      <alignment horizontal="center" vertical="center"/>
      <protection hidden="1"/>
    </xf>
    <xf numFmtId="172" fontId="9" fillId="3" borderId="45" xfId="4" quotePrefix="1" applyNumberFormat="1" applyFont="1" applyFill="1" applyBorder="1" applyAlignment="1" applyProtection="1">
      <alignment horizontal="center" vertical="center"/>
      <protection hidden="1"/>
    </xf>
    <xf numFmtId="164" fontId="10" fillId="3" borderId="97" xfId="4" quotePrefix="1" applyNumberFormat="1" applyFont="1" applyFill="1" applyBorder="1" applyAlignment="1" applyProtection="1">
      <alignment horizontal="center" vertical="center"/>
      <protection hidden="1"/>
    </xf>
    <xf numFmtId="171" fontId="9" fillId="3" borderId="133" xfId="4" applyNumberFormat="1" applyFont="1" applyFill="1" applyBorder="1" applyAlignment="1" applyProtection="1">
      <alignment vertical="center"/>
      <protection hidden="1"/>
    </xf>
    <xf numFmtId="171" fontId="9" fillId="3" borderId="134" xfId="4" applyNumberFormat="1" applyFont="1" applyFill="1" applyBorder="1" applyAlignment="1" applyProtection="1">
      <alignment vertical="center"/>
      <protection hidden="1"/>
    </xf>
    <xf numFmtId="164" fontId="10" fillId="3" borderId="97" xfId="4" applyNumberFormat="1" applyFont="1" applyFill="1" applyBorder="1" applyAlignment="1" applyProtection="1">
      <alignment vertical="center"/>
      <protection hidden="1"/>
    </xf>
    <xf numFmtId="171" fontId="9" fillId="3" borderId="78" xfId="4" applyNumberFormat="1" applyFont="1" applyFill="1" applyBorder="1" applyAlignment="1" applyProtection="1">
      <alignment vertical="center"/>
      <protection hidden="1"/>
    </xf>
    <xf numFmtId="171" fontId="9" fillId="3" borderId="135" xfId="4" applyNumberFormat="1" applyFont="1" applyFill="1" applyBorder="1" applyAlignment="1" applyProtection="1">
      <alignment vertical="center"/>
      <protection hidden="1"/>
    </xf>
    <xf numFmtId="0" fontId="9" fillId="3" borderId="22" xfId="4" applyFont="1" applyFill="1" applyBorder="1" applyAlignment="1" applyProtection="1">
      <alignment horizontal="center" vertical="center"/>
      <protection hidden="1"/>
    </xf>
    <xf numFmtId="164" fontId="9" fillId="3" borderId="22" xfId="4" applyNumberFormat="1" applyFont="1" applyFill="1" applyBorder="1" applyAlignment="1" applyProtection="1">
      <alignment horizontal="center" vertical="center"/>
      <protection hidden="1"/>
    </xf>
    <xf numFmtId="172" fontId="9" fillId="3" borderId="23" xfId="4" quotePrefix="1" applyNumberFormat="1" applyFont="1" applyFill="1" applyBorder="1" applyAlignment="1" applyProtection="1">
      <alignment horizontal="center" vertical="center"/>
      <protection hidden="1"/>
    </xf>
    <xf numFmtId="164" fontId="10" fillId="3" borderId="22" xfId="4" quotePrefix="1" applyNumberFormat="1" applyFont="1" applyFill="1" applyBorder="1" applyAlignment="1" applyProtection="1">
      <alignment horizontal="center" vertical="center"/>
      <protection hidden="1"/>
    </xf>
    <xf numFmtId="171" fontId="9" fillId="3" borderId="136" xfId="4" applyNumberFormat="1" applyFont="1" applyFill="1" applyBorder="1" applyAlignment="1" applyProtection="1">
      <alignment vertical="center"/>
      <protection hidden="1"/>
    </xf>
    <xf numFmtId="164" fontId="10" fillId="3" borderId="22" xfId="4" applyNumberFormat="1" applyFont="1" applyFill="1" applyBorder="1" applyAlignment="1" applyProtection="1">
      <alignment vertical="center"/>
      <protection hidden="1"/>
    </xf>
    <xf numFmtId="171" fontId="9" fillId="3" borderId="33" xfId="4" applyNumberFormat="1" applyFont="1" applyFill="1" applyBorder="1" applyAlignment="1" applyProtection="1">
      <alignment vertical="center"/>
      <protection hidden="1"/>
    </xf>
    <xf numFmtId="0" fontId="10" fillId="3" borderId="11" xfId="4" applyFont="1" applyFill="1" applyBorder="1" applyAlignment="1" applyProtection="1">
      <protection hidden="1"/>
    </xf>
    <xf numFmtId="164" fontId="9" fillId="3" borderId="11" xfId="4" applyNumberFormat="1" applyFont="1" applyFill="1" applyBorder="1" applyAlignment="1" applyProtection="1">
      <alignment horizontal="center" vertical="center"/>
      <protection hidden="1"/>
    </xf>
    <xf numFmtId="172" fontId="9" fillId="3" borderId="13" xfId="4" quotePrefix="1" applyNumberFormat="1" applyFont="1" applyFill="1" applyBorder="1" applyAlignment="1" applyProtection="1">
      <alignment horizontal="center" vertical="center"/>
      <protection hidden="1"/>
    </xf>
    <xf numFmtId="0" fontId="9" fillId="3" borderId="116" xfId="4" applyFont="1" applyFill="1" applyBorder="1" applyAlignment="1" applyProtection="1">
      <alignment horizontal="center" vertical="center"/>
      <protection hidden="1"/>
    </xf>
    <xf numFmtId="0" fontId="9" fillId="3" borderId="34" xfId="4" applyFont="1" applyFill="1" applyBorder="1" applyAlignment="1" applyProtection="1">
      <alignment horizontal="center" vertical="center"/>
      <protection hidden="1"/>
    </xf>
    <xf numFmtId="0" fontId="9" fillId="3" borderId="110" xfId="4" applyFont="1" applyFill="1" applyBorder="1" applyAlignment="1" applyProtection="1">
      <alignment horizontal="center" vertical="center"/>
      <protection hidden="1"/>
    </xf>
    <xf numFmtId="0" fontId="9" fillId="3" borderId="27" xfId="4" applyFont="1" applyFill="1" applyBorder="1" applyAlignment="1" applyProtection="1">
      <alignment horizontal="center" vertical="center" wrapText="1"/>
      <protection hidden="1"/>
    </xf>
    <xf numFmtId="164" fontId="9" fillId="3" borderId="110" xfId="4" applyNumberFormat="1" applyFont="1" applyFill="1" applyBorder="1" applyAlignment="1" applyProtection="1">
      <alignment horizontal="center" vertical="center"/>
      <protection hidden="1"/>
    </xf>
    <xf numFmtId="172" fontId="9" fillId="3" borderId="5" xfId="4" quotePrefix="1" applyNumberFormat="1" applyFont="1" applyFill="1" applyBorder="1" applyAlignment="1" applyProtection="1">
      <alignment horizontal="center" vertical="center"/>
      <protection hidden="1"/>
    </xf>
    <xf numFmtId="164" fontId="10" fillId="3" borderId="137" xfId="4" quotePrefix="1" applyNumberFormat="1" applyFont="1" applyFill="1" applyBorder="1" applyAlignment="1" applyProtection="1">
      <alignment horizontal="center" vertical="center"/>
      <protection hidden="1"/>
    </xf>
    <xf numFmtId="164" fontId="10" fillId="3" borderId="27" xfId="4" quotePrefix="1" applyNumberFormat="1" applyFont="1" applyFill="1" applyBorder="1" applyAlignment="1" applyProtection="1">
      <alignment horizontal="center" vertical="center"/>
      <protection hidden="1"/>
    </xf>
    <xf numFmtId="171" fontId="28" fillId="3" borderId="138" xfId="4" applyNumberFormat="1" applyFont="1" applyFill="1" applyBorder="1" applyAlignment="1" applyProtection="1">
      <alignment vertical="center"/>
      <protection hidden="1"/>
    </xf>
    <xf numFmtId="165" fontId="28" fillId="3" borderId="6" xfId="4" applyNumberFormat="1" applyFont="1" applyFill="1" applyBorder="1" applyAlignment="1" applyProtection="1">
      <alignment vertical="center"/>
      <protection hidden="1"/>
    </xf>
    <xf numFmtId="171" fontId="28" fillId="3" borderId="139" xfId="4" applyNumberFormat="1" applyFont="1" applyFill="1" applyBorder="1" applyAlignment="1" applyProtection="1">
      <alignment vertical="center"/>
      <protection hidden="1"/>
    </xf>
    <xf numFmtId="164" fontId="8" fillId="3" borderId="137" xfId="4" applyNumberFormat="1" applyFont="1" applyFill="1" applyBorder="1" applyAlignment="1" applyProtection="1">
      <alignment vertical="center"/>
      <protection hidden="1"/>
    </xf>
    <xf numFmtId="165" fontId="8" fillId="3" borderId="27" xfId="4" applyNumberFormat="1" applyFont="1" applyFill="1" applyBorder="1" applyAlignment="1" applyProtection="1">
      <alignment vertical="center"/>
      <protection hidden="1"/>
    </xf>
    <xf numFmtId="164" fontId="8" fillId="3" borderId="110" xfId="4" applyNumberFormat="1" applyFont="1" applyFill="1" applyBorder="1" applyAlignment="1" applyProtection="1">
      <alignment vertical="center"/>
      <protection hidden="1"/>
    </xf>
    <xf numFmtId="171" fontId="28" fillId="3" borderId="65" xfId="4" applyNumberFormat="1" applyFont="1" applyFill="1" applyBorder="1" applyAlignment="1" applyProtection="1">
      <alignment vertical="center"/>
      <protection hidden="1"/>
    </xf>
    <xf numFmtId="165" fontId="28" fillId="3" borderId="10" xfId="4" applyNumberFormat="1" applyFont="1" applyFill="1" applyBorder="1" applyAlignment="1" applyProtection="1">
      <alignment vertical="center"/>
      <protection hidden="1"/>
    </xf>
    <xf numFmtId="171" fontId="28" fillId="3" borderId="35" xfId="4" applyNumberFormat="1" applyFont="1" applyFill="1" applyBorder="1" applyAlignment="1" applyProtection="1">
      <alignment vertical="center"/>
      <protection hidden="1"/>
    </xf>
    <xf numFmtId="165" fontId="28" fillId="3" borderId="37" xfId="4" applyNumberFormat="1" applyFont="1" applyFill="1" applyBorder="1" applyAlignment="1" applyProtection="1">
      <alignment vertical="center"/>
      <protection hidden="1"/>
    </xf>
    <xf numFmtId="164" fontId="10" fillId="3" borderId="65" xfId="4" applyNumberFormat="1" applyFont="1" applyFill="1" applyBorder="1" applyAlignment="1" applyProtection="1">
      <protection hidden="1"/>
    </xf>
    <xf numFmtId="0" fontId="10" fillId="11" borderId="10" xfId="4" applyFont="1" applyFill="1" applyBorder="1" applyAlignment="1" applyProtection="1">
      <protection hidden="1"/>
    </xf>
    <xf numFmtId="172" fontId="9" fillId="3" borderId="25" xfId="4" quotePrefix="1" applyNumberFormat="1" applyFont="1" applyFill="1" applyBorder="1" applyAlignment="1" applyProtection="1">
      <alignment horizontal="center" vertical="center"/>
      <protection hidden="1"/>
    </xf>
    <xf numFmtId="172" fontId="9" fillId="3" borderId="27" xfId="4" quotePrefix="1" applyNumberFormat="1" applyFont="1" applyFill="1" applyBorder="1" applyAlignment="1" applyProtection="1">
      <alignment horizontal="center" vertical="center"/>
      <protection hidden="1"/>
    </xf>
    <xf numFmtId="0" fontId="9" fillId="3" borderId="83" xfId="0" applyFont="1" applyFill="1" applyBorder="1" applyAlignment="1" applyProtection="1">
      <alignment horizontal="left" vertical="center" wrapText="1" indent="1"/>
      <protection hidden="1"/>
    </xf>
    <xf numFmtId="0" fontId="9" fillId="3" borderId="58" xfId="0" applyFont="1" applyFill="1" applyBorder="1" applyAlignment="1" applyProtection="1">
      <alignment horizontal="left" vertical="center" wrapText="1" indent="1"/>
      <protection hidden="1"/>
    </xf>
    <xf numFmtId="171" fontId="9" fillId="3" borderId="64" xfId="4" applyNumberFormat="1" applyFont="1" applyFill="1" applyBorder="1" applyAlignment="1" applyProtection="1">
      <alignment vertical="center"/>
      <protection hidden="1"/>
    </xf>
    <xf numFmtId="175" fontId="9" fillId="11" borderId="64" xfId="4" applyNumberFormat="1" applyFont="1" applyFill="1" applyBorder="1" applyAlignment="1" applyProtection="1">
      <alignment vertical="center"/>
      <protection hidden="1"/>
    </xf>
    <xf numFmtId="165" fontId="9" fillId="3" borderId="64" xfId="4" applyNumberFormat="1" applyFont="1" applyFill="1" applyBorder="1" applyAlignment="1" applyProtection="1">
      <alignment vertical="center"/>
      <protection hidden="1"/>
    </xf>
    <xf numFmtId="165" fontId="9" fillId="3" borderId="108" xfId="4" applyNumberFormat="1" applyFont="1" applyFill="1" applyBorder="1" applyAlignment="1" applyProtection="1">
      <alignment horizontal="center" vertical="center"/>
      <protection hidden="1"/>
    </xf>
    <xf numFmtId="185" fontId="10" fillId="0" borderId="25" xfId="9" applyNumberFormat="1" applyFont="1" applyFill="1" applyBorder="1" applyAlignment="1" applyProtection="1">
      <protection hidden="1"/>
    </xf>
    <xf numFmtId="185" fontId="10" fillId="0" borderId="51" xfId="14" applyNumberFormat="1" applyFont="1" applyBorder="1" applyAlignment="1" applyProtection="1">
      <protection hidden="1"/>
    </xf>
    <xf numFmtId="185" fontId="10" fillId="0" borderId="0" xfId="9" applyNumberFormat="1" applyFont="1" applyFill="1" applyBorder="1" applyAlignment="1" applyProtection="1">
      <protection hidden="1"/>
    </xf>
    <xf numFmtId="185" fontId="10" fillId="0" borderId="51" xfId="9" applyNumberFormat="1" applyFont="1" applyFill="1" applyBorder="1" applyAlignment="1" applyProtection="1">
      <protection hidden="1"/>
    </xf>
    <xf numFmtId="185" fontId="10" fillId="0" borderId="27" xfId="14" applyNumberFormat="1" applyFont="1" applyBorder="1" applyAlignment="1" applyProtection="1">
      <protection hidden="1"/>
    </xf>
    <xf numFmtId="185" fontId="10" fillId="0" borderId="25" xfId="14" applyNumberFormat="1" applyFont="1" applyBorder="1" applyAlignment="1" applyProtection="1">
      <protection hidden="1"/>
    </xf>
    <xf numFmtId="185" fontId="10" fillId="0" borderId="77" xfId="9" applyNumberFormat="1" applyFont="1" applyFill="1" applyBorder="1" applyAlignment="1" applyProtection="1">
      <protection hidden="1"/>
    </xf>
    <xf numFmtId="185" fontId="9" fillId="0" borderId="38" xfId="14" applyNumberFormat="1" applyFont="1" applyBorder="1" applyAlignment="1" applyProtection="1">
      <alignment vertical="center"/>
      <protection hidden="1"/>
    </xf>
    <xf numFmtId="185" fontId="9" fillId="0" borderId="50" xfId="14" applyNumberFormat="1" applyFont="1" applyBorder="1" applyAlignment="1" applyProtection="1">
      <alignment vertical="center"/>
      <protection hidden="1"/>
    </xf>
    <xf numFmtId="185" fontId="9" fillId="0" borderId="39" xfId="14" applyNumberFormat="1" applyFont="1" applyBorder="1" applyAlignment="1" applyProtection="1">
      <alignment vertical="center"/>
      <protection hidden="1"/>
    </xf>
    <xf numFmtId="185" fontId="9" fillId="0" borderId="126" xfId="14" applyNumberFormat="1" applyFont="1" applyBorder="1" applyAlignment="1" applyProtection="1">
      <alignment vertical="center"/>
      <protection hidden="1"/>
    </xf>
    <xf numFmtId="185" fontId="9" fillId="0" borderId="55" xfId="14" applyNumberFormat="1" applyFont="1" applyBorder="1" applyAlignment="1" applyProtection="1">
      <alignment vertical="center"/>
      <protection hidden="1"/>
    </xf>
    <xf numFmtId="0" fontId="9" fillId="0" borderId="65" xfId="14" applyFont="1" applyBorder="1" applyAlignment="1" applyProtection="1">
      <alignment horizontal="center" vertical="center"/>
      <protection hidden="1"/>
    </xf>
    <xf numFmtId="0" fontId="9" fillId="0" borderId="10" xfId="14" applyFont="1" applyBorder="1" applyAlignment="1" applyProtection="1">
      <alignment horizontal="left" vertical="center" indent="1"/>
      <protection hidden="1"/>
    </xf>
    <xf numFmtId="0" fontId="10" fillId="0" borderId="0" xfId="13" applyFont="1" applyAlignment="1" applyProtection="1">
      <protection hidden="1"/>
    </xf>
    <xf numFmtId="172" fontId="9" fillId="0" borderId="22" xfId="13" applyNumberFormat="1" applyFont="1" applyBorder="1" applyAlignment="1" applyProtection="1">
      <alignment horizontal="center" vertical="center"/>
      <protection hidden="1"/>
    </xf>
    <xf numFmtId="172" fontId="9" fillId="0" borderId="98" xfId="13" applyNumberFormat="1" applyFont="1" applyBorder="1" applyAlignment="1" applyProtection="1">
      <alignment horizontal="center" vertical="center"/>
      <protection hidden="1"/>
    </xf>
    <xf numFmtId="191" fontId="10" fillId="0" borderId="110" xfId="13" applyNumberFormat="1" applyFont="1" applyBorder="1" applyAlignment="1" applyProtection="1">
      <protection hidden="1"/>
    </xf>
    <xf numFmtId="0" fontId="10" fillId="11" borderId="44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alignment vertical="center"/>
      <protection hidden="1"/>
    </xf>
    <xf numFmtId="0" fontId="8" fillId="2" borderId="110" xfId="0" applyNumberFormat="1" applyFont="1" applyFill="1" applyBorder="1" applyAlignment="1" applyProtection="1">
      <alignment horizontal="left" vertical="top" wrapText="1"/>
      <protection hidden="1"/>
    </xf>
    <xf numFmtId="0" fontId="8" fillId="2" borderId="24" xfId="0" applyNumberFormat="1" applyFont="1" applyFill="1" applyBorder="1" applyAlignment="1" applyProtection="1">
      <alignment horizontal="left" vertical="top" wrapText="1"/>
      <protection hidden="1"/>
    </xf>
    <xf numFmtId="0" fontId="8" fillId="2" borderId="65" xfId="0" applyNumberFormat="1" applyFont="1" applyFill="1" applyBorder="1" applyAlignment="1" applyProtection="1">
      <alignment horizontal="left" vertical="top" wrapText="1"/>
      <protection hidden="1"/>
    </xf>
    <xf numFmtId="0" fontId="8" fillId="2" borderId="47" xfId="0" applyNumberFormat="1" applyFont="1" applyFill="1" applyBorder="1" applyAlignment="1" applyProtection="1">
      <protection hidden="1"/>
    </xf>
    <xf numFmtId="0" fontId="8" fillId="2" borderId="40" xfId="0" applyNumberFormat="1" applyFont="1" applyFill="1" applyBorder="1" applyAlignment="1" applyProtection="1">
      <alignment horizontal="left" vertical="top" wrapText="1"/>
      <protection hidden="1"/>
    </xf>
    <xf numFmtId="0" fontId="8" fillId="2" borderId="38" xfId="0" applyNumberFormat="1" applyFont="1" applyFill="1" applyBorder="1" applyAlignment="1" applyProtection="1">
      <alignment horizontal="left" vertical="top" wrapText="1"/>
      <protection hidden="1"/>
    </xf>
    <xf numFmtId="0" fontId="9" fillId="11" borderId="17" xfId="0" applyNumberFormat="1" applyFont="1" applyFill="1" applyBorder="1" applyAlignment="1" applyProtection="1">
      <protection hidden="1"/>
    </xf>
    <xf numFmtId="0" fontId="9" fillId="11" borderId="0" xfId="0" applyNumberFormat="1" applyFont="1" applyFill="1" applyBorder="1" applyAlignment="1" applyProtection="1">
      <protection hidden="1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0" fillId="2" borderId="10" xfId="0" applyFont="1" applyFill="1" applyBorder="1" applyProtection="1">
      <protection hidden="1"/>
    </xf>
    <xf numFmtId="0" fontId="9" fillId="2" borderId="65" xfId="9" applyFont="1" applyFill="1" applyBorder="1" applyAlignment="1" applyProtection="1">
      <alignment horizontal="center" vertical="top" wrapText="1"/>
      <protection hidden="1"/>
    </xf>
    <xf numFmtId="0" fontId="10" fillId="2" borderId="110" xfId="9" applyFont="1" applyFill="1" applyBorder="1" applyAlignment="1" applyProtection="1">
      <protection hidden="1"/>
    </xf>
    <xf numFmtId="0" fontId="10" fillId="2" borderId="27" xfId="9" applyFont="1" applyFill="1" applyBorder="1" applyAlignment="1" applyProtection="1">
      <protection hidden="1"/>
    </xf>
    <xf numFmtId="0" fontId="10" fillId="2" borderId="0" xfId="9" applyNumberFormat="1" applyFont="1" applyFill="1" applyBorder="1" applyAlignment="1" applyProtection="1">
      <protection hidden="1"/>
    </xf>
    <xf numFmtId="181" fontId="10" fillId="2" borderId="43" xfId="9" applyNumberFormat="1" applyFont="1" applyFill="1" applyBorder="1" applyAlignment="1" applyProtection="1">
      <alignment vertical="center"/>
      <protection hidden="1"/>
    </xf>
    <xf numFmtId="182" fontId="10" fillId="2" borderId="15" xfId="9" applyNumberFormat="1" applyFont="1" applyFill="1" applyBorder="1" applyAlignment="1" applyProtection="1">
      <alignment vertical="center"/>
      <protection hidden="1"/>
    </xf>
    <xf numFmtId="2" fontId="10" fillId="2" borderId="71" xfId="9" applyNumberFormat="1" applyFont="1" applyFill="1" applyBorder="1" applyAlignment="1" applyProtection="1">
      <alignment horizontal="center" vertical="center"/>
      <protection hidden="1"/>
    </xf>
    <xf numFmtId="0" fontId="10" fillId="58" borderId="0" xfId="9" applyFont="1" applyFill="1" applyBorder="1" applyAlignment="1" applyProtection="1">
      <protection hidden="1"/>
    </xf>
    <xf numFmtId="0" fontId="10" fillId="19" borderId="72" xfId="9" applyFont="1" applyFill="1" applyBorder="1" applyAlignment="1" applyProtection="1">
      <alignment horizontal="left" vertical="center" indent="1"/>
      <protection hidden="1"/>
    </xf>
    <xf numFmtId="189" fontId="10" fillId="0" borderId="81" xfId="9" applyNumberFormat="1" applyFont="1" applyFill="1" applyBorder="1" applyAlignment="1" applyProtection="1">
      <alignment vertical="center"/>
      <protection locked="0"/>
    </xf>
    <xf numFmtId="170" fontId="10" fillId="16" borderId="65" xfId="9" applyNumberFormat="1" applyFont="1" applyFill="1" applyBorder="1" applyAlignment="1" applyProtection="1">
      <alignment vertical="center"/>
      <protection hidden="1"/>
    </xf>
    <xf numFmtId="184" fontId="10" fillId="16" borderId="51" xfId="9" applyNumberFormat="1" applyFont="1" applyFill="1" applyBorder="1" applyAlignment="1" applyProtection="1">
      <alignment vertical="center"/>
      <protection hidden="1"/>
    </xf>
    <xf numFmtId="170" fontId="10" fillId="16" borderId="80" xfId="9" applyNumberFormat="1" applyFont="1" applyFill="1" applyBorder="1" applyAlignment="1" applyProtection="1">
      <alignment vertical="center"/>
      <protection hidden="1"/>
    </xf>
    <xf numFmtId="184" fontId="10" fillId="16" borderId="78" xfId="9" applyNumberFormat="1" applyFont="1" applyFill="1" applyBorder="1" applyAlignment="1" applyProtection="1">
      <alignment vertical="center"/>
      <protection hidden="1"/>
    </xf>
    <xf numFmtId="170" fontId="10" fillId="16" borderId="51" xfId="9" applyNumberFormat="1" applyFont="1" applyFill="1" applyBorder="1" applyAlignment="1" applyProtection="1">
      <alignment vertical="center"/>
      <protection hidden="1"/>
    </xf>
    <xf numFmtId="170" fontId="10" fillId="16" borderId="79" xfId="9" applyNumberFormat="1" applyFont="1" applyFill="1" applyBorder="1" applyAlignment="1" applyProtection="1">
      <alignment vertical="center"/>
      <protection hidden="1"/>
    </xf>
    <xf numFmtId="168" fontId="9" fillId="60" borderId="51" xfId="9" applyNumberFormat="1" applyFont="1" applyFill="1" applyBorder="1" applyAlignment="1" applyProtection="1">
      <alignment vertical="center"/>
      <protection hidden="1"/>
    </xf>
    <xf numFmtId="183" fontId="9" fillId="60" borderId="51" xfId="9" applyNumberFormat="1" applyFont="1" applyFill="1" applyBorder="1" applyAlignment="1" applyProtection="1">
      <alignment vertical="center"/>
      <protection hidden="1"/>
    </xf>
    <xf numFmtId="183" fontId="9" fillId="60" borderId="10" xfId="9" applyNumberFormat="1" applyFont="1" applyFill="1" applyBorder="1" applyAlignment="1" applyProtection="1">
      <alignment vertical="center"/>
      <protection hidden="1"/>
    </xf>
    <xf numFmtId="168" fontId="9" fillId="26" borderId="81" xfId="0" applyNumberFormat="1" applyFont="1" applyFill="1" applyBorder="1" applyAlignment="1" applyProtection="1">
      <alignment vertical="center"/>
      <protection hidden="1"/>
    </xf>
    <xf numFmtId="0" fontId="9" fillId="19" borderId="14" xfId="9" applyFont="1" applyFill="1" applyBorder="1" applyAlignment="1" applyProtection="1">
      <alignment horizontal="left" vertical="center" indent="1"/>
      <protection hidden="1"/>
    </xf>
    <xf numFmtId="168" fontId="9" fillId="11" borderId="12" xfId="9" applyNumberFormat="1" applyFont="1" applyFill="1" applyBorder="1" applyAlignment="1" applyProtection="1">
      <alignment vertical="center"/>
      <protection hidden="1"/>
    </xf>
    <xf numFmtId="168" fontId="9" fillId="11" borderId="43" xfId="0" applyNumberFormat="1" applyFont="1" applyFill="1" applyBorder="1" applyAlignment="1" applyProtection="1">
      <alignment vertical="center"/>
      <protection hidden="1"/>
    </xf>
    <xf numFmtId="168" fontId="9" fillId="11" borderId="15" xfId="0" applyNumberFormat="1" applyFont="1" applyFill="1" applyBorder="1" applyAlignment="1" applyProtection="1">
      <alignment vertical="center"/>
      <protection hidden="1"/>
    </xf>
    <xf numFmtId="168" fontId="9" fillId="11" borderId="16" xfId="0" applyNumberFormat="1" applyFont="1" applyFill="1" applyBorder="1" applyAlignment="1" applyProtection="1">
      <alignment vertical="center"/>
      <protection hidden="1"/>
    </xf>
    <xf numFmtId="168" fontId="9" fillId="11" borderId="12" xfId="0" applyNumberFormat="1" applyFont="1" applyFill="1" applyBorder="1" applyAlignment="1" applyProtection="1">
      <alignment vertical="center"/>
      <protection hidden="1"/>
    </xf>
    <xf numFmtId="183" fontId="9" fillId="26" borderId="12" xfId="0" applyNumberFormat="1" applyFont="1" applyFill="1" applyBorder="1" applyAlignment="1" applyProtection="1">
      <alignment vertical="center"/>
      <protection hidden="1"/>
    </xf>
    <xf numFmtId="0" fontId="10" fillId="58" borderId="72" xfId="9" applyFont="1" applyFill="1" applyBorder="1" applyAlignment="1" applyProtection="1">
      <alignment horizontal="left" vertical="center" indent="1"/>
      <protection hidden="1"/>
    </xf>
    <xf numFmtId="193" fontId="10" fillId="16" borderId="80" xfId="9" applyNumberFormat="1" applyFont="1" applyFill="1" applyBorder="1" applyAlignment="1" applyProtection="1">
      <alignment vertical="center"/>
      <protection hidden="1"/>
    </xf>
    <xf numFmtId="193" fontId="10" fillId="16" borderId="78" xfId="9" applyNumberFormat="1" applyFont="1" applyFill="1" applyBorder="1" applyAlignment="1" applyProtection="1">
      <alignment vertical="center"/>
      <protection hidden="1"/>
    </xf>
    <xf numFmtId="193" fontId="10" fillId="16" borderId="51" xfId="9" applyNumberFormat="1" applyFont="1" applyFill="1" applyBorder="1" applyAlignment="1" applyProtection="1">
      <alignment vertical="center"/>
      <protection hidden="1"/>
    </xf>
    <xf numFmtId="168" fontId="9" fillId="59" borderId="81" xfId="9" applyNumberFormat="1" applyFont="1" applyFill="1" applyBorder="1" applyAlignment="1" applyProtection="1">
      <alignment vertical="center"/>
      <protection hidden="1"/>
    </xf>
    <xf numFmtId="0" fontId="9" fillId="58" borderId="14" xfId="9" applyFont="1" applyFill="1" applyBorder="1" applyAlignment="1" applyProtection="1">
      <alignment horizontal="left" vertical="center" indent="1"/>
      <protection hidden="1"/>
    </xf>
    <xf numFmtId="168" fontId="9" fillId="15" borderId="12" xfId="9" applyNumberFormat="1" applyFont="1" applyFill="1" applyBorder="1" applyAlignment="1" applyProtection="1">
      <alignment vertical="center"/>
      <protection hidden="1"/>
    </xf>
    <xf numFmtId="168" fontId="9" fillId="15" borderId="43" xfId="9" applyNumberFormat="1" applyFont="1" applyFill="1" applyBorder="1" applyAlignment="1" applyProtection="1">
      <alignment vertical="center"/>
      <protection hidden="1"/>
    </xf>
    <xf numFmtId="168" fontId="9" fillId="15" borderId="15" xfId="9" applyNumberFormat="1" applyFont="1" applyFill="1" applyBorder="1" applyAlignment="1" applyProtection="1">
      <alignment vertical="center"/>
      <protection hidden="1"/>
    </xf>
    <xf numFmtId="168" fontId="9" fillId="15" borderId="16" xfId="9" applyNumberFormat="1" applyFont="1" applyFill="1" applyBorder="1" applyAlignment="1" applyProtection="1">
      <alignment vertical="center"/>
      <protection hidden="1"/>
    </xf>
    <xf numFmtId="183" fontId="9" fillId="59" borderId="12" xfId="9" applyNumberFormat="1" applyFont="1" applyFill="1" applyBorder="1" applyAlignment="1" applyProtection="1">
      <alignment vertical="center"/>
      <protection hidden="1"/>
    </xf>
    <xf numFmtId="193" fontId="10" fillId="16" borderId="65" xfId="9" applyNumberFormat="1" applyFont="1" applyFill="1" applyBorder="1" applyAlignment="1" applyProtection="1">
      <alignment vertical="center"/>
      <protection hidden="1"/>
    </xf>
    <xf numFmtId="178" fontId="10" fillId="11" borderId="49" xfId="0" applyNumberFormat="1" applyFont="1" applyFill="1" applyBorder="1" applyAlignment="1" applyProtection="1">
      <alignment vertical="center"/>
      <protection locked="0"/>
    </xf>
    <xf numFmtId="178" fontId="8" fillId="11" borderId="28" xfId="0" applyNumberFormat="1" applyFont="1" applyFill="1" applyBorder="1" applyAlignment="1" applyProtection="1">
      <alignment vertical="center"/>
      <protection locked="0"/>
    </xf>
    <xf numFmtId="178" fontId="8" fillId="11" borderId="11" xfId="0" applyNumberFormat="1" applyFont="1" applyFill="1" applyBorder="1" applyAlignment="1" applyProtection="1">
      <alignment vertical="center"/>
      <protection locked="0"/>
    </xf>
    <xf numFmtId="0" fontId="9" fillId="15" borderId="11" xfId="0" applyFont="1" applyFill="1" applyBorder="1" applyAlignment="1" applyProtection="1">
      <alignment horizontal="center" vertical="top" wrapText="1"/>
      <protection hidden="1"/>
    </xf>
    <xf numFmtId="0" fontId="9" fillId="11" borderId="11" xfId="0" applyFont="1" applyFill="1" applyBorder="1" applyAlignment="1" applyProtection="1">
      <alignment horizontal="center" vertical="top" wrapText="1"/>
      <protection hidden="1"/>
    </xf>
    <xf numFmtId="164" fontId="9" fillId="3" borderId="10" xfId="78" applyNumberFormat="1" applyFont="1" applyFill="1" applyBorder="1" applyAlignment="1" applyProtection="1">
      <alignment horizontal="center" vertical="top" wrapText="1"/>
      <protection hidden="1"/>
    </xf>
    <xf numFmtId="0" fontId="9" fillId="15" borderId="0" xfId="78" applyNumberFormat="1" applyFont="1" applyFill="1" applyBorder="1" applyAlignment="1" applyProtection="1">
      <protection hidden="1"/>
    </xf>
    <xf numFmtId="178" fontId="10" fillId="15" borderId="22" xfId="9" applyNumberFormat="1" applyFont="1" applyFill="1" applyBorder="1" applyAlignment="1" applyProtection="1">
      <alignment vertical="center"/>
      <protection hidden="1"/>
    </xf>
    <xf numFmtId="178" fontId="10" fillId="15" borderId="81" xfId="9" applyNumberFormat="1" applyFont="1" applyFill="1" applyBorder="1" applyAlignment="1" applyProtection="1">
      <alignment vertical="center"/>
      <protection hidden="1"/>
    </xf>
    <xf numFmtId="178" fontId="10" fillId="15" borderId="30" xfId="9" applyNumberFormat="1" applyFont="1" applyFill="1" applyBorder="1" applyAlignment="1" applyProtection="1">
      <alignment vertical="center"/>
      <protection hidden="1"/>
    </xf>
    <xf numFmtId="178" fontId="10" fillId="15" borderId="76" xfId="9" applyNumberFormat="1" applyFont="1" applyFill="1" applyBorder="1" applyAlignment="1" applyProtection="1">
      <alignment vertical="center"/>
      <protection hidden="1"/>
    </xf>
    <xf numFmtId="178" fontId="10" fillId="15" borderId="97" xfId="9" applyNumberFormat="1" applyFont="1" applyFill="1" applyBorder="1" applyAlignment="1" applyProtection="1">
      <alignment vertical="center"/>
      <protection hidden="1"/>
    </xf>
    <xf numFmtId="178" fontId="10" fillId="15" borderId="25" xfId="9" applyNumberFormat="1" applyFont="1" applyFill="1" applyBorder="1" applyAlignment="1" applyProtection="1">
      <alignment vertical="center"/>
      <protection hidden="1"/>
    </xf>
    <xf numFmtId="178" fontId="10" fillId="15" borderId="0" xfId="9" applyNumberFormat="1" applyFont="1" applyFill="1" applyBorder="1" applyAlignment="1" applyProtection="1">
      <alignment vertical="center"/>
      <protection hidden="1"/>
    </xf>
    <xf numFmtId="178" fontId="10" fillId="59" borderId="25" xfId="9" applyNumberFormat="1" applyFont="1" applyFill="1" applyBorder="1" applyAlignment="1" applyProtection="1">
      <alignment vertical="center"/>
      <protection hidden="1"/>
    </xf>
    <xf numFmtId="178" fontId="10" fillId="59" borderId="27" xfId="9" applyNumberFormat="1" applyFont="1" applyFill="1" applyBorder="1" applyAlignment="1" applyProtection="1">
      <alignment vertical="center"/>
      <protection hidden="1"/>
    </xf>
    <xf numFmtId="178" fontId="10" fillId="59" borderId="30" xfId="9" applyNumberFormat="1" applyFont="1" applyFill="1" applyBorder="1" applyAlignment="1" applyProtection="1">
      <alignment vertical="center"/>
      <protection hidden="1"/>
    </xf>
    <xf numFmtId="178" fontId="10" fillId="59" borderId="6" xfId="9" applyNumberFormat="1" applyFont="1" applyFill="1" applyBorder="1" applyAlignment="1" applyProtection="1">
      <alignment vertical="center"/>
      <protection hidden="1"/>
    </xf>
    <xf numFmtId="168" fontId="10" fillId="11" borderId="5" xfId="4" applyNumberFormat="1" applyFont="1" applyFill="1" applyBorder="1" applyAlignment="1" applyProtection="1">
      <alignment vertical="center"/>
      <protection hidden="1"/>
    </xf>
    <xf numFmtId="168" fontId="10" fillId="11" borderId="110" xfId="4" applyNumberFormat="1" applyFont="1" applyFill="1" applyBorder="1" applyAlignment="1" applyProtection="1">
      <alignment vertical="center"/>
      <protection hidden="1"/>
    </xf>
    <xf numFmtId="168" fontId="10" fillId="11" borderId="9" xfId="4" applyNumberFormat="1" applyFont="1" applyFill="1" applyBorder="1" applyAlignment="1" applyProtection="1">
      <alignment vertical="center"/>
      <protection hidden="1"/>
    </xf>
    <xf numFmtId="168" fontId="10" fillId="11" borderId="65" xfId="4" applyNumberFormat="1" applyFont="1" applyFill="1" applyBorder="1" applyAlignment="1" applyProtection="1">
      <alignment vertical="center"/>
      <protection hidden="1"/>
    </xf>
    <xf numFmtId="164" fontId="9" fillId="15" borderId="0" xfId="78" applyNumberFormat="1" applyFont="1" applyFill="1" applyBorder="1" applyAlignment="1" applyProtection="1">
      <alignment horizontal="center" vertical="center"/>
      <protection hidden="1"/>
    </xf>
    <xf numFmtId="0" fontId="10" fillId="11" borderId="97" xfId="4" applyNumberFormat="1" applyFont="1" applyFill="1" applyBorder="1" applyAlignment="1" applyProtection="1">
      <protection hidden="1"/>
    </xf>
    <xf numFmtId="0" fontId="10" fillId="11" borderId="17" xfId="4" applyNumberFormat="1" applyFont="1" applyFill="1" applyBorder="1" applyAlignment="1" applyProtection="1">
      <protection hidden="1"/>
    </xf>
    <xf numFmtId="0" fontId="27" fillId="3" borderId="0" xfId="4" applyNumberFormat="1" applyFont="1" applyFill="1" applyBorder="1" applyAlignment="1" applyProtection="1">
      <protection hidden="1"/>
    </xf>
    <xf numFmtId="0" fontId="27" fillId="3" borderId="76" xfId="4" applyNumberFormat="1" applyFont="1" applyFill="1" applyBorder="1" applyAlignment="1" applyProtection="1">
      <protection hidden="1"/>
    </xf>
    <xf numFmtId="164" fontId="10" fillId="3" borderId="0" xfId="4" quotePrefix="1" applyNumberFormat="1" applyFont="1" applyFill="1" applyBorder="1" applyAlignment="1" applyProtection="1">
      <alignment horizontal="left"/>
      <protection hidden="1"/>
    </xf>
    <xf numFmtId="0" fontId="9" fillId="3" borderId="24" xfId="4" applyFont="1" applyFill="1" applyBorder="1" applyAlignment="1" applyProtection="1">
      <alignment horizontal="left" vertical="center" indent="2"/>
      <protection hidden="1"/>
    </xf>
    <xf numFmtId="0" fontId="14" fillId="3" borderId="24" xfId="4" applyFont="1" applyFill="1" applyBorder="1" applyAlignment="1" applyProtection="1">
      <alignment horizontal="left" vertical="center" indent="1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172" fontId="9" fillId="3" borderId="31" xfId="0" applyNumberFormat="1" applyFont="1" applyFill="1" applyBorder="1" applyAlignment="1" applyProtection="1">
      <alignment horizontal="center" vertical="center"/>
      <protection hidden="1"/>
    </xf>
    <xf numFmtId="172" fontId="9" fillId="11" borderId="55" xfId="0" applyNumberFormat="1" applyFont="1" applyFill="1" applyBorder="1" applyAlignment="1" applyProtection="1">
      <alignment horizontal="center" vertical="center"/>
      <protection hidden="1"/>
    </xf>
    <xf numFmtId="172" fontId="9" fillId="3" borderId="41" xfId="78" applyNumberFormat="1" applyFont="1" applyFill="1" applyBorder="1" applyAlignment="1" applyProtection="1">
      <alignment horizontal="center" vertical="center"/>
      <protection hidden="1"/>
    </xf>
    <xf numFmtId="164" fontId="9" fillId="3" borderId="110" xfId="78" applyNumberFormat="1" applyFont="1" applyFill="1" applyBorder="1" applyAlignment="1" applyProtection="1">
      <alignment horizontal="center" vertical="center"/>
      <protection hidden="1"/>
    </xf>
    <xf numFmtId="172" fontId="9" fillId="58" borderId="31" xfId="9" applyNumberFormat="1" applyFont="1" applyFill="1" applyBorder="1" applyAlignment="1" applyProtection="1">
      <alignment horizontal="center" vertical="center"/>
      <protection hidden="1"/>
    </xf>
    <xf numFmtId="0" fontId="10" fillId="19" borderId="0" xfId="9" applyFont="1" applyFill="1" applyBorder="1" applyAlignment="1" applyProtection="1">
      <alignment horizontal="left"/>
      <protection hidden="1"/>
    </xf>
    <xf numFmtId="172" fontId="9" fillId="15" borderId="41" xfId="78" applyNumberFormat="1" applyFont="1" applyFill="1" applyBorder="1" applyAlignment="1" applyProtection="1">
      <alignment horizontal="center" vertical="center"/>
      <protection hidden="1"/>
    </xf>
    <xf numFmtId="0" fontId="9" fillId="15" borderId="9" xfId="78" applyFont="1" applyFill="1" applyBorder="1" applyAlignment="1" applyProtection="1">
      <alignment horizontal="center" vertical="center"/>
      <protection hidden="1"/>
    </xf>
    <xf numFmtId="0" fontId="10" fillId="20" borderId="9" xfId="0" applyFont="1" applyFill="1" applyBorder="1" applyAlignment="1" applyProtection="1">
      <alignment horizontal="center" wrapText="1"/>
      <protection hidden="1"/>
    </xf>
    <xf numFmtId="0" fontId="10" fillId="20" borderId="0" xfId="0" applyFont="1" applyFill="1" applyBorder="1" applyAlignment="1" applyProtection="1">
      <alignment horizontal="center" wrapText="1"/>
      <protection hidden="1"/>
    </xf>
    <xf numFmtId="0" fontId="21" fillId="20" borderId="11" xfId="0" applyFont="1" applyFill="1" applyBorder="1" applyAlignment="1" applyProtection="1">
      <alignment horizontal="center" vertical="center"/>
      <protection hidden="1"/>
    </xf>
    <xf numFmtId="0" fontId="23" fillId="11" borderId="31" xfId="0" applyNumberFormat="1" applyFont="1" applyFill="1" applyBorder="1" applyAlignment="1" applyProtection="1">
      <protection hidden="1"/>
    </xf>
    <xf numFmtId="172" fontId="9" fillId="11" borderId="70" xfId="0" applyNumberFormat="1" applyFont="1" applyFill="1" applyBorder="1" applyAlignment="1" applyProtection="1">
      <alignment horizontal="center" vertical="center"/>
      <protection hidden="1"/>
    </xf>
    <xf numFmtId="172" fontId="9" fillId="11" borderId="126" xfId="0" applyNumberFormat="1" applyFont="1" applyFill="1" applyBorder="1" applyAlignment="1" applyProtection="1">
      <alignment horizontal="center" vertical="center"/>
      <protection hidden="1"/>
    </xf>
    <xf numFmtId="172" fontId="9" fillId="11" borderId="38" xfId="0" applyNumberFormat="1" applyFont="1" applyFill="1" applyBorder="1" applyAlignment="1" applyProtection="1">
      <alignment horizontal="center" vertical="center"/>
      <protection hidden="1"/>
    </xf>
    <xf numFmtId="164" fontId="9" fillId="10" borderId="40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4" applyProtection="1">
      <protection hidden="1"/>
    </xf>
    <xf numFmtId="0" fontId="9" fillId="0" borderId="25" xfId="13" applyFont="1" applyBorder="1" applyAlignment="1" applyProtection="1">
      <alignment horizontal="center" vertical="top" wrapText="1"/>
      <protection hidden="1"/>
    </xf>
    <xf numFmtId="0" fontId="10" fillId="0" borderId="0" xfId="15" quotePrefix="1" applyNumberFormat="1" applyFont="1" applyFill="1" applyBorder="1" applyAlignment="1" applyProtection="1">
      <protection hidden="1"/>
    </xf>
    <xf numFmtId="171" fontId="10" fillId="0" borderId="111" xfId="8" applyNumberFormat="1" applyFont="1" applyFill="1" applyBorder="1" applyAlignment="1" applyProtection="1">
      <protection hidden="1"/>
    </xf>
    <xf numFmtId="171" fontId="10" fillId="0" borderId="110" xfId="9" applyNumberFormat="1" applyFont="1" applyBorder="1" applyAlignment="1" applyProtection="1">
      <protection hidden="1"/>
    </xf>
    <xf numFmtId="171" fontId="10" fillId="0" borderId="25" xfId="9" applyNumberFormat="1" applyFont="1" applyBorder="1" applyAlignment="1" applyProtection="1">
      <protection hidden="1"/>
    </xf>
    <xf numFmtId="185" fontId="38" fillId="0" borderId="0" xfId="14" applyNumberFormat="1" applyFont="1" applyAlignment="1" applyProtection="1">
      <protection hidden="1"/>
    </xf>
    <xf numFmtId="0" fontId="10" fillId="0" borderId="0" xfId="8" applyNumberFormat="1" applyFont="1" applyFill="1" applyBorder="1" applyAlignment="1" applyProtection="1">
      <protection hidden="1"/>
    </xf>
    <xf numFmtId="185" fontId="38" fillId="0" borderId="110" xfId="14" applyNumberFormat="1" applyFont="1" applyBorder="1" applyAlignment="1" applyProtection="1">
      <protection hidden="1"/>
    </xf>
    <xf numFmtId="0" fontId="10" fillId="0" borderId="0" xfId="15" applyNumberFormat="1" applyFont="1" applyFill="1" applyBorder="1" applyAlignment="1" applyProtection="1">
      <protection hidden="1"/>
    </xf>
    <xf numFmtId="186" fontId="10" fillId="0" borderId="24" xfId="9" applyNumberFormat="1" applyFont="1" applyFill="1" applyBorder="1" applyAlignment="1" applyProtection="1">
      <protection hidden="1"/>
    </xf>
    <xf numFmtId="186" fontId="10" fillId="0" borderId="77" xfId="9" applyNumberFormat="1" applyFont="1" applyFill="1" applyBorder="1" applyAlignment="1" applyProtection="1">
      <protection hidden="1"/>
    </xf>
    <xf numFmtId="186" fontId="10" fillId="0" borderId="25" xfId="9" applyNumberFormat="1" applyFont="1" applyFill="1" applyBorder="1" applyAlignment="1" applyProtection="1">
      <protection hidden="1"/>
    </xf>
    <xf numFmtId="186" fontId="10" fillId="0" borderId="27" xfId="9" applyNumberFormat="1" applyFont="1" applyFill="1" applyBorder="1" applyAlignment="1" applyProtection="1">
      <protection hidden="1"/>
    </xf>
    <xf numFmtId="171" fontId="38" fillId="0" borderId="0" xfId="14" applyNumberFormat="1" applyFont="1" applyAlignment="1" applyProtection="1">
      <protection hidden="1"/>
    </xf>
    <xf numFmtId="0" fontId="2" fillId="0" borderId="24" xfId="13" applyBorder="1" applyAlignment="1" applyProtection="1">
      <alignment horizontal="left" indent="1"/>
      <protection hidden="1"/>
    </xf>
    <xf numFmtId="0" fontId="37" fillId="0" borderId="38" xfId="13" applyFont="1" applyBorder="1" applyAlignment="1" applyProtection="1">
      <alignment horizontal="left" vertical="center" indent="1"/>
      <protection hidden="1"/>
    </xf>
    <xf numFmtId="0" fontId="37" fillId="0" borderId="0" xfId="13" applyFont="1" applyBorder="1" applyAlignment="1" applyProtection="1">
      <alignment horizontal="left" vertical="center" indent="1"/>
      <protection hidden="1"/>
    </xf>
    <xf numFmtId="0" fontId="37" fillId="0" borderId="0" xfId="13" applyFont="1" applyBorder="1" applyAlignment="1" applyProtection="1">
      <alignment horizontal="left" vertical="center" indent="2"/>
      <protection hidden="1"/>
    </xf>
    <xf numFmtId="0" fontId="2" fillId="0" borderId="0" xfId="13" applyBorder="1" applyProtection="1">
      <protection hidden="1"/>
    </xf>
    <xf numFmtId="0" fontId="2" fillId="0" borderId="98" xfId="13" applyBorder="1" applyAlignment="1" applyProtection="1">
      <alignment horizontal="left" vertical="center" indent="2"/>
      <protection hidden="1"/>
    </xf>
    <xf numFmtId="0" fontId="37" fillId="0" borderId="50" xfId="13" applyFont="1" applyBorder="1" applyAlignment="1" applyProtection="1">
      <alignment horizontal="left" vertical="center" indent="2"/>
      <protection hidden="1"/>
    </xf>
    <xf numFmtId="0" fontId="2" fillId="0" borderId="17" xfId="13" applyBorder="1" applyAlignment="1" applyProtection="1">
      <alignment horizontal="left" indent="2"/>
      <protection hidden="1"/>
    </xf>
    <xf numFmtId="0" fontId="9" fillId="0" borderId="25" xfId="0" applyNumberFormat="1" applyFont="1" applyBorder="1" applyAlignment="1" applyProtection="1">
      <alignment horizontal="center" vertical="top" wrapText="1"/>
      <protection hidden="1"/>
    </xf>
    <xf numFmtId="0" fontId="9" fillId="0" borderId="51" xfId="13" applyNumberFormat="1" applyFont="1" applyBorder="1" applyAlignment="1" applyProtection="1">
      <alignment horizontal="center" vertical="top" wrapText="1"/>
      <protection hidden="1"/>
    </xf>
    <xf numFmtId="0" fontId="9" fillId="0" borderId="25" xfId="13" applyNumberFormat="1" applyFont="1" applyBorder="1" applyAlignment="1" applyProtection="1">
      <alignment horizontal="center" vertical="top" wrapText="1"/>
      <protection hidden="1"/>
    </xf>
    <xf numFmtId="0" fontId="9" fillId="0" borderId="18" xfId="13" applyNumberFormat="1" applyFont="1" applyBorder="1" applyAlignment="1" applyProtection="1">
      <alignment horizontal="center" vertical="center"/>
      <protection hidden="1"/>
    </xf>
    <xf numFmtId="0" fontId="71" fillId="11" borderId="28" xfId="0" applyFont="1" applyFill="1" applyBorder="1" applyAlignment="1" applyProtection="1">
      <alignment horizontal="center" vertical="center"/>
      <protection hidden="1"/>
    </xf>
    <xf numFmtId="0" fontId="32" fillId="11" borderId="35" xfId="0" applyFont="1" applyFill="1" applyBorder="1" applyAlignment="1" applyProtection="1">
      <alignment horizontal="left" vertical="center" indent="1"/>
      <protection hidden="1"/>
    </xf>
    <xf numFmtId="0" fontId="32" fillId="11" borderId="114" xfId="0" applyFont="1" applyFill="1" applyBorder="1" applyAlignment="1" applyProtection="1">
      <alignment horizontal="left" vertical="center" indent="1"/>
      <protection hidden="1"/>
    </xf>
    <xf numFmtId="0" fontId="71" fillId="11" borderId="34" xfId="0" applyFont="1" applyFill="1" applyBorder="1" applyAlignment="1" applyProtection="1">
      <alignment horizontal="center" vertical="center"/>
      <protection hidden="1"/>
    </xf>
    <xf numFmtId="0" fontId="67" fillId="0" borderId="30" xfId="14" applyFont="1" applyBorder="1" applyAlignment="1" applyProtection="1">
      <alignment horizontal="center" vertical="center"/>
      <protection hidden="1"/>
    </xf>
    <xf numFmtId="179" fontId="9" fillId="11" borderId="49" xfId="0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49" xfId="5" applyNumberFormat="1" applyFont="1" applyFill="1" applyBorder="1" applyAlignment="1" applyProtection="1">
      <alignment horizontal="left" vertical="center" wrapText="1" indent="1"/>
      <protection locked="0"/>
    </xf>
    <xf numFmtId="179" fontId="9" fillId="11" borderId="81" xfId="5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47" xfId="4" applyNumberFormat="1" applyFont="1" applyFill="1" applyBorder="1" applyAlignment="1" applyProtection="1">
      <alignment horizontal="left" vertical="center" indent="1"/>
      <protection hidden="1"/>
    </xf>
    <xf numFmtId="0" fontId="9" fillId="0" borderId="46" xfId="4" applyNumberFormat="1" applyFont="1" applyFill="1" applyBorder="1" applyAlignment="1" applyProtection="1">
      <alignment horizontal="left" vertical="center" indent="1"/>
      <protection hidden="1"/>
    </xf>
    <xf numFmtId="0" fontId="9" fillId="11" borderId="69" xfId="0" applyFont="1" applyFill="1" applyBorder="1" applyAlignment="1" applyProtection="1">
      <alignment horizontal="center" vertical="center"/>
      <protection hidden="1"/>
    </xf>
    <xf numFmtId="0" fontId="9" fillId="11" borderId="17" xfId="0" applyFont="1" applyFill="1" applyBorder="1" applyAlignment="1" applyProtection="1">
      <alignment horizontal="center" vertical="center"/>
      <protection hidden="1"/>
    </xf>
    <xf numFmtId="0" fontId="9" fillId="11" borderId="21" xfId="0" applyFont="1" applyFill="1" applyBorder="1" applyAlignment="1" applyProtection="1">
      <alignment horizontal="center" vertical="center" wrapText="1"/>
      <protection hidden="1"/>
    </xf>
    <xf numFmtId="0" fontId="9" fillId="11" borderId="26" xfId="0" applyFont="1" applyFill="1" applyBorder="1" applyAlignment="1" applyProtection="1">
      <alignment horizontal="center" vertical="center" wrapText="1"/>
      <protection hidden="1"/>
    </xf>
    <xf numFmtId="164" fontId="9" fillId="0" borderId="47" xfId="4" applyNumberFormat="1" applyFont="1" applyFill="1" applyBorder="1" applyAlignment="1" applyProtection="1">
      <alignment horizontal="left" vertical="center" indent="1"/>
      <protection hidden="1"/>
    </xf>
    <xf numFmtId="164" fontId="9" fillId="0" borderId="48" xfId="4" applyNumberFormat="1" applyFont="1" applyFill="1" applyBorder="1" applyAlignment="1" applyProtection="1">
      <alignment horizontal="left" vertical="center" indent="1"/>
      <protection hidden="1"/>
    </xf>
    <xf numFmtId="164" fontId="9" fillId="0" borderId="46" xfId="4" applyNumberFormat="1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center" vertical="top" wrapText="1"/>
      <protection hidden="1"/>
    </xf>
    <xf numFmtId="0" fontId="9" fillId="2" borderId="0" xfId="0" applyFont="1" applyFill="1" applyBorder="1" applyAlignment="1" applyProtection="1">
      <alignment horizontal="center" vertical="top" wrapText="1"/>
      <protection hidden="1"/>
    </xf>
    <xf numFmtId="0" fontId="9" fillId="3" borderId="72" xfId="4" applyFont="1" applyFill="1" applyBorder="1" applyAlignment="1" applyProtection="1">
      <alignment horizontal="center" vertical="center" wrapText="1"/>
      <protection hidden="1"/>
    </xf>
    <xf numFmtId="0" fontId="9" fillId="3" borderId="7" xfId="4" applyFont="1" applyFill="1" applyBorder="1" applyAlignment="1" applyProtection="1">
      <alignment horizontal="center" vertical="center" wrapText="1"/>
      <protection hidden="1"/>
    </xf>
    <xf numFmtId="0" fontId="9" fillId="20" borderId="65" xfId="0" applyFont="1" applyFill="1" applyBorder="1" applyAlignment="1" applyProtection="1">
      <alignment horizontal="center" vertical="top" wrapText="1"/>
      <protection hidden="1"/>
    </xf>
    <xf numFmtId="0" fontId="9" fillId="20" borderId="24" xfId="0" applyFont="1" applyFill="1" applyBorder="1" applyAlignment="1" applyProtection="1">
      <alignment horizontal="center" vertical="top" wrapText="1"/>
      <protection hidden="1"/>
    </xf>
    <xf numFmtId="0" fontId="12" fillId="3" borderId="58" xfId="4" applyFont="1" applyFill="1" applyBorder="1" applyAlignment="1" applyProtection="1">
      <alignment horizontal="center" vertical="center"/>
      <protection hidden="1"/>
    </xf>
    <xf numFmtId="0" fontId="10" fillId="0" borderId="59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60" xfId="0" applyFont="1" applyBorder="1" applyAlignment="1" applyProtection="1">
      <alignment horizontal="center" vertical="center"/>
      <protection hidden="1"/>
    </xf>
    <xf numFmtId="0" fontId="9" fillId="20" borderId="58" xfId="0" applyFont="1" applyFill="1" applyBorder="1" applyAlignment="1" applyProtection="1">
      <alignment horizontal="center" vertical="center" wrapText="1"/>
      <protection hidden="1"/>
    </xf>
    <xf numFmtId="0" fontId="9" fillId="20" borderId="59" xfId="0" applyFont="1" applyFill="1" applyBorder="1" applyAlignment="1" applyProtection="1">
      <alignment horizontal="center" vertical="center" wrapText="1"/>
      <protection hidden="1"/>
    </xf>
    <xf numFmtId="0" fontId="9" fillId="20" borderId="60" xfId="0" applyFont="1" applyFill="1" applyBorder="1" applyAlignment="1" applyProtection="1">
      <alignment horizontal="center" vertical="center" wrapText="1"/>
      <protection hidden="1"/>
    </xf>
    <xf numFmtId="164" fontId="18" fillId="4" borderId="29" xfId="0" applyNumberFormat="1" applyFont="1" applyFill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24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8" xfId="0" applyFont="1" applyFill="1" applyBorder="1" applyAlignment="1" applyProtection="1">
      <alignment horizontal="center" vertical="center"/>
      <protection hidden="1"/>
    </xf>
    <xf numFmtId="0" fontId="9" fillId="3" borderId="59" xfId="0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81" xfId="0" applyFont="1" applyFill="1" applyBorder="1" applyAlignment="1" applyProtection="1">
      <alignment horizontal="center" vertical="top" wrapText="1"/>
      <protection hidden="1"/>
    </xf>
    <xf numFmtId="0" fontId="9" fillId="2" borderId="22" xfId="0" applyFont="1" applyFill="1" applyBorder="1" applyAlignment="1" applyProtection="1">
      <alignment horizontal="center" vertical="top" wrapText="1"/>
      <protection hidden="1"/>
    </xf>
    <xf numFmtId="164" fontId="18" fillId="4" borderId="81" xfId="0" applyNumberFormat="1" applyFont="1" applyFill="1" applyBorder="1" applyAlignment="1" applyProtection="1">
      <alignment horizontal="center" vertical="top" wrapText="1"/>
      <protection hidden="1"/>
    </xf>
    <xf numFmtId="164" fontId="18" fillId="4" borderId="22" xfId="0" applyNumberFormat="1" applyFont="1" applyFill="1" applyBorder="1" applyAlignment="1" applyProtection="1">
      <alignment horizontal="center" vertical="top" wrapText="1"/>
      <protection hidden="1"/>
    </xf>
    <xf numFmtId="0" fontId="9" fillId="6" borderId="74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13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58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59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60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22" xfId="4" applyNumberFormat="1" applyFont="1" applyFill="1" applyBorder="1" applyAlignment="1" applyProtection="1">
      <alignment horizontal="center" vertical="center" wrapText="1"/>
      <protection hidden="1"/>
    </xf>
    <xf numFmtId="0" fontId="9" fillId="20" borderId="10" xfId="0" applyFont="1" applyFill="1" applyBorder="1" applyAlignment="1" applyProtection="1">
      <alignment horizontal="center" vertical="top" wrapText="1"/>
      <protection hidden="1"/>
    </xf>
    <xf numFmtId="0" fontId="9" fillId="20" borderId="27" xfId="0" applyFont="1" applyFill="1" applyBorder="1" applyAlignment="1" applyProtection="1">
      <alignment horizontal="center" vertical="top" wrapText="1"/>
      <protection hidden="1"/>
    </xf>
    <xf numFmtId="0" fontId="9" fillId="20" borderId="51" xfId="0" applyFont="1" applyFill="1" applyBorder="1" applyAlignment="1" applyProtection="1">
      <alignment horizontal="center" vertical="top" wrapText="1"/>
      <protection hidden="1"/>
    </xf>
    <xf numFmtId="0" fontId="9" fillId="20" borderId="25" xfId="0" applyFont="1" applyFill="1" applyBorder="1" applyAlignment="1" applyProtection="1">
      <alignment horizontal="center" vertical="top" wrapText="1"/>
      <protection hidden="1"/>
    </xf>
    <xf numFmtId="0" fontId="9" fillId="20" borderId="0" xfId="4" applyFont="1" applyFill="1" applyAlignment="1" applyProtection="1">
      <alignment horizontal="center" wrapText="1"/>
      <protection hidden="1"/>
    </xf>
    <xf numFmtId="0" fontId="11" fillId="21" borderId="69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17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18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1" borderId="11" xfId="0" applyNumberFormat="1" applyFont="1" applyFill="1" applyBorder="1" applyAlignment="1" applyProtection="1">
      <alignment horizontal="center" vertical="center" wrapText="1"/>
      <protection hidden="1"/>
    </xf>
    <xf numFmtId="0" fontId="21" fillId="20" borderId="27" xfId="0" applyFont="1" applyFill="1" applyBorder="1" applyAlignment="1" applyProtection="1">
      <alignment horizontal="center" vertical="center"/>
      <protection hidden="1"/>
    </xf>
    <xf numFmtId="0" fontId="21" fillId="20" borderId="26" xfId="0" applyFont="1" applyFill="1" applyBorder="1" applyAlignment="1" applyProtection="1">
      <alignment horizontal="center" vertical="center"/>
      <protection hidden="1"/>
    </xf>
    <xf numFmtId="167" fontId="12" fillId="2" borderId="8" xfId="0" applyNumberFormat="1" applyFont="1" applyFill="1" applyBorder="1" applyAlignment="1" applyProtection="1">
      <alignment horizontal="left" vertical="center" wrapText="1" indent="1"/>
      <protection hidden="1"/>
    </xf>
    <xf numFmtId="167" fontId="12" fillId="2" borderId="22" xfId="0" applyNumberFormat="1" applyFont="1" applyFill="1" applyBorder="1" applyAlignment="1" applyProtection="1">
      <alignment horizontal="left" vertical="center" wrapText="1" indent="1"/>
      <protection hidden="1"/>
    </xf>
    <xf numFmtId="164" fontId="9" fillId="2" borderId="59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9" xfId="0" applyFont="1" applyBorder="1" applyAlignment="1" applyProtection="1">
      <protection hidden="1"/>
    </xf>
    <xf numFmtId="164" fontId="9" fillId="2" borderId="58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60" xfId="0" applyFont="1" applyBorder="1" applyAlignment="1" applyProtection="1">
      <protection hidden="1"/>
    </xf>
    <xf numFmtId="0" fontId="11" fillId="21" borderId="110" xfId="0" applyNumberFormat="1" applyFont="1" applyFill="1" applyBorder="1" applyAlignment="1" applyProtection="1">
      <alignment horizontal="center" vertical="center" wrapText="1"/>
      <protection hidden="1"/>
    </xf>
    <xf numFmtId="0" fontId="10" fillId="20" borderId="5" xfId="0" applyFont="1" applyFill="1" applyBorder="1" applyAlignment="1" applyProtection="1">
      <alignment horizontal="center" wrapText="1"/>
      <protection hidden="1"/>
    </xf>
    <xf numFmtId="0" fontId="11" fillId="21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20" borderId="4" xfId="0" applyFont="1" applyFill="1" applyBorder="1" applyAlignment="1" applyProtection="1">
      <alignment horizontal="center" wrapText="1"/>
      <protection hidden="1"/>
    </xf>
    <xf numFmtId="164" fontId="9" fillId="2" borderId="62" xfId="0" applyNumberFormat="1" applyFont="1" applyFill="1" applyBorder="1" applyAlignment="1" applyProtection="1">
      <alignment horizontal="center" vertical="center" wrapText="1"/>
      <protection hidden="1"/>
    </xf>
    <xf numFmtId="0" fontId="9" fillId="11" borderId="58" xfId="0" applyFont="1" applyFill="1" applyBorder="1" applyAlignment="1" applyProtection="1">
      <alignment horizontal="center" vertical="center" wrapText="1"/>
      <protection hidden="1"/>
    </xf>
    <xf numFmtId="0" fontId="9" fillId="11" borderId="60" xfId="0" applyFont="1" applyFill="1" applyBorder="1" applyAlignment="1" applyProtection="1">
      <alignment horizontal="center" vertical="center" wrapText="1"/>
      <protection hidden="1"/>
    </xf>
    <xf numFmtId="0" fontId="9" fillId="0" borderId="14" xfId="78" applyNumberFormat="1" applyFont="1" applyFill="1" applyBorder="1" applyAlignment="1" applyProtection="1">
      <alignment horizontal="left" vertical="center" indent="1"/>
      <protection hidden="1"/>
    </xf>
    <xf numFmtId="0" fontId="9" fillId="0" borderId="71" xfId="78" applyNumberFormat="1" applyFont="1" applyFill="1" applyBorder="1" applyAlignment="1" applyProtection="1">
      <alignment horizontal="left" vertical="center" indent="1"/>
      <protection hidden="1"/>
    </xf>
    <xf numFmtId="164" fontId="9" fillId="3" borderId="62" xfId="78" applyNumberFormat="1" applyFont="1" applyFill="1" applyBorder="1" applyAlignment="1" applyProtection="1">
      <alignment horizontal="center" vertical="center" wrapText="1"/>
      <protection hidden="1"/>
    </xf>
    <xf numFmtId="164" fontId="9" fillId="3" borderId="60" xfId="78" applyNumberFormat="1" applyFont="1" applyFill="1" applyBorder="1" applyAlignment="1" applyProtection="1">
      <alignment horizontal="center" vertical="center" wrapText="1"/>
      <protection hidden="1"/>
    </xf>
    <xf numFmtId="164" fontId="9" fillId="3" borderId="19" xfId="78" applyNumberFormat="1" applyFont="1" applyFill="1" applyBorder="1" applyAlignment="1" applyProtection="1">
      <alignment horizontal="center" vertical="top" wrapText="1"/>
      <protection hidden="1"/>
    </xf>
    <xf numFmtId="164" fontId="9" fillId="3" borderId="110" xfId="78" applyNumberFormat="1" applyFont="1" applyFill="1" applyBorder="1" applyAlignment="1" applyProtection="1">
      <alignment horizontal="center" vertical="top" wrapText="1"/>
      <protection hidden="1"/>
    </xf>
    <xf numFmtId="164" fontId="9" fillId="3" borderId="115" xfId="78" applyNumberFormat="1" applyFont="1" applyFill="1" applyBorder="1" applyAlignment="1" applyProtection="1">
      <alignment horizontal="center" vertical="center"/>
      <protection hidden="1"/>
    </xf>
    <xf numFmtId="164" fontId="9" fillId="3" borderId="75" xfId="78" applyNumberFormat="1" applyFont="1" applyFill="1" applyBorder="1" applyAlignment="1" applyProtection="1">
      <alignment horizontal="center" vertical="center"/>
      <protection hidden="1"/>
    </xf>
    <xf numFmtId="164" fontId="9" fillId="3" borderId="71" xfId="78" applyNumberFormat="1" applyFont="1" applyFill="1" applyBorder="1" applyAlignment="1" applyProtection="1">
      <alignment horizontal="center" vertical="center"/>
      <protection hidden="1"/>
    </xf>
    <xf numFmtId="164" fontId="9" fillId="3" borderId="97" xfId="78" applyNumberFormat="1" applyFont="1" applyFill="1" applyBorder="1" applyAlignment="1" applyProtection="1">
      <alignment horizontal="center" vertical="top" wrapText="1"/>
      <protection hidden="1"/>
    </xf>
    <xf numFmtId="164" fontId="9" fillId="3" borderId="22" xfId="78" applyNumberFormat="1" applyFont="1" applyFill="1" applyBorder="1" applyAlignment="1" applyProtection="1">
      <alignment horizontal="center" vertical="top" wrapText="1"/>
      <protection hidden="1"/>
    </xf>
    <xf numFmtId="164" fontId="9" fillId="3" borderId="0" xfId="78" applyNumberFormat="1" applyFont="1" applyFill="1" applyBorder="1" applyAlignment="1" applyProtection="1">
      <alignment horizontal="center" vertical="center"/>
      <protection hidden="1"/>
    </xf>
    <xf numFmtId="164" fontId="9" fillId="3" borderId="11" xfId="78" applyNumberFormat="1" applyFont="1" applyFill="1" applyBorder="1" applyAlignment="1" applyProtection="1">
      <alignment horizontal="center" vertical="center"/>
      <protection hidden="1"/>
    </xf>
    <xf numFmtId="0" fontId="9" fillId="15" borderId="14" xfId="78" applyNumberFormat="1" applyFont="1" applyFill="1" applyBorder="1" applyAlignment="1" applyProtection="1">
      <alignment horizontal="left" vertical="center" indent="1"/>
      <protection hidden="1"/>
    </xf>
    <xf numFmtId="0" fontId="9" fillId="15" borderId="71" xfId="78" applyNumberFormat="1" applyFont="1" applyFill="1" applyBorder="1" applyAlignment="1" applyProtection="1">
      <alignment horizontal="left" vertical="center" indent="1"/>
      <protection hidden="1"/>
    </xf>
    <xf numFmtId="164" fontId="9" fillId="15" borderId="115" xfId="78" applyNumberFormat="1" applyFont="1" applyFill="1" applyBorder="1" applyAlignment="1" applyProtection="1">
      <alignment horizontal="center" vertical="center"/>
      <protection hidden="1"/>
    </xf>
    <xf numFmtId="164" fontId="9" fillId="15" borderId="75" xfId="78" applyNumberFormat="1" applyFont="1" applyFill="1" applyBorder="1" applyAlignment="1" applyProtection="1">
      <alignment horizontal="center" vertical="center"/>
      <protection hidden="1"/>
    </xf>
    <xf numFmtId="164" fontId="9" fillId="15" borderId="71" xfId="78" applyNumberFormat="1" applyFont="1" applyFill="1" applyBorder="1" applyAlignment="1" applyProtection="1">
      <alignment horizontal="center" vertical="center"/>
      <protection hidden="1"/>
    </xf>
    <xf numFmtId="164" fontId="9" fillId="15" borderId="97" xfId="78" applyNumberFormat="1" applyFont="1" applyFill="1" applyBorder="1" applyAlignment="1" applyProtection="1">
      <alignment horizontal="center" vertical="top" wrapText="1"/>
      <protection hidden="1"/>
    </xf>
    <xf numFmtId="164" fontId="9" fillId="15" borderId="22" xfId="78" applyNumberFormat="1" applyFont="1" applyFill="1" applyBorder="1" applyAlignment="1" applyProtection="1">
      <alignment horizontal="center" vertical="top" wrapText="1"/>
      <protection hidden="1"/>
    </xf>
    <xf numFmtId="164" fontId="9" fillId="15" borderId="0" xfId="78" applyNumberFormat="1" applyFont="1" applyFill="1" applyBorder="1" applyAlignment="1" applyProtection="1">
      <alignment horizontal="center" vertical="center"/>
      <protection hidden="1"/>
    </xf>
    <xf numFmtId="164" fontId="9" fillId="15" borderId="11" xfId="78" applyNumberFormat="1" applyFont="1" applyFill="1" applyBorder="1" applyAlignment="1" applyProtection="1">
      <alignment horizontal="center" vertical="center"/>
      <protection hidden="1"/>
    </xf>
    <xf numFmtId="0" fontId="9" fillId="2" borderId="69" xfId="9" applyFont="1" applyFill="1" applyBorder="1" applyAlignment="1" applyProtection="1">
      <alignment horizontal="center" vertical="center" wrapText="1"/>
      <protection hidden="1"/>
    </xf>
    <xf numFmtId="0" fontId="9" fillId="2" borderId="17" xfId="9" applyFont="1" applyFill="1" applyBorder="1" applyAlignment="1" applyProtection="1">
      <alignment horizontal="center" vertical="center" wrapText="1"/>
      <protection hidden="1"/>
    </xf>
    <xf numFmtId="0" fontId="9" fillId="2" borderId="18" xfId="9" applyFont="1" applyFill="1" applyBorder="1" applyAlignment="1" applyProtection="1">
      <alignment horizontal="center" vertical="center" wrapText="1"/>
      <protection hidden="1"/>
    </xf>
    <xf numFmtId="0" fontId="9" fillId="19" borderId="14" xfId="9" applyFont="1" applyFill="1" applyBorder="1" applyAlignment="1" applyProtection="1">
      <alignment horizontal="center" vertical="center"/>
      <protection hidden="1"/>
    </xf>
    <xf numFmtId="0" fontId="9" fillId="19" borderId="71" xfId="9" applyFont="1" applyFill="1" applyBorder="1" applyAlignment="1" applyProtection="1">
      <alignment horizontal="center" vertical="center"/>
      <protection hidden="1"/>
    </xf>
    <xf numFmtId="0" fontId="9" fillId="58" borderId="14" xfId="9" applyFont="1" applyFill="1" applyBorder="1" applyAlignment="1" applyProtection="1">
      <alignment horizontal="center" vertical="center"/>
      <protection hidden="1"/>
    </xf>
    <xf numFmtId="0" fontId="9" fillId="58" borderId="71" xfId="9" applyFont="1" applyFill="1" applyBorder="1" applyAlignment="1" applyProtection="1">
      <alignment horizontal="center" vertical="center"/>
      <protection hidden="1"/>
    </xf>
    <xf numFmtId="0" fontId="9" fillId="2" borderId="51" xfId="9" applyFont="1" applyFill="1" applyBorder="1" applyAlignment="1" applyProtection="1">
      <alignment horizontal="center" vertical="top" wrapText="1"/>
      <protection hidden="1"/>
    </xf>
    <xf numFmtId="0" fontId="9" fillId="2" borderId="25" xfId="9" applyFont="1" applyFill="1" applyBorder="1" applyAlignment="1" applyProtection="1">
      <alignment horizontal="center" vertical="top" wrapText="1"/>
      <protection hidden="1"/>
    </xf>
    <xf numFmtId="0" fontId="9" fillId="58" borderId="8" xfId="9" applyFont="1" applyFill="1" applyBorder="1" applyAlignment="1" applyProtection="1">
      <alignment horizontal="center" vertical="center" wrapText="1"/>
      <protection hidden="1"/>
    </xf>
    <xf numFmtId="0" fontId="9" fillId="58" borderId="22" xfId="9" applyFont="1" applyFill="1" applyBorder="1" applyAlignment="1" applyProtection="1">
      <alignment horizontal="center" vertical="center" wrapText="1"/>
      <protection hidden="1"/>
    </xf>
    <xf numFmtId="0" fontId="9" fillId="0" borderId="14" xfId="9" applyFont="1" applyFill="1" applyBorder="1" applyAlignment="1" applyProtection="1">
      <alignment horizontal="left" vertical="center" indent="1"/>
      <protection hidden="1"/>
    </xf>
    <xf numFmtId="0" fontId="9" fillId="0" borderId="75" xfId="9" applyFont="1" applyFill="1" applyBorder="1" applyAlignment="1" applyProtection="1">
      <alignment horizontal="left" vertical="center" indent="1"/>
      <protection hidden="1"/>
    </xf>
    <xf numFmtId="0" fontId="9" fillId="0" borderId="71" xfId="9" applyFont="1" applyFill="1" applyBorder="1" applyAlignment="1" applyProtection="1">
      <alignment horizontal="left" vertical="center" indent="1"/>
      <protection hidden="1"/>
    </xf>
    <xf numFmtId="0" fontId="9" fillId="19" borderId="58" xfId="9" applyFont="1" applyFill="1" applyBorder="1" applyAlignment="1" applyProtection="1">
      <alignment horizontal="center" vertical="center"/>
      <protection hidden="1"/>
    </xf>
    <xf numFmtId="0" fontId="9" fillId="19" borderId="59" xfId="9" applyFont="1" applyFill="1" applyBorder="1" applyAlignment="1" applyProtection="1">
      <alignment horizontal="center" vertical="center"/>
      <protection hidden="1"/>
    </xf>
    <xf numFmtId="0" fontId="9" fillId="19" borderId="60" xfId="9" applyFont="1" applyFill="1" applyBorder="1" applyAlignment="1" applyProtection="1">
      <alignment horizontal="center" vertical="center"/>
      <protection hidden="1"/>
    </xf>
    <xf numFmtId="0" fontId="9" fillId="19" borderId="8" xfId="9" applyFont="1" applyFill="1" applyBorder="1" applyAlignment="1" applyProtection="1">
      <alignment horizontal="center" vertical="center" wrapText="1"/>
      <protection hidden="1"/>
    </xf>
    <xf numFmtId="0" fontId="9" fillId="19" borderId="22" xfId="9" applyFont="1" applyFill="1" applyBorder="1" applyAlignment="1" applyProtection="1">
      <alignment horizontal="center" vertical="center" wrapText="1"/>
      <protection hidden="1"/>
    </xf>
    <xf numFmtId="0" fontId="9" fillId="15" borderId="14" xfId="9" applyFont="1" applyFill="1" applyBorder="1" applyAlignment="1" applyProtection="1">
      <alignment horizontal="left" vertical="center" indent="1"/>
      <protection hidden="1"/>
    </xf>
    <xf numFmtId="0" fontId="9" fillId="15" borderId="75" xfId="9" applyFont="1" applyFill="1" applyBorder="1" applyAlignment="1" applyProtection="1">
      <alignment horizontal="left" vertical="center" indent="1"/>
      <protection hidden="1"/>
    </xf>
    <xf numFmtId="0" fontId="9" fillId="15" borderId="71" xfId="9" applyFont="1" applyFill="1" applyBorder="1" applyAlignment="1" applyProtection="1">
      <alignment horizontal="left" vertical="center" indent="1"/>
      <protection hidden="1"/>
    </xf>
    <xf numFmtId="0" fontId="9" fillId="58" borderId="58" xfId="9" applyFont="1" applyFill="1" applyBorder="1" applyAlignment="1" applyProtection="1">
      <alignment horizontal="center" vertical="center"/>
      <protection hidden="1"/>
    </xf>
    <xf numFmtId="0" fontId="9" fillId="58" borderId="59" xfId="9" applyFont="1" applyFill="1" applyBorder="1" applyAlignment="1" applyProtection="1">
      <alignment horizontal="center" vertical="center"/>
      <protection hidden="1"/>
    </xf>
    <xf numFmtId="0" fontId="9" fillId="58" borderId="60" xfId="9" applyFont="1" applyFill="1" applyBorder="1" applyAlignment="1" applyProtection="1">
      <alignment horizontal="center" vertical="center"/>
      <protection hidden="1"/>
    </xf>
    <xf numFmtId="0" fontId="12" fillId="3" borderId="69" xfId="4" applyFont="1" applyFill="1" applyBorder="1" applyAlignment="1" applyProtection="1">
      <alignment horizontal="left" vertical="center" wrapText="1" indent="2"/>
      <protection hidden="1"/>
    </xf>
    <xf numFmtId="0" fontId="12" fillId="3" borderId="9" xfId="4" applyFont="1" applyFill="1" applyBorder="1" applyAlignment="1" applyProtection="1">
      <alignment horizontal="left" vertical="center" wrapText="1" indent="2"/>
      <protection hidden="1"/>
    </xf>
    <xf numFmtId="0" fontId="10" fillId="0" borderId="9" xfId="4" applyFont="1" applyBorder="1" applyAlignment="1" applyProtection="1">
      <alignment horizontal="left" vertical="center" wrapText="1" indent="2"/>
      <protection hidden="1"/>
    </xf>
    <xf numFmtId="164" fontId="9" fillId="3" borderId="58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60" xfId="4" applyFont="1" applyBorder="1" applyAlignment="1" applyProtection="1">
      <alignment horizontal="center" vertical="center" wrapText="1"/>
      <protection hidden="1"/>
    </xf>
    <xf numFmtId="164" fontId="9" fillId="3" borderId="47" xfId="4" applyNumberFormat="1" applyFont="1" applyFill="1" applyBorder="1" applyAlignment="1" applyProtection="1">
      <alignment horizontal="center" vertical="top"/>
      <protection hidden="1"/>
    </xf>
    <xf numFmtId="164" fontId="9" fillId="3" borderId="46" xfId="4" applyNumberFormat="1" applyFont="1" applyFill="1" applyBorder="1" applyAlignment="1" applyProtection="1">
      <alignment horizontal="center" vertical="top"/>
      <protection hidden="1"/>
    </xf>
    <xf numFmtId="164" fontId="9" fillId="3" borderId="62" xfId="4" applyNumberFormat="1" applyFont="1" applyFill="1" applyBorder="1" applyAlignment="1" applyProtection="1">
      <alignment horizontal="center" vertical="center"/>
      <protection hidden="1"/>
    </xf>
    <xf numFmtId="164" fontId="9" fillId="3" borderId="59" xfId="4" applyNumberFormat="1" applyFont="1" applyFill="1" applyBorder="1" applyAlignment="1" applyProtection="1">
      <alignment horizontal="center" vertical="center"/>
      <protection hidden="1"/>
    </xf>
    <xf numFmtId="164" fontId="9" fillId="3" borderId="60" xfId="4" applyNumberFormat="1" applyFont="1" applyFill="1" applyBorder="1" applyAlignment="1" applyProtection="1">
      <alignment horizontal="center" vertical="center"/>
      <protection hidden="1"/>
    </xf>
    <xf numFmtId="164" fontId="9" fillId="3" borderId="8" xfId="4" applyNumberFormat="1" applyFont="1" applyFill="1" applyBorder="1" applyAlignment="1" applyProtection="1">
      <alignment horizontal="center" vertical="top" wrapText="1"/>
      <protection hidden="1"/>
    </xf>
    <xf numFmtId="164" fontId="9" fillId="3" borderId="22" xfId="4" applyNumberFormat="1" applyFont="1" applyFill="1" applyBorder="1" applyAlignment="1" applyProtection="1">
      <alignment horizontal="center" vertical="top" wrapText="1"/>
      <protection hidden="1"/>
    </xf>
    <xf numFmtId="164" fontId="9" fillId="3" borderId="62" xfId="4" applyNumberFormat="1" applyFont="1" applyFill="1" applyBorder="1" applyAlignment="1" applyProtection="1">
      <alignment horizontal="center" vertical="top" wrapText="1"/>
      <protection hidden="1"/>
    </xf>
    <xf numFmtId="0" fontId="10" fillId="3" borderId="63" xfId="4" applyFont="1" applyFill="1" applyBorder="1" applyAlignment="1" applyProtection="1">
      <alignment horizontal="center" vertical="top" wrapText="1"/>
      <protection hidden="1"/>
    </xf>
    <xf numFmtId="0" fontId="9" fillId="3" borderId="62" xfId="4" applyFont="1" applyFill="1" applyBorder="1" applyAlignment="1" applyProtection="1">
      <alignment horizontal="center" vertical="center"/>
      <protection hidden="1"/>
    </xf>
    <xf numFmtId="0" fontId="9" fillId="3" borderId="59" xfId="4" applyFont="1" applyFill="1" applyBorder="1" applyAlignment="1" applyProtection="1">
      <alignment horizontal="center" vertical="center"/>
      <protection hidden="1"/>
    </xf>
    <xf numFmtId="0" fontId="9" fillId="3" borderId="60" xfId="4" applyFont="1" applyFill="1" applyBorder="1" applyAlignment="1" applyProtection="1">
      <alignment horizontal="center" vertical="center"/>
      <protection hidden="1"/>
    </xf>
    <xf numFmtId="0" fontId="9" fillId="0" borderId="14" xfId="4" applyNumberFormat="1" applyFont="1" applyFill="1" applyBorder="1" applyAlignment="1" applyProtection="1">
      <alignment horizontal="left" vertical="center" indent="1"/>
      <protection hidden="1"/>
    </xf>
    <xf numFmtId="0" fontId="9" fillId="0" borderId="75" xfId="4" applyNumberFormat="1" applyFont="1" applyFill="1" applyBorder="1" applyAlignment="1" applyProtection="1">
      <alignment horizontal="left" vertical="center" indent="1"/>
      <protection hidden="1"/>
    </xf>
    <xf numFmtId="0" fontId="9" fillId="0" borderId="71" xfId="4" applyNumberFormat="1" applyFont="1" applyFill="1" applyBorder="1" applyAlignment="1" applyProtection="1">
      <alignment horizontal="left" vertical="center" indent="1"/>
      <protection hidden="1"/>
    </xf>
    <xf numFmtId="0" fontId="67" fillId="0" borderId="74" xfId="14" applyFont="1" applyBorder="1" applyAlignment="1" applyProtection="1">
      <alignment horizontal="center" vertical="center"/>
      <protection hidden="1"/>
    </xf>
    <xf numFmtId="0" fontId="67" fillId="0" borderId="3" xfId="14" applyFont="1" applyBorder="1" applyAlignment="1" applyProtection="1">
      <alignment horizontal="center" vertical="center"/>
      <protection hidden="1"/>
    </xf>
    <xf numFmtId="0" fontId="9" fillId="0" borderId="10" xfId="0" applyNumberFormat="1" applyFont="1" applyFill="1" applyBorder="1" applyAlignment="1" applyProtection="1">
      <alignment horizontal="center" vertical="top" wrapText="1"/>
      <protection hidden="1"/>
    </xf>
    <xf numFmtId="0" fontId="9" fillId="0" borderId="27" xfId="0" applyNumberFormat="1" applyFont="1" applyFill="1" applyBorder="1" applyAlignment="1" applyProtection="1">
      <alignment horizontal="center" vertical="top" wrapText="1"/>
      <protection hidden="1"/>
    </xf>
    <xf numFmtId="164" fontId="67" fillId="0" borderId="58" xfId="11" applyNumberFormat="1" applyFont="1" applyFill="1" applyBorder="1" applyAlignment="1" applyProtection="1">
      <alignment horizontal="center" vertical="center"/>
      <protection hidden="1"/>
    </xf>
    <xf numFmtId="164" fontId="67" fillId="0" borderId="59" xfId="11" applyNumberFormat="1" applyFont="1" applyFill="1" applyBorder="1" applyAlignment="1" applyProtection="1">
      <alignment horizontal="center" vertical="center"/>
      <protection hidden="1"/>
    </xf>
    <xf numFmtId="164" fontId="67" fillId="0" borderId="60" xfId="11" applyNumberFormat="1" applyFont="1" applyFill="1" applyBorder="1" applyAlignment="1" applyProtection="1">
      <alignment horizontal="center" vertical="center"/>
      <protection hidden="1"/>
    </xf>
    <xf numFmtId="0" fontId="9" fillId="0" borderId="45" xfId="0" applyNumberFormat="1" applyFont="1" applyFill="1" applyBorder="1" applyAlignment="1" applyProtection="1">
      <alignment horizontal="center" vertical="top"/>
      <protection hidden="1"/>
    </xf>
    <xf numFmtId="0" fontId="9" fillId="0" borderId="2" xfId="0" applyNumberFormat="1" applyFont="1" applyFill="1" applyBorder="1" applyAlignment="1" applyProtection="1">
      <alignment horizontal="center" vertical="top"/>
      <protection hidden="1"/>
    </xf>
    <xf numFmtId="0" fontId="9" fillId="0" borderId="3" xfId="0" applyNumberFormat="1" applyFont="1" applyFill="1" applyBorder="1" applyAlignment="1" applyProtection="1">
      <alignment horizontal="center" vertical="top"/>
      <protection hidden="1"/>
    </xf>
    <xf numFmtId="0" fontId="9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47" xfId="0" applyNumberFormat="1" applyFont="1" applyFill="1" applyBorder="1" applyAlignment="1" applyProtection="1">
      <alignment horizontal="center" vertical="top" wrapText="1"/>
      <protection hidden="1"/>
    </xf>
    <xf numFmtId="0" fontId="9" fillId="0" borderId="46" xfId="0" applyNumberFormat="1" applyFont="1" applyFill="1" applyBorder="1" applyAlignment="1" applyProtection="1">
      <alignment horizontal="center" vertical="top" wrapText="1"/>
      <protection hidden="1"/>
    </xf>
    <xf numFmtId="0" fontId="67" fillId="0" borderId="58" xfId="11" applyNumberFormat="1" applyFont="1" applyFill="1" applyBorder="1" applyAlignment="1" applyProtection="1">
      <alignment horizontal="center" vertical="center"/>
      <protection hidden="1"/>
    </xf>
    <xf numFmtId="0" fontId="67" fillId="0" borderId="59" xfId="11" applyNumberFormat="1" applyFont="1" applyFill="1" applyBorder="1" applyAlignment="1" applyProtection="1">
      <alignment horizontal="center" vertical="center"/>
      <protection hidden="1"/>
    </xf>
    <xf numFmtId="0" fontId="67" fillId="0" borderId="60" xfId="11" applyNumberFormat="1" applyFont="1" applyFill="1" applyBorder="1" applyAlignment="1" applyProtection="1">
      <alignment horizontal="center" vertical="center"/>
      <protection hidden="1"/>
    </xf>
    <xf numFmtId="0" fontId="9" fillId="0" borderId="17" xfId="13" applyNumberFormat="1" applyFont="1" applyBorder="1" applyAlignment="1" applyProtection="1">
      <alignment horizontal="center" vertical="center"/>
      <protection hidden="1"/>
    </xf>
    <xf numFmtId="0" fontId="9" fillId="0" borderId="18" xfId="13" applyNumberFormat="1" applyFont="1" applyBorder="1" applyAlignment="1" applyProtection="1">
      <alignment horizontal="center" vertical="center"/>
      <protection hidden="1"/>
    </xf>
    <xf numFmtId="0" fontId="9" fillId="0" borderId="65" xfId="13" applyNumberFormat="1" applyFont="1" applyBorder="1" applyAlignment="1" applyProtection="1">
      <alignment horizontal="center" vertical="top" wrapText="1"/>
      <protection hidden="1"/>
    </xf>
    <xf numFmtId="0" fontId="9" fillId="0" borderId="24" xfId="13" applyNumberFormat="1" applyFont="1" applyBorder="1" applyAlignment="1" applyProtection="1">
      <alignment horizontal="center" vertical="top" wrapText="1"/>
      <protection hidden="1"/>
    </xf>
    <xf numFmtId="0" fontId="9" fillId="0" borderId="47" xfId="13" applyNumberFormat="1" applyFont="1" applyBorder="1" applyAlignment="1" applyProtection="1">
      <alignment horizontal="center" vertical="center"/>
      <protection hidden="1"/>
    </xf>
    <xf numFmtId="0" fontId="9" fillId="0" borderId="48" xfId="13" applyNumberFormat="1" applyFont="1" applyBorder="1" applyAlignment="1" applyProtection="1">
      <alignment horizontal="center" vertical="center"/>
      <protection hidden="1"/>
    </xf>
    <xf numFmtId="0" fontId="9" fillId="0" borderId="28" xfId="13" applyNumberFormat="1" applyFont="1" applyBorder="1" applyAlignment="1" applyProtection="1">
      <alignment horizontal="center" vertical="center"/>
      <protection hidden="1"/>
    </xf>
    <xf numFmtId="0" fontId="9" fillId="0" borderId="62" xfId="13" applyNumberFormat="1" applyFont="1" applyBorder="1" applyAlignment="1" applyProtection="1">
      <alignment horizontal="center" vertical="center"/>
      <protection hidden="1"/>
    </xf>
    <xf numFmtId="0" fontId="9" fillId="0" borderId="59" xfId="13" applyNumberFormat="1" applyFont="1" applyBorder="1" applyAlignment="1" applyProtection="1">
      <alignment horizontal="center" vertical="center"/>
      <protection hidden="1"/>
    </xf>
    <xf numFmtId="0" fontId="9" fillId="0" borderId="60" xfId="13" applyNumberFormat="1" applyFont="1" applyBorder="1" applyAlignment="1" applyProtection="1">
      <alignment horizontal="center" vertical="center"/>
      <protection hidden="1"/>
    </xf>
    <xf numFmtId="0" fontId="9" fillId="0" borderId="58" xfId="13" applyFont="1" applyBorder="1" applyAlignment="1" applyProtection="1">
      <alignment horizontal="center" vertical="center"/>
      <protection hidden="1"/>
    </xf>
    <xf numFmtId="0" fontId="9" fillId="0" borderId="59" xfId="13" applyFont="1" applyBorder="1" applyAlignment="1" applyProtection="1">
      <alignment horizontal="center" vertical="center"/>
      <protection hidden="1"/>
    </xf>
    <xf numFmtId="0" fontId="9" fillId="0" borderId="60" xfId="13" applyFont="1" applyBorder="1" applyAlignment="1" applyProtection="1">
      <alignment horizontal="center" vertical="center"/>
      <protection hidden="1"/>
    </xf>
    <xf numFmtId="0" fontId="9" fillId="0" borderId="58" xfId="13" applyNumberFormat="1" applyFont="1" applyBorder="1" applyAlignment="1" applyProtection="1">
      <alignment horizontal="center" vertical="center"/>
      <protection hidden="1"/>
    </xf>
    <xf numFmtId="0" fontId="9" fillId="0" borderId="51" xfId="13" applyNumberFormat="1" applyFont="1" applyBorder="1" applyAlignment="1" applyProtection="1">
      <alignment horizontal="center" vertical="top" wrapText="1"/>
      <protection hidden="1"/>
    </xf>
    <xf numFmtId="0" fontId="9" fillId="0" borderId="25" xfId="13" applyNumberFormat="1" applyFont="1" applyBorder="1" applyAlignment="1" applyProtection="1">
      <alignment horizontal="center" vertical="top" wrapText="1"/>
      <protection hidden="1"/>
    </xf>
    <xf numFmtId="0" fontId="9" fillId="0" borderId="22" xfId="13" applyFont="1" applyFill="1" applyBorder="1" applyAlignment="1" applyProtection="1">
      <alignment horizontal="center" vertical="top" wrapText="1"/>
      <protection hidden="1"/>
    </xf>
    <xf numFmtId="0" fontId="9" fillId="0" borderId="45" xfId="13" applyFont="1" applyFill="1" applyBorder="1" applyAlignment="1" applyProtection="1">
      <alignment horizontal="center" vertical="top" wrapText="1"/>
      <protection hidden="1"/>
    </xf>
    <xf numFmtId="0" fontId="9" fillId="0" borderId="106" xfId="13" applyFont="1" applyFill="1" applyBorder="1" applyAlignment="1" applyProtection="1">
      <alignment horizontal="center" vertical="top" wrapText="1"/>
      <protection hidden="1"/>
    </xf>
    <xf numFmtId="0" fontId="9" fillId="0" borderId="45" xfId="15" applyNumberFormat="1" applyFont="1" applyBorder="1" applyAlignment="1" applyProtection="1">
      <alignment horizontal="center" vertical="top" wrapText="1"/>
      <protection hidden="1"/>
    </xf>
    <xf numFmtId="0" fontId="9" fillId="0" borderId="106" xfId="15" applyNumberFormat="1" applyFont="1" applyBorder="1" applyAlignment="1" applyProtection="1">
      <alignment horizontal="center" vertical="top" wrapText="1"/>
      <protection hidden="1"/>
    </xf>
    <xf numFmtId="0" fontId="9" fillId="0" borderId="58" xfId="14" applyFont="1" applyBorder="1" applyAlignment="1" applyProtection="1">
      <alignment horizontal="center" vertical="center"/>
      <protection hidden="1"/>
    </xf>
    <xf numFmtId="0" fontId="9" fillId="0" borderId="60" xfId="14" applyFont="1" applyBorder="1" applyAlignment="1" applyProtection="1">
      <alignment horizontal="center" vertical="center"/>
      <protection hidden="1"/>
    </xf>
    <xf numFmtId="0" fontId="9" fillId="0" borderId="74" xfId="14" applyFont="1" applyBorder="1" applyAlignment="1" applyProtection="1">
      <alignment horizontal="center" vertical="center"/>
      <protection hidden="1"/>
    </xf>
    <xf numFmtId="0" fontId="9" fillId="0" borderId="13" xfId="14" applyFont="1" applyBorder="1" applyAlignment="1" applyProtection="1">
      <alignment horizontal="center" vertical="center"/>
      <protection hidden="1"/>
    </xf>
    <xf numFmtId="0" fontId="9" fillId="0" borderId="98" xfId="13" applyFont="1" applyFill="1" applyBorder="1" applyAlignment="1" applyProtection="1">
      <alignment horizontal="center" vertical="top" wrapText="1"/>
      <protection hidden="1"/>
    </xf>
    <xf numFmtId="0" fontId="9" fillId="0" borderId="98" xfId="13" applyFont="1" applyFill="1" applyBorder="1" applyAlignment="1" applyProtection="1">
      <alignment horizontal="center" vertical="top"/>
      <protection hidden="1"/>
    </xf>
    <xf numFmtId="0" fontId="9" fillId="0" borderId="106" xfId="13" applyFont="1" applyFill="1" applyBorder="1" applyAlignment="1" applyProtection="1">
      <alignment horizontal="center" vertical="top"/>
      <protection hidden="1"/>
    </xf>
    <xf numFmtId="0" fontId="9" fillId="0" borderId="26" xfId="13" applyFont="1" applyFill="1" applyBorder="1" applyAlignment="1" applyProtection="1">
      <alignment horizontal="center" vertical="top" wrapText="1"/>
      <protection hidden="1"/>
    </xf>
    <xf numFmtId="0" fontId="9" fillId="0" borderId="19" xfId="14" applyFont="1" applyBorder="1" applyAlignment="1" applyProtection="1">
      <alignment horizontal="center" vertical="top" wrapText="1"/>
      <protection hidden="1"/>
    </xf>
    <xf numFmtId="0" fontId="9" fillId="0" borderId="110" xfId="14" applyFont="1" applyBorder="1" applyAlignment="1" applyProtection="1">
      <alignment horizontal="center" vertical="top" wrapText="1"/>
      <protection hidden="1"/>
    </xf>
    <xf numFmtId="0" fontId="9" fillId="0" borderId="58" xfId="14" applyFont="1" applyBorder="1" applyAlignment="1" applyProtection="1">
      <alignment horizontal="center" vertical="center" wrapText="1"/>
      <protection hidden="1"/>
    </xf>
    <xf numFmtId="0" fontId="9" fillId="0" borderId="59" xfId="14" applyFont="1" applyBorder="1" applyAlignment="1" applyProtection="1">
      <alignment horizontal="center" vertical="center" wrapText="1"/>
      <protection hidden="1"/>
    </xf>
    <xf numFmtId="0" fontId="9" fillId="0" borderId="60" xfId="14" applyFont="1" applyBorder="1" applyAlignment="1" applyProtection="1">
      <alignment horizontal="center" vertical="center" wrapText="1"/>
      <protection hidden="1"/>
    </xf>
    <xf numFmtId="0" fontId="9" fillId="0" borderId="58" xfId="14" applyNumberFormat="1" applyFont="1" applyFill="1" applyBorder="1" applyAlignment="1" applyProtection="1">
      <alignment horizontal="center" vertical="center" wrapText="1"/>
      <protection hidden="1"/>
    </xf>
    <xf numFmtId="0" fontId="9" fillId="0" borderId="59" xfId="14" applyNumberFormat="1" applyFont="1" applyFill="1" applyBorder="1" applyAlignment="1" applyProtection="1">
      <alignment horizontal="center" vertical="center" wrapText="1"/>
      <protection hidden="1"/>
    </xf>
    <xf numFmtId="0" fontId="9" fillId="0" borderId="60" xfId="14" applyNumberFormat="1" applyFont="1" applyFill="1" applyBorder="1" applyAlignment="1" applyProtection="1">
      <alignment horizontal="center" vertical="center" wrapText="1"/>
      <protection hidden="1"/>
    </xf>
    <xf numFmtId="0" fontId="9" fillId="0" borderId="59" xfId="14" applyFont="1" applyBorder="1" applyAlignment="1" applyProtection="1">
      <alignment horizontal="center" vertical="center"/>
      <protection hidden="1"/>
    </xf>
    <xf numFmtId="0" fontId="9" fillId="0" borderId="45" xfId="13" applyFont="1" applyFill="1" applyBorder="1" applyAlignment="1" applyProtection="1">
      <alignment horizontal="center" vertical="top"/>
      <protection hidden="1"/>
    </xf>
    <xf numFmtId="0" fontId="9" fillId="0" borderId="13" xfId="13" applyFont="1" applyFill="1" applyBorder="1" applyAlignment="1" applyProtection="1">
      <alignment horizontal="center" vertical="top"/>
      <protection hidden="1"/>
    </xf>
    <xf numFmtId="0" fontId="9" fillId="0" borderId="13" xfId="0" applyNumberFormat="1" applyFont="1" applyFill="1" applyBorder="1" applyAlignment="1" applyProtection="1">
      <alignment horizontal="center" vertical="top"/>
      <protection hidden="1"/>
    </xf>
    <xf numFmtId="0" fontId="9" fillId="0" borderId="58" xfId="14" applyNumberFormat="1" applyFont="1" applyFill="1" applyBorder="1" applyAlignment="1" applyProtection="1">
      <alignment horizontal="center" vertical="center"/>
      <protection hidden="1"/>
    </xf>
    <xf numFmtId="0" fontId="9" fillId="0" borderId="59" xfId="14" applyNumberFormat="1" applyFont="1" applyFill="1" applyBorder="1" applyAlignment="1" applyProtection="1">
      <alignment horizontal="center" vertical="center"/>
      <protection hidden="1"/>
    </xf>
    <xf numFmtId="0" fontId="9" fillId="0" borderId="63" xfId="14" applyNumberFormat="1" applyFont="1" applyFill="1" applyBorder="1" applyAlignment="1" applyProtection="1">
      <alignment horizontal="center" vertical="center"/>
      <protection hidden="1"/>
    </xf>
    <xf numFmtId="0" fontId="9" fillId="0" borderId="21" xfId="14" applyNumberFormat="1" applyFont="1" applyFill="1" applyBorder="1" applyAlignment="1" applyProtection="1">
      <alignment horizontal="center" vertical="top" wrapText="1"/>
      <protection hidden="1"/>
    </xf>
    <xf numFmtId="0" fontId="9" fillId="0" borderId="27" xfId="14" applyNumberFormat="1" applyFont="1" applyFill="1" applyBorder="1" applyAlignment="1" applyProtection="1">
      <alignment horizontal="center" vertical="top" wrapText="1"/>
      <protection hidden="1"/>
    </xf>
    <xf numFmtId="0" fontId="9" fillId="0" borderId="74" xfId="13" applyFont="1" applyFill="1" applyBorder="1" applyAlignment="1" applyProtection="1">
      <alignment horizontal="center" vertical="top" wrapText="1"/>
      <protection hidden="1"/>
    </xf>
    <xf numFmtId="0" fontId="9" fillId="0" borderId="62" xfId="0" applyNumberFormat="1" applyFont="1" applyBorder="1" applyAlignment="1" applyProtection="1">
      <alignment horizontal="center" vertical="center"/>
      <protection hidden="1"/>
    </xf>
    <xf numFmtId="0" fontId="9" fillId="0" borderId="59" xfId="0" applyNumberFormat="1" applyFont="1" applyBorder="1" applyAlignment="1" applyProtection="1">
      <alignment horizontal="center" vertical="center"/>
      <protection hidden="1"/>
    </xf>
    <xf numFmtId="0" fontId="9" fillId="0" borderId="60" xfId="0" applyNumberFormat="1" applyFont="1" applyBorder="1" applyAlignment="1" applyProtection="1">
      <alignment horizontal="center" vertical="center"/>
      <protection hidden="1"/>
    </xf>
    <xf numFmtId="0" fontId="9" fillId="0" borderId="58" xfId="0" applyNumberFormat="1" applyFont="1" applyBorder="1" applyAlignment="1" applyProtection="1">
      <alignment horizontal="center" vertical="center"/>
      <protection hidden="1"/>
    </xf>
    <xf numFmtId="0" fontId="9" fillId="0" borderId="51" xfId="0" applyNumberFormat="1" applyFont="1" applyBorder="1" applyAlignment="1" applyProtection="1">
      <alignment horizontal="center" vertical="top" wrapText="1"/>
      <protection hidden="1"/>
    </xf>
    <xf numFmtId="0" fontId="9" fillId="0" borderId="25" xfId="0" applyNumberFormat="1" applyFont="1" applyBorder="1" applyAlignment="1" applyProtection="1">
      <alignment horizontal="center" vertical="top" wrapText="1"/>
      <protection hidden="1"/>
    </xf>
    <xf numFmtId="0" fontId="9" fillId="0" borderId="47" xfId="0" applyNumberFormat="1" applyFont="1" applyBorder="1" applyAlignment="1" applyProtection="1">
      <alignment horizontal="center" vertical="center"/>
      <protection hidden="1"/>
    </xf>
    <xf numFmtId="0" fontId="9" fillId="0" borderId="48" xfId="0" applyNumberFormat="1" applyFont="1" applyBorder="1" applyAlignment="1" applyProtection="1">
      <alignment horizontal="center" vertical="center"/>
      <protection hidden="1"/>
    </xf>
    <xf numFmtId="0" fontId="9" fillId="0" borderId="28" xfId="0" applyNumberFormat="1" applyFont="1" applyBorder="1" applyAlignment="1" applyProtection="1">
      <alignment horizontal="center" vertical="center"/>
      <protection hidden="1"/>
    </xf>
    <xf numFmtId="0" fontId="9" fillId="0" borderId="65" xfId="0" applyNumberFormat="1" applyFont="1" applyBorder="1" applyAlignment="1" applyProtection="1">
      <alignment horizontal="center" vertical="top" wrapText="1"/>
      <protection hidden="1"/>
    </xf>
    <xf numFmtId="0" fontId="9" fillId="0" borderId="110" xfId="0" applyNumberFormat="1" applyFont="1" applyBorder="1" applyAlignment="1" applyProtection="1">
      <alignment horizontal="center" vertical="top" wrapText="1"/>
      <protection hidden="1"/>
    </xf>
  </cellXfs>
  <cellStyles count="245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lumn Header" xfId="43"/>
    <cellStyle name="Column Header 10" xfId="202"/>
    <cellStyle name="Column Header 11" xfId="177"/>
    <cellStyle name="Column Header 12" xfId="201"/>
    <cellStyle name="Column Header 13" xfId="223"/>
    <cellStyle name="Column Header 14" xfId="234"/>
    <cellStyle name="Column Header 15" xfId="194"/>
    <cellStyle name="Column Header 16" xfId="180"/>
    <cellStyle name="Column Header 17" xfId="221"/>
    <cellStyle name="Column Header 18" xfId="183"/>
    <cellStyle name="Column Header 19" xfId="176"/>
    <cellStyle name="Column Header 2" xfId="173"/>
    <cellStyle name="Column Header 20" xfId="238"/>
    <cellStyle name="Column Header 21" xfId="230"/>
    <cellStyle name="Column Header 22" xfId="225"/>
    <cellStyle name="Column Header 23" xfId="175"/>
    <cellStyle name="Column Header 24" xfId="168"/>
    <cellStyle name="Column Header 3" xfId="163"/>
    <cellStyle name="Column Header 4" xfId="214"/>
    <cellStyle name="Column Header 5" xfId="220"/>
    <cellStyle name="Column Header 6" xfId="211"/>
    <cellStyle name="Column Header 7" xfId="165"/>
    <cellStyle name="Column Header 8" xfId="205"/>
    <cellStyle name="Column Header 9" xfId="172"/>
    <cellStyle name="Comma 2" xfId="1"/>
    <cellStyle name="Comma 2 2" xfId="2"/>
    <cellStyle name="Comma 3" xfId="3"/>
    <cellStyle name="Comma 3 2" xfId="44"/>
    <cellStyle name="Comma 3 3" xfId="10"/>
    <cellStyle name="Comma 4" xfId="45"/>
    <cellStyle name="Comma 4 2" xfId="46"/>
    <cellStyle name="Comma 5" xfId="47"/>
    <cellStyle name="Comma 5 2" xfId="48"/>
    <cellStyle name="Comma 6" xfId="49"/>
    <cellStyle name="Comma 7" xfId="50"/>
    <cellStyle name="Comma 7 2" xfId="51"/>
    <cellStyle name="Comma 8" xfId="52"/>
    <cellStyle name="Currency 2" xfId="53"/>
    <cellStyle name="Data (0 dp)" xfId="54"/>
    <cellStyle name="Data (1 dp)" xfId="55"/>
    <cellStyle name="Data (2 dp)" xfId="56"/>
    <cellStyle name="Data General" xfId="57"/>
    <cellStyle name="Explanatory Text 2" xfId="58"/>
    <cellStyle name="Footnote" xfId="59"/>
    <cellStyle name="Good 2" xfId="60"/>
    <cellStyle name="Heading 1 2" xfId="61"/>
    <cellStyle name="Heading 2 2" xfId="62"/>
    <cellStyle name="Heading 3 2" xfId="63"/>
    <cellStyle name="Heading 4 2" xfId="64"/>
    <cellStyle name="Hyperlink 2" xfId="65"/>
    <cellStyle name="Hyperlink 2 2" xfId="66"/>
    <cellStyle name="Hyperlink 3" xfId="67"/>
    <cellStyle name="Hyperlink 4" xfId="68"/>
    <cellStyle name="Hyperlink 5" xfId="69"/>
    <cellStyle name="Input 2" xfId="70"/>
    <cellStyle name="Linked Cell 2" xfId="71"/>
    <cellStyle name="Neutral 2" xfId="72"/>
    <cellStyle name="Normal" xfId="0" builtinId="0"/>
    <cellStyle name="Normal 10" xfId="73"/>
    <cellStyle name="Normal 11" xfId="74"/>
    <cellStyle name="Normal 11 2" xfId="186"/>
    <cellStyle name="Normal 12" xfId="75"/>
    <cellStyle name="Normal 12 2" xfId="187"/>
    <cellStyle name="Normal 13" xfId="76"/>
    <cellStyle name="Normal 13 2" xfId="188"/>
    <cellStyle name="Normal 14" xfId="77"/>
    <cellStyle name="Normal 14 2" xfId="189"/>
    <cellStyle name="Normal 15" xfId="78"/>
    <cellStyle name="Normal 15 2" xfId="79"/>
    <cellStyle name="Normal 16" xfId="80"/>
    <cellStyle name="Normal 16 2" xfId="81"/>
    <cellStyle name="Normal 16 3" xfId="190"/>
    <cellStyle name="Normal 2" xfId="4"/>
    <cellStyle name="Normal 2 2" xfId="5"/>
    <cellStyle name="Normal 2 3" xfId="9"/>
    <cellStyle name="Normal 2 4" xfId="82"/>
    <cellStyle name="Normal 2 5" xfId="83"/>
    <cellStyle name="Normal 2 5 2" xfId="191"/>
    <cellStyle name="Normal 2_GFU and SSI Teaching Grants for 2012-13, Additional Science inc STEM" xfId="84"/>
    <cellStyle name="Normal 2_RUK by FSG, 08-09 to 10-11" xfId="8"/>
    <cellStyle name="Normal 3" xfId="6"/>
    <cellStyle name="Normal 3 2" xfId="85"/>
    <cellStyle name="Normal 3 3" xfId="86"/>
    <cellStyle name="Normal 3 4" xfId="87"/>
    <cellStyle name="Normal 3_GFU and SSI Teaching Grants for 2012-13, Additional Science inc STEM" xfId="88"/>
    <cellStyle name="Normal 4" xfId="11"/>
    <cellStyle name="Normal 4 2" xfId="14"/>
    <cellStyle name="Normal 4 2 2" xfId="89"/>
    <cellStyle name="Normal 4 2 2 2" xfId="90"/>
    <cellStyle name="Normal 4 2 3" xfId="162"/>
    <cellStyle name="Normal 4 3" xfId="91"/>
    <cellStyle name="Normal 4 4" xfId="160"/>
    <cellStyle name="Normal 4_GFU and SSI Teaching Grants for 2012-13, Additional Science inc STEM" xfId="92"/>
    <cellStyle name="Normal 5" xfId="13"/>
    <cellStyle name="Normal 5 10" xfId="157"/>
    <cellStyle name="Normal 5 2" xfId="93"/>
    <cellStyle name="Normal 5 3" xfId="94"/>
    <cellStyle name="Normal 5 3 2" xfId="95"/>
    <cellStyle name="Normal 5 3_GFU and SSI Teaching Grants for 2012-13, Additional Science inc STEM" xfId="96"/>
    <cellStyle name="Normal 5 4" xfId="161"/>
    <cellStyle name="Normal 5 5" xfId="213"/>
    <cellStyle name="Normal 5 6" xfId="219"/>
    <cellStyle name="Normal 5 7" xfId="210"/>
    <cellStyle name="Normal 5 8" xfId="166"/>
    <cellStyle name="Normal 5 9" xfId="204"/>
    <cellStyle name="Normal 5_GFU and SSI Teaching Grants for 2012-13, Additional Science inc STEM" xfId="97"/>
    <cellStyle name="Normal 6" xfId="98"/>
    <cellStyle name="Normal 6 2" xfId="99"/>
    <cellStyle name="Normal 6 2 2" xfId="100"/>
    <cellStyle name="Normal 6 2 2 2" xfId="198"/>
    <cellStyle name="Normal 6 2 3" xfId="197"/>
    <cellStyle name="Normal 6 3" xfId="101"/>
    <cellStyle name="Normal 6 3 2" xfId="199"/>
    <cellStyle name="Normal 7" xfId="102"/>
    <cellStyle name="Normal 7 2" xfId="103"/>
    <cellStyle name="Normal 8" xfId="104"/>
    <cellStyle name="Normal 8 2" xfId="105"/>
    <cellStyle name="Normal 8_GFU and SSI Teaching Grants for 2012-13, Additional Science inc STEM" xfId="106"/>
    <cellStyle name="Normal 9" xfId="107"/>
    <cellStyle name="Normal 9 2" xfId="108"/>
    <cellStyle name="Normal Bold Text" xfId="109"/>
    <cellStyle name="Normal Italic Text" xfId="110"/>
    <cellStyle name="Normal Text" xfId="111"/>
    <cellStyle name="Normal_ABDN" xfId="7"/>
    <cellStyle name="Normal_GFU and SSI Teaching Grants for 2012-13, Additional Science inc STEM" xfId="15"/>
    <cellStyle name="Normal_Linked Table3 2004-05" xfId="12"/>
    <cellStyle name="Normal_Table1 ABER first cut" xfId="156"/>
    <cellStyle name="Note 2" xfId="112"/>
    <cellStyle name="Output 2" xfId="113"/>
    <cellStyle name="Percent (0 dp)" xfId="114"/>
    <cellStyle name="Percent (1 dp)" xfId="115"/>
    <cellStyle name="Percent (2 dp)" xfId="116"/>
    <cellStyle name="Percent 2" xfId="117"/>
    <cellStyle name="Percent 2 2" xfId="118"/>
    <cellStyle name="Percent 2 3" xfId="119"/>
    <cellStyle name="Percent 3" xfId="120"/>
    <cellStyle name="Percent 3 2" xfId="121"/>
    <cellStyle name="Percent 3 3" xfId="207"/>
    <cellStyle name="Percent 4" xfId="122"/>
    <cellStyle name="Percent 4 2" xfId="123"/>
    <cellStyle name="Percent 5" xfId="124"/>
    <cellStyle name="Percent 6" xfId="125"/>
    <cellStyle name="Row Header" xfId="126"/>
    <cellStyle name="Side Col Head" xfId="127"/>
    <cellStyle name="Side Col Head 10" xfId="232"/>
    <cellStyle name="Side Col Head 11" xfId="233"/>
    <cellStyle name="Side Col Head 12" xfId="208"/>
    <cellStyle name="Side Col Head 13" xfId="215"/>
    <cellStyle name="Side Col Head 14" xfId="224"/>
    <cellStyle name="Side Col Head 15" xfId="237"/>
    <cellStyle name="Side Col Head 16" xfId="228"/>
    <cellStyle name="Side Col Head 17" xfId="236"/>
    <cellStyle name="Side Col Head 18" xfId="169"/>
    <cellStyle name="Side Col Head 19" xfId="239"/>
    <cellStyle name="Side Col Head 2" xfId="209"/>
    <cellStyle name="Side Col Head 20" xfId="240"/>
    <cellStyle name="Side Col Head 21" xfId="241"/>
    <cellStyle name="Side Col Head 22" xfId="242"/>
    <cellStyle name="Side Col Head 23" xfId="243"/>
    <cellStyle name="Side Col Head 24" xfId="244"/>
    <cellStyle name="Side Col Head 3" xfId="167"/>
    <cellStyle name="Side Col Head 4" xfId="218"/>
    <cellStyle name="Side Col Head 5" xfId="158"/>
    <cellStyle name="Side Col Head 6" xfId="200"/>
    <cellStyle name="Side Col Head 7" xfId="178"/>
    <cellStyle name="Side Col Head 8" xfId="193"/>
    <cellStyle name="Side Col Head 9" xfId="181"/>
    <cellStyle name="Source Note" xfId="128"/>
    <cellStyle name="Table Title" xfId="129"/>
    <cellStyle name="Top Level Col Head" xfId="130"/>
    <cellStyle name="Top Level Row Head" xfId="131"/>
    <cellStyle name="Total 2" xfId="132"/>
    <cellStyle name="Total Column Header" xfId="133"/>
    <cellStyle name="Total Column Header 10" xfId="192"/>
    <cellStyle name="Total Column Header 11" xfId="182"/>
    <cellStyle name="Total Column Header 12" xfId="185"/>
    <cellStyle name="Total Column Header 13" xfId="184"/>
    <cellStyle name="Total Column Header 14" xfId="217"/>
    <cellStyle name="Total Column Header 15" xfId="216"/>
    <cellStyle name="Total Column Header 16" xfId="229"/>
    <cellStyle name="Total Column Header 17" xfId="231"/>
    <cellStyle name="Total Column Header 18" xfId="222"/>
    <cellStyle name="Total Column Header 19" xfId="226"/>
    <cellStyle name="Total Column Header 2" xfId="212"/>
    <cellStyle name="Total Column Header 20" xfId="195"/>
    <cellStyle name="Total Column Header 21" xfId="235"/>
    <cellStyle name="Total Column Header 22" xfId="159"/>
    <cellStyle name="Total Column Header 23" xfId="171"/>
    <cellStyle name="Total Column Header 24" xfId="227"/>
    <cellStyle name="Total Column Header 3" xfId="164"/>
    <cellStyle name="Total Column Header 4" xfId="206"/>
    <cellStyle name="Total Column Header 5" xfId="170"/>
    <cellStyle name="Total Column Header 6" xfId="203"/>
    <cellStyle name="Total Column Header 7" xfId="174"/>
    <cellStyle name="Total Column Header 8" xfId="196"/>
    <cellStyle name="Total Column Header 9" xfId="179"/>
    <cellStyle name="Total Data (0 dp)" xfId="134"/>
    <cellStyle name="Total Data (1 dp)" xfId="135"/>
    <cellStyle name="Total Data (2 dp)" xfId="136"/>
    <cellStyle name="Total Data General" xfId="137"/>
    <cellStyle name="Total Percent (0 dp)" xfId="138"/>
    <cellStyle name="Total Percent (1 dp)" xfId="139"/>
    <cellStyle name="Total Percent (2 dp)" xfId="140"/>
    <cellStyle name="Total Row Header" xfId="141"/>
    <cellStyle name="Total Side Col Head" xfId="142"/>
    <cellStyle name="Warning Text 2" xfId="143"/>
    <cellStyle name="Wrap Column Header" xfId="144"/>
    <cellStyle name="Wrap Normal Bold Text" xfId="145"/>
    <cellStyle name="Wrap Normal Italic Text" xfId="146"/>
    <cellStyle name="Wrap Normal Text" xfId="147"/>
    <cellStyle name="Wrap Row Header" xfId="148"/>
    <cellStyle name="Wrap Side Col Head" xfId="149"/>
    <cellStyle name="Wrap Table Title" xfId="150"/>
    <cellStyle name="Wrap Top Level Col Head" xfId="151"/>
    <cellStyle name="Wrap Top Level Row Head" xfId="152"/>
    <cellStyle name="Wrap Total Column Header" xfId="153"/>
    <cellStyle name="Wrap Total Row Header" xfId="154"/>
    <cellStyle name="Wrap Total Side Col Head" xfId="155"/>
  </cellStyles>
  <dxfs count="1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FF0000"/>
      </font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FF000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ont>
        <color rgb="FFCCFFFF"/>
      </font>
    </dxf>
    <dxf>
      <font>
        <color rgb="FFCCFFFF"/>
      </font>
    </dxf>
    <dxf>
      <font>
        <color rgb="FFCCFFFF"/>
      </font>
    </dxf>
    <dxf>
      <fill>
        <patternFill>
          <bgColor rgb="FFCCFFFF"/>
        </patternFill>
      </fill>
    </dxf>
    <dxf>
      <font>
        <color rgb="FFCCFFFF"/>
      </font>
    </dxf>
    <dxf>
      <fill>
        <patternFill patternType="none">
          <bgColor indexed="65"/>
        </patternFill>
      </fill>
    </dxf>
    <dxf>
      <font>
        <color rgb="FFCCFFFF"/>
      </font>
    </dxf>
    <dxf>
      <font>
        <color rgb="FFCCFFFF"/>
      </font>
    </dxf>
    <dxf>
      <font>
        <color rgb="FFFF0000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u val="none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colors>
    <mruColors>
      <color rgb="FFCCFFFF"/>
      <color rgb="FFFFFFCC"/>
      <color rgb="FFC0C0C0"/>
      <color rgb="FFFF9900"/>
      <color rgb="FFFFFFFF"/>
      <color rgb="FF000080"/>
      <color rgb="FF969696"/>
      <color rgb="FF808080"/>
      <color rgb="FF77777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="80" zoomScaleNormal="80" workbookViewId="0"/>
  </sheetViews>
  <sheetFormatPr defaultColWidth="9.140625" defaultRowHeight="15"/>
  <cols>
    <col min="1" max="1" width="3.7109375" style="442" customWidth="1"/>
    <col min="2" max="2" width="7.7109375" style="442" customWidth="1"/>
    <col min="3" max="3" width="130.7109375" style="442" customWidth="1"/>
    <col min="4" max="4" width="14.28515625" style="442" customWidth="1"/>
    <col min="5" max="5" width="25.7109375" style="442" customWidth="1"/>
    <col min="6" max="16384" width="9.140625" style="442"/>
  </cols>
  <sheetData>
    <row r="1" spans="1:5" ht="24.95" customHeight="1">
      <c r="A1" s="562"/>
      <c r="B1" s="673" t="s">
        <v>148</v>
      </c>
      <c r="C1" s="674"/>
      <c r="D1" s="674"/>
      <c r="E1" s="675"/>
    </row>
    <row r="2" spans="1:5" ht="24.95" customHeight="1">
      <c r="A2" s="672"/>
      <c r="B2" s="563" t="s">
        <v>5</v>
      </c>
      <c r="C2" s="564"/>
      <c r="D2" s="564"/>
      <c r="E2" s="565"/>
    </row>
    <row r="3" spans="1:5" ht="30" customHeight="1">
      <c r="A3" s="672"/>
      <c r="B3" s="1770" t="str">
        <f>'Background 17-18'!$D$2</f>
        <v>Glasgow, University of</v>
      </c>
      <c r="C3" s="1771"/>
      <c r="D3" s="566"/>
      <c r="E3" s="567"/>
    </row>
    <row r="4" spans="1:5" ht="24.95" customHeight="1">
      <c r="A4" s="672"/>
      <c r="B4" s="568" t="s">
        <v>106</v>
      </c>
      <c r="C4" s="569"/>
      <c r="D4" s="569"/>
      <c r="E4" s="570"/>
    </row>
    <row r="5" spans="1:5" ht="9.9499999999999993" customHeight="1" thickBot="1">
      <c r="A5" s="672"/>
      <c r="B5" s="569"/>
      <c r="C5" s="569"/>
      <c r="D5" s="569"/>
      <c r="E5" s="570"/>
    </row>
    <row r="6" spans="1:5" ht="24.95" customHeight="1">
      <c r="A6" s="672"/>
      <c r="B6" s="1772" t="s">
        <v>107</v>
      </c>
      <c r="C6" s="1773"/>
      <c r="D6" s="1774" t="s">
        <v>108</v>
      </c>
      <c r="E6" s="570"/>
    </row>
    <row r="7" spans="1:5" ht="45" customHeight="1">
      <c r="A7" s="672"/>
      <c r="B7" s="571" t="s">
        <v>83</v>
      </c>
      <c r="C7" s="572" t="s">
        <v>84</v>
      </c>
      <c r="D7" s="1775"/>
      <c r="E7" s="570"/>
    </row>
    <row r="8" spans="1:5" ht="30" customHeight="1">
      <c r="A8" s="672"/>
      <c r="B8" s="573">
        <v>1</v>
      </c>
      <c r="C8" s="1552" t="s">
        <v>142</v>
      </c>
      <c r="D8" s="574" t="s">
        <v>109</v>
      </c>
      <c r="E8" s="575"/>
    </row>
    <row r="9" spans="1:5" ht="30" customHeight="1">
      <c r="A9" s="672"/>
      <c r="B9" s="576">
        <v>2</v>
      </c>
      <c r="C9" s="577" t="s">
        <v>143</v>
      </c>
      <c r="D9" s="578" t="str">
        <f t="shared" ref="D9:D16" si="0">IF(E9&gt;0,"YES","")</f>
        <v>YES</v>
      </c>
      <c r="E9" s="579">
        <f>'T2 Comments'!M44</f>
        <v>5</v>
      </c>
    </row>
    <row r="10" spans="1:5" ht="30" customHeight="1">
      <c r="A10" s="672"/>
      <c r="B10" s="576" t="s">
        <v>117</v>
      </c>
      <c r="C10" s="577" t="s">
        <v>144</v>
      </c>
      <c r="D10" s="578" t="str">
        <f t="shared" si="0"/>
        <v>YES</v>
      </c>
      <c r="E10" s="579">
        <f>VLOOKUP('Background 17-18'!$C$2,Inst_Tables,6,FALSE)</f>
        <v>1</v>
      </c>
    </row>
    <row r="11" spans="1:5" ht="30" customHeight="1">
      <c r="A11" s="672"/>
      <c r="B11" s="1120" t="s">
        <v>386</v>
      </c>
      <c r="C11" s="1121" t="s">
        <v>146</v>
      </c>
      <c r="D11" s="1122" t="s">
        <v>140</v>
      </c>
      <c r="E11" s="671"/>
    </row>
    <row r="12" spans="1:5" ht="30" customHeight="1">
      <c r="A12" s="672"/>
      <c r="B12" s="576" t="s">
        <v>375</v>
      </c>
      <c r="C12" s="577" t="s">
        <v>364</v>
      </c>
      <c r="D12" s="1746" t="str">
        <f t="shared" si="0"/>
        <v>YES</v>
      </c>
      <c r="E12" s="579">
        <f>VLOOKUP('Background 17-18'!$C$2,Inst_Tables,8,FALSE)</f>
        <v>1</v>
      </c>
    </row>
    <row r="13" spans="1:5" ht="30" customHeight="1">
      <c r="A13" s="672"/>
      <c r="B13" s="576" t="s">
        <v>118</v>
      </c>
      <c r="C13" s="577" t="s">
        <v>145</v>
      </c>
      <c r="D13" s="1746" t="str">
        <f t="shared" si="0"/>
        <v/>
      </c>
      <c r="E13" s="579">
        <f>VLOOKUP('Background 17-18'!$C$2,Inst_Tables,9,FALSE)</f>
        <v>0</v>
      </c>
    </row>
    <row r="14" spans="1:5" ht="30" customHeight="1">
      <c r="A14" s="672"/>
      <c r="B14" s="576" t="s">
        <v>387</v>
      </c>
      <c r="C14" s="577" t="s">
        <v>163</v>
      </c>
      <c r="D14" s="1746" t="str">
        <f t="shared" si="0"/>
        <v>YES</v>
      </c>
      <c r="E14" s="579">
        <f>VLOOKUP('Background 17-18'!$C$2,Inst_Tables,10,FALSE)</f>
        <v>1</v>
      </c>
    </row>
    <row r="15" spans="1:5" ht="30" customHeight="1">
      <c r="A15" s="672"/>
      <c r="B15" s="576" t="s">
        <v>389</v>
      </c>
      <c r="C15" s="577" t="s">
        <v>390</v>
      </c>
      <c r="D15" s="1746" t="str">
        <f t="shared" si="0"/>
        <v>YES</v>
      </c>
      <c r="E15" s="579">
        <f>VLOOKUP('Background 17-18'!$C$2,Inst_Tables,11,FALSE)</f>
        <v>1</v>
      </c>
    </row>
    <row r="16" spans="1:5" ht="30" customHeight="1" thickBot="1">
      <c r="A16" s="672"/>
      <c r="B16" s="1747" t="s">
        <v>388</v>
      </c>
      <c r="C16" s="1748" t="s">
        <v>206</v>
      </c>
      <c r="D16" s="1749" t="str">
        <f t="shared" si="0"/>
        <v>YES</v>
      </c>
      <c r="E16" s="579">
        <f>VLOOKUP('Background 17-18'!$C$2,Inst_Tables,12,FALSE)</f>
        <v>1</v>
      </c>
    </row>
    <row r="17" spans="1:5" ht="30" customHeight="1" thickBot="1">
      <c r="A17" s="672"/>
      <c r="B17" s="623"/>
      <c r="C17" s="624" t="s">
        <v>147</v>
      </c>
      <c r="D17" s="625" t="s">
        <v>110</v>
      </c>
      <c r="E17" s="570"/>
    </row>
    <row r="18" spans="1:5" ht="30" customHeight="1">
      <c r="A18" s="676"/>
      <c r="B18" s="415" t="s">
        <v>141</v>
      </c>
      <c r="C18" s="569"/>
      <c r="D18" s="569"/>
      <c r="E18" s="570"/>
    </row>
    <row r="19" spans="1:5">
      <c r="A19" s="594"/>
      <c r="B19" s="580"/>
      <c r="C19" s="580"/>
      <c r="D19" s="580"/>
      <c r="E19" s="581"/>
    </row>
  </sheetData>
  <sheetProtection password="E23E" sheet="1" objects="1" scenarios="1"/>
  <mergeCells count="3">
    <mergeCell ref="B3:C3"/>
    <mergeCell ref="B6:C6"/>
    <mergeCell ref="D6:D7"/>
  </mergeCells>
  <conditionalFormatting sqref="B9:D10 B12:D16">
    <cfRule type="expression" dxfId="111" priority="1">
      <formula>$E9&gt;0</formula>
    </cfRule>
  </conditionalFormatting>
  <pageMargins left="0.19685039370078741" right="0.19685039370078741" top="0.19685039370078741" bottom="0.39370078740157483" header="0" footer="0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workbookViewId="0"/>
  </sheetViews>
  <sheetFormatPr defaultColWidth="9.140625" defaultRowHeight="15"/>
  <cols>
    <col min="1" max="1" width="2.7109375" style="687" customWidth="1"/>
    <col min="2" max="2" width="35.7109375" style="687" customWidth="1"/>
    <col min="3" max="14" width="12.7109375" style="687" customWidth="1"/>
    <col min="15" max="15" width="13.7109375" style="687" customWidth="1"/>
    <col min="16" max="22" width="12.7109375" style="687" customWidth="1"/>
    <col min="23" max="23" width="15.7109375" style="687" customWidth="1"/>
    <col min="24" max="25" width="13.7109375" style="687" customWidth="1"/>
    <col min="26" max="26" width="15.7109375" style="687" customWidth="1"/>
    <col min="27" max="28" width="4.7109375" style="687" customWidth="1"/>
    <col min="29" max="29" width="35.7109375" style="687" customWidth="1"/>
    <col min="30" max="41" width="12.7109375" style="687" customWidth="1"/>
    <col min="42" max="42" width="13.7109375" style="687" customWidth="1"/>
    <col min="43" max="49" width="12.7109375" style="687" customWidth="1"/>
    <col min="50" max="50" width="15.7109375" style="687" customWidth="1"/>
    <col min="51" max="52" width="13.7109375" style="687" customWidth="1"/>
    <col min="53" max="53" width="15.7109375" style="687" customWidth="1"/>
    <col min="54" max="16384" width="9.140625" style="687"/>
  </cols>
  <sheetData>
    <row r="1" spans="1:54" ht="30" customHeight="1">
      <c r="A1" s="728"/>
      <c r="B1" s="1429" t="str">
        <f>IF(G4=0,"Your Institution Does Not Complete This Table","")</f>
        <v/>
      </c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728"/>
      <c r="W1" s="728"/>
      <c r="X1" s="728"/>
      <c r="Y1" s="728"/>
      <c r="Z1" s="728"/>
      <c r="AA1" s="728"/>
      <c r="AB1" s="1387"/>
      <c r="AC1" s="1494"/>
      <c r="AD1" s="1389"/>
      <c r="AE1" s="1389"/>
      <c r="AF1" s="1389"/>
      <c r="AG1" s="1389"/>
      <c r="AH1" s="1389"/>
      <c r="AI1" s="1389"/>
      <c r="AJ1" s="1389"/>
      <c r="AK1" s="1389"/>
      <c r="AL1" s="1389"/>
      <c r="AM1" s="1389"/>
      <c r="AN1" s="1389"/>
      <c r="AO1" s="1389"/>
      <c r="AP1" s="1389"/>
      <c r="AQ1" s="1389"/>
      <c r="AR1" s="1389"/>
      <c r="AS1" s="1389"/>
      <c r="AT1" s="1389"/>
      <c r="AU1" s="1389"/>
      <c r="AV1" s="1389"/>
      <c r="AW1" s="1389"/>
      <c r="AX1" s="1389"/>
      <c r="AY1" s="1389"/>
      <c r="AZ1" s="1389"/>
      <c r="BA1" s="1389"/>
      <c r="BB1" s="1387"/>
    </row>
    <row r="2" spans="1:54" ht="24.95" customHeight="1">
      <c r="A2" s="688"/>
      <c r="B2" s="689" t="s">
        <v>383</v>
      </c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1"/>
      <c r="AB2" s="1446"/>
      <c r="AC2" s="1390" t="s">
        <v>411</v>
      </c>
      <c r="AD2" s="1446"/>
      <c r="AE2" s="1446"/>
      <c r="AF2" s="1446"/>
      <c r="AG2" s="1446"/>
      <c r="AH2" s="1446"/>
      <c r="AI2" s="1446"/>
      <c r="AJ2" s="1446"/>
      <c r="AK2" s="1446"/>
      <c r="AL2" s="1446"/>
      <c r="AM2" s="1446"/>
      <c r="AN2" s="1446"/>
      <c r="AO2" s="1446"/>
      <c r="AP2" s="1446"/>
      <c r="AQ2" s="1493"/>
      <c r="AR2" s="1493"/>
      <c r="AS2" s="1493"/>
      <c r="AT2" s="1493"/>
      <c r="AU2" s="1493"/>
      <c r="AV2" s="1493"/>
      <c r="AW2" s="1493"/>
      <c r="AX2" s="1493"/>
      <c r="AY2" s="1493"/>
      <c r="AZ2" s="1493"/>
      <c r="BA2" s="1493"/>
      <c r="BB2" s="1387"/>
    </row>
    <row r="3" spans="1:54" ht="15.75" thickBot="1">
      <c r="A3" s="694"/>
      <c r="B3" s="733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734"/>
      <c r="AB3" s="1446"/>
      <c r="AC3" s="1447"/>
      <c r="AD3" s="1393"/>
      <c r="AE3" s="1393"/>
      <c r="AF3" s="1393"/>
      <c r="AG3" s="1393"/>
      <c r="AH3" s="1393"/>
      <c r="AI3" s="1393"/>
      <c r="AJ3" s="1393"/>
      <c r="AK3" s="1393"/>
      <c r="AL3" s="1393"/>
      <c r="AM3" s="1393"/>
      <c r="AN3" s="1393"/>
      <c r="AO3" s="1393"/>
      <c r="AP3" s="1393"/>
      <c r="AQ3" s="1393"/>
      <c r="AR3" s="1393"/>
      <c r="AS3" s="1393"/>
      <c r="AT3" s="1393"/>
      <c r="AU3" s="1393"/>
      <c r="AV3" s="1393"/>
      <c r="AW3" s="1393"/>
      <c r="AX3" s="1393"/>
      <c r="AY3" s="1393"/>
      <c r="AZ3" s="1393"/>
      <c r="BA3" s="1393"/>
      <c r="BB3" s="1387"/>
    </row>
    <row r="4" spans="1:54" ht="30" customHeight="1" thickBot="1">
      <c r="A4" s="694"/>
      <c r="B4" s="735" t="s">
        <v>5</v>
      </c>
      <c r="C4" s="1871" t="str">
        <f>'Background 17-18'!$D$2</f>
        <v>Glasgow, University of</v>
      </c>
      <c r="D4" s="1872"/>
      <c r="E4" s="1872"/>
      <c r="F4" s="1873"/>
      <c r="G4" s="591">
        <f>VLOOKUP('Background 17-18'!$C$2,Inst_Tables,12,FALSE)</f>
        <v>1</v>
      </c>
      <c r="H4" s="699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734"/>
      <c r="AB4" s="1446"/>
      <c r="AC4" s="1448" t="s">
        <v>5</v>
      </c>
      <c r="AD4" s="1879" t="str">
        <f>'Background 17-18'!$D$2</f>
        <v>Glasgow, University of</v>
      </c>
      <c r="AE4" s="1880"/>
      <c r="AF4" s="1880"/>
      <c r="AG4" s="1881"/>
      <c r="AH4" s="1395"/>
      <c r="AI4" s="1389"/>
      <c r="AJ4" s="1393"/>
      <c r="AK4" s="1393"/>
      <c r="AL4" s="1393"/>
      <c r="AM4" s="1393"/>
      <c r="AN4" s="1393"/>
      <c r="AO4" s="1393"/>
      <c r="AP4" s="1393"/>
      <c r="AQ4" s="1393"/>
      <c r="AR4" s="1393"/>
      <c r="AS4" s="1393"/>
      <c r="AT4" s="1393"/>
      <c r="AU4" s="1393"/>
      <c r="AV4" s="1393"/>
      <c r="AW4" s="1393"/>
      <c r="AX4" s="1393"/>
      <c r="AY4" s="1393"/>
      <c r="AZ4" s="1393"/>
      <c r="BA4" s="1393"/>
      <c r="BB4" s="1387"/>
    </row>
    <row r="5" spans="1:54" ht="24.95" customHeight="1">
      <c r="A5" s="694"/>
      <c r="B5" s="736" t="s">
        <v>171</v>
      </c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13"/>
      <c r="AB5" s="1446"/>
      <c r="AC5" s="1449" t="s">
        <v>171</v>
      </c>
      <c r="AD5" s="1446"/>
      <c r="AE5" s="1446"/>
      <c r="AF5" s="1446"/>
      <c r="AG5" s="1446"/>
      <c r="AH5" s="1446"/>
      <c r="AI5" s="1446"/>
      <c r="AJ5" s="1446"/>
      <c r="AK5" s="1446"/>
      <c r="AL5" s="1446"/>
      <c r="AM5" s="1446"/>
      <c r="AN5" s="1446"/>
      <c r="AO5" s="1446"/>
      <c r="AP5" s="1446"/>
      <c r="AQ5" s="1446"/>
      <c r="AR5" s="1446"/>
      <c r="AS5" s="1446"/>
      <c r="AT5" s="1446"/>
      <c r="AU5" s="1446"/>
      <c r="AV5" s="1446"/>
      <c r="AW5" s="1446"/>
      <c r="AX5" s="1446"/>
      <c r="AY5" s="1446"/>
      <c r="AZ5" s="1446"/>
      <c r="BA5" s="1446"/>
      <c r="BB5" s="1387"/>
    </row>
    <row r="6" spans="1:54" ht="24.95" customHeight="1">
      <c r="A6" s="694"/>
      <c r="B6" s="1706" t="s">
        <v>435</v>
      </c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13"/>
      <c r="AB6" s="1446"/>
      <c r="AC6" s="1449"/>
      <c r="AD6" s="1446"/>
      <c r="AE6" s="1446"/>
      <c r="AF6" s="1446"/>
      <c r="AG6" s="1446"/>
      <c r="AH6" s="1446"/>
      <c r="AI6" s="1446"/>
      <c r="AJ6" s="1446"/>
      <c r="AK6" s="1446"/>
      <c r="AL6" s="1446"/>
      <c r="AM6" s="1446"/>
      <c r="AN6" s="1446"/>
      <c r="AO6" s="1446"/>
      <c r="AP6" s="1446"/>
      <c r="AQ6" s="1446"/>
      <c r="AR6" s="1446"/>
      <c r="AS6" s="1446"/>
      <c r="AT6" s="1446"/>
      <c r="AU6" s="1446"/>
      <c r="AV6" s="1446"/>
      <c r="AW6" s="1446"/>
      <c r="AX6" s="1446"/>
      <c r="AY6" s="1446"/>
      <c r="AZ6" s="1446"/>
      <c r="BA6" s="1446"/>
      <c r="BB6" s="1387"/>
    </row>
    <row r="7" spans="1:54" ht="9.9499999999999993" customHeight="1" thickBot="1">
      <c r="A7" s="694"/>
      <c r="B7" s="737"/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13"/>
      <c r="AB7" s="1446"/>
      <c r="AC7" s="1450"/>
      <c r="AD7" s="1446"/>
      <c r="AE7" s="1446"/>
      <c r="AF7" s="1446"/>
      <c r="AG7" s="1446"/>
      <c r="AH7" s="1446"/>
      <c r="AI7" s="1446"/>
      <c r="AJ7" s="1446"/>
      <c r="AK7" s="1446"/>
      <c r="AL7" s="1446"/>
      <c r="AM7" s="1446"/>
      <c r="AN7" s="1446"/>
      <c r="AO7" s="1446"/>
      <c r="AP7" s="1446"/>
      <c r="AQ7" s="1446"/>
      <c r="AR7" s="1446"/>
      <c r="AS7" s="1446"/>
      <c r="AT7" s="1446"/>
      <c r="AU7" s="1446"/>
      <c r="AV7" s="1446"/>
      <c r="AW7" s="1446"/>
      <c r="AX7" s="1446"/>
      <c r="AY7" s="1446"/>
      <c r="AZ7" s="1446"/>
      <c r="BA7" s="1446"/>
      <c r="BB7" s="1387"/>
    </row>
    <row r="8" spans="1:54" ht="30">
      <c r="A8" s="694"/>
      <c r="B8" s="738"/>
      <c r="C8" s="1423" t="s">
        <v>172</v>
      </c>
      <c r="D8" s="1874" t="s">
        <v>173</v>
      </c>
      <c r="E8" s="1875"/>
      <c r="F8" s="1875"/>
      <c r="G8" s="1875"/>
      <c r="H8" s="1875"/>
      <c r="I8" s="1875"/>
      <c r="J8" s="1875"/>
      <c r="K8" s="1875"/>
      <c r="L8" s="1875"/>
      <c r="M8" s="1875"/>
      <c r="N8" s="1875"/>
      <c r="O8" s="1875"/>
      <c r="P8" s="1875"/>
      <c r="Q8" s="1875"/>
      <c r="R8" s="1875"/>
      <c r="S8" s="1875"/>
      <c r="T8" s="1875"/>
      <c r="U8" s="1875"/>
      <c r="V8" s="1875"/>
      <c r="W8" s="1875"/>
      <c r="X8" s="1876"/>
      <c r="Y8" s="739" t="s">
        <v>3</v>
      </c>
      <c r="Z8" s="1877" t="s">
        <v>174</v>
      </c>
      <c r="AA8" s="740"/>
      <c r="AB8" s="1446"/>
      <c r="AC8" s="1451"/>
      <c r="AD8" s="1453" t="s">
        <v>172</v>
      </c>
      <c r="AE8" s="1882" t="s">
        <v>173</v>
      </c>
      <c r="AF8" s="1883"/>
      <c r="AG8" s="1883"/>
      <c r="AH8" s="1883"/>
      <c r="AI8" s="1883"/>
      <c r="AJ8" s="1883"/>
      <c r="AK8" s="1883"/>
      <c r="AL8" s="1883"/>
      <c r="AM8" s="1883"/>
      <c r="AN8" s="1883"/>
      <c r="AO8" s="1883"/>
      <c r="AP8" s="1883"/>
      <c r="AQ8" s="1883"/>
      <c r="AR8" s="1883"/>
      <c r="AS8" s="1883"/>
      <c r="AT8" s="1883"/>
      <c r="AU8" s="1883"/>
      <c r="AV8" s="1883"/>
      <c r="AW8" s="1883"/>
      <c r="AX8" s="1883"/>
      <c r="AY8" s="1884"/>
      <c r="AZ8" s="1452" t="s">
        <v>3</v>
      </c>
      <c r="BA8" s="1869" t="s">
        <v>174</v>
      </c>
      <c r="BB8" s="1387"/>
    </row>
    <row r="9" spans="1:54" ht="45">
      <c r="A9" s="694"/>
      <c r="B9" s="752" t="s">
        <v>175</v>
      </c>
      <c r="C9" s="741"/>
      <c r="D9" s="742" t="s">
        <v>176</v>
      </c>
      <c r="E9" s="703" t="s">
        <v>177</v>
      </c>
      <c r="F9" s="743" t="s">
        <v>178</v>
      </c>
      <c r="G9" s="703" t="s">
        <v>179</v>
      </c>
      <c r="H9" s="703" t="s">
        <v>180</v>
      </c>
      <c r="I9" s="703" t="s">
        <v>181</v>
      </c>
      <c r="J9" s="703" t="s">
        <v>182</v>
      </c>
      <c r="K9" s="703" t="s">
        <v>183</v>
      </c>
      <c r="L9" s="703" t="s">
        <v>184</v>
      </c>
      <c r="M9" s="703" t="s">
        <v>185</v>
      </c>
      <c r="N9" s="743" t="s">
        <v>186</v>
      </c>
      <c r="O9" s="703" t="s">
        <v>187</v>
      </c>
      <c r="P9" s="743" t="s">
        <v>188</v>
      </c>
      <c r="Q9" s="743" t="s">
        <v>189</v>
      </c>
      <c r="R9" s="703" t="s">
        <v>190</v>
      </c>
      <c r="S9" s="743" t="s">
        <v>191</v>
      </c>
      <c r="T9" s="703" t="s">
        <v>192</v>
      </c>
      <c r="U9" s="743" t="s">
        <v>193</v>
      </c>
      <c r="V9" s="743" t="s">
        <v>194</v>
      </c>
      <c r="W9" s="704" t="s">
        <v>195</v>
      </c>
      <c r="X9" s="744" t="s">
        <v>196</v>
      </c>
      <c r="Y9" s="745"/>
      <c r="Z9" s="1878"/>
      <c r="AA9" s="746"/>
      <c r="AB9" s="1446"/>
      <c r="AC9" s="1454" t="s">
        <v>175</v>
      </c>
      <c r="AD9" s="1401"/>
      <c r="AE9" s="1455" t="s">
        <v>176</v>
      </c>
      <c r="AF9" s="1456" t="s">
        <v>177</v>
      </c>
      <c r="AG9" s="1457" t="s">
        <v>178</v>
      </c>
      <c r="AH9" s="1456" t="s">
        <v>179</v>
      </c>
      <c r="AI9" s="1456" t="s">
        <v>180</v>
      </c>
      <c r="AJ9" s="1456" t="s">
        <v>181</v>
      </c>
      <c r="AK9" s="1456" t="s">
        <v>182</v>
      </c>
      <c r="AL9" s="1456" t="s">
        <v>183</v>
      </c>
      <c r="AM9" s="1456" t="s">
        <v>184</v>
      </c>
      <c r="AN9" s="1456" t="s">
        <v>185</v>
      </c>
      <c r="AO9" s="1457" t="s">
        <v>186</v>
      </c>
      <c r="AP9" s="1456" t="s">
        <v>187</v>
      </c>
      <c r="AQ9" s="1457" t="s">
        <v>188</v>
      </c>
      <c r="AR9" s="1457" t="s">
        <v>189</v>
      </c>
      <c r="AS9" s="1456" t="s">
        <v>190</v>
      </c>
      <c r="AT9" s="1457" t="s">
        <v>191</v>
      </c>
      <c r="AU9" s="1456" t="s">
        <v>192</v>
      </c>
      <c r="AV9" s="1457" t="s">
        <v>193</v>
      </c>
      <c r="AW9" s="1457" t="s">
        <v>194</v>
      </c>
      <c r="AX9" s="1458" t="s">
        <v>195</v>
      </c>
      <c r="AY9" s="1459" t="s">
        <v>196</v>
      </c>
      <c r="AZ9" s="1460"/>
      <c r="BA9" s="1870"/>
      <c r="BB9" s="1387"/>
    </row>
    <row r="10" spans="1:54" ht="24.95" customHeight="1">
      <c r="A10" s="694"/>
      <c r="B10" s="747"/>
      <c r="C10" s="741" t="s">
        <v>26</v>
      </c>
      <c r="D10" s="748" t="s">
        <v>26</v>
      </c>
      <c r="E10" s="749" t="s">
        <v>26</v>
      </c>
      <c r="F10" s="749" t="s">
        <v>26</v>
      </c>
      <c r="G10" s="749" t="s">
        <v>26</v>
      </c>
      <c r="H10" s="749" t="s">
        <v>26</v>
      </c>
      <c r="I10" s="749" t="s">
        <v>26</v>
      </c>
      <c r="J10" s="749" t="s">
        <v>26</v>
      </c>
      <c r="K10" s="749" t="s">
        <v>26</v>
      </c>
      <c r="L10" s="749" t="s">
        <v>26</v>
      </c>
      <c r="M10" s="749" t="s">
        <v>26</v>
      </c>
      <c r="N10" s="749" t="s">
        <v>26</v>
      </c>
      <c r="O10" s="749" t="s">
        <v>26</v>
      </c>
      <c r="P10" s="749" t="s">
        <v>26</v>
      </c>
      <c r="Q10" s="749" t="s">
        <v>26</v>
      </c>
      <c r="R10" s="749" t="s">
        <v>26</v>
      </c>
      <c r="S10" s="749" t="s">
        <v>26</v>
      </c>
      <c r="T10" s="749" t="s">
        <v>26</v>
      </c>
      <c r="U10" s="749" t="s">
        <v>26</v>
      </c>
      <c r="V10" s="749" t="s">
        <v>26</v>
      </c>
      <c r="W10" s="750" t="s">
        <v>26</v>
      </c>
      <c r="X10" s="751" t="s">
        <v>26</v>
      </c>
      <c r="Y10" s="751" t="s">
        <v>26</v>
      </c>
      <c r="Z10" s="1424" t="s">
        <v>26</v>
      </c>
      <c r="AA10" s="746"/>
      <c r="AB10" s="1391"/>
      <c r="AC10" s="1461"/>
      <c r="AD10" s="1401" t="s">
        <v>26</v>
      </c>
      <c r="AE10" s="1462" t="s">
        <v>26</v>
      </c>
      <c r="AF10" s="1463" t="s">
        <v>26</v>
      </c>
      <c r="AG10" s="1463" t="s">
        <v>26</v>
      </c>
      <c r="AH10" s="1463" t="s">
        <v>26</v>
      </c>
      <c r="AI10" s="1463" t="s">
        <v>26</v>
      </c>
      <c r="AJ10" s="1463" t="s">
        <v>26</v>
      </c>
      <c r="AK10" s="1463" t="s">
        <v>26</v>
      </c>
      <c r="AL10" s="1463" t="s">
        <v>26</v>
      </c>
      <c r="AM10" s="1463" t="s">
        <v>26</v>
      </c>
      <c r="AN10" s="1463" t="s">
        <v>26</v>
      </c>
      <c r="AO10" s="1463" t="s">
        <v>26</v>
      </c>
      <c r="AP10" s="1463" t="s">
        <v>26</v>
      </c>
      <c r="AQ10" s="1463" t="s">
        <v>26</v>
      </c>
      <c r="AR10" s="1463" t="s">
        <v>26</v>
      </c>
      <c r="AS10" s="1463" t="s">
        <v>26</v>
      </c>
      <c r="AT10" s="1463" t="s">
        <v>26</v>
      </c>
      <c r="AU10" s="1463" t="s">
        <v>26</v>
      </c>
      <c r="AV10" s="1463" t="s">
        <v>26</v>
      </c>
      <c r="AW10" s="1463" t="s">
        <v>26</v>
      </c>
      <c r="AX10" s="1464" t="s">
        <v>26</v>
      </c>
      <c r="AY10" s="1465" t="s">
        <v>26</v>
      </c>
      <c r="AZ10" s="1465" t="s">
        <v>26</v>
      </c>
      <c r="BA10" s="1466" t="s">
        <v>26</v>
      </c>
      <c r="BB10" s="1387"/>
    </row>
    <row r="11" spans="1:54" ht="24.95" customHeight="1">
      <c r="A11" s="694"/>
      <c r="B11" s="747"/>
      <c r="C11" s="741" t="s">
        <v>6</v>
      </c>
      <c r="D11" s="752" t="s">
        <v>6</v>
      </c>
      <c r="E11" s="708" t="s">
        <v>6</v>
      </c>
      <c r="F11" s="753" t="s">
        <v>6</v>
      </c>
      <c r="G11" s="708" t="s">
        <v>6</v>
      </c>
      <c r="H11" s="753" t="s">
        <v>6</v>
      </c>
      <c r="I11" s="708" t="s">
        <v>6</v>
      </c>
      <c r="J11" s="753" t="s">
        <v>6</v>
      </c>
      <c r="K11" s="708" t="s">
        <v>6</v>
      </c>
      <c r="L11" s="753" t="s">
        <v>6</v>
      </c>
      <c r="M11" s="708" t="s">
        <v>6</v>
      </c>
      <c r="N11" s="753" t="s">
        <v>6</v>
      </c>
      <c r="O11" s="708" t="s">
        <v>6</v>
      </c>
      <c r="P11" s="708" t="s">
        <v>6</v>
      </c>
      <c r="Q11" s="708" t="s">
        <v>6</v>
      </c>
      <c r="R11" s="708" t="s">
        <v>6</v>
      </c>
      <c r="S11" s="708" t="s">
        <v>6</v>
      </c>
      <c r="T11" s="708" t="s">
        <v>6</v>
      </c>
      <c r="U11" s="708" t="s">
        <v>6</v>
      </c>
      <c r="V11" s="708" t="s">
        <v>6</v>
      </c>
      <c r="W11" s="709" t="s">
        <v>6</v>
      </c>
      <c r="X11" s="1430" t="s">
        <v>380</v>
      </c>
      <c r="Y11" s="1430" t="s">
        <v>380</v>
      </c>
      <c r="Z11" s="741" t="s">
        <v>380</v>
      </c>
      <c r="AA11" s="746"/>
      <c r="AB11" s="1391"/>
      <c r="AC11" s="1461"/>
      <c r="AD11" s="1401" t="s">
        <v>429</v>
      </c>
      <c r="AE11" s="1467" t="s">
        <v>429</v>
      </c>
      <c r="AF11" s="1468" t="s">
        <v>429</v>
      </c>
      <c r="AG11" s="1469" t="s">
        <v>429</v>
      </c>
      <c r="AH11" s="1468" t="s">
        <v>429</v>
      </c>
      <c r="AI11" s="1469" t="s">
        <v>429</v>
      </c>
      <c r="AJ11" s="1468" t="s">
        <v>429</v>
      </c>
      <c r="AK11" s="1469" t="s">
        <v>429</v>
      </c>
      <c r="AL11" s="1468" t="s">
        <v>429</v>
      </c>
      <c r="AM11" s="1469" t="s">
        <v>429</v>
      </c>
      <c r="AN11" s="1468" t="s">
        <v>429</v>
      </c>
      <c r="AO11" s="1469" t="s">
        <v>429</v>
      </c>
      <c r="AP11" s="1468" t="s">
        <v>429</v>
      </c>
      <c r="AQ11" s="1468" t="s">
        <v>429</v>
      </c>
      <c r="AR11" s="1468" t="s">
        <v>429</v>
      </c>
      <c r="AS11" s="1468" t="s">
        <v>429</v>
      </c>
      <c r="AT11" s="1468" t="s">
        <v>429</v>
      </c>
      <c r="AU11" s="1468" t="s">
        <v>429</v>
      </c>
      <c r="AV11" s="1468" t="s">
        <v>429</v>
      </c>
      <c r="AW11" s="1468" t="s">
        <v>429</v>
      </c>
      <c r="AX11" s="1470" t="s">
        <v>429</v>
      </c>
      <c r="AY11" s="1471" t="s">
        <v>429</v>
      </c>
      <c r="AZ11" s="1471" t="s">
        <v>429</v>
      </c>
      <c r="BA11" s="1401" t="s">
        <v>429</v>
      </c>
      <c r="BB11" s="1387"/>
    </row>
    <row r="12" spans="1:54" ht="24.95" customHeight="1" thickBot="1">
      <c r="A12" s="694"/>
      <c r="B12" s="754"/>
      <c r="C12" s="755">
        <v>1</v>
      </c>
      <c r="D12" s="756">
        <v>2</v>
      </c>
      <c r="E12" s="757">
        <v>3</v>
      </c>
      <c r="F12" s="757">
        <v>4</v>
      </c>
      <c r="G12" s="757">
        <v>5</v>
      </c>
      <c r="H12" s="757">
        <v>6</v>
      </c>
      <c r="I12" s="757">
        <v>7</v>
      </c>
      <c r="J12" s="757">
        <v>8</v>
      </c>
      <c r="K12" s="757">
        <v>9</v>
      </c>
      <c r="L12" s="757">
        <v>10</v>
      </c>
      <c r="M12" s="757">
        <v>11</v>
      </c>
      <c r="N12" s="757">
        <v>12</v>
      </c>
      <c r="O12" s="757">
        <v>13</v>
      </c>
      <c r="P12" s="757">
        <v>14</v>
      </c>
      <c r="Q12" s="757">
        <v>15</v>
      </c>
      <c r="R12" s="757">
        <v>16</v>
      </c>
      <c r="S12" s="757">
        <v>17</v>
      </c>
      <c r="T12" s="757">
        <v>18</v>
      </c>
      <c r="U12" s="757">
        <v>19</v>
      </c>
      <c r="V12" s="757">
        <v>20</v>
      </c>
      <c r="W12" s="758">
        <v>21</v>
      </c>
      <c r="X12" s="759">
        <v>22</v>
      </c>
      <c r="Y12" s="755">
        <v>23</v>
      </c>
      <c r="Z12" s="755">
        <v>24</v>
      </c>
      <c r="AA12" s="760"/>
      <c r="AB12" s="1391"/>
      <c r="AC12" s="1472"/>
      <c r="AD12" s="1473">
        <v>25</v>
      </c>
      <c r="AE12" s="1474">
        <v>26</v>
      </c>
      <c r="AF12" s="1475">
        <v>27</v>
      </c>
      <c r="AG12" s="1475">
        <v>28</v>
      </c>
      <c r="AH12" s="1475">
        <v>29</v>
      </c>
      <c r="AI12" s="1475">
        <v>30</v>
      </c>
      <c r="AJ12" s="1475">
        <v>31</v>
      </c>
      <c r="AK12" s="1475">
        <v>32</v>
      </c>
      <c r="AL12" s="1475">
        <v>33</v>
      </c>
      <c r="AM12" s="1475">
        <v>34</v>
      </c>
      <c r="AN12" s="1475">
        <v>35</v>
      </c>
      <c r="AO12" s="1475">
        <v>36</v>
      </c>
      <c r="AP12" s="1475">
        <v>37</v>
      </c>
      <c r="AQ12" s="1475">
        <v>38</v>
      </c>
      <c r="AR12" s="1475">
        <v>39</v>
      </c>
      <c r="AS12" s="1475">
        <v>40</v>
      </c>
      <c r="AT12" s="1475">
        <v>41</v>
      </c>
      <c r="AU12" s="1475">
        <v>42</v>
      </c>
      <c r="AV12" s="1475">
        <v>43</v>
      </c>
      <c r="AW12" s="1475">
        <v>44</v>
      </c>
      <c r="AX12" s="1476">
        <v>45</v>
      </c>
      <c r="AY12" s="1477">
        <v>46</v>
      </c>
      <c r="AZ12" s="1473">
        <v>47</v>
      </c>
      <c r="BA12" s="1473">
        <v>48</v>
      </c>
      <c r="BB12" s="1387"/>
    </row>
    <row r="13" spans="1:54" ht="20.100000000000001" customHeight="1">
      <c r="A13" s="694"/>
      <c r="B13" s="761" t="s">
        <v>176</v>
      </c>
      <c r="C13" s="1491">
        <f>AD13</f>
        <v>0</v>
      </c>
      <c r="D13" s="1546"/>
      <c r="E13" s="762">
        <f t="shared" ref="E13:W28" si="0">AF13</f>
        <v>0</v>
      </c>
      <c r="F13" s="763">
        <f t="shared" si="0"/>
        <v>0</v>
      </c>
      <c r="G13" s="764">
        <f t="shared" si="0"/>
        <v>0</v>
      </c>
      <c r="H13" s="762">
        <f t="shared" si="0"/>
        <v>0</v>
      </c>
      <c r="I13" s="762">
        <f t="shared" si="0"/>
        <v>0</v>
      </c>
      <c r="J13" s="763">
        <f t="shared" si="0"/>
        <v>0</v>
      </c>
      <c r="K13" s="764">
        <f t="shared" si="0"/>
        <v>0</v>
      </c>
      <c r="L13" s="762">
        <f t="shared" si="0"/>
        <v>0</v>
      </c>
      <c r="M13" s="762">
        <f t="shared" si="0"/>
        <v>0</v>
      </c>
      <c r="N13" s="765">
        <f t="shared" si="0"/>
        <v>0</v>
      </c>
      <c r="O13" s="766">
        <f t="shared" si="0"/>
        <v>0</v>
      </c>
      <c r="P13" s="766">
        <f t="shared" si="0"/>
        <v>0</v>
      </c>
      <c r="Q13" s="766">
        <f t="shared" si="0"/>
        <v>0</v>
      </c>
      <c r="R13" s="766">
        <f t="shared" si="0"/>
        <v>0</v>
      </c>
      <c r="S13" s="766">
        <f t="shared" si="0"/>
        <v>0</v>
      </c>
      <c r="T13" s="766">
        <f t="shared" si="0"/>
        <v>0</v>
      </c>
      <c r="U13" s="766">
        <f t="shared" si="0"/>
        <v>0</v>
      </c>
      <c r="V13" s="766">
        <f t="shared" si="0"/>
        <v>0</v>
      </c>
      <c r="W13" s="767">
        <f t="shared" si="0"/>
        <v>0</v>
      </c>
      <c r="X13" s="1497">
        <f>SUM(D13:W13)</f>
        <v>0</v>
      </c>
      <c r="Y13" s="1498">
        <f>SUM(C13,X13)</f>
        <v>0</v>
      </c>
      <c r="Z13" s="1499">
        <f>C13+$D$33+X13</f>
        <v>0</v>
      </c>
      <c r="AA13" s="768"/>
      <c r="AB13" s="1446"/>
      <c r="AC13" s="1478" t="s">
        <v>176</v>
      </c>
      <c r="AD13" s="1677">
        <f>IF($G$4=1,VLOOKUP($AC13,New_Routes_Subjs_ES,VLOOKUP('Background 17-18'!$C$2,Inst_Tables,42,FALSE),FALSE),0)</f>
        <v>0</v>
      </c>
      <c r="AE13" s="1546"/>
      <c r="AF13" s="1679">
        <f>IF($G$4=1,VLOOKUP($AC13,New_Routes_Subjs_ES,VLOOKUP('Background 17-18'!$C$2,Inst_Tables,44,FALSE),FALSE),0)</f>
        <v>0</v>
      </c>
      <c r="AG13" s="1680">
        <f>IF($G$4=1,VLOOKUP($AC13,New_Routes_Subjs_ES,VLOOKUP('Background 17-18'!$C$2,Inst_Tables,45,FALSE),FALSE),0)</f>
        <v>0</v>
      </c>
      <c r="AH13" s="1681">
        <f>IF($G$4=1,VLOOKUP($AC13,New_Routes_Subjs_ES,VLOOKUP('Background 17-18'!$C$2,Inst_Tables,46,FALSE),FALSE),0)</f>
        <v>0</v>
      </c>
      <c r="AI13" s="1682">
        <f>IF($G$4=1,VLOOKUP($AC13,New_Routes_Subjs_ES,VLOOKUP('Background 17-18'!$C$2,Inst_Tables,47,FALSE),FALSE),0)</f>
        <v>0</v>
      </c>
      <c r="AJ13" s="1682">
        <f>IF($G$4=1,VLOOKUP($AC13,New_Routes_Subjs_ES,VLOOKUP('Background 17-18'!$C$2,Inst_Tables,48,FALSE),FALSE),0)</f>
        <v>0</v>
      </c>
      <c r="AK13" s="1680">
        <f>IF($G$4=1,VLOOKUP($AC13,New_Routes_Subjs_ES,VLOOKUP('Background 17-18'!$C$2,Inst_Tables,49,FALSE),FALSE),0)</f>
        <v>0</v>
      </c>
      <c r="AL13" s="1681">
        <f>IF($G$4=1,VLOOKUP($AC13,New_Routes_Subjs_ES,VLOOKUP('Background 17-18'!$C$2,Inst_Tables,50,FALSE),FALSE),0)</f>
        <v>0</v>
      </c>
      <c r="AM13" s="1682">
        <f>IF($G$4=1,VLOOKUP($AC13,New_Routes_Subjs_ES,VLOOKUP('Background 17-18'!$C$2,Inst_Tables,51,FALSE),FALSE),0)</f>
        <v>0</v>
      </c>
      <c r="AN13" s="1682">
        <f>IF($G$4=1,VLOOKUP($AC13,New_Routes_Subjs_ES,VLOOKUP('Background 17-18'!$C$2,Inst_Tables,52,FALSE),FALSE),0)</f>
        <v>0</v>
      </c>
      <c r="AO13" s="1683">
        <f>IF($G$4=1,VLOOKUP($AC13,New_Routes_Subjs_ES,VLOOKUP('Background 17-18'!$C$2,Inst_Tables,53,FALSE),FALSE),0)</f>
        <v>0</v>
      </c>
      <c r="AP13" s="1684">
        <f>IF($G$4=1,VLOOKUP($AC13,New_Routes_Subjs_ES,VLOOKUP('Background 17-18'!$C$2,Inst_Tables,54,FALSE),FALSE),0)</f>
        <v>0</v>
      </c>
      <c r="AQ13" s="1684">
        <f>IF($G$4=1,VLOOKUP($AC13,New_Routes_Subjs_ES,VLOOKUP('Background 17-18'!$C$2,Inst_Tables,55,FALSE),FALSE),0)</f>
        <v>0</v>
      </c>
      <c r="AR13" s="1684">
        <f>IF($G$4=1,VLOOKUP($AC13,New_Routes_Subjs_ES,VLOOKUP('Background 17-18'!$C$2,Inst_Tables,56,FALSE),FALSE),0)</f>
        <v>0</v>
      </c>
      <c r="AS13" s="1684">
        <f>IF($G$4=1,VLOOKUP($AC13,New_Routes_Subjs_ES,VLOOKUP('Background 17-18'!$C$2,Inst_Tables,57,FALSE),FALSE),0)</f>
        <v>0</v>
      </c>
      <c r="AT13" s="1684">
        <f>IF($G$4=1,VLOOKUP($AC13,New_Routes_Subjs_ES,VLOOKUP('Background 17-18'!$C$2,Inst_Tables,58,FALSE),FALSE),0)</f>
        <v>0</v>
      </c>
      <c r="AU13" s="1684">
        <f>IF($G$4=1,VLOOKUP($AC13,New_Routes_Subjs_ES,VLOOKUP('Background 17-18'!$C$2,Inst_Tables,59,FALSE),FALSE),0)</f>
        <v>0</v>
      </c>
      <c r="AV13" s="1684">
        <f>IF($G$4=1,VLOOKUP($AC13,New_Routes_Subjs_ES,VLOOKUP('Background 17-18'!$C$2,Inst_Tables,60,FALSE),FALSE),0)</f>
        <v>0</v>
      </c>
      <c r="AW13" s="1684">
        <f>IF($G$4=1,VLOOKUP($AC13,New_Routes_Subjs_ES,VLOOKUP('Background 17-18'!$C$2,Inst_Tables,61,FALSE),FALSE),0)</f>
        <v>0</v>
      </c>
      <c r="AX13" s="1685">
        <f>IF($G$4=1,VLOOKUP($AC13,New_Routes_Subjs_ES,VLOOKUP('Background 17-18'!$C$2,Inst_Tables,62,FALSE),FALSE),0)</f>
        <v>0</v>
      </c>
      <c r="AY13" s="1479">
        <f>SUM(AE13:AX13)</f>
        <v>0</v>
      </c>
      <c r="AZ13" s="1479">
        <f>SUM(AD13,AY13)</f>
        <v>0</v>
      </c>
      <c r="BA13" s="1480">
        <f>AD13+$AE$33+AY13</f>
        <v>0</v>
      </c>
      <c r="BB13" s="1387"/>
    </row>
    <row r="14" spans="1:54" ht="20.100000000000001" customHeight="1">
      <c r="A14" s="694"/>
      <c r="B14" s="769" t="s">
        <v>177</v>
      </c>
      <c r="C14" s="1492">
        <f t="shared" ref="C14:C32" si="1">AD14</f>
        <v>0</v>
      </c>
      <c r="D14" s="1547"/>
      <c r="E14" s="1542"/>
      <c r="F14" s="714">
        <f t="shared" si="0"/>
        <v>0</v>
      </c>
      <c r="G14" s="714">
        <f t="shared" si="0"/>
        <v>0</v>
      </c>
      <c r="H14" s="714">
        <f t="shared" si="0"/>
        <v>0</v>
      </c>
      <c r="I14" s="714">
        <f t="shared" si="0"/>
        <v>0</v>
      </c>
      <c r="J14" s="714">
        <f t="shared" si="0"/>
        <v>0</v>
      </c>
      <c r="K14" s="714">
        <f t="shared" si="0"/>
        <v>0</v>
      </c>
      <c r="L14" s="714">
        <f t="shared" si="0"/>
        <v>0</v>
      </c>
      <c r="M14" s="714">
        <f t="shared" si="0"/>
        <v>0</v>
      </c>
      <c r="N14" s="714">
        <f t="shared" si="0"/>
        <v>0</v>
      </c>
      <c r="O14" s="770">
        <f t="shared" si="0"/>
        <v>0</v>
      </c>
      <c r="P14" s="770">
        <f t="shared" si="0"/>
        <v>0</v>
      </c>
      <c r="Q14" s="770">
        <f t="shared" si="0"/>
        <v>0</v>
      </c>
      <c r="R14" s="770">
        <f t="shared" si="0"/>
        <v>0</v>
      </c>
      <c r="S14" s="770">
        <f t="shared" si="0"/>
        <v>0</v>
      </c>
      <c r="T14" s="770">
        <f t="shared" si="0"/>
        <v>0</v>
      </c>
      <c r="U14" s="770">
        <f t="shared" si="0"/>
        <v>0</v>
      </c>
      <c r="V14" s="770">
        <f t="shared" si="0"/>
        <v>0</v>
      </c>
      <c r="W14" s="771">
        <f t="shared" si="0"/>
        <v>0</v>
      </c>
      <c r="X14" s="1500">
        <f>SUM(D14:W14)</f>
        <v>0</v>
      </c>
      <c r="Y14" s="1498">
        <f>SUM(C14,X14)</f>
        <v>0</v>
      </c>
      <c r="Z14" s="1501">
        <f>C14+$E$33+X14</f>
        <v>0</v>
      </c>
      <c r="AA14" s="768"/>
      <c r="AB14" s="1446"/>
      <c r="AC14" s="1481" t="s">
        <v>177</v>
      </c>
      <c r="AD14" s="1428">
        <f>IF($G$4=1,VLOOKUP($AC14,New_Routes_Subjs_ES,VLOOKUP('Background 17-18'!$C$2,Inst_Tables,42,FALSE),FALSE),0)</f>
        <v>0</v>
      </c>
      <c r="AE14" s="1551"/>
      <c r="AF14" s="1542"/>
      <c r="AG14" s="1679">
        <f>IF($G$4=1,VLOOKUP($AC14,New_Routes_Subjs_ES,VLOOKUP('Background 17-18'!$C$2,Inst_Tables,45,FALSE),FALSE),0)</f>
        <v>0</v>
      </c>
      <c r="AH14" s="1679">
        <f>IF($G$4=1,VLOOKUP($AC14,New_Routes_Subjs_ES,VLOOKUP('Background 17-18'!$C$2,Inst_Tables,46,FALSE),FALSE),0)</f>
        <v>0</v>
      </c>
      <c r="AI14" s="1679">
        <f>IF($G$4=1,VLOOKUP($AC14,New_Routes_Subjs_ES,VLOOKUP('Background 17-18'!$C$2,Inst_Tables,47,FALSE),FALSE),0)</f>
        <v>0</v>
      </c>
      <c r="AJ14" s="1679">
        <f>IF($G$4=1,VLOOKUP($AC14,New_Routes_Subjs_ES,VLOOKUP('Background 17-18'!$C$2,Inst_Tables,48,FALSE),FALSE),0)</f>
        <v>0</v>
      </c>
      <c r="AK14" s="1679">
        <f>IF($G$4=1,VLOOKUP($AC14,New_Routes_Subjs_ES,VLOOKUP('Background 17-18'!$C$2,Inst_Tables,49,FALSE),FALSE),0)</f>
        <v>0</v>
      </c>
      <c r="AL14" s="1679">
        <f>IF($G$4=1,VLOOKUP($AC14,New_Routes_Subjs_ES,VLOOKUP('Background 17-18'!$C$2,Inst_Tables,50,FALSE),FALSE),0)</f>
        <v>0</v>
      </c>
      <c r="AM14" s="1679">
        <f>IF($G$4=1,VLOOKUP($AC14,New_Routes_Subjs_ES,VLOOKUP('Background 17-18'!$C$2,Inst_Tables,51,FALSE),FALSE),0)</f>
        <v>0</v>
      </c>
      <c r="AN14" s="1679">
        <f>IF($G$4=1,VLOOKUP($AC14,New_Routes_Subjs_ES,VLOOKUP('Background 17-18'!$C$2,Inst_Tables,52,FALSE),FALSE),0)</f>
        <v>0</v>
      </c>
      <c r="AO14" s="1679">
        <f>IF($G$4=1,VLOOKUP($AC14,New_Routes_Subjs_ES,VLOOKUP('Background 17-18'!$C$2,Inst_Tables,53,FALSE),FALSE),0)</f>
        <v>0</v>
      </c>
      <c r="AP14" s="1686">
        <f>IF($G$4=1,VLOOKUP($AC14,New_Routes_Subjs_ES,VLOOKUP('Background 17-18'!$C$2,Inst_Tables,54,FALSE),FALSE),0)</f>
        <v>0</v>
      </c>
      <c r="AQ14" s="1686">
        <f>IF($G$4=1,VLOOKUP($AC14,New_Routes_Subjs_ES,VLOOKUP('Background 17-18'!$C$2,Inst_Tables,55,FALSE),FALSE),0)</f>
        <v>0</v>
      </c>
      <c r="AR14" s="1686">
        <f>IF($G$4=1,VLOOKUP($AC14,New_Routes_Subjs_ES,VLOOKUP('Background 17-18'!$C$2,Inst_Tables,56,FALSE),FALSE),0)</f>
        <v>0</v>
      </c>
      <c r="AS14" s="1686">
        <f>IF($G$4=1,VLOOKUP($AC14,New_Routes_Subjs_ES,VLOOKUP('Background 17-18'!$C$2,Inst_Tables,57,FALSE),FALSE),0)</f>
        <v>0</v>
      </c>
      <c r="AT14" s="1686">
        <f>IF($G$4=1,VLOOKUP($AC14,New_Routes_Subjs_ES,VLOOKUP('Background 17-18'!$C$2,Inst_Tables,58,FALSE),FALSE),0)</f>
        <v>0</v>
      </c>
      <c r="AU14" s="1686">
        <f>IF($G$4=1,VLOOKUP($AC14,New_Routes_Subjs_ES,VLOOKUP('Background 17-18'!$C$2,Inst_Tables,59,FALSE),FALSE),0)</f>
        <v>0</v>
      </c>
      <c r="AV14" s="1686">
        <f>IF($G$4=1,VLOOKUP($AC14,New_Routes_Subjs_ES,VLOOKUP('Background 17-18'!$C$2,Inst_Tables,60,FALSE),FALSE),0)</f>
        <v>0</v>
      </c>
      <c r="AW14" s="1686">
        <f>IF($G$4=1,VLOOKUP($AC14,New_Routes_Subjs_ES,VLOOKUP('Background 17-18'!$C$2,Inst_Tables,61,FALSE),FALSE),0)</f>
        <v>0</v>
      </c>
      <c r="AX14" s="1687">
        <f>IF($G$4=1,VLOOKUP($AC14,New_Routes_Subjs_ES,VLOOKUP('Background 17-18'!$C$2,Inst_Tables,62,FALSE),FALSE),0)</f>
        <v>0</v>
      </c>
      <c r="AY14" s="1482">
        <f>SUM(AE14:AX14)</f>
        <v>0</v>
      </c>
      <c r="AZ14" s="1479">
        <f>SUM(AD14,AY14)</f>
        <v>0</v>
      </c>
      <c r="BA14" s="1483">
        <f>AD14+$AF$33+AY14</f>
        <v>0</v>
      </c>
      <c r="BB14" s="1387"/>
    </row>
    <row r="15" spans="1:54" ht="20.100000000000001" customHeight="1">
      <c r="A15" s="694"/>
      <c r="B15" s="769" t="s">
        <v>197</v>
      </c>
      <c r="C15" s="1492">
        <f t="shared" si="1"/>
        <v>0</v>
      </c>
      <c r="D15" s="1547"/>
      <c r="E15" s="1542"/>
      <c r="F15" s="1539"/>
      <c r="G15" s="714">
        <f t="shared" si="0"/>
        <v>0</v>
      </c>
      <c r="H15" s="714">
        <f t="shared" si="0"/>
        <v>0</v>
      </c>
      <c r="I15" s="714">
        <f t="shared" si="0"/>
        <v>0</v>
      </c>
      <c r="J15" s="714">
        <f t="shared" si="0"/>
        <v>0</v>
      </c>
      <c r="K15" s="714">
        <f t="shared" si="0"/>
        <v>0</v>
      </c>
      <c r="L15" s="714">
        <f t="shared" si="0"/>
        <v>0</v>
      </c>
      <c r="M15" s="714">
        <f t="shared" si="0"/>
        <v>0</v>
      </c>
      <c r="N15" s="714">
        <f t="shared" si="0"/>
        <v>0</v>
      </c>
      <c r="O15" s="770">
        <f t="shared" si="0"/>
        <v>0</v>
      </c>
      <c r="P15" s="770">
        <f t="shared" si="0"/>
        <v>0</v>
      </c>
      <c r="Q15" s="770">
        <f t="shared" si="0"/>
        <v>0</v>
      </c>
      <c r="R15" s="770">
        <f t="shared" si="0"/>
        <v>0</v>
      </c>
      <c r="S15" s="770">
        <f t="shared" si="0"/>
        <v>0</v>
      </c>
      <c r="T15" s="770">
        <f t="shared" si="0"/>
        <v>0</v>
      </c>
      <c r="U15" s="770">
        <f t="shared" si="0"/>
        <v>0</v>
      </c>
      <c r="V15" s="770">
        <f t="shared" si="0"/>
        <v>0</v>
      </c>
      <c r="W15" s="771">
        <f t="shared" si="0"/>
        <v>0</v>
      </c>
      <c r="X15" s="1500">
        <f>SUM(D15:W15)</f>
        <v>0</v>
      </c>
      <c r="Y15" s="1498">
        <f t="shared" ref="Y15:Y31" si="2">SUM(C15,X15)</f>
        <v>0</v>
      </c>
      <c r="Z15" s="1501">
        <f>C15+$F$33+X15</f>
        <v>0</v>
      </c>
      <c r="AA15" s="768"/>
      <c r="AB15" s="1446"/>
      <c r="AC15" s="1481" t="s">
        <v>197</v>
      </c>
      <c r="AD15" s="1428">
        <f>IF($G$4=1,VLOOKUP($AC15,New_Routes_Subjs_ES,VLOOKUP('Background 17-18'!$C$2,Inst_Tables,42,FALSE),FALSE),0)</f>
        <v>0</v>
      </c>
      <c r="AE15" s="1551"/>
      <c r="AF15" s="1540"/>
      <c r="AG15" s="1539"/>
      <c r="AH15" s="1679">
        <f>IF($G$4=1,VLOOKUP($AC15,New_Routes_Subjs_ES,VLOOKUP('Background 17-18'!$C$2,Inst_Tables,46,FALSE),FALSE),0)</f>
        <v>0</v>
      </c>
      <c r="AI15" s="1679">
        <f>IF($G$4=1,VLOOKUP($AC15,New_Routes_Subjs_ES,VLOOKUP('Background 17-18'!$C$2,Inst_Tables,47,FALSE),FALSE),0)</f>
        <v>0</v>
      </c>
      <c r="AJ15" s="1679">
        <f>IF($G$4=1,VLOOKUP($AC15,New_Routes_Subjs_ES,VLOOKUP('Background 17-18'!$C$2,Inst_Tables,48,FALSE),FALSE),0)</f>
        <v>0</v>
      </c>
      <c r="AK15" s="1679">
        <f>IF($G$4=1,VLOOKUP($AC15,New_Routes_Subjs_ES,VLOOKUP('Background 17-18'!$C$2,Inst_Tables,49,FALSE),FALSE),0)</f>
        <v>0</v>
      </c>
      <c r="AL15" s="1679">
        <f>IF($G$4=1,VLOOKUP($AC15,New_Routes_Subjs_ES,VLOOKUP('Background 17-18'!$C$2,Inst_Tables,50,FALSE),FALSE),0)</f>
        <v>0</v>
      </c>
      <c r="AM15" s="1679">
        <f>IF($G$4=1,VLOOKUP($AC15,New_Routes_Subjs_ES,VLOOKUP('Background 17-18'!$C$2,Inst_Tables,51,FALSE),FALSE),0)</f>
        <v>0</v>
      </c>
      <c r="AN15" s="1679">
        <f>IF($G$4=1,VLOOKUP($AC15,New_Routes_Subjs_ES,VLOOKUP('Background 17-18'!$C$2,Inst_Tables,52,FALSE),FALSE),0)</f>
        <v>0</v>
      </c>
      <c r="AO15" s="1679">
        <f>IF($G$4=1,VLOOKUP($AC15,New_Routes_Subjs_ES,VLOOKUP('Background 17-18'!$C$2,Inst_Tables,53,FALSE),FALSE),0)</f>
        <v>0</v>
      </c>
      <c r="AP15" s="1686">
        <f>IF($G$4=1,VLOOKUP($AC15,New_Routes_Subjs_ES,VLOOKUP('Background 17-18'!$C$2,Inst_Tables,54,FALSE),FALSE),0)</f>
        <v>0</v>
      </c>
      <c r="AQ15" s="1686">
        <f>IF($G$4=1,VLOOKUP($AC15,New_Routes_Subjs_ES,VLOOKUP('Background 17-18'!$C$2,Inst_Tables,55,FALSE),FALSE),0)</f>
        <v>0</v>
      </c>
      <c r="AR15" s="1686">
        <f>IF($G$4=1,VLOOKUP($AC15,New_Routes_Subjs_ES,VLOOKUP('Background 17-18'!$C$2,Inst_Tables,56,FALSE),FALSE),0)</f>
        <v>0</v>
      </c>
      <c r="AS15" s="1686">
        <f>IF($G$4=1,VLOOKUP($AC15,New_Routes_Subjs_ES,VLOOKUP('Background 17-18'!$C$2,Inst_Tables,57,FALSE),FALSE),0)</f>
        <v>0</v>
      </c>
      <c r="AT15" s="1686">
        <f>IF($G$4=1,VLOOKUP($AC15,New_Routes_Subjs_ES,VLOOKUP('Background 17-18'!$C$2,Inst_Tables,58,FALSE),FALSE),0)</f>
        <v>0</v>
      </c>
      <c r="AU15" s="1686">
        <f>IF($G$4=1,VLOOKUP($AC15,New_Routes_Subjs_ES,VLOOKUP('Background 17-18'!$C$2,Inst_Tables,59,FALSE),FALSE),0)</f>
        <v>0</v>
      </c>
      <c r="AV15" s="1686">
        <f>IF($G$4=1,VLOOKUP($AC15,New_Routes_Subjs_ES,VLOOKUP('Background 17-18'!$C$2,Inst_Tables,60,FALSE),FALSE),0)</f>
        <v>0</v>
      </c>
      <c r="AW15" s="1686">
        <f>IF($G$4=1,VLOOKUP($AC15,New_Routes_Subjs_ES,VLOOKUP('Background 17-18'!$C$2,Inst_Tables,61,FALSE),FALSE),0)</f>
        <v>0</v>
      </c>
      <c r="AX15" s="1687">
        <f>IF($G$4=1,VLOOKUP($AC15,New_Routes_Subjs_ES,VLOOKUP('Background 17-18'!$C$2,Inst_Tables,62,FALSE),FALSE),0)</f>
        <v>0</v>
      </c>
      <c r="AY15" s="1482">
        <f>SUM(AE15:AX15)</f>
        <v>0</v>
      </c>
      <c r="AZ15" s="1479">
        <f t="shared" ref="AZ15:AZ31" si="3">SUM(AD15,AY15)</f>
        <v>0</v>
      </c>
      <c r="BA15" s="1483">
        <f>AD15+$AG$33+AY15</f>
        <v>0</v>
      </c>
      <c r="BB15" s="1387"/>
    </row>
    <row r="16" spans="1:54" ht="20.100000000000001" customHeight="1">
      <c r="A16" s="694"/>
      <c r="B16" s="769" t="s">
        <v>179</v>
      </c>
      <c r="C16" s="1492">
        <f t="shared" si="1"/>
        <v>0</v>
      </c>
      <c r="D16" s="1547"/>
      <c r="E16" s="1542"/>
      <c r="F16" s="1539"/>
      <c r="G16" s="1542"/>
      <c r="H16" s="714">
        <f t="shared" si="0"/>
        <v>0</v>
      </c>
      <c r="I16" s="714">
        <f t="shared" si="0"/>
        <v>0</v>
      </c>
      <c r="J16" s="714">
        <f t="shared" si="0"/>
        <v>0</v>
      </c>
      <c r="K16" s="714">
        <f t="shared" si="0"/>
        <v>0</v>
      </c>
      <c r="L16" s="714">
        <f t="shared" si="0"/>
        <v>0</v>
      </c>
      <c r="M16" s="714">
        <f t="shared" si="0"/>
        <v>0</v>
      </c>
      <c r="N16" s="714">
        <f t="shared" si="0"/>
        <v>0</v>
      </c>
      <c r="O16" s="770">
        <f t="shared" si="0"/>
        <v>0</v>
      </c>
      <c r="P16" s="770">
        <f t="shared" si="0"/>
        <v>0</v>
      </c>
      <c r="Q16" s="770">
        <f t="shared" si="0"/>
        <v>0</v>
      </c>
      <c r="R16" s="770">
        <f t="shared" si="0"/>
        <v>0</v>
      </c>
      <c r="S16" s="770">
        <f t="shared" si="0"/>
        <v>0</v>
      </c>
      <c r="T16" s="770">
        <f t="shared" si="0"/>
        <v>0</v>
      </c>
      <c r="U16" s="770">
        <f t="shared" si="0"/>
        <v>0</v>
      </c>
      <c r="V16" s="770">
        <f t="shared" si="0"/>
        <v>0</v>
      </c>
      <c r="W16" s="771">
        <f t="shared" si="0"/>
        <v>0</v>
      </c>
      <c r="X16" s="1500">
        <f t="shared" ref="X16:X31" si="4">SUM(D16:W16)</f>
        <v>0</v>
      </c>
      <c r="Y16" s="1498">
        <f t="shared" si="2"/>
        <v>0</v>
      </c>
      <c r="Z16" s="1501">
        <f>C16+$G$33+X16</f>
        <v>0</v>
      </c>
      <c r="AA16" s="768"/>
      <c r="AB16" s="1446"/>
      <c r="AC16" s="1481" t="s">
        <v>179</v>
      </c>
      <c r="AD16" s="1428">
        <f>IF($G$4=1,VLOOKUP($AC16,New_Routes_Subjs_ES,VLOOKUP('Background 17-18'!$C$2,Inst_Tables,42,FALSE),FALSE),0)</f>
        <v>0</v>
      </c>
      <c r="AE16" s="1551"/>
      <c r="AF16" s="1540"/>
      <c r="AG16" s="1540"/>
      <c r="AH16" s="1542"/>
      <c r="AI16" s="1679">
        <f>IF($G$4=1,VLOOKUP($AC16,New_Routes_Subjs_ES,VLOOKUP('Background 17-18'!$C$2,Inst_Tables,47,FALSE),FALSE),0)</f>
        <v>0</v>
      </c>
      <c r="AJ16" s="1679">
        <f>IF($G$4=1,VLOOKUP($AC16,New_Routes_Subjs_ES,VLOOKUP('Background 17-18'!$C$2,Inst_Tables,48,FALSE),FALSE),0)</f>
        <v>0</v>
      </c>
      <c r="AK16" s="1679">
        <f>IF($G$4=1,VLOOKUP($AC16,New_Routes_Subjs_ES,VLOOKUP('Background 17-18'!$C$2,Inst_Tables,49,FALSE),FALSE),0)</f>
        <v>0</v>
      </c>
      <c r="AL16" s="1679">
        <f>IF($G$4=1,VLOOKUP($AC16,New_Routes_Subjs_ES,VLOOKUP('Background 17-18'!$C$2,Inst_Tables,50,FALSE),FALSE),0)</f>
        <v>0</v>
      </c>
      <c r="AM16" s="1679">
        <f>IF($G$4=1,VLOOKUP($AC16,New_Routes_Subjs_ES,VLOOKUP('Background 17-18'!$C$2,Inst_Tables,51,FALSE),FALSE),0)</f>
        <v>0</v>
      </c>
      <c r="AN16" s="1679">
        <f>IF($G$4=1,VLOOKUP($AC16,New_Routes_Subjs_ES,VLOOKUP('Background 17-18'!$C$2,Inst_Tables,52,FALSE),FALSE),0)</f>
        <v>0</v>
      </c>
      <c r="AO16" s="1679">
        <f>IF($G$4=1,VLOOKUP($AC16,New_Routes_Subjs_ES,VLOOKUP('Background 17-18'!$C$2,Inst_Tables,53,FALSE),FALSE),0)</f>
        <v>0</v>
      </c>
      <c r="AP16" s="1686">
        <f>IF($G$4=1,VLOOKUP($AC16,New_Routes_Subjs_ES,VLOOKUP('Background 17-18'!$C$2,Inst_Tables,54,FALSE),FALSE),0)</f>
        <v>0</v>
      </c>
      <c r="AQ16" s="1686">
        <f>IF($G$4=1,VLOOKUP($AC16,New_Routes_Subjs_ES,VLOOKUP('Background 17-18'!$C$2,Inst_Tables,55,FALSE),FALSE),0)</f>
        <v>0</v>
      </c>
      <c r="AR16" s="1686">
        <f>IF($G$4=1,VLOOKUP($AC16,New_Routes_Subjs_ES,VLOOKUP('Background 17-18'!$C$2,Inst_Tables,56,FALSE),FALSE),0)</f>
        <v>0</v>
      </c>
      <c r="AS16" s="1686">
        <f>IF($G$4=1,VLOOKUP($AC16,New_Routes_Subjs_ES,VLOOKUP('Background 17-18'!$C$2,Inst_Tables,57,FALSE),FALSE),0)</f>
        <v>0</v>
      </c>
      <c r="AT16" s="1686">
        <f>IF($G$4=1,VLOOKUP($AC16,New_Routes_Subjs_ES,VLOOKUP('Background 17-18'!$C$2,Inst_Tables,58,FALSE),FALSE),0)</f>
        <v>0</v>
      </c>
      <c r="AU16" s="1686">
        <f>IF($G$4=1,VLOOKUP($AC16,New_Routes_Subjs_ES,VLOOKUP('Background 17-18'!$C$2,Inst_Tables,59,FALSE),FALSE),0)</f>
        <v>0</v>
      </c>
      <c r="AV16" s="1686">
        <f>IF($G$4=1,VLOOKUP($AC16,New_Routes_Subjs_ES,VLOOKUP('Background 17-18'!$C$2,Inst_Tables,60,FALSE),FALSE),0)</f>
        <v>0</v>
      </c>
      <c r="AW16" s="1686">
        <f>IF($G$4=1,VLOOKUP($AC16,New_Routes_Subjs_ES,VLOOKUP('Background 17-18'!$C$2,Inst_Tables,61,FALSE),FALSE),0)</f>
        <v>0</v>
      </c>
      <c r="AX16" s="1687">
        <f>IF($G$4=1,VLOOKUP($AC16,New_Routes_Subjs_ES,VLOOKUP('Background 17-18'!$C$2,Inst_Tables,62,FALSE),FALSE),0)</f>
        <v>0</v>
      </c>
      <c r="AY16" s="1482">
        <f t="shared" ref="AY16:AY31" si="5">SUM(AE16:AX16)</f>
        <v>0</v>
      </c>
      <c r="AZ16" s="1479">
        <f t="shared" si="3"/>
        <v>0</v>
      </c>
      <c r="BA16" s="1483">
        <f>AD16+$AH$33+AY16</f>
        <v>0</v>
      </c>
      <c r="BB16" s="1387"/>
    </row>
    <row r="17" spans="1:54" ht="20.100000000000001" customHeight="1">
      <c r="A17" s="694"/>
      <c r="B17" s="769" t="s">
        <v>180</v>
      </c>
      <c r="C17" s="1492">
        <f t="shared" si="1"/>
        <v>0</v>
      </c>
      <c r="D17" s="1547"/>
      <c r="E17" s="1542"/>
      <c r="F17" s="1539"/>
      <c r="G17" s="1542"/>
      <c r="H17" s="1539"/>
      <c r="I17" s="714">
        <f t="shared" si="0"/>
        <v>0</v>
      </c>
      <c r="J17" s="714">
        <f t="shared" si="0"/>
        <v>0</v>
      </c>
      <c r="K17" s="714">
        <f t="shared" si="0"/>
        <v>0</v>
      </c>
      <c r="L17" s="714">
        <f t="shared" si="0"/>
        <v>0</v>
      </c>
      <c r="M17" s="714">
        <f t="shared" si="0"/>
        <v>0</v>
      </c>
      <c r="N17" s="714">
        <f t="shared" si="0"/>
        <v>0</v>
      </c>
      <c r="O17" s="770">
        <f t="shared" si="0"/>
        <v>0</v>
      </c>
      <c r="P17" s="770">
        <f t="shared" si="0"/>
        <v>0</v>
      </c>
      <c r="Q17" s="770">
        <f t="shared" si="0"/>
        <v>0</v>
      </c>
      <c r="R17" s="770">
        <f t="shared" si="0"/>
        <v>0</v>
      </c>
      <c r="S17" s="770">
        <f t="shared" si="0"/>
        <v>0</v>
      </c>
      <c r="T17" s="770">
        <f t="shared" si="0"/>
        <v>0</v>
      </c>
      <c r="U17" s="770">
        <f t="shared" si="0"/>
        <v>0</v>
      </c>
      <c r="V17" s="770">
        <f t="shared" si="0"/>
        <v>0</v>
      </c>
      <c r="W17" s="771">
        <f t="shared" si="0"/>
        <v>0</v>
      </c>
      <c r="X17" s="1500">
        <f t="shared" si="4"/>
        <v>0</v>
      </c>
      <c r="Y17" s="1498">
        <f t="shared" si="2"/>
        <v>0</v>
      </c>
      <c r="Z17" s="1501">
        <f>C17+$H$33+X17</f>
        <v>0</v>
      </c>
      <c r="AA17" s="768"/>
      <c r="AB17" s="1446"/>
      <c r="AC17" s="1481" t="s">
        <v>180</v>
      </c>
      <c r="AD17" s="1428">
        <f>IF($G$4=1,VLOOKUP($AC17,New_Routes_Subjs_ES,VLOOKUP('Background 17-18'!$C$2,Inst_Tables,42,FALSE),FALSE),0)</f>
        <v>0</v>
      </c>
      <c r="AE17" s="1551"/>
      <c r="AF17" s="1540"/>
      <c r="AG17" s="1540"/>
      <c r="AH17" s="1540"/>
      <c r="AI17" s="1539"/>
      <c r="AJ17" s="1679">
        <f>IF($G$4=1,VLOOKUP($AC17,New_Routes_Subjs_ES,VLOOKUP('Background 17-18'!$C$2,Inst_Tables,48,FALSE),FALSE),0)</f>
        <v>0</v>
      </c>
      <c r="AK17" s="1679">
        <f>IF($G$4=1,VLOOKUP($AC17,New_Routes_Subjs_ES,VLOOKUP('Background 17-18'!$C$2,Inst_Tables,49,FALSE),FALSE),0)</f>
        <v>0</v>
      </c>
      <c r="AL17" s="1679">
        <f>IF($G$4=1,VLOOKUP($AC17,New_Routes_Subjs_ES,VLOOKUP('Background 17-18'!$C$2,Inst_Tables,50,FALSE),FALSE),0)</f>
        <v>0</v>
      </c>
      <c r="AM17" s="1679">
        <f>IF($G$4=1,VLOOKUP($AC17,New_Routes_Subjs_ES,VLOOKUP('Background 17-18'!$C$2,Inst_Tables,51,FALSE),FALSE),0)</f>
        <v>0</v>
      </c>
      <c r="AN17" s="1679">
        <f>IF($G$4=1,VLOOKUP($AC17,New_Routes_Subjs_ES,VLOOKUP('Background 17-18'!$C$2,Inst_Tables,52,FALSE),FALSE),0)</f>
        <v>0</v>
      </c>
      <c r="AO17" s="1679">
        <f>IF($G$4=1,VLOOKUP($AC17,New_Routes_Subjs_ES,VLOOKUP('Background 17-18'!$C$2,Inst_Tables,53,FALSE),FALSE),0)</f>
        <v>0</v>
      </c>
      <c r="AP17" s="1686">
        <f>IF($G$4=1,VLOOKUP($AC17,New_Routes_Subjs_ES,VLOOKUP('Background 17-18'!$C$2,Inst_Tables,54,FALSE),FALSE),0)</f>
        <v>0</v>
      </c>
      <c r="AQ17" s="1686">
        <f>IF($G$4=1,VLOOKUP($AC17,New_Routes_Subjs_ES,VLOOKUP('Background 17-18'!$C$2,Inst_Tables,55,FALSE),FALSE),0)</f>
        <v>0</v>
      </c>
      <c r="AR17" s="1686">
        <f>IF($G$4=1,VLOOKUP($AC17,New_Routes_Subjs_ES,VLOOKUP('Background 17-18'!$C$2,Inst_Tables,56,FALSE),FALSE),0)</f>
        <v>0</v>
      </c>
      <c r="AS17" s="1686">
        <f>IF($G$4=1,VLOOKUP($AC17,New_Routes_Subjs_ES,VLOOKUP('Background 17-18'!$C$2,Inst_Tables,57,FALSE),FALSE),0)</f>
        <v>0</v>
      </c>
      <c r="AT17" s="1686">
        <f>IF($G$4=1,VLOOKUP($AC17,New_Routes_Subjs_ES,VLOOKUP('Background 17-18'!$C$2,Inst_Tables,58,FALSE),FALSE),0)</f>
        <v>0</v>
      </c>
      <c r="AU17" s="1686">
        <f>IF($G$4=1,VLOOKUP($AC17,New_Routes_Subjs_ES,VLOOKUP('Background 17-18'!$C$2,Inst_Tables,59,FALSE),FALSE),0)</f>
        <v>0</v>
      </c>
      <c r="AV17" s="1686">
        <f>IF($G$4=1,VLOOKUP($AC17,New_Routes_Subjs_ES,VLOOKUP('Background 17-18'!$C$2,Inst_Tables,60,FALSE),FALSE),0)</f>
        <v>0</v>
      </c>
      <c r="AW17" s="1686">
        <f>IF($G$4=1,VLOOKUP($AC17,New_Routes_Subjs_ES,VLOOKUP('Background 17-18'!$C$2,Inst_Tables,61,FALSE),FALSE),0)</f>
        <v>0</v>
      </c>
      <c r="AX17" s="1687">
        <f>IF($G$4=1,VLOOKUP($AC17,New_Routes_Subjs_ES,VLOOKUP('Background 17-18'!$C$2,Inst_Tables,62,FALSE),FALSE),0)</f>
        <v>0</v>
      </c>
      <c r="AY17" s="1482">
        <f t="shared" si="5"/>
        <v>0</v>
      </c>
      <c r="AZ17" s="1479">
        <f t="shared" si="3"/>
        <v>0</v>
      </c>
      <c r="BA17" s="1483">
        <f>AD17+$AI$33+AY17</f>
        <v>0</v>
      </c>
      <c r="BB17" s="1387"/>
    </row>
    <row r="18" spans="1:54" ht="20.100000000000001" customHeight="1">
      <c r="A18" s="694"/>
      <c r="B18" s="769" t="s">
        <v>181</v>
      </c>
      <c r="C18" s="1492">
        <f t="shared" si="1"/>
        <v>0</v>
      </c>
      <c r="D18" s="1547"/>
      <c r="E18" s="1542"/>
      <c r="F18" s="1539"/>
      <c r="G18" s="1542"/>
      <c r="H18" s="1539"/>
      <c r="I18" s="1542"/>
      <c r="J18" s="714">
        <f t="shared" si="0"/>
        <v>0</v>
      </c>
      <c r="K18" s="714">
        <f t="shared" si="0"/>
        <v>0</v>
      </c>
      <c r="L18" s="714">
        <f t="shared" si="0"/>
        <v>0</v>
      </c>
      <c r="M18" s="714">
        <f t="shared" si="0"/>
        <v>0</v>
      </c>
      <c r="N18" s="714">
        <f t="shared" si="0"/>
        <v>0</v>
      </c>
      <c r="O18" s="770">
        <f t="shared" si="0"/>
        <v>0</v>
      </c>
      <c r="P18" s="770">
        <f t="shared" si="0"/>
        <v>0</v>
      </c>
      <c r="Q18" s="770">
        <f t="shared" si="0"/>
        <v>0</v>
      </c>
      <c r="R18" s="770">
        <f t="shared" si="0"/>
        <v>0</v>
      </c>
      <c r="S18" s="770">
        <f t="shared" si="0"/>
        <v>0</v>
      </c>
      <c r="T18" s="770">
        <f t="shared" si="0"/>
        <v>0</v>
      </c>
      <c r="U18" s="770">
        <f t="shared" si="0"/>
        <v>0</v>
      </c>
      <c r="V18" s="770">
        <f t="shared" si="0"/>
        <v>0</v>
      </c>
      <c r="W18" s="771">
        <f t="shared" si="0"/>
        <v>0</v>
      </c>
      <c r="X18" s="1500">
        <f t="shared" si="4"/>
        <v>0</v>
      </c>
      <c r="Y18" s="1498">
        <f t="shared" si="2"/>
        <v>0</v>
      </c>
      <c r="Z18" s="1501">
        <f>C18+$I$33+X18</f>
        <v>0</v>
      </c>
      <c r="AA18" s="768"/>
      <c r="AB18" s="1446"/>
      <c r="AC18" s="1481" t="s">
        <v>181</v>
      </c>
      <c r="AD18" s="1428">
        <f>IF($G$4=1,VLOOKUP($AC18,New_Routes_Subjs_ES,VLOOKUP('Background 17-18'!$C$2,Inst_Tables,42,FALSE),FALSE),0)</f>
        <v>0</v>
      </c>
      <c r="AE18" s="1551"/>
      <c r="AF18" s="1540"/>
      <c r="AG18" s="1540"/>
      <c r="AH18" s="1540"/>
      <c r="AI18" s="1540"/>
      <c r="AJ18" s="1542"/>
      <c r="AK18" s="1679">
        <f>IF($G$4=1,VLOOKUP($AC18,New_Routes_Subjs_ES,VLOOKUP('Background 17-18'!$C$2,Inst_Tables,49,FALSE),FALSE),0)</f>
        <v>0</v>
      </c>
      <c r="AL18" s="1679">
        <f>IF($G$4=1,VLOOKUP($AC18,New_Routes_Subjs_ES,VLOOKUP('Background 17-18'!$C$2,Inst_Tables,50,FALSE),FALSE),0)</f>
        <v>0</v>
      </c>
      <c r="AM18" s="1679">
        <f>IF($G$4=1,VLOOKUP($AC18,New_Routes_Subjs_ES,VLOOKUP('Background 17-18'!$C$2,Inst_Tables,51,FALSE),FALSE),0)</f>
        <v>0</v>
      </c>
      <c r="AN18" s="1679">
        <f>IF($G$4=1,VLOOKUP($AC18,New_Routes_Subjs_ES,VLOOKUP('Background 17-18'!$C$2,Inst_Tables,52,FALSE),FALSE),0)</f>
        <v>0</v>
      </c>
      <c r="AO18" s="1679">
        <f>IF($G$4=1,VLOOKUP($AC18,New_Routes_Subjs_ES,VLOOKUP('Background 17-18'!$C$2,Inst_Tables,53,FALSE),FALSE),0)</f>
        <v>0</v>
      </c>
      <c r="AP18" s="1686">
        <f>IF($G$4=1,VLOOKUP($AC18,New_Routes_Subjs_ES,VLOOKUP('Background 17-18'!$C$2,Inst_Tables,54,FALSE),FALSE),0)</f>
        <v>0</v>
      </c>
      <c r="AQ18" s="1686">
        <f>IF($G$4=1,VLOOKUP($AC18,New_Routes_Subjs_ES,VLOOKUP('Background 17-18'!$C$2,Inst_Tables,55,FALSE),FALSE),0)</f>
        <v>0</v>
      </c>
      <c r="AR18" s="1686">
        <f>IF($G$4=1,VLOOKUP($AC18,New_Routes_Subjs_ES,VLOOKUP('Background 17-18'!$C$2,Inst_Tables,56,FALSE),FALSE),0)</f>
        <v>0</v>
      </c>
      <c r="AS18" s="1686">
        <f>IF($G$4=1,VLOOKUP($AC18,New_Routes_Subjs_ES,VLOOKUP('Background 17-18'!$C$2,Inst_Tables,57,FALSE),FALSE),0)</f>
        <v>0</v>
      </c>
      <c r="AT18" s="1686">
        <f>IF($G$4=1,VLOOKUP($AC18,New_Routes_Subjs_ES,VLOOKUP('Background 17-18'!$C$2,Inst_Tables,58,FALSE),FALSE),0)</f>
        <v>0</v>
      </c>
      <c r="AU18" s="1686">
        <f>IF($G$4=1,VLOOKUP($AC18,New_Routes_Subjs_ES,VLOOKUP('Background 17-18'!$C$2,Inst_Tables,59,FALSE),FALSE),0)</f>
        <v>0</v>
      </c>
      <c r="AV18" s="1686">
        <f>IF($G$4=1,VLOOKUP($AC18,New_Routes_Subjs_ES,VLOOKUP('Background 17-18'!$C$2,Inst_Tables,60,FALSE),FALSE),0)</f>
        <v>0</v>
      </c>
      <c r="AW18" s="1686">
        <f>IF($G$4=1,VLOOKUP($AC18,New_Routes_Subjs_ES,VLOOKUP('Background 17-18'!$C$2,Inst_Tables,61,FALSE),FALSE),0)</f>
        <v>0</v>
      </c>
      <c r="AX18" s="1687">
        <f>IF($G$4=1,VLOOKUP($AC18,New_Routes_Subjs_ES,VLOOKUP('Background 17-18'!$C$2,Inst_Tables,62,FALSE),FALSE),0)</f>
        <v>0</v>
      </c>
      <c r="AY18" s="1482">
        <f t="shared" si="5"/>
        <v>0</v>
      </c>
      <c r="AZ18" s="1479">
        <f t="shared" si="3"/>
        <v>0</v>
      </c>
      <c r="BA18" s="1483">
        <f>AD18+$AJ$33+AY18</f>
        <v>0</v>
      </c>
      <c r="BB18" s="1387"/>
    </row>
    <row r="19" spans="1:54" ht="20.100000000000001" customHeight="1">
      <c r="A19" s="694"/>
      <c r="B19" s="769" t="s">
        <v>182</v>
      </c>
      <c r="C19" s="1492">
        <f t="shared" si="1"/>
        <v>0</v>
      </c>
      <c r="D19" s="1547"/>
      <c r="E19" s="1542"/>
      <c r="F19" s="1539"/>
      <c r="G19" s="1542"/>
      <c r="H19" s="1539"/>
      <c r="I19" s="1542"/>
      <c r="J19" s="1539"/>
      <c r="K19" s="714">
        <f t="shared" si="0"/>
        <v>0</v>
      </c>
      <c r="L19" s="714">
        <f t="shared" si="0"/>
        <v>0</v>
      </c>
      <c r="M19" s="714">
        <f t="shared" si="0"/>
        <v>0</v>
      </c>
      <c r="N19" s="714">
        <f t="shared" si="0"/>
        <v>0</v>
      </c>
      <c r="O19" s="770">
        <f t="shared" si="0"/>
        <v>0</v>
      </c>
      <c r="P19" s="770">
        <f t="shared" si="0"/>
        <v>0</v>
      </c>
      <c r="Q19" s="770">
        <f t="shared" si="0"/>
        <v>0</v>
      </c>
      <c r="R19" s="770">
        <f t="shared" si="0"/>
        <v>0</v>
      </c>
      <c r="S19" s="770">
        <f t="shared" si="0"/>
        <v>0</v>
      </c>
      <c r="T19" s="770">
        <f t="shared" si="0"/>
        <v>0</v>
      </c>
      <c r="U19" s="770">
        <f t="shared" si="0"/>
        <v>0</v>
      </c>
      <c r="V19" s="770">
        <f t="shared" si="0"/>
        <v>0</v>
      </c>
      <c r="W19" s="771">
        <f t="shared" si="0"/>
        <v>0</v>
      </c>
      <c r="X19" s="1500">
        <f t="shared" si="4"/>
        <v>0</v>
      </c>
      <c r="Y19" s="1498">
        <f t="shared" si="2"/>
        <v>0</v>
      </c>
      <c r="Z19" s="1501">
        <f>C19+$J$33+X19</f>
        <v>0</v>
      </c>
      <c r="AA19" s="768"/>
      <c r="AB19" s="1446"/>
      <c r="AC19" s="1481" t="s">
        <v>182</v>
      </c>
      <c r="AD19" s="1428">
        <f>IF($G$4=1,VLOOKUP($AC19,New_Routes_Subjs_ES,VLOOKUP('Background 17-18'!$C$2,Inst_Tables,42,FALSE),FALSE),0)</f>
        <v>0</v>
      </c>
      <c r="AE19" s="1551"/>
      <c r="AF19" s="1540"/>
      <c r="AG19" s="1540"/>
      <c r="AH19" s="1540"/>
      <c r="AI19" s="1540"/>
      <c r="AJ19" s="1540"/>
      <c r="AK19" s="1539"/>
      <c r="AL19" s="1679">
        <f>IF($G$4=1,VLOOKUP($AC19,New_Routes_Subjs_ES,VLOOKUP('Background 17-18'!$C$2,Inst_Tables,50,FALSE),FALSE),0)</f>
        <v>0</v>
      </c>
      <c r="AM19" s="1679">
        <f>IF($G$4=1,VLOOKUP($AC19,New_Routes_Subjs_ES,VLOOKUP('Background 17-18'!$C$2,Inst_Tables,51,FALSE),FALSE),0)</f>
        <v>0</v>
      </c>
      <c r="AN19" s="1679">
        <f>IF($G$4=1,VLOOKUP($AC19,New_Routes_Subjs_ES,VLOOKUP('Background 17-18'!$C$2,Inst_Tables,52,FALSE),FALSE),0)</f>
        <v>0</v>
      </c>
      <c r="AO19" s="1679">
        <f>IF($G$4=1,VLOOKUP($AC19,New_Routes_Subjs_ES,VLOOKUP('Background 17-18'!$C$2,Inst_Tables,53,FALSE),FALSE),0)</f>
        <v>0</v>
      </c>
      <c r="AP19" s="1686">
        <f>IF($G$4=1,VLOOKUP($AC19,New_Routes_Subjs_ES,VLOOKUP('Background 17-18'!$C$2,Inst_Tables,54,FALSE),FALSE),0)</f>
        <v>0</v>
      </c>
      <c r="AQ19" s="1686">
        <f>IF($G$4=1,VLOOKUP($AC19,New_Routes_Subjs_ES,VLOOKUP('Background 17-18'!$C$2,Inst_Tables,55,FALSE),FALSE),0)</f>
        <v>0</v>
      </c>
      <c r="AR19" s="1686">
        <f>IF($G$4=1,VLOOKUP($AC19,New_Routes_Subjs_ES,VLOOKUP('Background 17-18'!$C$2,Inst_Tables,56,FALSE),FALSE),0)</f>
        <v>0</v>
      </c>
      <c r="AS19" s="1686">
        <f>IF($G$4=1,VLOOKUP($AC19,New_Routes_Subjs_ES,VLOOKUP('Background 17-18'!$C$2,Inst_Tables,57,FALSE),FALSE),0)</f>
        <v>0</v>
      </c>
      <c r="AT19" s="1686">
        <f>IF($G$4=1,VLOOKUP($AC19,New_Routes_Subjs_ES,VLOOKUP('Background 17-18'!$C$2,Inst_Tables,58,FALSE),FALSE),0)</f>
        <v>0</v>
      </c>
      <c r="AU19" s="1686">
        <f>IF($G$4=1,VLOOKUP($AC19,New_Routes_Subjs_ES,VLOOKUP('Background 17-18'!$C$2,Inst_Tables,59,FALSE),FALSE),0)</f>
        <v>0</v>
      </c>
      <c r="AV19" s="1686">
        <f>IF($G$4=1,VLOOKUP($AC19,New_Routes_Subjs_ES,VLOOKUP('Background 17-18'!$C$2,Inst_Tables,60,FALSE),FALSE),0)</f>
        <v>0</v>
      </c>
      <c r="AW19" s="1686">
        <f>IF($G$4=1,VLOOKUP($AC19,New_Routes_Subjs_ES,VLOOKUP('Background 17-18'!$C$2,Inst_Tables,61,FALSE),FALSE),0)</f>
        <v>0</v>
      </c>
      <c r="AX19" s="1687">
        <f>IF($G$4=1,VLOOKUP($AC19,New_Routes_Subjs_ES,VLOOKUP('Background 17-18'!$C$2,Inst_Tables,62,FALSE),FALSE),0)</f>
        <v>0</v>
      </c>
      <c r="AY19" s="1482">
        <f t="shared" si="5"/>
        <v>0</v>
      </c>
      <c r="AZ19" s="1479">
        <f t="shared" si="3"/>
        <v>0</v>
      </c>
      <c r="BA19" s="1483">
        <f>AD19+$AK$33+AY19</f>
        <v>0</v>
      </c>
      <c r="BB19" s="1387"/>
    </row>
    <row r="20" spans="1:54" ht="20.100000000000001" customHeight="1">
      <c r="A20" s="694"/>
      <c r="B20" s="769" t="s">
        <v>183</v>
      </c>
      <c r="C20" s="1492">
        <f t="shared" si="1"/>
        <v>0</v>
      </c>
      <c r="D20" s="1547"/>
      <c r="E20" s="1542"/>
      <c r="F20" s="1539"/>
      <c r="G20" s="1542"/>
      <c r="H20" s="1539"/>
      <c r="I20" s="1542"/>
      <c r="J20" s="1539"/>
      <c r="K20" s="1542"/>
      <c r="L20" s="714">
        <f t="shared" si="0"/>
        <v>0</v>
      </c>
      <c r="M20" s="714">
        <f t="shared" si="0"/>
        <v>0</v>
      </c>
      <c r="N20" s="714">
        <f t="shared" si="0"/>
        <v>0</v>
      </c>
      <c r="O20" s="770">
        <f t="shared" si="0"/>
        <v>0</v>
      </c>
      <c r="P20" s="770">
        <f t="shared" si="0"/>
        <v>0</v>
      </c>
      <c r="Q20" s="770">
        <f t="shared" si="0"/>
        <v>0</v>
      </c>
      <c r="R20" s="770">
        <f t="shared" si="0"/>
        <v>0</v>
      </c>
      <c r="S20" s="770">
        <f t="shared" si="0"/>
        <v>0</v>
      </c>
      <c r="T20" s="770">
        <f t="shared" si="0"/>
        <v>0</v>
      </c>
      <c r="U20" s="770">
        <f t="shared" si="0"/>
        <v>0</v>
      </c>
      <c r="V20" s="770">
        <f t="shared" si="0"/>
        <v>0</v>
      </c>
      <c r="W20" s="771">
        <f t="shared" si="0"/>
        <v>0</v>
      </c>
      <c r="X20" s="1500">
        <f t="shared" si="4"/>
        <v>0</v>
      </c>
      <c r="Y20" s="1498">
        <f t="shared" si="2"/>
        <v>0</v>
      </c>
      <c r="Z20" s="1501">
        <f>C20+$K$33+X20</f>
        <v>0</v>
      </c>
      <c r="AA20" s="768"/>
      <c r="AB20" s="1446"/>
      <c r="AC20" s="1481" t="s">
        <v>183</v>
      </c>
      <c r="AD20" s="1428">
        <f>IF($G$4=1,VLOOKUP($AC20,New_Routes_Subjs_ES,VLOOKUP('Background 17-18'!$C$2,Inst_Tables,42,FALSE),FALSE),0)</f>
        <v>0</v>
      </c>
      <c r="AE20" s="1551"/>
      <c r="AF20" s="1540"/>
      <c r="AG20" s="1540"/>
      <c r="AH20" s="1540"/>
      <c r="AI20" s="1540"/>
      <c r="AJ20" s="1540"/>
      <c r="AK20" s="1540"/>
      <c r="AL20" s="1542"/>
      <c r="AM20" s="1679">
        <f>IF($G$4=1,VLOOKUP($AC20,New_Routes_Subjs_ES,VLOOKUP('Background 17-18'!$C$2,Inst_Tables,51,FALSE),FALSE),0)</f>
        <v>0</v>
      </c>
      <c r="AN20" s="1679">
        <f>IF($G$4=1,VLOOKUP($AC20,New_Routes_Subjs_ES,VLOOKUP('Background 17-18'!$C$2,Inst_Tables,52,FALSE),FALSE),0)</f>
        <v>0</v>
      </c>
      <c r="AO20" s="1679">
        <f>IF($G$4=1,VLOOKUP($AC20,New_Routes_Subjs_ES,VLOOKUP('Background 17-18'!$C$2,Inst_Tables,53,FALSE),FALSE),0)</f>
        <v>0</v>
      </c>
      <c r="AP20" s="1686">
        <f>IF($G$4=1,VLOOKUP($AC20,New_Routes_Subjs_ES,VLOOKUP('Background 17-18'!$C$2,Inst_Tables,54,FALSE),FALSE),0)</f>
        <v>0</v>
      </c>
      <c r="AQ20" s="1686">
        <f>IF($G$4=1,VLOOKUP($AC20,New_Routes_Subjs_ES,VLOOKUP('Background 17-18'!$C$2,Inst_Tables,55,FALSE),FALSE),0)</f>
        <v>0</v>
      </c>
      <c r="AR20" s="1686">
        <f>IF($G$4=1,VLOOKUP($AC20,New_Routes_Subjs_ES,VLOOKUP('Background 17-18'!$C$2,Inst_Tables,56,FALSE),FALSE),0)</f>
        <v>0</v>
      </c>
      <c r="AS20" s="1686">
        <f>IF($G$4=1,VLOOKUP($AC20,New_Routes_Subjs_ES,VLOOKUP('Background 17-18'!$C$2,Inst_Tables,57,FALSE),FALSE),0)</f>
        <v>0</v>
      </c>
      <c r="AT20" s="1686">
        <f>IF($G$4=1,VLOOKUP($AC20,New_Routes_Subjs_ES,VLOOKUP('Background 17-18'!$C$2,Inst_Tables,58,FALSE),FALSE),0)</f>
        <v>0</v>
      </c>
      <c r="AU20" s="1686">
        <f>IF($G$4=1,VLOOKUP($AC20,New_Routes_Subjs_ES,VLOOKUP('Background 17-18'!$C$2,Inst_Tables,59,FALSE),FALSE),0)</f>
        <v>0</v>
      </c>
      <c r="AV20" s="1686">
        <f>IF($G$4=1,VLOOKUP($AC20,New_Routes_Subjs_ES,VLOOKUP('Background 17-18'!$C$2,Inst_Tables,60,FALSE),FALSE),0)</f>
        <v>0</v>
      </c>
      <c r="AW20" s="1686">
        <f>IF($G$4=1,VLOOKUP($AC20,New_Routes_Subjs_ES,VLOOKUP('Background 17-18'!$C$2,Inst_Tables,61,FALSE),FALSE),0)</f>
        <v>0</v>
      </c>
      <c r="AX20" s="1687">
        <f>IF($G$4=1,VLOOKUP($AC20,New_Routes_Subjs_ES,VLOOKUP('Background 17-18'!$C$2,Inst_Tables,62,FALSE),FALSE),0)</f>
        <v>0</v>
      </c>
      <c r="AY20" s="1482">
        <f t="shared" si="5"/>
        <v>0</v>
      </c>
      <c r="AZ20" s="1479">
        <f t="shared" si="3"/>
        <v>0</v>
      </c>
      <c r="BA20" s="1483">
        <f>AD20+$AL$33+AY20</f>
        <v>0</v>
      </c>
      <c r="BB20" s="1387"/>
    </row>
    <row r="21" spans="1:54" ht="20.100000000000001" customHeight="1">
      <c r="A21" s="694"/>
      <c r="B21" s="769" t="s">
        <v>184</v>
      </c>
      <c r="C21" s="1492">
        <f t="shared" si="1"/>
        <v>0</v>
      </c>
      <c r="D21" s="1547"/>
      <c r="E21" s="1542"/>
      <c r="F21" s="1539"/>
      <c r="G21" s="1542"/>
      <c r="H21" s="1539"/>
      <c r="I21" s="1542"/>
      <c r="J21" s="1539"/>
      <c r="K21" s="1542"/>
      <c r="L21" s="1539"/>
      <c r="M21" s="714">
        <f t="shared" si="0"/>
        <v>0</v>
      </c>
      <c r="N21" s="714">
        <f t="shared" si="0"/>
        <v>0</v>
      </c>
      <c r="O21" s="770">
        <f t="shared" si="0"/>
        <v>0</v>
      </c>
      <c r="P21" s="770">
        <f t="shared" si="0"/>
        <v>0</v>
      </c>
      <c r="Q21" s="770">
        <f t="shared" si="0"/>
        <v>0</v>
      </c>
      <c r="R21" s="770">
        <f t="shared" si="0"/>
        <v>0</v>
      </c>
      <c r="S21" s="770">
        <f t="shared" si="0"/>
        <v>0</v>
      </c>
      <c r="T21" s="770">
        <f t="shared" si="0"/>
        <v>0</v>
      </c>
      <c r="U21" s="770">
        <f t="shared" si="0"/>
        <v>0</v>
      </c>
      <c r="V21" s="770">
        <f t="shared" si="0"/>
        <v>0</v>
      </c>
      <c r="W21" s="771">
        <f t="shared" si="0"/>
        <v>0</v>
      </c>
      <c r="X21" s="1500">
        <f t="shared" si="4"/>
        <v>0</v>
      </c>
      <c r="Y21" s="1498">
        <f t="shared" si="2"/>
        <v>0</v>
      </c>
      <c r="Z21" s="1501">
        <f>C21+$L$33+X21</f>
        <v>0</v>
      </c>
      <c r="AA21" s="768"/>
      <c r="AB21" s="1446"/>
      <c r="AC21" s="1481" t="s">
        <v>184</v>
      </c>
      <c r="AD21" s="1428">
        <f>IF($G$4=1,VLOOKUP($AC21,New_Routes_Subjs_ES,VLOOKUP('Background 17-18'!$C$2,Inst_Tables,42,FALSE),FALSE),0)</f>
        <v>0</v>
      </c>
      <c r="AE21" s="1551"/>
      <c r="AF21" s="1540"/>
      <c r="AG21" s="1540"/>
      <c r="AH21" s="1540"/>
      <c r="AI21" s="1540"/>
      <c r="AJ21" s="1540"/>
      <c r="AK21" s="1540"/>
      <c r="AL21" s="1540"/>
      <c r="AM21" s="1539"/>
      <c r="AN21" s="1679">
        <f>IF($G$4=1,VLOOKUP($AC21,New_Routes_Subjs_ES,VLOOKUP('Background 17-18'!$C$2,Inst_Tables,52,FALSE),FALSE),0)</f>
        <v>0</v>
      </c>
      <c r="AO21" s="1679">
        <f>IF($G$4=1,VLOOKUP($AC21,New_Routes_Subjs_ES,VLOOKUP('Background 17-18'!$C$2,Inst_Tables,53,FALSE),FALSE),0)</f>
        <v>0</v>
      </c>
      <c r="AP21" s="1686">
        <f>IF($G$4=1,VLOOKUP($AC21,New_Routes_Subjs_ES,VLOOKUP('Background 17-18'!$C$2,Inst_Tables,54,FALSE),FALSE),0)</f>
        <v>0</v>
      </c>
      <c r="AQ21" s="1686">
        <f>IF($G$4=1,VLOOKUP($AC21,New_Routes_Subjs_ES,VLOOKUP('Background 17-18'!$C$2,Inst_Tables,55,FALSE),FALSE),0)</f>
        <v>0</v>
      </c>
      <c r="AR21" s="1686">
        <f>IF($G$4=1,VLOOKUP($AC21,New_Routes_Subjs_ES,VLOOKUP('Background 17-18'!$C$2,Inst_Tables,56,FALSE),FALSE),0)</f>
        <v>0</v>
      </c>
      <c r="AS21" s="1686">
        <f>IF($G$4=1,VLOOKUP($AC21,New_Routes_Subjs_ES,VLOOKUP('Background 17-18'!$C$2,Inst_Tables,57,FALSE),FALSE),0)</f>
        <v>0</v>
      </c>
      <c r="AT21" s="1686">
        <f>IF($G$4=1,VLOOKUP($AC21,New_Routes_Subjs_ES,VLOOKUP('Background 17-18'!$C$2,Inst_Tables,58,FALSE),FALSE),0)</f>
        <v>0</v>
      </c>
      <c r="AU21" s="1686">
        <f>IF($G$4=1,VLOOKUP($AC21,New_Routes_Subjs_ES,VLOOKUP('Background 17-18'!$C$2,Inst_Tables,59,FALSE),FALSE),0)</f>
        <v>0</v>
      </c>
      <c r="AV21" s="1686">
        <f>IF($G$4=1,VLOOKUP($AC21,New_Routes_Subjs_ES,VLOOKUP('Background 17-18'!$C$2,Inst_Tables,60,FALSE),FALSE),0)</f>
        <v>0</v>
      </c>
      <c r="AW21" s="1686">
        <f>IF($G$4=1,VLOOKUP($AC21,New_Routes_Subjs_ES,VLOOKUP('Background 17-18'!$C$2,Inst_Tables,61,FALSE),FALSE),0)</f>
        <v>0</v>
      </c>
      <c r="AX21" s="1687">
        <f>IF($G$4=1,VLOOKUP($AC21,New_Routes_Subjs_ES,VLOOKUP('Background 17-18'!$C$2,Inst_Tables,62,FALSE),FALSE),0)</f>
        <v>0</v>
      </c>
      <c r="AY21" s="1482">
        <f t="shared" si="5"/>
        <v>0</v>
      </c>
      <c r="AZ21" s="1479">
        <f t="shared" si="3"/>
        <v>0</v>
      </c>
      <c r="BA21" s="1483">
        <f>AD21+$AM$33+AY21</f>
        <v>0</v>
      </c>
      <c r="BB21" s="1387"/>
    </row>
    <row r="22" spans="1:54" ht="20.100000000000001" customHeight="1">
      <c r="A22" s="694"/>
      <c r="B22" s="769" t="s">
        <v>185</v>
      </c>
      <c r="C22" s="1492">
        <f t="shared" si="1"/>
        <v>0</v>
      </c>
      <c r="D22" s="1547"/>
      <c r="E22" s="1542"/>
      <c r="F22" s="1539"/>
      <c r="G22" s="1542"/>
      <c r="H22" s="1539"/>
      <c r="I22" s="1542"/>
      <c r="J22" s="1539"/>
      <c r="K22" s="1542"/>
      <c r="L22" s="1539"/>
      <c r="M22" s="1542"/>
      <c r="N22" s="714">
        <f t="shared" si="0"/>
        <v>0</v>
      </c>
      <c r="O22" s="770">
        <f t="shared" si="0"/>
        <v>0</v>
      </c>
      <c r="P22" s="770">
        <f t="shared" si="0"/>
        <v>0</v>
      </c>
      <c r="Q22" s="770">
        <f t="shared" si="0"/>
        <v>0</v>
      </c>
      <c r="R22" s="770">
        <f t="shared" si="0"/>
        <v>0</v>
      </c>
      <c r="S22" s="770">
        <f t="shared" si="0"/>
        <v>0</v>
      </c>
      <c r="T22" s="770">
        <f t="shared" si="0"/>
        <v>0</v>
      </c>
      <c r="U22" s="770">
        <f t="shared" si="0"/>
        <v>0</v>
      </c>
      <c r="V22" s="770">
        <f t="shared" si="0"/>
        <v>0</v>
      </c>
      <c r="W22" s="771">
        <f t="shared" si="0"/>
        <v>0</v>
      </c>
      <c r="X22" s="1500">
        <f t="shared" si="4"/>
        <v>0</v>
      </c>
      <c r="Y22" s="1498">
        <f t="shared" si="2"/>
        <v>0</v>
      </c>
      <c r="Z22" s="1501">
        <f>C22+$M$33+X22</f>
        <v>0</v>
      </c>
      <c r="AA22" s="768"/>
      <c r="AB22" s="1446"/>
      <c r="AC22" s="1481" t="s">
        <v>185</v>
      </c>
      <c r="AD22" s="1428">
        <f>IF($G$4=1,VLOOKUP($AC22,New_Routes_Subjs_ES,VLOOKUP('Background 17-18'!$C$2,Inst_Tables,42,FALSE),FALSE),0)</f>
        <v>0</v>
      </c>
      <c r="AE22" s="1551"/>
      <c r="AF22" s="1540"/>
      <c r="AG22" s="1540"/>
      <c r="AH22" s="1540"/>
      <c r="AI22" s="1540"/>
      <c r="AJ22" s="1540"/>
      <c r="AK22" s="1540"/>
      <c r="AL22" s="1540"/>
      <c r="AM22" s="1540"/>
      <c r="AN22" s="1542"/>
      <c r="AO22" s="1679">
        <f>IF($G$4=1,VLOOKUP($AC22,New_Routes_Subjs_ES,VLOOKUP('Background 17-18'!$C$2,Inst_Tables,53,FALSE),FALSE),0)</f>
        <v>0</v>
      </c>
      <c r="AP22" s="1686">
        <f>IF($G$4=1,VLOOKUP($AC22,New_Routes_Subjs_ES,VLOOKUP('Background 17-18'!$C$2,Inst_Tables,54,FALSE),FALSE),0)</f>
        <v>0</v>
      </c>
      <c r="AQ22" s="1686">
        <f>IF($G$4=1,VLOOKUP($AC22,New_Routes_Subjs_ES,VLOOKUP('Background 17-18'!$C$2,Inst_Tables,55,FALSE),FALSE),0)</f>
        <v>0</v>
      </c>
      <c r="AR22" s="1686">
        <f>IF($G$4=1,VLOOKUP($AC22,New_Routes_Subjs_ES,VLOOKUP('Background 17-18'!$C$2,Inst_Tables,56,FALSE),FALSE),0)</f>
        <v>0</v>
      </c>
      <c r="AS22" s="1686">
        <f>IF($G$4=1,VLOOKUP($AC22,New_Routes_Subjs_ES,VLOOKUP('Background 17-18'!$C$2,Inst_Tables,57,FALSE),FALSE),0)</f>
        <v>0</v>
      </c>
      <c r="AT22" s="1686">
        <f>IF($G$4=1,VLOOKUP($AC22,New_Routes_Subjs_ES,VLOOKUP('Background 17-18'!$C$2,Inst_Tables,58,FALSE),FALSE),0)</f>
        <v>0</v>
      </c>
      <c r="AU22" s="1686">
        <f>IF($G$4=1,VLOOKUP($AC22,New_Routes_Subjs_ES,VLOOKUP('Background 17-18'!$C$2,Inst_Tables,59,FALSE),FALSE),0)</f>
        <v>0</v>
      </c>
      <c r="AV22" s="1686">
        <f>IF($G$4=1,VLOOKUP($AC22,New_Routes_Subjs_ES,VLOOKUP('Background 17-18'!$C$2,Inst_Tables,60,FALSE),FALSE),0)</f>
        <v>0</v>
      </c>
      <c r="AW22" s="1686">
        <f>IF($G$4=1,VLOOKUP($AC22,New_Routes_Subjs_ES,VLOOKUP('Background 17-18'!$C$2,Inst_Tables,61,FALSE),FALSE),0)</f>
        <v>0</v>
      </c>
      <c r="AX22" s="1687">
        <f>IF($G$4=1,VLOOKUP($AC22,New_Routes_Subjs_ES,VLOOKUP('Background 17-18'!$C$2,Inst_Tables,62,FALSE),FALSE),0)</f>
        <v>0</v>
      </c>
      <c r="AY22" s="1482">
        <f t="shared" si="5"/>
        <v>0</v>
      </c>
      <c r="AZ22" s="1479">
        <f t="shared" si="3"/>
        <v>0</v>
      </c>
      <c r="BA22" s="1483">
        <f>AD22+$AN$33+AY22</f>
        <v>0</v>
      </c>
      <c r="BB22" s="1387"/>
    </row>
    <row r="23" spans="1:54" ht="20.100000000000001" customHeight="1">
      <c r="A23" s="694"/>
      <c r="B23" s="769" t="s">
        <v>198</v>
      </c>
      <c r="C23" s="1492">
        <f t="shared" si="1"/>
        <v>0</v>
      </c>
      <c r="D23" s="1547"/>
      <c r="E23" s="1542"/>
      <c r="F23" s="1539"/>
      <c r="G23" s="1542"/>
      <c r="H23" s="1539"/>
      <c r="I23" s="1542"/>
      <c r="J23" s="1539"/>
      <c r="K23" s="1542"/>
      <c r="L23" s="1539"/>
      <c r="M23" s="1542"/>
      <c r="N23" s="1539"/>
      <c r="O23" s="770">
        <f t="shared" si="0"/>
        <v>0</v>
      </c>
      <c r="P23" s="770">
        <f t="shared" si="0"/>
        <v>0</v>
      </c>
      <c r="Q23" s="770">
        <f t="shared" si="0"/>
        <v>0</v>
      </c>
      <c r="R23" s="770">
        <f t="shared" si="0"/>
        <v>0</v>
      </c>
      <c r="S23" s="770">
        <f t="shared" si="0"/>
        <v>0</v>
      </c>
      <c r="T23" s="770">
        <f t="shared" si="0"/>
        <v>0</v>
      </c>
      <c r="U23" s="770">
        <f t="shared" si="0"/>
        <v>0</v>
      </c>
      <c r="V23" s="770">
        <f t="shared" si="0"/>
        <v>0</v>
      </c>
      <c r="W23" s="771">
        <f t="shared" si="0"/>
        <v>0</v>
      </c>
      <c r="X23" s="1500">
        <f t="shared" si="4"/>
        <v>0</v>
      </c>
      <c r="Y23" s="1498">
        <f t="shared" si="2"/>
        <v>0</v>
      </c>
      <c r="Z23" s="1501">
        <f>C23+$N$33+X23</f>
        <v>0</v>
      </c>
      <c r="AA23" s="768"/>
      <c r="AB23" s="1446"/>
      <c r="AC23" s="1481" t="s">
        <v>198</v>
      </c>
      <c r="AD23" s="1428">
        <f>IF($G$4=1,VLOOKUP($AC23,New_Routes_Subjs_ES,VLOOKUP('Background 17-18'!$C$2,Inst_Tables,42,FALSE),FALSE),0)</f>
        <v>0</v>
      </c>
      <c r="AE23" s="1551"/>
      <c r="AF23" s="1540"/>
      <c r="AG23" s="1540"/>
      <c r="AH23" s="1540"/>
      <c r="AI23" s="1540"/>
      <c r="AJ23" s="1540"/>
      <c r="AK23" s="1540"/>
      <c r="AL23" s="1540"/>
      <c r="AM23" s="1540"/>
      <c r="AN23" s="1540"/>
      <c r="AO23" s="1539"/>
      <c r="AP23" s="1686">
        <f>IF($G$4=1,VLOOKUP($AC23,New_Routes_Subjs_ES,VLOOKUP('Background 17-18'!$C$2,Inst_Tables,54,FALSE),FALSE),0)</f>
        <v>0</v>
      </c>
      <c r="AQ23" s="1686">
        <f>IF($G$4=1,VLOOKUP($AC23,New_Routes_Subjs_ES,VLOOKUP('Background 17-18'!$C$2,Inst_Tables,55,FALSE),FALSE),0)</f>
        <v>0</v>
      </c>
      <c r="AR23" s="1686">
        <f>IF($G$4=1,VLOOKUP($AC23,New_Routes_Subjs_ES,VLOOKUP('Background 17-18'!$C$2,Inst_Tables,56,FALSE),FALSE),0)</f>
        <v>0</v>
      </c>
      <c r="AS23" s="1686">
        <f>IF($G$4=1,VLOOKUP($AC23,New_Routes_Subjs_ES,VLOOKUP('Background 17-18'!$C$2,Inst_Tables,57,FALSE),FALSE),0)</f>
        <v>0</v>
      </c>
      <c r="AT23" s="1686">
        <f>IF($G$4=1,VLOOKUP($AC23,New_Routes_Subjs_ES,VLOOKUP('Background 17-18'!$C$2,Inst_Tables,58,FALSE),FALSE),0)</f>
        <v>0</v>
      </c>
      <c r="AU23" s="1686">
        <f>IF($G$4=1,VLOOKUP($AC23,New_Routes_Subjs_ES,VLOOKUP('Background 17-18'!$C$2,Inst_Tables,59,FALSE),FALSE),0)</f>
        <v>0</v>
      </c>
      <c r="AV23" s="1686">
        <f>IF($G$4=1,VLOOKUP($AC23,New_Routes_Subjs_ES,VLOOKUP('Background 17-18'!$C$2,Inst_Tables,60,FALSE),FALSE),0)</f>
        <v>0</v>
      </c>
      <c r="AW23" s="1686">
        <f>IF($G$4=1,VLOOKUP($AC23,New_Routes_Subjs_ES,VLOOKUP('Background 17-18'!$C$2,Inst_Tables,61,FALSE),FALSE),0)</f>
        <v>0</v>
      </c>
      <c r="AX23" s="1687">
        <f>IF($G$4=1,VLOOKUP($AC23,New_Routes_Subjs_ES,VLOOKUP('Background 17-18'!$C$2,Inst_Tables,62,FALSE),FALSE),0)</f>
        <v>0</v>
      </c>
      <c r="AY23" s="1482">
        <f t="shared" si="5"/>
        <v>0</v>
      </c>
      <c r="AZ23" s="1479">
        <f t="shared" si="3"/>
        <v>0</v>
      </c>
      <c r="BA23" s="1483">
        <f>AD23+$AO$33+AY23</f>
        <v>0</v>
      </c>
      <c r="BB23" s="1387"/>
    </row>
    <row r="24" spans="1:54" ht="20.100000000000001" customHeight="1">
      <c r="A24" s="694"/>
      <c r="B24" s="769" t="s">
        <v>187</v>
      </c>
      <c r="C24" s="1492">
        <f t="shared" si="1"/>
        <v>0</v>
      </c>
      <c r="D24" s="1547"/>
      <c r="E24" s="1542"/>
      <c r="F24" s="1539"/>
      <c r="G24" s="1542"/>
      <c r="H24" s="1539"/>
      <c r="I24" s="1542"/>
      <c r="J24" s="1539"/>
      <c r="K24" s="1542"/>
      <c r="L24" s="1539"/>
      <c r="M24" s="1542"/>
      <c r="N24" s="1539"/>
      <c r="O24" s="1544"/>
      <c r="P24" s="770">
        <f t="shared" si="0"/>
        <v>0</v>
      </c>
      <c r="Q24" s="770">
        <f t="shared" si="0"/>
        <v>0</v>
      </c>
      <c r="R24" s="770">
        <f t="shared" si="0"/>
        <v>0</v>
      </c>
      <c r="S24" s="770">
        <f t="shared" si="0"/>
        <v>0</v>
      </c>
      <c r="T24" s="770">
        <f t="shared" si="0"/>
        <v>0</v>
      </c>
      <c r="U24" s="770">
        <f t="shared" si="0"/>
        <v>0</v>
      </c>
      <c r="V24" s="770">
        <f t="shared" si="0"/>
        <v>0</v>
      </c>
      <c r="W24" s="771">
        <f t="shared" si="0"/>
        <v>0</v>
      </c>
      <c r="X24" s="1500">
        <f t="shared" si="4"/>
        <v>0</v>
      </c>
      <c r="Y24" s="1498">
        <f t="shared" si="2"/>
        <v>0</v>
      </c>
      <c r="Z24" s="1501">
        <f>C24+$O$33+X24</f>
        <v>0</v>
      </c>
      <c r="AA24" s="768"/>
      <c r="AB24" s="1446"/>
      <c r="AC24" s="1481" t="s">
        <v>187</v>
      </c>
      <c r="AD24" s="1428">
        <f>IF($G$4=1,VLOOKUP($AC24,New_Routes_Subjs_ES,VLOOKUP('Background 17-18'!$C$2,Inst_Tables,42,FALSE),FALSE),0)</f>
        <v>0</v>
      </c>
      <c r="AE24" s="1551"/>
      <c r="AF24" s="1540"/>
      <c r="AG24" s="1540"/>
      <c r="AH24" s="1540"/>
      <c r="AI24" s="1540"/>
      <c r="AJ24" s="1540"/>
      <c r="AK24" s="1540"/>
      <c r="AL24" s="1540"/>
      <c r="AM24" s="1540"/>
      <c r="AN24" s="1540"/>
      <c r="AO24" s="1540"/>
      <c r="AP24" s="1544"/>
      <c r="AQ24" s="1686">
        <f>IF($G$4=1,VLOOKUP($AC24,New_Routes_Subjs_ES,VLOOKUP('Background 17-18'!$C$2,Inst_Tables,55,FALSE),FALSE),0)</f>
        <v>0</v>
      </c>
      <c r="AR24" s="1686">
        <f>IF($G$4=1,VLOOKUP($AC24,New_Routes_Subjs_ES,VLOOKUP('Background 17-18'!$C$2,Inst_Tables,56,FALSE),FALSE),0)</f>
        <v>0</v>
      </c>
      <c r="AS24" s="1686">
        <f>IF($G$4=1,VLOOKUP($AC24,New_Routes_Subjs_ES,VLOOKUP('Background 17-18'!$C$2,Inst_Tables,57,FALSE),FALSE),0)</f>
        <v>0</v>
      </c>
      <c r="AT24" s="1686">
        <f>IF($G$4=1,VLOOKUP($AC24,New_Routes_Subjs_ES,VLOOKUP('Background 17-18'!$C$2,Inst_Tables,58,FALSE),FALSE),0)</f>
        <v>0</v>
      </c>
      <c r="AU24" s="1686">
        <f>IF($G$4=1,VLOOKUP($AC24,New_Routes_Subjs_ES,VLOOKUP('Background 17-18'!$C$2,Inst_Tables,59,FALSE),FALSE),0)</f>
        <v>0</v>
      </c>
      <c r="AV24" s="1686">
        <f>IF($G$4=1,VLOOKUP($AC24,New_Routes_Subjs_ES,VLOOKUP('Background 17-18'!$C$2,Inst_Tables,60,FALSE),FALSE),0)</f>
        <v>0</v>
      </c>
      <c r="AW24" s="1686">
        <f>IF($G$4=1,VLOOKUP($AC24,New_Routes_Subjs_ES,VLOOKUP('Background 17-18'!$C$2,Inst_Tables,61,FALSE),FALSE),0)</f>
        <v>0</v>
      </c>
      <c r="AX24" s="1687">
        <f>IF($G$4=1,VLOOKUP($AC24,New_Routes_Subjs_ES,VLOOKUP('Background 17-18'!$C$2,Inst_Tables,62,FALSE),FALSE),0)</f>
        <v>0</v>
      </c>
      <c r="AY24" s="1482">
        <f t="shared" si="5"/>
        <v>0</v>
      </c>
      <c r="AZ24" s="1479">
        <f t="shared" si="3"/>
        <v>0</v>
      </c>
      <c r="BA24" s="1483">
        <f>AD24+$AP$33+AY24</f>
        <v>0</v>
      </c>
      <c r="BB24" s="1387"/>
    </row>
    <row r="25" spans="1:54" ht="20.100000000000001" customHeight="1">
      <c r="A25" s="694"/>
      <c r="B25" s="769" t="s">
        <v>199</v>
      </c>
      <c r="C25" s="1492">
        <f t="shared" si="1"/>
        <v>0</v>
      </c>
      <c r="D25" s="1547"/>
      <c r="E25" s="1542"/>
      <c r="F25" s="1548"/>
      <c r="G25" s="1549"/>
      <c r="H25" s="1539"/>
      <c r="I25" s="1542"/>
      <c r="J25" s="1548"/>
      <c r="K25" s="1549"/>
      <c r="L25" s="1539"/>
      <c r="M25" s="1542"/>
      <c r="N25" s="1550"/>
      <c r="O25" s="1544"/>
      <c r="P25" s="1545"/>
      <c r="Q25" s="770">
        <f t="shared" si="0"/>
        <v>0</v>
      </c>
      <c r="R25" s="770">
        <f t="shared" si="0"/>
        <v>0</v>
      </c>
      <c r="S25" s="770">
        <f t="shared" si="0"/>
        <v>0</v>
      </c>
      <c r="T25" s="770">
        <f t="shared" si="0"/>
        <v>0</v>
      </c>
      <c r="U25" s="770">
        <f t="shared" si="0"/>
        <v>0</v>
      </c>
      <c r="V25" s="770">
        <f t="shared" si="0"/>
        <v>0</v>
      </c>
      <c r="W25" s="771">
        <f t="shared" si="0"/>
        <v>0</v>
      </c>
      <c r="X25" s="1500">
        <f t="shared" si="4"/>
        <v>0</v>
      </c>
      <c r="Y25" s="1498">
        <f t="shared" si="2"/>
        <v>0</v>
      </c>
      <c r="Z25" s="1501">
        <f>C25+$P$33+X25</f>
        <v>0</v>
      </c>
      <c r="AA25" s="768"/>
      <c r="AB25" s="1446"/>
      <c r="AC25" s="1481" t="s">
        <v>199</v>
      </c>
      <c r="AD25" s="1428">
        <f>IF($G$4=1,VLOOKUP($AC25,New_Routes_Subjs_ES,VLOOKUP('Background 17-18'!$C$2,Inst_Tables,42,FALSE),FALSE),0)</f>
        <v>0</v>
      </c>
      <c r="AE25" s="1551"/>
      <c r="AF25" s="1540"/>
      <c r="AG25" s="1541"/>
      <c r="AH25" s="1543"/>
      <c r="AI25" s="1540"/>
      <c r="AJ25" s="1540"/>
      <c r="AK25" s="1540"/>
      <c r="AL25" s="1540"/>
      <c r="AM25" s="1540"/>
      <c r="AN25" s="1540"/>
      <c r="AO25" s="1540"/>
      <c r="AP25" s="1540"/>
      <c r="AQ25" s="1545"/>
      <c r="AR25" s="1686">
        <f>IF($G$4=1,VLOOKUP($AC25,New_Routes_Subjs_ES,VLOOKUP('Background 17-18'!$C$2,Inst_Tables,56,FALSE),FALSE),0)</f>
        <v>0</v>
      </c>
      <c r="AS25" s="1686">
        <f>IF($G$4=1,VLOOKUP($AC25,New_Routes_Subjs_ES,VLOOKUP('Background 17-18'!$C$2,Inst_Tables,57,FALSE),FALSE),0)</f>
        <v>0</v>
      </c>
      <c r="AT25" s="1686">
        <f>IF($G$4=1,VLOOKUP($AC25,New_Routes_Subjs_ES,VLOOKUP('Background 17-18'!$C$2,Inst_Tables,58,FALSE),FALSE),0)</f>
        <v>0</v>
      </c>
      <c r="AU25" s="1686">
        <f>IF($G$4=1,VLOOKUP($AC25,New_Routes_Subjs_ES,VLOOKUP('Background 17-18'!$C$2,Inst_Tables,59,FALSE),FALSE),0)</f>
        <v>0</v>
      </c>
      <c r="AV25" s="1686">
        <f>IF($G$4=1,VLOOKUP($AC25,New_Routes_Subjs_ES,VLOOKUP('Background 17-18'!$C$2,Inst_Tables,60,FALSE),FALSE),0)</f>
        <v>0</v>
      </c>
      <c r="AW25" s="1686">
        <f>IF($G$4=1,VLOOKUP($AC25,New_Routes_Subjs_ES,VLOOKUP('Background 17-18'!$C$2,Inst_Tables,61,FALSE),FALSE),0)</f>
        <v>0</v>
      </c>
      <c r="AX25" s="1687">
        <f>IF($G$4=1,VLOOKUP($AC25,New_Routes_Subjs_ES,VLOOKUP('Background 17-18'!$C$2,Inst_Tables,62,FALSE),FALSE),0)</f>
        <v>0</v>
      </c>
      <c r="AY25" s="1482">
        <f t="shared" si="5"/>
        <v>0</v>
      </c>
      <c r="AZ25" s="1479">
        <f t="shared" si="3"/>
        <v>0</v>
      </c>
      <c r="BA25" s="1483">
        <f>AD25+$AQ$33+AY25</f>
        <v>0</v>
      </c>
      <c r="BB25" s="1387"/>
    </row>
    <row r="26" spans="1:54" ht="20.100000000000001" customHeight="1">
      <c r="A26" s="694"/>
      <c r="B26" s="769" t="s">
        <v>200</v>
      </c>
      <c r="C26" s="1492">
        <f t="shared" si="1"/>
        <v>0</v>
      </c>
      <c r="D26" s="1547"/>
      <c r="E26" s="1542"/>
      <c r="F26" s="1548"/>
      <c r="G26" s="1549"/>
      <c r="H26" s="1539"/>
      <c r="I26" s="1542"/>
      <c r="J26" s="1548"/>
      <c r="K26" s="1549"/>
      <c r="L26" s="1539"/>
      <c r="M26" s="1542"/>
      <c r="N26" s="1550"/>
      <c r="O26" s="1544"/>
      <c r="P26" s="1545"/>
      <c r="Q26" s="1545"/>
      <c r="R26" s="770">
        <f t="shared" si="0"/>
        <v>0</v>
      </c>
      <c r="S26" s="770">
        <f t="shared" si="0"/>
        <v>0</v>
      </c>
      <c r="T26" s="770">
        <f t="shared" si="0"/>
        <v>0</v>
      </c>
      <c r="U26" s="770">
        <f t="shared" si="0"/>
        <v>0</v>
      </c>
      <c r="V26" s="770">
        <f t="shared" si="0"/>
        <v>0</v>
      </c>
      <c r="W26" s="771">
        <f t="shared" si="0"/>
        <v>0</v>
      </c>
      <c r="X26" s="1500">
        <f t="shared" si="4"/>
        <v>0</v>
      </c>
      <c r="Y26" s="1498">
        <f t="shared" si="2"/>
        <v>0</v>
      </c>
      <c r="Z26" s="1501">
        <f>C26+$Q$33+X26</f>
        <v>0</v>
      </c>
      <c r="AA26" s="768"/>
      <c r="AB26" s="1446"/>
      <c r="AC26" s="1481" t="s">
        <v>200</v>
      </c>
      <c r="AD26" s="1428">
        <f>IF($G$4=1,VLOOKUP($AC26,New_Routes_Subjs_ES,VLOOKUP('Background 17-18'!$C$2,Inst_Tables,42,FALSE),FALSE),0)</f>
        <v>0</v>
      </c>
      <c r="AE26" s="1551"/>
      <c r="AF26" s="1540"/>
      <c r="AG26" s="1541"/>
      <c r="AH26" s="1543"/>
      <c r="AI26" s="1540"/>
      <c r="AJ26" s="1540"/>
      <c r="AK26" s="1540"/>
      <c r="AL26" s="1540"/>
      <c r="AM26" s="1540"/>
      <c r="AN26" s="1540"/>
      <c r="AO26" s="1540"/>
      <c r="AP26" s="1540"/>
      <c r="AQ26" s="1540"/>
      <c r="AR26" s="1545"/>
      <c r="AS26" s="1686">
        <f>IF($G$4=1,VLOOKUP($AC26,New_Routes_Subjs_ES,VLOOKUP('Background 17-18'!$C$2,Inst_Tables,57,FALSE),FALSE),0)</f>
        <v>0</v>
      </c>
      <c r="AT26" s="1686">
        <f>IF($G$4=1,VLOOKUP($AC26,New_Routes_Subjs_ES,VLOOKUP('Background 17-18'!$C$2,Inst_Tables,58,FALSE),FALSE),0)</f>
        <v>0</v>
      </c>
      <c r="AU26" s="1686">
        <f>IF($G$4=1,VLOOKUP($AC26,New_Routes_Subjs_ES,VLOOKUP('Background 17-18'!$C$2,Inst_Tables,59,FALSE),FALSE),0)</f>
        <v>0</v>
      </c>
      <c r="AV26" s="1686">
        <f>IF($G$4=1,VLOOKUP($AC26,New_Routes_Subjs_ES,VLOOKUP('Background 17-18'!$C$2,Inst_Tables,60,FALSE),FALSE),0)</f>
        <v>0</v>
      </c>
      <c r="AW26" s="1686">
        <f>IF($G$4=1,VLOOKUP($AC26,New_Routes_Subjs_ES,VLOOKUP('Background 17-18'!$C$2,Inst_Tables,61,FALSE),FALSE),0)</f>
        <v>0</v>
      </c>
      <c r="AX26" s="1687">
        <f>IF($G$4=1,VLOOKUP($AC26,New_Routes_Subjs_ES,VLOOKUP('Background 17-18'!$C$2,Inst_Tables,62,FALSE),FALSE),0)</f>
        <v>0</v>
      </c>
      <c r="AY26" s="1482">
        <f t="shared" si="5"/>
        <v>0</v>
      </c>
      <c r="AZ26" s="1479">
        <f t="shared" si="3"/>
        <v>0</v>
      </c>
      <c r="BA26" s="1483">
        <f>AD26+$AR$33+AY26</f>
        <v>0</v>
      </c>
      <c r="BB26" s="1387"/>
    </row>
    <row r="27" spans="1:54" ht="20.100000000000001" customHeight="1">
      <c r="A27" s="694"/>
      <c r="B27" s="769" t="s">
        <v>190</v>
      </c>
      <c r="C27" s="1492">
        <f t="shared" si="1"/>
        <v>0</v>
      </c>
      <c r="D27" s="1547"/>
      <c r="E27" s="1542"/>
      <c r="F27" s="1548"/>
      <c r="G27" s="1549"/>
      <c r="H27" s="1539"/>
      <c r="I27" s="1542"/>
      <c r="J27" s="1548"/>
      <c r="K27" s="1549"/>
      <c r="L27" s="1539"/>
      <c r="M27" s="1542"/>
      <c r="N27" s="1550"/>
      <c r="O27" s="1544"/>
      <c r="P27" s="1545"/>
      <c r="Q27" s="1545"/>
      <c r="R27" s="1545"/>
      <c r="S27" s="770">
        <f t="shared" si="0"/>
        <v>0</v>
      </c>
      <c r="T27" s="770">
        <f t="shared" si="0"/>
        <v>0</v>
      </c>
      <c r="U27" s="770">
        <f t="shared" si="0"/>
        <v>0</v>
      </c>
      <c r="V27" s="770">
        <f t="shared" si="0"/>
        <v>0</v>
      </c>
      <c r="W27" s="771">
        <f t="shared" si="0"/>
        <v>0</v>
      </c>
      <c r="X27" s="1500">
        <f t="shared" si="4"/>
        <v>0</v>
      </c>
      <c r="Y27" s="1498">
        <f t="shared" si="2"/>
        <v>0</v>
      </c>
      <c r="Z27" s="1501">
        <f>C27+$R$33+X27</f>
        <v>0</v>
      </c>
      <c r="AA27" s="768"/>
      <c r="AB27" s="1446"/>
      <c r="AC27" s="1481" t="s">
        <v>190</v>
      </c>
      <c r="AD27" s="1428">
        <f>IF($G$4=1,VLOOKUP($AC27,New_Routes_Subjs_ES,VLOOKUP('Background 17-18'!$C$2,Inst_Tables,42,FALSE),FALSE),0)</f>
        <v>0</v>
      </c>
      <c r="AE27" s="1551"/>
      <c r="AF27" s="1540"/>
      <c r="AG27" s="1541"/>
      <c r="AH27" s="1543"/>
      <c r="AI27" s="1540"/>
      <c r="AJ27" s="1540"/>
      <c r="AK27" s="1540"/>
      <c r="AL27" s="1540"/>
      <c r="AM27" s="1540"/>
      <c r="AN27" s="1540"/>
      <c r="AO27" s="1540"/>
      <c r="AP27" s="1540"/>
      <c r="AQ27" s="1540"/>
      <c r="AR27" s="1540"/>
      <c r="AS27" s="1545"/>
      <c r="AT27" s="1686">
        <f>IF($G$4=1,VLOOKUP($AC27,New_Routes_Subjs_ES,VLOOKUP('Background 17-18'!$C$2,Inst_Tables,58,FALSE),FALSE),0)</f>
        <v>0</v>
      </c>
      <c r="AU27" s="1686">
        <f>IF($G$4=1,VLOOKUP($AC27,New_Routes_Subjs_ES,VLOOKUP('Background 17-18'!$C$2,Inst_Tables,59,FALSE),FALSE),0)</f>
        <v>0</v>
      </c>
      <c r="AV27" s="1686">
        <f>IF($G$4=1,VLOOKUP($AC27,New_Routes_Subjs_ES,VLOOKUP('Background 17-18'!$C$2,Inst_Tables,60,FALSE),FALSE),0)</f>
        <v>0</v>
      </c>
      <c r="AW27" s="1686">
        <f>IF($G$4=1,VLOOKUP($AC27,New_Routes_Subjs_ES,VLOOKUP('Background 17-18'!$C$2,Inst_Tables,61,FALSE),FALSE),0)</f>
        <v>0</v>
      </c>
      <c r="AX27" s="1687">
        <f>IF($G$4=1,VLOOKUP($AC27,New_Routes_Subjs_ES,VLOOKUP('Background 17-18'!$C$2,Inst_Tables,62,FALSE),FALSE),0)</f>
        <v>0</v>
      </c>
      <c r="AY27" s="1482">
        <f t="shared" si="5"/>
        <v>0</v>
      </c>
      <c r="AZ27" s="1479">
        <f t="shared" si="3"/>
        <v>0</v>
      </c>
      <c r="BA27" s="1483">
        <f>AD27+$AS$33+AY27</f>
        <v>0</v>
      </c>
      <c r="BB27" s="1387"/>
    </row>
    <row r="28" spans="1:54" ht="20.100000000000001" customHeight="1">
      <c r="A28" s="694"/>
      <c r="B28" s="769" t="s">
        <v>201</v>
      </c>
      <c r="C28" s="1492">
        <f t="shared" si="1"/>
        <v>0</v>
      </c>
      <c r="D28" s="1547"/>
      <c r="E28" s="1542"/>
      <c r="F28" s="1548"/>
      <c r="G28" s="1549"/>
      <c r="H28" s="1539"/>
      <c r="I28" s="1542"/>
      <c r="J28" s="1548"/>
      <c r="K28" s="1549"/>
      <c r="L28" s="1539"/>
      <c r="M28" s="1542"/>
      <c r="N28" s="1550"/>
      <c r="O28" s="1544"/>
      <c r="P28" s="1545"/>
      <c r="Q28" s="1545"/>
      <c r="R28" s="1545"/>
      <c r="S28" s="1545"/>
      <c r="T28" s="770">
        <f t="shared" si="0"/>
        <v>0</v>
      </c>
      <c r="U28" s="770">
        <f t="shared" si="0"/>
        <v>0</v>
      </c>
      <c r="V28" s="770">
        <f t="shared" si="0"/>
        <v>0</v>
      </c>
      <c r="W28" s="771">
        <f t="shared" si="0"/>
        <v>0</v>
      </c>
      <c r="X28" s="1500">
        <f t="shared" si="4"/>
        <v>0</v>
      </c>
      <c r="Y28" s="1498">
        <f t="shared" si="2"/>
        <v>0</v>
      </c>
      <c r="Z28" s="1501">
        <f>C28+$S$33+X28</f>
        <v>0</v>
      </c>
      <c r="AA28" s="768"/>
      <c r="AB28" s="1446"/>
      <c r="AC28" s="1481" t="s">
        <v>201</v>
      </c>
      <c r="AD28" s="1428">
        <f>IF($G$4=1,VLOOKUP($AC28,New_Routes_Subjs_ES,VLOOKUP('Background 17-18'!$C$2,Inst_Tables,42,FALSE),FALSE),0)</f>
        <v>0</v>
      </c>
      <c r="AE28" s="1551"/>
      <c r="AF28" s="1540"/>
      <c r="AG28" s="1541"/>
      <c r="AH28" s="1543"/>
      <c r="AI28" s="1540"/>
      <c r="AJ28" s="1540"/>
      <c r="AK28" s="1540"/>
      <c r="AL28" s="1540"/>
      <c r="AM28" s="1540"/>
      <c r="AN28" s="1540"/>
      <c r="AO28" s="1540"/>
      <c r="AP28" s="1540"/>
      <c r="AQ28" s="1540"/>
      <c r="AR28" s="1540"/>
      <c r="AS28" s="1540"/>
      <c r="AT28" s="1545"/>
      <c r="AU28" s="1686">
        <f>IF($G$4=1,VLOOKUP($AC28,New_Routes_Subjs_ES,VLOOKUP('Background 17-18'!$C$2,Inst_Tables,59,FALSE),FALSE),0)</f>
        <v>0</v>
      </c>
      <c r="AV28" s="1686">
        <f>IF($G$4=1,VLOOKUP($AC28,New_Routes_Subjs_ES,VLOOKUP('Background 17-18'!$C$2,Inst_Tables,60,FALSE),FALSE),0)</f>
        <v>0</v>
      </c>
      <c r="AW28" s="1686">
        <f>IF($G$4=1,VLOOKUP($AC28,New_Routes_Subjs_ES,VLOOKUP('Background 17-18'!$C$2,Inst_Tables,61,FALSE),FALSE),0)</f>
        <v>0</v>
      </c>
      <c r="AX28" s="1687">
        <f>IF($G$4=1,VLOOKUP($AC28,New_Routes_Subjs_ES,VLOOKUP('Background 17-18'!$C$2,Inst_Tables,62,FALSE),FALSE),0)</f>
        <v>0</v>
      </c>
      <c r="AY28" s="1482">
        <f t="shared" si="5"/>
        <v>0</v>
      </c>
      <c r="AZ28" s="1479">
        <f t="shared" si="3"/>
        <v>0</v>
      </c>
      <c r="BA28" s="1483">
        <f>AD28+$AT$33+AY28</f>
        <v>0</v>
      </c>
      <c r="BB28" s="1387"/>
    </row>
    <row r="29" spans="1:54" ht="20.100000000000001" customHeight="1">
      <c r="A29" s="694"/>
      <c r="B29" s="769" t="s">
        <v>192</v>
      </c>
      <c r="C29" s="1492">
        <f t="shared" si="1"/>
        <v>0</v>
      </c>
      <c r="D29" s="1547"/>
      <c r="E29" s="1542"/>
      <c r="F29" s="1548"/>
      <c r="G29" s="1549"/>
      <c r="H29" s="1539"/>
      <c r="I29" s="1542"/>
      <c r="J29" s="1548"/>
      <c r="K29" s="1549"/>
      <c r="L29" s="1539"/>
      <c r="M29" s="1542"/>
      <c r="N29" s="1550"/>
      <c r="O29" s="1544"/>
      <c r="P29" s="1545"/>
      <c r="Q29" s="1545"/>
      <c r="R29" s="1545"/>
      <c r="S29" s="1545"/>
      <c r="T29" s="1545"/>
      <c r="U29" s="770">
        <f t="shared" ref="U29:W31" si="6">AV29</f>
        <v>0</v>
      </c>
      <c r="V29" s="770">
        <f t="shared" si="6"/>
        <v>0</v>
      </c>
      <c r="W29" s="771">
        <f t="shared" si="6"/>
        <v>0</v>
      </c>
      <c r="X29" s="1500">
        <f t="shared" si="4"/>
        <v>0</v>
      </c>
      <c r="Y29" s="1498">
        <f t="shared" si="2"/>
        <v>0</v>
      </c>
      <c r="Z29" s="1501">
        <f>C29+$T$33+X29</f>
        <v>0</v>
      </c>
      <c r="AA29" s="768"/>
      <c r="AB29" s="1446"/>
      <c r="AC29" s="1481" t="s">
        <v>192</v>
      </c>
      <c r="AD29" s="1428">
        <f>IF($G$4=1,VLOOKUP($AC29,New_Routes_Subjs_ES,VLOOKUP('Background 17-18'!$C$2,Inst_Tables,42,FALSE),FALSE),0)</f>
        <v>0</v>
      </c>
      <c r="AE29" s="1551"/>
      <c r="AF29" s="1540"/>
      <c r="AG29" s="1541"/>
      <c r="AH29" s="1543"/>
      <c r="AI29" s="1540"/>
      <c r="AJ29" s="1540"/>
      <c r="AK29" s="1540"/>
      <c r="AL29" s="1540"/>
      <c r="AM29" s="1540"/>
      <c r="AN29" s="1540"/>
      <c r="AO29" s="1540"/>
      <c r="AP29" s="1540"/>
      <c r="AQ29" s="1540"/>
      <c r="AR29" s="1540"/>
      <c r="AS29" s="1540"/>
      <c r="AT29" s="1540"/>
      <c r="AU29" s="1545"/>
      <c r="AV29" s="1686">
        <f>IF($G$4=1,VLOOKUP($AC29,New_Routes_Subjs_ES,VLOOKUP('Background 17-18'!$C$2,Inst_Tables,60,FALSE),FALSE),0)</f>
        <v>0</v>
      </c>
      <c r="AW29" s="1686">
        <f>IF($G$4=1,VLOOKUP($AC29,New_Routes_Subjs_ES,VLOOKUP('Background 17-18'!$C$2,Inst_Tables,61,FALSE),FALSE),0)</f>
        <v>0</v>
      </c>
      <c r="AX29" s="1687">
        <f>IF($G$4=1,VLOOKUP($AC29,New_Routes_Subjs_ES,VLOOKUP('Background 17-18'!$C$2,Inst_Tables,62,FALSE),FALSE),0)</f>
        <v>0</v>
      </c>
      <c r="AY29" s="1482">
        <f t="shared" si="5"/>
        <v>0</v>
      </c>
      <c r="AZ29" s="1479">
        <f t="shared" si="3"/>
        <v>0</v>
      </c>
      <c r="BA29" s="1483">
        <f>AD29+$AU$33+AY29</f>
        <v>0</v>
      </c>
      <c r="BB29" s="1387"/>
    </row>
    <row r="30" spans="1:54" ht="20.100000000000001" customHeight="1">
      <c r="A30" s="694"/>
      <c r="B30" s="769" t="s">
        <v>202</v>
      </c>
      <c r="C30" s="1492">
        <f t="shared" si="1"/>
        <v>0</v>
      </c>
      <c r="D30" s="1547"/>
      <c r="E30" s="1542"/>
      <c r="F30" s="1548"/>
      <c r="G30" s="1549"/>
      <c r="H30" s="1539"/>
      <c r="I30" s="1542"/>
      <c r="J30" s="1548"/>
      <c r="K30" s="1549"/>
      <c r="L30" s="1539"/>
      <c r="M30" s="1542"/>
      <c r="N30" s="1550"/>
      <c r="O30" s="1544"/>
      <c r="P30" s="1545"/>
      <c r="Q30" s="1545"/>
      <c r="R30" s="1545"/>
      <c r="S30" s="1545"/>
      <c r="T30" s="1545"/>
      <c r="U30" s="1545"/>
      <c r="V30" s="770">
        <f t="shared" si="6"/>
        <v>0</v>
      </c>
      <c r="W30" s="767">
        <f t="shared" si="6"/>
        <v>0</v>
      </c>
      <c r="X30" s="1500">
        <f t="shared" si="4"/>
        <v>0</v>
      </c>
      <c r="Y30" s="1498">
        <f t="shared" si="2"/>
        <v>0</v>
      </c>
      <c r="Z30" s="1501">
        <f>C30+$U$33+X30</f>
        <v>0</v>
      </c>
      <c r="AA30" s="768"/>
      <c r="AB30" s="1446"/>
      <c r="AC30" s="1481" t="s">
        <v>202</v>
      </c>
      <c r="AD30" s="1428">
        <f>IF($G$4=1,VLOOKUP($AC30,New_Routes_Subjs_ES,VLOOKUP('Background 17-18'!$C$2,Inst_Tables,42,FALSE),FALSE),0)</f>
        <v>0</v>
      </c>
      <c r="AE30" s="1551"/>
      <c r="AF30" s="1540"/>
      <c r="AG30" s="1541"/>
      <c r="AH30" s="1543"/>
      <c r="AI30" s="1540"/>
      <c r="AJ30" s="1540"/>
      <c r="AK30" s="1540"/>
      <c r="AL30" s="1540"/>
      <c r="AM30" s="1540"/>
      <c r="AN30" s="1540"/>
      <c r="AO30" s="1540"/>
      <c r="AP30" s="1540"/>
      <c r="AQ30" s="1540"/>
      <c r="AR30" s="1540"/>
      <c r="AS30" s="1540"/>
      <c r="AT30" s="1540"/>
      <c r="AU30" s="1540"/>
      <c r="AV30" s="1545"/>
      <c r="AW30" s="1686">
        <f>IF($G$4=1,VLOOKUP($AC30,New_Routes_Subjs_ES,VLOOKUP('Background 17-18'!$C$2,Inst_Tables,61,FALSE),FALSE),0)</f>
        <v>0</v>
      </c>
      <c r="AX30" s="1687">
        <f>IF($G$4=1,VLOOKUP($AC30,New_Routes_Subjs_ES,VLOOKUP('Background 17-18'!$C$2,Inst_Tables,62,FALSE),FALSE),0)</f>
        <v>0</v>
      </c>
      <c r="AY30" s="1482">
        <f t="shared" si="5"/>
        <v>0</v>
      </c>
      <c r="AZ30" s="1479">
        <f t="shared" si="3"/>
        <v>0</v>
      </c>
      <c r="BA30" s="1483">
        <f>AD30+$AV$33+AY30</f>
        <v>0</v>
      </c>
      <c r="BB30" s="1387"/>
    </row>
    <row r="31" spans="1:54" ht="20.100000000000001" customHeight="1">
      <c r="A31" s="694"/>
      <c r="B31" s="769" t="s">
        <v>203</v>
      </c>
      <c r="C31" s="1492">
        <f t="shared" si="1"/>
        <v>0</v>
      </c>
      <c r="D31" s="1547"/>
      <c r="E31" s="1542"/>
      <c r="F31" s="1548"/>
      <c r="G31" s="1549"/>
      <c r="H31" s="1539"/>
      <c r="I31" s="1542"/>
      <c r="J31" s="1548"/>
      <c r="K31" s="1549"/>
      <c r="L31" s="1539"/>
      <c r="M31" s="1542"/>
      <c r="N31" s="1550"/>
      <c r="O31" s="1544"/>
      <c r="P31" s="1545"/>
      <c r="Q31" s="1545"/>
      <c r="R31" s="1545"/>
      <c r="S31" s="1545"/>
      <c r="T31" s="1545"/>
      <c r="U31" s="1545"/>
      <c r="V31" s="1545"/>
      <c r="W31" s="771">
        <f t="shared" si="6"/>
        <v>0</v>
      </c>
      <c r="X31" s="1500">
        <f t="shared" si="4"/>
        <v>0</v>
      </c>
      <c r="Y31" s="1498">
        <f t="shared" si="2"/>
        <v>0</v>
      </c>
      <c r="Z31" s="1501">
        <f>C31+$V$33+X31</f>
        <v>0</v>
      </c>
      <c r="AA31" s="768"/>
      <c r="AB31" s="1446"/>
      <c r="AC31" s="1481" t="s">
        <v>203</v>
      </c>
      <c r="AD31" s="1428">
        <f>IF($G$4=1,VLOOKUP($AC31,New_Routes_Subjs_ES,VLOOKUP('Background 17-18'!$C$2,Inst_Tables,42,FALSE),FALSE),0)</f>
        <v>0</v>
      </c>
      <c r="AE31" s="1551"/>
      <c r="AF31" s="1540"/>
      <c r="AG31" s="1541"/>
      <c r="AH31" s="1543"/>
      <c r="AI31" s="1540"/>
      <c r="AJ31" s="1540"/>
      <c r="AK31" s="1540"/>
      <c r="AL31" s="1540"/>
      <c r="AM31" s="1540"/>
      <c r="AN31" s="1540"/>
      <c r="AO31" s="1540"/>
      <c r="AP31" s="1540"/>
      <c r="AQ31" s="1540"/>
      <c r="AR31" s="1540"/>
      <c r="AS31" s="1540"/>
      <c r="AT31" s="1540"/>
      <c r="AU31" s="1540"/>
      <c r="AV31" s="1540"/>
      <c r="AW31" s="1545"/>
      <c r="AX31" s="1687">
        <f>IF($G$4=1,VLOOKUP($AC31,New_Routes_Subjs_ES,VLOOKUP('Background 17-18'!$C$2,Inst_Tables,62,FALSE),FALSE),0)</f>
        <v>0</v>
      </c>
      <c r="AY31" s="1482">
        <f t="shared" si="5"/>
        <v>0</v>
      </c>
      <c r="AZ31" s="1479">
        <f t="shared" si="3"/>
        <v>0</v>
      </c>
      <c r="BA31" s="1483">
        <f>AD31+$AW$33+AY31</f>
        <v>0</v>
      </c>
      <c r="BB31" s="1387"/>
    </row>
    <row r="32" spans="1:54" ht="20.100000000000001" customHeight="1" thickBot="1">
      <c r="A32" s="694"/>
      <c r="B32" s="1639" t="s">
        <v>204</v>
      </c>
      <c r="C32" s="1640">
        <f t="shared" si="1"/>
        <v>0</v>
      </c>
      <c r="D32" s="1641"/>
      <c r="E32" s="1642"/>
      <c r="F32" s="1643"/>
      <c r="G32" s="1644"/>
      <c r="H32" s="1645"/>
      <c r="I32" s="1642"/>
      <c r="J32" s="1643"/>
      <c r="K32" s="1644"/>
      <c r="L32" s="1645"/>
      <c r="M32" s="1642"/>
      <c r="N32" s="1646"/>
      <c r="O32" s="1647"/>
      <c r="P32" s="1648"/>
      <c r="Q32" s="1648"/>
      <c r="R32" s="1648"/>
      <c r="S32" s="1648"/>
      <c r="T32" s="1648"/>
      <c r="U32" s="1648"/>
      <c r="V32" s="1648"/>
      <c r="W32" s="1649"/>
      <c r="X32" s="1500">
        <f>SUM(D32:W32)</f>
        <v>0</v>
      </c>
      <c r="Y32" s="1498">
        <f>SUM(C32,X32)</f>
        <v>0</v>
      </c>
      <c r="Z32" s="1650">
        <f>C32+$W$33+X32</f>
        <v>0</v>
      </c>
      <c r="AA32" s="768"/>
      <c r="AB32" s="1446"/>
      <c r="AC32" s="1658" t="s">
        <v>204</v>
      </c>
      <c r="AD32" s="1678">
        <f>IF($G$4=1,VLOOKUP($AC32,New_Routes_Subjs_ES,VLOOKUP('Background 17-18'!$C$2,Inst_Tables,42,FALSE),FALSE),0)</f>
        <v>0</v>
      </c>
      <c r="AE32" s="1669"/>
      <c r="AF32" s="1661"/>
      <c r="AG32" s="1659"/>
      <c r="AH32" s="1660"/>
      <c r="AI32" s="1661"/>
      <c r="AJ32" s="1661"/>
      <c r="AK32" s="1661"/>
      <c r="AL32" s="1661"/>
      <c r="AM32" s="1661"/>
      <c r="AN32" s="1661"/>
      <c r="AO32" s="1661"/>
      <c r="AP32" s="1661"/>
      <c r="AQ32" s="1661"/>
      <c r="AR32" s="1661"/>
      <c r="AS32" s="1661"/>
      <c r="AT32" s="1661"/>
      <c r="AU32" s="1661"/>
      <c r="AV32" s="1661"/>
      <c r="AW32" s="1661"/>
      <c r="AX32" s="1649"/>
      <c r="AY32" s="1482">
        <f>SUM(AE32:AX32)</f>
        <v>0</v>
      </c>
      <c r="AZ32" s="1479">
        <f>SUM(AD32,AY32)</f>
        <v>0</v>
      </c>
      <c r="BA32" s="1662">
        <f>AD32+$AX$33+AY32</f>
        <v>0</v>
      </c>
      <c r="BB32" s="1387"/>
    </row>
    <row r="33" spans="1:54" ht="30" customHeight="1" thickBot="1">
      <c r="A33" s="694"/>
      <c r="B33" s="1651" t="s">
        <v>3</v>
      </c>
      <c r="C33" s="1652">
        <f>SUM(C13:C32)</f>
        <v>0</v>
      </c>
      <c r="D33" s="1653">
        <f>SUM(D13:D32)</f>
        <v>0</v>
      </c>
      <c r="E33" s="1654">
        <f>SUM(E13:E32)</f>
        <v>0</v>
      </c>
      <c r="F33" s="1654">
        <f t="shared" ref="F33:V33" si="7">SUM(F13:F32)</f>
        <v>0</v>
      </c>
      <c r="G33" s="1654">
        <f>SUM(G13:G32)</f>
        <v>0</v>
      </c>
      <c r="H33" s="1654">
        <f t="shared" si="7"/>
        <v>0</v>
      </c>
      <c r="I33" s="1654">
        <f>SUM(I13:I32)</f>
        <v>0</v>
      </c>
      <c r="J33" s="1654">
        <f t="shared" si="7"/>
        <v>0</v>
      </c>
      <c r="K33" s="1654">
        <f t="shared" si="7"/>
        <v>0</v>
      </c>
      <c r="L33" s="1654">
        <f t="shared" si="7"/>
        <v>0</v>
      </c>
      <c r="M33" s="1654">
        <f t="shared" si="7"/>
        <v>0</v>
      </c>
      <c r="N33" s="1654">
        <f t="shared" si="7"/>
        <v>0</v>
      </c>
      <c r="O33" s="1654">
        <f t="shared" si="7"/>
        <v>0</v>
      </c>
      <c r="P33" s="1654">
        <f t="shared" si="7"/>
        <v>0</v>
      </c>
      <c r="Q33" s="1654">
        <f t="shared" si="7"/>
        <v>0</v>
      </c>
      <c r="R33" s="1654">
        <f t="shared" si="7"/>
        <v>0</v>
      </c>
      <c r="S33" s="1654">
        <f t="shared" si="7"/>
        <v>0</v>
      </c>
      <c r="T33" s="1654">
        <f t="shared" si="7"/>
        <v>0</v>
      </c>
      <c r="U33" s="1654">
        <f t="shared" si="7"/>
        <v>0</v>
      </c>
      <c r="V33" s="1654">
        <f t="shared" si="7"/>
        <v>0</v>
      </c>
      <c r="W33" s="1655">
        <f>SUM(W13:W32)</f>
        <v>0</v>
      </c>
      <c r="X33" s="1656">
        <f>SUM(X13:X32)</f>
        <v>0</v>
      </c>
      <c r="Y33" s="1656">
        <f>SUM(Y13:Y32)</f>
        <v>0</v>
      </c>
      <c r="Z33" s="1657"/>
      <c r="AA33" s="768"/>
      <c r="AB33" s="1446"/>
      <c r="AC33" s="1663" t="s">
        <v>3</v>
      </c>
      <c r="AD33" s="1664">
        <v>0</v>
      </c>
      <c r="AE33" s="1665">
        <f t="shared" ref="AE33:AX33" si="8">SUM(AE13:AE32)</f>
        <v>0</v>
      </c>
      <c r="AF33" s="1666">
        <f t="shared" si="8"/>
        <v>0</v>
      </c>
      <c r="AG33" s="1666">
        <f t="shared" si="8"/>
        <v>0</v>
      </c>
      <c r="AH33" s="1666">
        <f t="shared" si="8"/>
        <v>0</v>
      </c>
      <c r="AI33" s="1666">
        <f t="shared" si="8"/>
        <v>0</v>
      </c>
      <c r="AJ33" s="1666">
        <f t="shared" si="8"/>
        <v>0</v>
      </c>
      <c r="AK33" s="1666">
        <f t="shared" si="8"/>
        <v>0</v>
      </c>
      <c r="AL33" s="1666">
        <f t="shared" si="8"/>
        <v>0</v>
      </c>
      <c r="AM33" s="1666">
        <f t="shared" si="8"/>
        <v>0</v>
      </c>
      <c r="AN33" s="1666">
        <f t="shared" si="8"/>
        <v>0</v>
      </c>
      <c r="AO33" s="1666">
        <f t="shared" si="8"/>
        <v>0</v>
      </c>
      <c r="AP33" s="1666">
        <f t="shared" si="8"/>
        <v>0</v>
      </c>
      <c r="AQ33" s="1666">
        <f t="shared" si="8"/>
        <v>0</v>
      </c>
      <c r="AR33" s="1666">
        <f t="shared" si="8"/>
        <v>0</v>
      </c>
      <c r="AS33" s="1666">
        <f t="shared" si="8"/>
        <v>0</v>
      </c>
      <c r="AT33" s="1666">
        <f t="shared" si="8"/>
        <v>0</v>
      </c>
      <c r="AU33" s="1666">
        <f t="shared" si="8"/>
        <v>0</v>
      </c>
      <c r="AV33" s="1666">
        <f t="shared" si="8"/>
        <v>0</v>
      </c>
      <c r="AW33" s="1666">
        <f t="shared" si="8"/>
        <v>0</v>
      </c>
      <c r="AX33" s="1667">
        <f t="shared" si="8"/>
        <v>0</v>
      </c>
      <c r="AY33" s="1664">
        <f>SUM(AY13:AY32)</f>
        <v>0</v>
      </c>
      <c r="AZ33" s="1664">
        <f>SUM(AZ13:AZ32)</f>
        <v>0</v>
      </c>
      <c r="BA33" s="1668"/>
      <c r="BB33" s="1387"/>
    </row>
    <row r="34" spans="1:54" ht="24.95" customHeight="1">
      <c r="A34" s="722"/>
      <c r="B34" s="773" t="s">
        <v>205</v>
      </c>
      <c r="C34" s="774"/>
      <c r="D34" s="774"/>
      <c r="E34" s="774"/>
      <c r="F34" s="774"/>
      <c r="G34" s="774"/>
      <c r="H34" s="774"/>
      <c r="I34" s="774"/>
      <c r="J34" s="774"/>
      <c r="K34" s="774"/>
      <c r="L34" s="774"/>
      <c r="M34" s="774"/>
      <c r="N34" s="774"/>
      <c r="O34" s="774"/>
      <c r="P34" s="774"/>
      <c r="Q34" s="774"/>
      <c r="R34" s="774"/>
      <c r="S34" s="774"/>
      <c r="T34" s="774"/>
      <c r="U34" s="774"/>
      <c r="V34" s="774"/>
      <c r="W34" s="774"/>
      <c r="X34" s="774"/>
      <c r="Y34" s="774"/>
      <c r="Z34" s="774"/>
      <c r="AA34" s="775"/>
      <c r="AB34" s="1446"/>
      <c r="AC34" s="1413" t="s">
        <v>205</v>
      </c>
      <c r="AD34" s="1496"/>
      <c r="AE34" s="1496"/>
      <c r="AF34" s="1496"/>
      <c r="AG34" s="1496"/>
      <c r="AH34" s="1496"/>
      <c r="AI34" s="1496"/>
      <c r="AJ34" s="1496"/>
      <c r="AK34" s="1496"/>
      <c r="AL34" s="1496"/>
      <c r="AM34" s="1496"/>
      <c r="AN34" s="1496"/>
      <c r="AO34" s="1496"/>
      <c r="AP34" s="1496"/>
      <c r="AQ34" s="1496"/>
      <c r="AR34" s="1496"/>
      <c r="AS34" s="1496"/>
      <c r="AT34" s="1496"/>
      <c r="AU34" s="1496"/>
      <c r="AV34" s="1496"/>
      <c r="AW34" s="1496"/>
      <c r="AX34" s="1496"/>
      <c r="AY34" s="1496"/>
      <c r="AZ34" s="1496"/>
      <c r="BA34" s="1496"/>
      <c r="BB34" s="1387"/>
    </row>
    <row r="35" spans="1:54">
      <c r="A35" s="728"/>
      <c r="B35" s="776"/>
      <c r="C35" s="732"/>
      <c r="D35" s="732"/>
      <c r="E35" s="732"/>
      <c r="F35" s="732"/>
      <c r="G35" s="732"/>
      <c r="H35" s="732"/>
      <c r="I35" s="732"/>
      <c r="J35" s="732"/>
      <c r="K35" s="732"/>
      <c r="L35" s="732"/>
      <c r="M35" s="732"/>
      <c r="N35" s="732"/>
      <c r="O35" s="732"/>
      <c r="P35" s="729"/>
      <c r="Q35" s="729"/>
      <c r="R35" s="729"/>
      <c r="S35" s="729"/>
      <c r="T35" s="729"/>
      <c r="U35" s="729"/>
      <c r="V35" s="729"/>
      <c r="W35" s="729"/>
      <c r="X35" s="729"/>
      <c r="Y35" s="729"/>
      <c r="Z35" s="729"/>
      <c r="AA35" s="732"/>
      <c r="AB35" s="1446"/>
      <c r="AC35" s="1495"/>
      <c r="AD35" s="1446"/>
      <c r="AE35" s="1446"/>
      <c r="AF35" s="1446"/>
      <c r="AG35" s="1446"/>
      <c r="AH35" s="1446"/>
      <c r="AI35" s="1446"/>
      <c r="AJ35" s="1446"/>
      <c r="AK35" s="1446"/>
      <c r="AL35" s="1446"/>
      <c r="AM35" s="1446"/>
      <c r="AN35" s="1446"/>
      <c r="AO35" s="1446"/>
      <c r="AP35" s="1446"/>
      <c r="AQ35" s="1446"/>
      <c r="AR35" s="1446"/>
      <c r="AS35" s="1446"/>
      <c r="AT35" s="1446"/>
      <c r="AU35" s="1446"/>
      <c r="AV35" s="1446"/>
      <c r="AW35" s="1446"/>
      <c r="AX35" s="1446"/>
      <c r="AY35" s="1446"/>
      <c r="AZ35" s="1446"/>
      <c r="BA35" s="1446"/>
      <c r="BB35" s="1387"/>
    </row>
    <row r="36" spans="1:54">
      <c r="B36" s="726"/>
      <c r="C36" s="727"/>
      <c r="D36" s="727"/>
      <c r="E36" s="727"/>
      <c r="F36" s="727"/>
      <c r="G36" s="727"/>
      <c r="H36" s="727"/>
      <c r="I36" s="727"/>
      <c r="J36" s="727"/>
      <c r="K36" s="727"/>
      <c r="L36" s="727"/>
      <c r="M36" s="727"/>
      <c r="N36" s="727"/>
      <c r="AC36" s="726"/>
      <c r="AD36" s="727"/>
      <c r="AE36" s="727"/>
      <c r="AF36" s="727"/>
      <c r="AG36" s="727"/>
      <c r="AH36" s="727"/>
      <c r="AI36" s="727"/>
      <c r="AJ36" s="727"/>
      <c r="AK36" s="727"/>
      <c r="AL36" s="727"/>
      <c r="AM36" s="727"/>
      <c r="AN36" s="727"/>
      <c r="AO36" s="727"/>
    </row>
    <row r="37" spans="1:54">
      <c r="C37" s="727"/>
      <c r="D37" s="727"/>
      <c r="E37" s="727"/>
      <c r="F37" s="727"/>
      <c r="G37" s="727"/>
      <c r="H37" s="727"/>
      <c r="I37" s="727"/>
      <c r="J37" s="727"/>
      <c r="K37" s="727"/>
      <c r="L37" s="727"/>
      <c r="M37" s="727"/>
      <c r="N37" s="727"/>
      <c r="AD37" s="727"/>
      <c r="AE37" s="727"/>
      <c r="AF37" s="727"/>
      <c r="AG37" s="727"/>
      <c r="AH37" s="727"/>
      <c r="AI37" s="727"/>
      <c r="AJ37" s="727"/>
      <c r="AK37" s="727"/>
      <c r="AL37" s="727"/>
      <c r="AM37" s="727"/>
      <c r="AN37" s="727"/>
      <c r="AO37" s="727"/>
    </row>
    <row r="38" spans="1:54">
      <c r="C38" s="727"/>
      <c r="D38" s="727"/>
      <c r="E38" s="727"/>
      <c r="F38" s="727"/>
      <c r="G38" s="727"/>
      <c r="H38" s="727"/>
      <c r="I38" s="727"/>
      <c r="J38" s="727"/>
      <c r="K38" s="727"/>
      <c r="L38" s="727"/>
      <c r="M38" s="727"/>
      <c r="N38" s="727"/>
      <c r="AD38" s="727"/>
      <c r="AE38" s="727"/>
      <c r="AF38" s="727"/>
      <c r="AG38" s="727"/>
      <c r="AH38" s="727"/>
      <c r="AI38" s="727"/>
      <c r="AJ38" s="727"/>
      <c r="AK38" s="727"/>
      <c r="AL38" s="727"/>
      <c r="AM38" s="727"/>
      <c r="AN38" s="727"/>
      <c r="AO38" s="727"/>
    </row>
  </sheetData>
  <sheetProtection password="E23E" sheet="1" objects="1" scenarios="1"/>
  <mergeCells count="6">
    <mergeCell ref="BA8:BA9"/>
    <mergeCell ref="C4:F4"/>
    <mergeCell ref="AD4:AG4"/>
    <mergeCell ref="D8:X8"/>
    <mergeCell ref="Z8:Z9"/>
    <mergeCell ref="AE8:AY8"/>
  </mergeCells>
  <conditionalFormatting sqref="C13:C32">
    <cfRule type="expression" dxfId="30" priority="3">
      <formula>C13&lt;&gt;AD13</formula>
    </cfRule>
    <cfRule type="expression" dxfId="29" priority="25">
      <formula>$G$4=0</formula>
    </cfRule>
  </conditionalFormatting>
  <conditionalFormatting sqref="E13:W13">
    <cfRule type="expression" dxfId="28" priority="24">
      <formula>$G$4=0</formula>
    </cfRule>
  </conditionalFormatting>
  <conditionalFormatting sqref="V14:V30">
    <cfRule type="expression" dxfId="27" priority="22">
      <formula>$G$4=0</formula>
    </cfRule>
  </conditionalFormatting>
  <conditionalFormatting sqref="S14:S27">
    <cfRule type="expression" dxfId="26" priority="20">
      <formula>$G$4=0</formula>
    </cfRule>
  </conditionalFormatting>
  <conditionalFormatting sqref="W14:W31">
    <cfRule type="expression" dxfId="25" priority="23">
      <formula>$G$4=0</formula>
    </cfRule>
  </conditionalFormatting>
  <conditionalFormatting sqref="T14:U28">
    <cfRule type="expression" dxfId="24" priority="21">
      <formula>$G$4=0</formula>
    </cfRule>
  </conditionalFormatting>
  <conditionalFormatting sqref="R14:R26">
    <cfRule type="expression" dxfId="23" priority="19">
      <formula>$G$4=0</formula>
    </cfRule>
  </conditionalFormatting>
  <conditionalFormatting sqref="Q14:Q25">
    <cfRule type="expression" dxfId="22" priority="18">
      <formula>$G$4=0</formula>
    </cfRule>
  </conditionalFormatting>
  <conditionalFormatting sqref="P14:P24">
    <cfRule type="expression" dxfId="21" priority="17">
      <formula>$G$4=0</formula>
    </cfRule>
  </conditionalFormatting>
  <conditionalFormatting sqref="O14:O23">
    <cfRule type="expression" dxfId="20" priority="16">
      <formula>$G$4=0</formula>
    </cfRule>
  </conditionalFormatting>
  <conditionalFormatting sqref="F14">
    <cfRule type="expression" dxfId="19" priority="7">
      <formula>$G$4=0</formula>
    </cfRule>
  </conditionalFormatting>
  <conditionalFormatting sqref="N14:N22">
    <cfRule type="expression" dxfId="18" priority="15">
      <formula>$G$4=0</formula>
    </cfRule>
  </conditionalFormatting>
  <conditionalFormatting sqref="M14:M21">
    <cfRule type="expression" dxfId="17" priority="14">
      <formula>$G$4=0</formula>
    </cfRule>
  </conditionalFormatting>
  <conditionalFormatting sqref="L14:L20">
    <cfRule type="expression" dxfId="16" priority="13">
      <formula>$G$4=0</formula>
    </cfRule>
  </conditionalFormatting>
  <conditionalFormatting sqref="K14:K19">
    <cfRule type="expression" dxfId="15" priority="12">
      <formula>$G$4=0</formula>
    </cfRule>
  </conditionalFormatting>
  <conditionalFormatting sqref="J14:J18">
    <cfRule type="expression" dxfId="14" priority="11">
      <formula>$G$4=0</formula>
    </cfRule>
  </conditionalFormatting>
  <conditionalFormatting sqref="I14:I17">
    <cfRule type="expression" dxfId="13" priority="10">
      <formula>$G$4=0</formula>
    </cfRule>
  </conditionalFormatting>
  <conditionalFormatting sqref="H14:H16">
    <cfRule type="expression" dxfId="12" priority="9">
      <formula>$G$4=0</formula>
    </cfRule>
  </conditionalFormatting>
  <conditionalFormatting sqref="G14:G15">
    <cfRule type="expression" dxfId="11" priority="8">
      <formula>$G$4=0</formula>
    </cfRule>
  </conditionalFormatting>
  <conditionalFormatting sqref="A1:AA1">
    <cfRule type="expression" dxfId="10" priority="6">
      <formula>$G$4=0</formula>
    </cfRule>
  </conditionalFormatting>
  <conditionalFormatting sqref="U29">
    <cfRule type="expression" dxfId="9" priority="5">
      <formula>$G$4=0</formula>
    </cfRule>
  </conditionalFormatting>
  <conditionalFormatting sqref="E13:W13 F14:W14 G15:W15 I17:W17 J18:W18 K19:W19 L20:W20 M21:W21 N22:W22 O23:W23 P24:W24 Q25:W25 R26:W26 S27:W27 T28:W28 U29:W29 V30:W30 W31 H16:W16">
    <cfRule type="expression" dxfId="8" priority="2">
      <formula>E13&lt;&gt;AF13</formula>
    </cfRule>
  </conditionalFormatting>
  <conditionalFormatting sqref="I16">
    <cfRule type="expression" dxfId="7" priority="1">
      <formula>$G$4=0</formula>
    </cfRule>
  </conditionalFormatting>
  <dataValidations count="3">
    <dataValidation type="decimal" operator="greaterThanOrEqual" allowBlank="1" showInputMessage="1" showErrorMessage="1" errorTitle="ERROR!" error="Invalid Entry" sqref="C13:C32 E13:W13 F14:W14 G15:W15 W31 I17:W17 J18:W18 K19:W19 L20:W20 M20:W21 N22:W22 O23:W23 P24:W24 Q25:W25 R26:W26 S27:W27 T28:W28 U29:W29 V30:W30 H16:W16">
      <formula1>0</formula1>
    </dataValidation>
    <dataValidation type="custom" allowBlank="1" showErrorMessage="1" errorTitle="Number less than 0" error="You are trying to enter a number which is less than 0, please re-enter a valid number." sqref="H17:H32 C33:Y33 L21:L32 N23:N32 K20:K32 M22:M32 F15:F32 J19:J32 G16:G32 I18:I32 E14:E32 AD33:AZ33 D13:D32">
      <formula1>C13&gt;=0</formula1>
    </dataValidation>
    <dataValidation allowBlank="1" sqref="C12:AA12 AD12:BA12"/>
  </dataValidations>
  <pageMargins left="0.19685039370078741" right="0.19685039370078741" top="0.19685039370078741" bottom="0.39370078740157483" header="0" footer="0"/>
  <pageSetup paperSize="9"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="80" zoomScaleNormal="80" workbookViewId="0"/>
  </sheetViews>
  <sheetFormatPr defaultColWidth="10.7109375" defaultRowHeight="18.95" customHeight="1"/>
  <cols>
    <col min="1" max="1" width="3.7109375" style="437" customWidth="1"/>
    <col min="2" max="2" width="55.7109375" style="437" customWidth="1"/>
    <col min="3" max="3" width="13.7109375" style="550" customWidth="1"/>
    <col min="4" max="7" width="12.7109375" style="550" customWidth="1"/>
    <col min="8" max="9" width="12.7109375" style="437" customWidth="1"/>
    <col min="10" max="10" width="50" style="437" customWidth="1"/>
    <col min="11" max="16384" width="10.7109375" style="437"/>
  </cols>
  <sheetData>
    <row r="1" spans="1:10" ht="30" customHeight="1">
      <c r="A1" s="321"/>
      <c r="B1" s="322" t="s">
        <v>152</v>
      </c>
      <c r="C1" s="323"/>
      <c r="D1" s="323"/>
      <c r="E1" s="323"/>
      <c r="F1" s="323"/>
      <c r="G1" s="323"/>
      <c r="H1" s="324"/>
      <c r="I1" s="324"/>
      <c r="J1" s="325"/>
    </row>
    <row r="2" spans="1:10" ht="9.9499999999999993" customHeight="1" thickBot="1">
      <c r="A2" s="326"/>
      <c r="B2" s="327"/>
      <c r="C2" s="328"/>
      <c r="D2" s="328"/>
      <c r="E2" s="328"/>
      <c r="F2" s="328"/>
      <c r="G2" s="328"/>
      <c r="H2" s="96"/>
      <c r="I2" s="96"/>
      <c r="J2" s="329"/>
    </row>
    <row r="3" spans="1:10" ht="35.1" customHeight="1" thickBot="1">
      <c r="A3" s="326"/>
      <c r="B3" s="330" t="s">
        <v>5</v>
      </c>
      <c r="C3" s="1902" t="str">
        <f>'Background 17-18'!$D$2</f>
        <v>Glasgow, University of</v>
      </c>
      <c r="D3" s="1903"/>
      <c r="E3" s="1904"/>
      <c r="F3" s="331"/>
      <c r="G3" s="328"/>
      <c r="H3" s="96"/>
      <c r="I3" s="96"/>
      <c r="J3" s="329"/>
    </row>
    <row r="4" spans="1:10" ht="35.1" customHeight="1">
      <c r="A4" s="326"/>
      <c r="B4" s="332" t="s">
        <v>147</v>
      </c>
      <c r="C4" s="333"/>
      <c r="D4" s="333"/>
      <c r="E4" s="333"/>
      <c r="F4" s="333"/>
      <c r="G4" s="333"/>
      <c r="H4" s="334"/>
      <c r="I4" s="334"/>
      <c r="J4" s="335"/>
    </row>
    <row r="5" spans="1:10" s="484" customFormat="1" ht="30" customHeight="1">
      <c r="A5" s="336"/>
      <c r="B5" s="332" t="s">
        <v>153</v>
      </c>
      <c r="C5" s="337"/>
      <c r="D5" s="337"/>
      <c r="E5" s="337"/>
      <c r="F5" s="337"/>
      <c r="G5" s="337"/>
      <c r="H5" s="337"/>
      <c r="I5" s="337"/>
      <c r="J5" s="335"/>
    </row>
    <row r="6" spans="1:10" s="484" customFormat="1" ht="30" customHeight="1">
      <c r="A6" s="336"/>
      <c r="B6" s="332" t="s">
        <v>85</v>
      </c>
      <c r="C6" s="337"/>
      <c r="D6" s="337"/>
      <c r="E6" s="337"/>
      <c r="F6" s="337"/>
      <c r="G6" s="337"/>
      <c r="H6" s="337"/>
      <c r="I6" s="337"/>
      <c r="J6" s="335"/>
    </row>
    <row r="7" spans="1:10" s="484" customFormat="1" ht="15" customHeight="1" thickBot="1">
      <c r="A7" s="336"/>
      <c r="B7" s="338"/>
      <c r="C7" s="338"/>
      <c r="D7" s="338"/>
      <c r="E7" s="338"/>
      <c r="F7" s="338"/>
      <c r="G7" s="338"/>
      <c r="H7" s="338"/>
      <c r="I7" s="338"/>
      <c r="J7" s="335"/>
    </row>
    <row r="8" spans="1:10" ht="30" customHeight="1">
      <c r="A8" s="326"/>
      <c r="B8" s="1885" t="s">
        <v>86</v>
      </c>
      <c r="C8" s="1892" t="s">
        <v>394</v>
      </c>
      <c r="D8" s="1893"/>
      <c r="E8" s="1894"/>
      <c r="F8" s="1895" t="s">
        <v>158</v>
      </c>
      <c r="G8" s="1888" t="s">
        <v>87</v>
      </c>
      <c r="H8" s="1889"/>
      <c r="I8" s="1895" t="s">
        <v>393</v>
      </c>
      <c r="J8" s="335"/>
    </row>
    <row r="9" spans="1:10" ht="69.95" customHeight="1">
      <c r="A9" s="326"/>
      <c r="B9" s="1886"/>
      <c r="C9" s="370" t="s">
        <v>391</v>
      </c>
      <c r="D9" s="370" t="s">
        <v>392</v>
      </c>
      <c r="E9" s="1553" t="s">
        <v>3</v>
      </c>
      <c r="F9" s="1896"/>
      <c r="G9" s="1590"/>
      <c r="H9" s="1591"/>
      <c r="I9" s="1896"/>
      <c r="J9" s="335"/>
    </row>
    <row r="10" spans="1:10" ht="30" customHeight="1">
      <c r="A10" s="326"/>
      <c r="B10" s="1887"/>
      <c r="C10" s="341" t="s">
        <v>26</v>
      </c>
      <c r="D10" s="341" t="s">
        <v>26</v>
      </c>
      <c r="E10" s="379" t="s">
        <v>26</v>
      </c>
      <c r="F10" s="1562" t="s">
        <v>26</v>
      </c>
      <c r="G10" s="1574" t="s">
        <v>26</v>
      </c>
      <c r="H10" s="1575" t="s">
        <v>88</v>
      </c>
      <c r="I10" s="1569"/>
      <c r="J10" s="335"/>
    </row>
    <row r="11" spans="1:10" ht="30" customHeight="1">
      <c r="A11" s="326"/>
      <c r="B11" s="1887"/>
      <c r="C11" s="344" t="s">
        <v>7</v>
      </c>
      <c r="D11" s="345" t="s">
        <v>7</v>
      </c>
      <c r="E11" s="1554" t="s">
        <v>7</v>
      </c>
      <c r="F11" s="1563" t="s">
        <v>7</v>
      </c>
      <c r="G11" s="1576" t="s">
        <v>89</v>
      </c>
      <c r="H11" s="1570" t="s">
        <v>89</v>
      </c>
      <c r="I11" s="1570" t="s">
        <v>89</v>
      </c>
      <c r="J11" s="335"/>
    </row>
    <row r="12" spans="1:10" ht="30" customHeight="1">
      <c r="A12" s="326"/>
      <c r="B12" s="347"/>
      <c r="C12" s="348">
        <v>1</v>
      </c>
      <c r="D12" s="348">
        <v>2</v>
      </c>
      <c r="E12" s="1555">
        <v>3</v>
      </c>
      <c r="F12" s="1564">
        <v>4</v>
      </c>
      <c r="G12" s="1577">
        <v>5</v>
      </c>
      <c r="H12" s="349">
        <v>6</v>
      </c>
      <c r="I12" s="1571">
        <v>7</v>
      </c>
      <c r="J12" s="335"/>
    </row>
    <row r="13" spans="1:10" ht="35.1" customHeight="1">
      <c r="A13" s="326"/>
      <c r="B13" s="350" t="s">
        <v>32</v>
      </c>
      <c r="C13" s="351"/>
      <c r="D13" s="352"/>
      <c r="E13" s="1556"/>
      <c r="F13" s="1565"/>
      <c r="G13" s="1578"/>
      <c r="H13" s="1579"/>
      <c r="I13" s="353"/>
      <c r="J13" s="335"/>
    </row>
    <row r="14" spans="1:10" ht="24.95" customHeight="1">
      <c r="A14" s="326"/>
      <c r="B14" s="354" t="s">
        <v>23</v>
      </c>
      <c r="C14" s="355">
        <f>VLOOKUP('Background 17-18'!$C$2,FPs_Consol_Nos,11,FALSE)</f>
        <v>494.1</v>
      </c>
      <c r="D14" s="355">
        <f>VLOOKUP('Background 17-18'!$C$2,FPs_Consol_Nos,23,FALSE)</f>
        <v>81</v>
      </c>
      <c r="E14" s="1557">
        <f>SUM(C14:D14)</f>
        <v>575.1</v>
      </c>
      <c r="F14" s="1566">
        <f>'T1 Final Figures 2017-18'!$H$28</f>
        <v>529</v>
      </c>
      <c r="G14" s="1580">
        <f>F14-E14</f>
        <v>-46.100000000000023</v>
      </c>
      <c r="H14" s="1581">
        <f>IF(E14&gt;0,G14/E14,"")</f>
        <v>-8.0159972178751551E-2</v>
      </c>
      <c r="I14" s="357" t="str">
        <f>IF(H14&lt;-Controlled_Tol,"YES","NO")</f>
        <v>YES</v>
      </c>
      <c r="J14" s="335"/>
    </row>
    <row r="15" spans="1:10" ht="24.95" customHeight="1">
      <c r="A15" s="326"/>
      <c r="B15" s="354" t="s">
        <v>24</v>
      </c>
      <c r="C15" s="355">
        <f>VLOOKUP('Background 17-18'!$C$2,FPs_Consol_Nos,12,FALSE)</f>
        <v>220.4</v>
      </c>
      <c r="D15" s="355">
        <f>VLOOKUP('Background 17-18'!$C$2,FPs_Consol_Nos,26,FALSE)</f>
        <v>0</v>
      </c>
      <c r="E15" s="1557">
        <f>SUM(C15:D15)</f>
        <v>220.4</v>
      </c>
      <c r="F15" s="1566">
        <f>'T1 Final Figures 2017-18'!$H$29</f>
        <v>226</v>
      </c>
      <c r="G15" s="1580">
        <f>F15-E15</f>
        <v>5.5999999999999943</v>
      </c>
      <c r="H15" s="1581">
        <f>IF(E15&gt;0,G15/E15,"")</f>
        <v>2.5408348457350245E-2</v>
      </c>
      <c r="I15" s="357" t="str">
        <f>IF(H15&lt;-Controlled_Tol,"YES","NO")</f>
        <v>NO</v>
      </c>
      <c r="J15" s="335"/>
    </row>
    <row r="16" spans="1:10" ht="24.95" customHeight="1">
      <c r="A16" s="326"/>
      <c r="B16" s="354" t="s">
        <v>8</v>
      </c>
      <c r="C16" s="355">
        <f>VLOOKUP('Background 17-18'!$C$2,FPs_Consol_Nos,13,FALSE)</f>
        <v>301</v>
      </c>
      <c r="D16" s="356">
        <f>VLOOKUP('Background 17-18'!$C$2,FPs_Consol_Nos,24,FALSE)</f>
        <v>20</v>
      </c>
      <c r="E16" s="1557">
        <f>SUM(C16:D16)</f>
        <v>321</v>
      </c>
      <c r="F16" s="1566">
        <f>'T1 Final Figures 2017-18'!$H$30</f>
        <v>330</v>
      </c>
      <c r="G16" s="1580">
        <f>F16-E16</f>
        <v>9</v>
      </c>
      <c r="H16" s="1581">
        <f>IF(E16&gt;0,G16/E16,"")</f>
        <v>2.8037383177570093E-2</v>
      </c>
      <c r="I16" s="357" t="str">
        <f>IF(H16&lt;-Controlled_Tol,"YES","NO")</f>
        <v>NO</v>
      </c>
      <c r="J16" s="335"/>
    </row>
    <row r="17" spans="1:10" ht="24.95" customHeight="1">
      <c r="A17" s="326"/>
      <c r="B17" s="358" t="s">
        <v>9</v>
      </c>
      <c r="C17" s="355">
        <f>VLOOKUP('Background 17-18'!$C$2,FPs_Consol_Nos,14,FALSE)</f>
        <v>53.3</v>
      </c>
      <c r="D17" s="356"/>
      <c r="E17" s="1558">
        <f>SUM(C17:D17)</f>
        <v>53.3</v>
      </c>
      <c r="F17" s="1566">
        <f>'T1 Final Figures 2017-18'!$H$31</f>
        <v>53</v>
      </c>
      <c r="G17" s="1582">
        <f>F17-E17</f>
        <v>-0.29999999999999716</v>
      </c>
      <c r="H17" s="1581">
        <f>IF(E17&gt;0,G17/E17,"")</f>
        <v>-5.6285178236397219E-3</v>
      </c>
      <c r="I17" s="357" t="str">
        <f>IF(H17&lt;-Controlled_Tol,"YES","NO")</f>
        <v>NO</v>
      </c>
      <c r="J17" s="335"/>
    </row>
    <row r="18" spans="1:10" ht="35.1" customHeight="1">
      <c r="A18" s="326"/>
      <c r="B18" s="57" t="s">
        <v>10</v>
      </c>
      <c r="C18" s="359"/>
      <c r="D18" s="360"/>
      <c r="E18" s="1559"/>
      <c r="F18" s="1567"/>
      <c r="G18" s="1583"/>
      <c r="H18" s="1584"/>
      <c r="I18" s="353"/>
      <c r="J18" s="335"/>
    </row>
    <row r="19" spans="1:10" ht="24.95" customHeight="1">
      <c r="A19" s="326"/>
      <c r="B19" s="354" t="s">
        <v>412</v>
      </c>
      <c r="C19" s="355">
        <f>VLOOKUP('Background 17-18'!$C$2,FPs_Consol_Nos,15,FALSE)</f>
        <v>495</v>
      </c>
      <c r="D19" s="355">
        <f>VLOOKUP('Background 17-18'!$C$2,FPs_Consol_Nos,28,FALSE)</f>
        <v>0</v>
      </c>
      <c r="E19" s="1557">
        <f t="shared" ref="E19:E24" si="0">SUM(C19:D19)</f>
        <v>495</v>
      </c>
      <c r="F19" s="1566">
        <f>'T1 Final Figures 2017-18'!$H$33+'T1 Final Figures 2017-18'!$H$37+'T1 Final Figures 2017-18'!$H$38</f>
        <v>506.21300000000002</v>
      </c>
      <c r="G19" s="1580">
        <f t="shared" ref="G19:G24" si="1">F19-E19</f>
        <v>11.213000000000022</v>
      </c>
      <c r="H19" s="1581">
        <f t="shared" ref="H19:H24" si="2">IF(E19&gt;0,G19/E19,"")</f>
        <v>2.2652525252525299E-2</v>
      </c>
      <c r="I19" s="357" t="str">
        <f t="shared" ref="I19:I24" si="3">IF(H19&lt;-Controlled_Tol,"YES","NO")</f>
        <v>NO</v>
      </c>
      <c r="J19" s="335"/>
    </row>
    <row r="20" spans="1:10" ht="24.95" customHeight="1">
      <c r="A20" s="326"/>
      <c r="B20" s="354" t="s">
        <v>34</v>
      </c>
      <c r="C20" s="355">
        <f>VLOOKUP('Background 17-18'!$C$2,FPs_Consol_Nos,16,FALSE)</f>
        <v>0</v>
      </c>
      <c r="D20" s="356"/>
      <c r="E20" s="1557">
        <f t="shared" si="0"/>
        <v>0</v>
      </c>
      <c r="F20" s="1566">
        <f>'T1 Final Figures 2017-18'!$H$34</f>
        <v>0</v>
      </c>
      <c r="G20" s="1580">
        <f t="shared" si="1"/>
        <v>0</v>
      </c>
      <c r="H20" s="1581" t="str">
        <f t="shared" si="2"/>
        <v/>
      </c>
      <c r="I20" s="357" t="str">
        <f t="shared" si="3"/>
        <v>NO</v>
      </c>
      <c r="J20" s="335"/>
    </row>
    <row r="21" spans="1:10" ht="24.95" customHeight="1">
      <c r="A21" s="326"/>
      <c r="B21" s="354" t="s">
        <v>90</v>
      </c>
      <c r="C21" s="355">
        <f>VLOOKUP('Background 17-18'!$C$2,FPs_Consol_Nos,17,FALSE)</f>
        <v>0</v>
      </c>
      <c r="D21" s="356"/>
      <c r="E21" s="1557">
        <f t="shared" si="0"/>
        <v>0</v>
      </c>
      <c r="F21" s="1566">
        <f>'T1 Final Figures 2017-18'!$H$35</f>
        <v>0</v>
      </c>
      <c r="G21" s="1580">
        <f t="shared" si="1"/>
        <v>0</v>
      </c>
      <c r="H21" s="1581" t="str">
        <f t="shared" si="2"/>
        <v/>
      </c>
      <c r="I21" s="357" t="str">
        <f t="shared" si="3"/>
        <v>NO</v>
      </c>
      <c r="J21" s="335"/>
    </row>
    <row r="22" spans="1:10" ht="24.95" customHeight="1">
      <c r="A22" s="326"/>
      <c r="B22" s="354" t="s">
        <v>36</v>
      </c>
      <c r="C22" s="355">
        <f>VLOOKUP('Background 17-18'!$C$2,FPs_Consol_Nos,18,FALSE)</f>
        <v>99.2</v>
      </c>
      <c r="D22" s="356"/>
      <c r="E22" s="1557">
        <f t="shared" si="0"/>
        <v>99.2</v>
      </c>
      <c r="F22" s="1566">
        <f>'T1 Final Figures 2017-18'!$H$36</f>
        <v>87</v>
      </c>
      <c r="G22" s="1580">
        <f t="shared" si="1"/>
        <v>-12.200000000000003</v>
      </c>
      <c r="H22" s="1581">
        <f t="shared" si="2"/>
        <v>-0.12298387096774197</v>
      </c>
      <c r="I22" s="357" t="str">
        <f t="shared" si="3"/>
        <v>YES</v>
      </c>
      <c r="J22" s="335"/>
    </row>
    <row r="23" spans="1:10" ht="24.95" customHeight="1">
      <c r="A23" s="326"/>
      <c r="B23" s="354" t="s">
        <v>413</v>
      </c>
      <c r="C23" s="355">
        <f>VLOOKUP('Background 17-18'!$C$2,FPs_Consol_Nos,19,FALSE)</f>
        <v>69.7</v>
      </c>
      <c r="D23" s="355">
        <f>VLOOKUP('Background 17-18'!$C$2,FPs_Consol_Nos,29,FALSE)</f>
        <v>96</v>
      </c>
      <c r="E23" s="1557">
        <f t="shared" si="0"/>
        <v>165.7</v>
      </c>
      <c r="F23" s="1566">
        <f>'T1 Final Figures 2017-18'!$H$19+'T1 Final Figures 2017-18'!$H$21</f>
        <v>211</v>
      </c>
      <c r="G23" s="1580">
        <f t="shared" si="1"/>
        <v>45.300000000000011</v>
      </c>
      <c r="H23" s="1581">
        <f t="shared" si="2"/>
        <v>0.27338563669281846</v>
      </c>
      <c r="I23" s="357" t="str">
        <f t="shared" si="3"/>
        <v>NO</v>
      </c>
      <c r="J23" s="335"/>
    </row>
    <row r="24" spans="1:10" ht="24.95" customHeight="1">
      <c r="A24" s="326"/>
      <c r="B24" s="358" t="s">
        <v>414</v>
      </c>
      <c r="C24" s="355">
        <f>VLOOKUP('Background 17-18'!$C$2,FPs_Consol_Nos,20,FALSE)</f>
        <v>126.1</v>
      </c>
      <c r="D24" s="355">
        <f>VLOOKUP('Background 17-18'!$C$2,FPs_Consol_Nos,30,FALSE)</f>
        <v>145</v>
      </c>
      <c r="E24" s="1558">
        <f t="shared" si="0"/>
        <v>271.10000000000002</v>
      </c>
      <c r="F24" s="1566">
        <f>'T1 Final Figures 2017-18'!$H$20+'T1 Final Figures 2017-18'!$H$22</f>
        <v>205.5</v>
      </c>
      <c r="G24" s="1582">
        <f t="shared" si="1"/>
        <v>-65.600000000000023</v>
      </c>
      <c r="H24" s="1581">
        <f t="shared" si="2"/>
        <v>-0.24197713021025458</v>
      </c>
      <c r="I24" s="357" t="str">
        <f t="shared" si="3"/>
        <v>YES</v>
      </c>
      <c r="J24" s="335"/>
    </row>
    <row r="25" spans="1:10" ht="35.1" customHeight="1">
      <c r="A25" s="326"/>
      <c r="B25" s="57" t="s">
        <v>28</v>
      </c>
      <c r="C25" s="361"/>
      <c r="D25" s="362"/>
      <c r="E25" s="1559"/>
      <c r="F25" s="1567"/>
      <c r="G25" s="1585"/>
      <c r="H25" s="1584"/>
      <c r="I25" s="353"/>
      <c r="J25" s="335"/>
    </row>
    <row r="26" spans="1:10" ht="24.95" customHeight="1">
      <c r="A26" s="326"/>
      <c r="B26" s="354" t="s">
        <v>119</v>
      </c>
      <c r="C26" s="363"/>
      <c r="D26" s="355">
        <f>VLOOKUP('Background 17-18'!$C$2,FPs_Consol_Nos,27,FALSE)</f>
        <v>0</v>
      </c>
      <c r="E26" s="1560">
        <f>SUM(C26:D26)</f>
        <v>0</v>
      </c>
      <c r="F26" s="1566">
        <f>'T1 Final Figures 2017-18'!$H$14+'T1 Final Figures 2017-18'!$H$40</f>
        <v>0</v>
      </c>
      <c r="G26" s="1586">
        <f>F26-E26</f>
        <v>0</v>
      </c>
      <c r="H26" s="1587" t="str">
        <f>IF(E26&gt;0,G26/E26,"")</f>
        <v/>
      </c>
      <c r="I26" s="1572" t="str">
        <f>IF(H26&lt;-Controlled_Tol,"YES","NO")</f>
        <v>NO</v>
      </c>
      <c r="J26" s="335"/>
    </row>
    <row r="27" spans="1:10" ht="24.95" customHeight="1" thickBot="1">
      <c r="A27" s="326"/>
      <c r="B27" s="364" t="s">
        <v>343</v>
      </c>
      <c r="C27" s="433">
        <f>VLOOKUP('Background 17-18'!$C$2,FPs_Consol_Nos,21,FALSE)</f>
        <v>146</v>
      </c>
      <c r="D27" s="365"/>
      <c r="E27" s="1561">
        <f t="shared" ref="E27" si="4">SUM(C27:D27)</f>
        <v>146</v>
      </c>
      <c r="F27" s="1568">
        <f>'T1 Final Figures 2017-18'!$H$41</f>
        <v>162.75</v>
      </c>
      <c r="G27" s="1588">
        <f>F27-E27</f>
        <v>16.75</v>
      </c>
      <c r="H27" s="1589">
        <f>IF(E27&gt;0,G27/E27,"")</f>
        <v>0.11472602739726027</v>
      </c>
      <c r="I27" s="1573" t="str">
        <f>IF(H27&lt;-Controlled_Tol,"YES","NO")</f>
        <v>NO</v>
      </c>
      <c r="J27" s="367"/>
    </row>
    <row r="28" spans="1:10" ht="30" customHeight="1">
      <c r="A28" s="1693"/>
      <c r="B28" s="1694" t="s">
        <v>415</v>
      </c>
      <c r="C28" s="32"/>
      <c r="D28" s="32"/>
      <c r="E28" s="32"/>
      <c r="F28" s="32"/>
      <c r="G28" s="32"/>
      <c r="H28" s="32"/>
      <c r="I28" s="1695"/>
      <c r="J28" s="1696"/>
    </row>
    <row r="29" spans="1:10" ht="24.95" customHeight="1">
      <c r="A29" s="1693"/>
      <c r="B29" s="404" t="s">
        <v>417</v>
      </c>
      <c r="C29" s="32"/>
      <c r="D29" s="32"/>
      <c r="E29" s="32"/>
      <c r="F29" s="32"/>
      <c r="G29" s="32"/>
      <c r="H29" s="32"/>
      <c r="I29" s="1695"/>
      <c r="J29" s="1696"/>
    </row>
    <row r="30" spans="1:10" ht="24.95" customHeight="1">
      <c r="A30" s="1693"/>
      <c r="B30" s="404" t="s">
        <v>418</v>
      </c>
      <c r="C30" s="32"/>
      <c r="D30" s="32"/>
      <c r="E30" s="32"/>
      <c r="F30" s="32"/>
      <c r="G30" s="32"/>
      <c r="H30" s="32"/>
      <c r="I30" s="1695"/>
      <c r="J30" s="1696"/>
    </row>
    <row r="31" spans="1:10" ht="30" customHeight="1">
      <c r="A31" s="326"/>
      <c r="B31" s="332" t="s">
        <v>154</v>
      </c>
      <c r="C31" s="337"/>
      <c r="D31" s="337"/>
      <c r="E31" s="337"/>
      <c r="F31" s="337"/>
      <c r="G31" s="337"/>
      <c r="H31" s="337"/>
      <c r="I31" s="334"/>
      <c r="J31" s="335"/>
    </row>
    <row r="32" spans="1:10" ht="24.95" customHeight="1">
      <c r="A32" s="326"/>
      <c r="B32" s="332" t="s">
        <v>85</v>
      </c>
      <c r="C32" s="337"/>
      <c r="D32" s="337"/>
      <c r="E32" s="337"/>
      <c r="F32" s="337"/>
      <c r="G32" s="337"/>
      <c r="H32" s="337"/>
      <c r="I32" s="334"/>
      <c r="J32" s="335"/>
    </row>
    <row r="33" spans="1:10" ht="9.9499999999999993" customHeight="1" thickBot="1">
      <c r="A33" s="326"/>
      <c r="B33" s="338"/>
      <c r="C33" s="338"/>
      <c r="D33" s="338"/>
      <c r="E33" s="338"/>
      <c r="F33" s="338"/>
      <c r="G33" s="338"/>
      <c r="H33" s="337"/>
      <c r="I33" s="334"/>
      <c r="J33" s="335"/>
    </row>
    <row r="34" spans="1:10" ht="45" customHeight="1">
      <c r="A34" s="326"/>
      <c r="B34" s="369"/>
      <c r="C34" s="1899" t="s">
        <v>91</v>
      </c>
      <c r="D34" s="1900"/>
      <c r="E34" s="1900"/>
      <c r="F34" s="1900"/>
      <c r="G34" s="1901"/>
      <c r="H34" s="404"/>
      <c r="I34" s="32"/>
      <c r="J34" s="335"/>
    </row>
    <row r="35" spans="1:10" ht="95.1" customHeight="1">
      <c r="A35" s="326"/>
      <c r="B35" s="1886" t="s">
        <v>91</v>
      </c>
      <c r="C35" s="370" t="s">
        <v>416</v>
      </c>
      <c r="D35" s="370" t="s">
        <v>397</v>
      </c>
      <c r="E35" s="1890" t="s">
        <v>87</v>
      </c>
      <c r="F35" s="1891"/>
      <c r="G35" s="371" t="s">
        <v>393</v>
      </c>
      <c r="H35" s="404"/>
      <c r="I35" s="32"/>
      <c r="J35" s="335"/>
    </row>
    <row r="36" spans="1:10" ht="30" customHeight="1">
      <c r="A36" s="326"/>
      <c r="B36" s="1887"/>
      <c r="C36" s="341" t="s">
        <v>26</v>
      </c>
      <c r="D36" s="341" t="s">
        <v>26</v>
      </c>
      <c r="E36" s="341" t="s">
        <v>26</v>
      </c>
      <c r="F36" s="342" t="s">
        <v>88</v>
      </c>
      <c r="G36" s="343"/>
      <c r="H36" s="404"/>
      <c r="I36" s="32"/>
      <c r="J36" s="335"/>
    </row>
    <row r="37" spans="1:10" ht="30" customHeight="1">
      <c r="A37" s="326"/>
      <c r="B37" s="372"/>
      <c r="C37" s="344" t="s">
        <v>7</v>
      </c>
      <c r="D37" s="345" t="s">
        <v>7</v>
      </c>
      <c r="E37" s="345" t="s">
        <v>89</v>
      </c>
      <c r="F37" s="345" t="s">
        <v>89</v>
      </c>
      <c r="G37" s="346" t="s">
        <v>89</v>
      </c>
      <c r="H37" s="404"/>
      <c r="I37" s="32"/>
      <c r="J37" s="335"/>
    </row>
    <row r="38" spans="1:10" ht="30" customHeight="1" thickBot="1">
      <c r="A38" s="326"/>
      <c r="B38" s="372"/>
      <c r="C38" s="1592">
        <v>1</v>
      </c>
      <c r="D38" s="1592">
        <v>2</v>
      </c>
      <c r="E38" s="1592">
        <v>4</v>
      </c>
      <c r="F38" s="1592">
        <v>5</v>
      </c>
      <c r="G38" s="1593">
        <v>6</v>
      </c>
      <c r="H38" s="404"/>
      <c r="I38" s="403"/>
      <c r="J38" s="335"/>
    </row>
    <row r="39" spans="1:10" ht="35.1" customHeight="1">
      <c r="A39" s="326"/>
      <c r="B39" s="1595" t="s">
        <v>160</v>
      </c>
      <c r="C39" s="1596">
        <f>VLOOKUP('Background 17-18'!$C$2,FPs_Consol_Nos,25,FALSE)</f>
        <v>20</v>
      </c>
      <c r="D39" s="1596">
        <f>'T1 Final Figures 2017-18'!$H$43</f>
        <v>21</v>
      </c>
      <c r="E39" s="1597">
        <f>D39-C39</f>
        <v>1</v>
      </c>
      <c r="F39" s="1598">
        <f>IF(C39&gt;0,E39/C39,"")</f>
        <v>0.05</v>
      </c>
      <c r="G39" s="1599" t="str">
        <f>IF(F39&lt;0,"YES","NO")</f>
        <v>NO</v>
      </c>
      <c r="H39" s="404"/>
      <c r="I39" s="32"/>
      <c r="J39" s="335"/>
    </row>
    <row r="40" spans="1:10" ht="35.1" customHeight="1" thickBot="1">
      <c r="A40" s="326"/>
      <c r="B40" s="1594" t="s">
        <v>396</v>
      </c>
      <c r="C40" s="366">
        <f>VLOOKUP('Background 17-18'!$C$2,FPs_Consol_Nos,10,FALSE)+VLOOKUP('Background 17-18'!$C$2,FPs_Consol_Nos,31,FALSE)+VLOOKUP('Background 17-18'!$C$2,FPs_Consol_Nos,32,FALSE)</f>
        <v>12219.199999999997</v>
      </c>
      <c r="D40" s="366">
        <f>'T1 Final Figures 2017-18'!$H$15+'T1 Final Figures 2017-18'!$H$23+'T1 Final Figures 2017-18'!$H$44+'T1 Final Figures 2017-18'!$H$45</f>
        <v>12938.940109000006</v>
      </c>
      <c r="E40" s="373">
        <f>D40-C40</f>
        <v>719.7401090000094</v>
      </c>
      <c r="F40" s="374">
        <f>IF(C40&gt;0,E40/C40,"")</f>
        <v>5.8902392055127144E-2</v>
      </c>
      <c r="G40" s="405" t="str">
        <f>IF(F40&lt;-Non_controlled_Tol,"YES","NO")</f>
        <v>NO</v>
      </c>
      <c r="H40" s="404"/>
      <c r="I40" s="32"/>
      <c r="J40" s="335"/>
    </row>
    <row r="41" spans="1:10" ht="30" customHeight="1">
      <c r="A41" s="326"/>
      <c r="B41" s="1697" t="s">
        <v>424</v>
      </c>
      <c r="C41" s="368"/>
      <c r="D41" s="368"/>
      <c r="E41" s="368"/>
      <c r="F41" s="368"/>
      <c r="G41" s="368"/>
      <c r="H41" s="368"/>
      <c r="I41" s="334"/>
      <c r="J41" s="335"/>
    </row>
    <row r="42" spans="1:10" ht="30" customHeight="1">
      <c r="A42" s="326"/>
      <c r="B42" s="332" t="s">
        <v>400</v>
      </c>
      <c r="C42" s="368"/>
      <c r="D42" s="368"/>
      <c r="E42" s="368"/>
      <c r="F42" s="368"/>
      <c r="G42" s="368"/>
      <c r="H42" s="368"/>
      <c r="I42" s="334"/>
      <c r="J42" s="335"/>
    </row>
    <row r="43" spans="1:10" ht="24.95" customHeight="1">
      <c r="A43" s="326"/>
      <c r="B43" s="332" t="s">
        <v>419</v>
      </c>
      <c r="C43" s="337"/>
      <c r="D43" s="337"/>
      <c r="E43" s="337"/>
      <c r="F43" s="38"/>
      <c r="G43" s="38"/>
      <c r="H43" s="38"/>
      <c r="I43" s="334"/>
      <c r="J43" s="335"/>
    </row>
    <row r="44" spans="1:10" ht="24.95" customHeight="1">
      <c r="A44" s="326"/>
      <c r="B44" s="332" t="s">
        <v>401</v>
      </c>
      <c r="C44" s="337"/>
      <c r="D44" s="337"/>
      <c r="E44" s="337"/>
      <c r="F44" s="38"/>
      <c r="G44" s="38"/>
      <c r="H44" s="38"/>
      <c r="I44" s="334"/>
      <c r="J44" s="335"/>
    </row>
    <row r="45" spans="1:10" ht="9.9499999999999993" customHeight="1" thickBot="1">
      <c r="A45" s="326"/>
      <c r="B45" s="338"/>
      <c r="C45" s="338"/>
      <c r="D45" s="338"/>
      <c r="E45" s="338"/>
      <c r="F45" s="375"/>
      <c r="G45" s="375"/>
      <c r="H45" s="38"/>
      <c r="I45" s="334"/>
      <c r="J45" s="335"/>
    </row>
    <row r="46" spans="1:10" ht="69.95" customHeight="1">
      <c r="A46" s="326"/>
      <c r="B46" s="376" t="s">
        <v>92</v>
      </c>
      <c r="C46" s="377" t="s">
        <v>398</v>
      </c>
      <c r="D46" s="339" t="s">
        <v>93</v>
      </c>
      <c r="E46" s="1897" t="s">
        <v>399</v>
      </c>
      <c r="F46" s="1898"/>
      <c r="G46" s="340" t="s">
        <v>395</v>
      </c>
      <c r="H46" s="193"/>
      <c r="I46" s="334"/>
      <c r="J46" s="335"/>
    </row>
    <row r="47" spans="1:10" ht="30" customHeight="1">
      <c r="A47" s="326"/>
      <c r="B47" s="378"/>
      <c r="C47" s="379" t="s">
        <v>26</v>
      </c>
      <c r="D47" s="341" t="s">
        <v>26</v>
      </c>
      <c r="E47" s="341" t="s">
        <v>26</v>
      </c>
      <c r="F47" s="341" t="s">
        <v>88</v>
      </c>
      <c r="G47" s="343"/>
      <c r="H47" s="96"/>
      <c r="I47" s="334"/>
      <c r="J47" s="335"/>
    </row>
    <row r="48" spans="1:10" ht="30" customHeight="1">
      <c r="A48" s="326"/>
      <c r="B48" s="378"/>
      <c r="C48" s="380" t="s">
        <v>7</v>
      </c>
      <c r="D48" s="344" t="s">
        <v>7</v>
      </c>
      <c r="E48" s="344" t="s">
        <v>89</v>
      </c>
      <c r="F48" s="344" t="s">
        <v>89</v>
      </c>
      <c r="G48" s="346" t="s">
        <v>89</v>
      </c>
      <c r="H48" s="96"/>
      <c r="I48" s="334"/>
      <c r="J48" s="335"/>
    </row>
    <row r="49" spans="1:10" ht="30" customHeight="1">
      <c r="A49" s="326"/>
      <c r="B49" s="381"/>
      <c r="C49" s="348">
        <v>1</v>
      </c>
      <c r="D49" s="348">
        <v>2</v>
      </c>
      <c r="E49" s="348">
        <v>3</v>
      </c>
      <c r="F49" s="348">
        <v>4</v>
      </c>
      <c r="G49" s="349">
        <v>5</v>
      </c>
      <c r="H49" s="96"/>
      <c r="I49" s="334"/>
      <c r="J49" s="335"/>
    </row>
    <row r="50" spans="1:10" ht="35.1" customHeight="1">
      <c r="A50" s="326"/>
      <c r="B50" s="382" t="s">
        <v>27</v>
      </c>
      <c r="C50" s="383"/>
      <c r="D50" s="384"/>
      <c r="E50" s="384"/>
      <c r="F50" s="385"/>
      <c r="G50" s="346"/>
      <c r="H50" s="96"/>
      <c r="I50" s="334"/>
      <c r="J50" s="335"/>
    </row>
    <row r="51" spans="1:10" ht="30" customHeight="1">
      <c r="A51" s="326"/>
      <c r="B51" s="1699" t="s">
        <v>94</v>
      </c>
      <c r="C51" s="386"/>
      <c r="D51" s="387"/>
      <c r="E51" s="387"/>
      <c r="F51" s="388"/>
      <c r="G51" s="389"/>
      <c r="H51" s="96"/>
      <c r="I51" s="334"/>
      <c r="J51" s="335"/>
    </row>
    <row r="52" spans="1:10" ht="35.1" customHeight="1">
      <c r="A52" s="326"/>
      <c r="B52" s="1698" t="s">
        <v>420</v>
      </c>
      <c r="C52" s="355">
        <f>VLOOKUP('Background 17-18'!$C$2,FPs_Consol_Nos,34,FALSE)</f>
        <v>1188</v>
      </c>
      <c r="D52" s="391">
        <f>'T1 Final Figures 2017-18'!$H$28+'T1 Final Figures 2017-18'!$J$28+'T1 Final Figures 2017-18'!$H$30+'T1 Final Figures 2017-18'!$J$30</f>
        <v>1144</v>
      </c>
      <c r="E52" s="391">
        <f>D52-C52</f>
        <v>-44</v>
      </c>
      <c r="F52" s="392">
        <f>IF(C52&gt;0,E52/C52,"")</f>
        <v>-3.7037037037037035E-2</v>
      </c>
      <c r="G52" s="393" t="str">
        <f>IF(C52&gt;=100,IF(F52&gt;Consol_Tol_Per,"YES","NO"),IF(C52&gt;0,IF(E52&gt;Consol_Tol_FTE,"YES","NO"),"NO"))</f>
        <v>NO</v>
      </c>
      <c r="H52" s="96"/>
      <c r="I52" s="334"/>
      <c r="J52" s="335"/>
    </row>
    <row r="53" spans="1:10" ht="35.1" customHeight="1">
      <c r="A53" s="326"/>
      <c r="B53" s="1698" t="s">
        <v>423</v>
      </c>
      <c r="C53" s="355">
        <f>VLOOKUP('Background 17-18'!$C$2,FPs_Consol_Nos,35,FALSE)</f>
        <v>341</v>
      </c>
      <c r="D53" s="391">
        <f>'T1 Final Figures 2017-18'!$H$29+'T1 Final Figures 2017-18'!$J$29+'T1 Final Figures 2017-18'!$H$31+'T1 Final Figures 2017-18'!$J$31</f>
        <v>351</v>
      </c>
      <c r="E53" s="391">
        <f>D53-C53</f>
        <v>10</v>
      </c>
      <c r="F53" s="392">
        <f>IF(C53&gt;0,E53/C53,"")</f>
        <v>2.932551319648094E-2</v>
      </c>
      <c r="G53" s="393" t="str">
        <f>IF(C53&gt;=100,IF(F53&gt;Consol_Tol_Per,"YES","NO"),IF(C53&gt;0,IF(E53&gt;Consol_Tol_FTE,"YES","NO"),"NO"))</f>
        <v>NO</v>
      </c>
      <c r="H53" s="96"/>
      <c r="I53" s="334"/>
      <c r="J53" s="335"/>
    </row>
    <row r="54" spans="1:10" ht="39.950000000000003" customHeight="1">
      <c r="A54" s="326"/>
      <c r="B54" s="1698" t="s">
        <v>421</v>
      </c>
      <c r="C54" s="96"/>
      <c r="D54" s="394"/>
      <c r="E54" s="394"/>
      <c r="F54" s="394"/>
      <c r="G54" s="395"/>
      <c r="H54" s="96"/>
      <c r="I54" s="337"/>
      <c r="J54" s="335"/>
    </row>
    <row r="55" spans="1:10" ht="30" customHeight="1">
      <c r="A55" s="326"/>
      <c r="B55" s="390" t="s">
        <v>95</v>
      </c>
      <c r="C55" s="355">
        <f>VLOOKUP('Background 17-18'!$C$2,FPs_Consol_Nos,36,FALSE)</f>
        <v>666</v>
      </c>
      <c r="D55" s="391">
        <f>'T1 Final Figures 2017-18'!$H$19+'T1 Final Figures 2017-18'!$J$19+'T1 Final Figures 2017-18'!$H$33+'T1 Final Figures 2017-18'!$J$33+'T1 Final Figures 2017-18'!$H$21+'T1 Final Figures 2017-18'!$J$21+'T1 Final Figures 2017-18'!$H$37+'T1 Final Figures 2017-18'!$J$37</f>
        <v>725.21299999999997</v>
      </c>
      <c r="E55" s="391">
        <f>D55-C55</f>
        <v>59.212999999999965</v>
      </c>
      <c r="F55" s="392">
        <f>IF(C55&gt;0,E55/C55,"")</f>
        <v>8.8908408408408357E-2</v>
      </c>
      <c r="G55" s="393" t="str">
        <f>IF(C55&gt;=100,IF(F55&gt;Consol_Tol_Per,"YES","NO"),IF(C55&gt;0,IF(E55&gt;Consol_Tol_FTE,"YES","NO"),"NO"))</f>
        <v>NO</v>
      </c>
      <c r="H55" s="96"/>
      <c r="I55" s="337"/>
      <c r="J55" s="335"/>
    </row>
    <row r="56" spans="1:10" ht="30" customHeight="1">
      <c r="A56" s="326"/>
      <c r="B56" s="390" t="s">
        <v>96</v>
      </c>
      <c r="C56" s="355">
        <f>VLOOKUP('Background 17-18'!$C$2,FPs_Consol_Nos,37,FALSE)</f>
        <v>375</v>
      </c>
      <c r="D56" s="391">
        <f>+'T1 Final Figures 2017-18'!$H$20+'T1 Final Figures 2017-18'!$J$20+'T1 Final Figures 2017-18'!$H$34+'T1 Final Figures 2017-18'!$J$34+'T1 Final Figures 2017-18'!$H$35+'T1 Final Figures 2017-18'!$J$35+'T1 Final Figures 2017-18'!$H$36+'T1 Final Figures 2017-18'!$J$36+'T1 Final Figures 2017-18'!$H$22+'T1 Final Figures 2017-18'!$J$22+'T1 Final Figures 2017-18'!$H$38+'T1 Final Figures 2017-18'!$J$38</f>
        <v>296.5</v>
      </c>
      <c r="E56" s="391">
        <f>D56-C56</f>
        <v>-78.5</v>
      </c>
      <c r="F56" s="392">
        <f>IF(C56&gt;0,E56/C56,"")</f>
        <v>-0.20933333333333334</v>
      </c>
      <c r="G56" s="393" t="str">
        <f>IF(C56&gt;=100,IF(F56&gt;Consol_Tol_Per,"YES","NO"),IF(C56&gt;0,IF(E56&gt;Consol_Tol_FTE,"YES","NO"),"NO"))</f>
        <v>NO</v>
      </c>
      <c r="H56" s="96"/>
      <c r="I56" s="337"/>
      <c r="J56" s="335"/>
    </row>
    <row r="57" spans="1:10" ht="35.1" customHeight="1">
      <c r="A57" s="326"/>
      <c r="B57" s="1698" t="s">
        <v>422</v>
      </c>
      <c r="C57" s="355">
        <f>VLOOKUP('Background 17-18'!$C$2,FPs_Consol_Nos,38,FALSE)</f>
        <v>151</v>
      </c>
      <c r="D57" s="391">
        <f>'T1 Final Figures 2017-18'!$H$14+'T1 Final Figures 2017-18'!$H$40+'T1 Final Figures 2017-18'!$H$41+'T1 Final Figures 2017-18'!$J$14+'T1 Final Figures 2017-18'!$J$40+'T1 Final Figures 2017-18'!$J$41</f>
        <v>165.75</v>
      </c>
      <c r="E57" s="391">
        <f>D57-C57</f>
        <v>14.75</v>
      </c>
      <c r="F57" s="392">
        <f>IF(C57&gt;0,E57/C57,"")</f>
        <v>9.7682119205298013E-2</v>
      </c>
      <c r="G57" s="393" t="str">
        <f>IF(C57&gt;=100,IF(F57&gt;Consol_Tol_Per,"YES","NO"),IF(C57&gt;0,IF(E57&gt;Consol_Tol_FTE,"YES","NO"),"NO"))</f>
        <v>NO</v>
      </c>
      <c r="H57" s="96"/>
      <c r="I57" s="337"/>
      <c r="J57" s="335"/>
    </row>
    <row r="58" spans="1:10" ht="35.1" customHeight="1">
      <c r="A58" s="326"/>
      <c r="B58" s="396" t="s">
        <v>97</v>
      </c>
      <c r="C58" s="394"/>
      <c r="D58" s="394"/>
      <c r="E58" s="394"/>
      <c r="F58" s="394"/>
      <c r="G58" s="395"/>
      <c r="H58" s="96"/>
      <c r="I58" s="337"/>
      <c r="J58" s="335"/>
    </row>
    <row r="59" spans="1:10" ht="35.1" customHeight="1" thickBot="1">
      <c r="A59" s="326"/>
      <c r="B59" s="397" t="s">
        <v>98</v>
      </c>
      <c r="C59" s="366">
        <f>VLOOKUP('Background 17-18'!$C$2,FPs_Consol_Nos,39,FALSE)</f>
        <v>11120</v>
      </c>
      <c r="D59" s="366">
        <f>'T1 Final Figures 2017-18'!$C$43+'T1 Final Figures 2017-18'!$C$44+'T1 Final Figures 2017-18'!$C$45</f>
        <v>11190.400000000005</v>
      </c>
      <c r="E59" s="366">
        <f>D59-C59</f>
        <v>70.400000000005093</v>
      </c>
      <c r="F59" s="374">
        <f>IF(C59&gt;0,E59/C59,"")</f>
        <v>6.3309352517990193E-3</v>
      </c>
      <c r="G59" s="398" t="str">
        <f>IF(C59&gt;=100,IF(F59&gt;Consol_Tol_Per,"YES","NO"),IF(C59&gt;0,IF(E59&gt;Consol_Tol_FTE,"YES","NO"),"NO"))</f>
        <v>NO</v>
      </c>
      <c r="H59" s="96"/>
      <c r="I59" s="337"/>
      <c r="J59" s="335"/>
    </row>
    <row r="60" spans="1:10" ht="18.95" customHeight="1">
      <c r="A60" s="399"/>
      <c r="B60" s="400"/>
      <c r="C60" s="401"/>
      <c r="D60" s="401"/>
      <c r="E60" s="401"/>
      <c r="F60" s="401"/>
      <c r="G60" s="401"/>
      <c r="H60" s="401"/>
      <c r="I60" s="401"/>
      <c r="J60" s="402"/>
    </row>
    <row r="61" spans="1:10" ht="24.95" hidden="1" customHeight="1">
      <c r="B61" s="549" t="s">
        <v>99</v>
      </c>
    </row>
    <row r="62" spans="1:10" ht="24.95" hidden="1" customHeight="1">
      <c r="B62" s="437" t="s">
        <v>100</v>
      </c>
      <c r="C62" s="551">
        <v>0.03</v>
      </c>
    </row>
    <row r="63" spans="1:10" ht="24.95" hidden="1" customHeight="1">
      <c r="B63" s="437" t="s">
        <v>101</v>
      </c>
      <c r="C63" s="551">
        <v>0.02</v>
      </c>
    </row>
    <row r="64" spans="1:10" ht="24.95" hidden="1" customHeight="1">
      <c r="B64" s="437" t="s">
        <v>102</v>
      </c>
      <c r="C64" s="551">
        <v>0.1</v>
      </c>
    </row>
    <row r="65" spans="2:3" ht="24.95" hidden="1" customHeight="1">
      <c r="B65" s="437" t="s">
        <v>103</v>
      </c>
      <c r="C65" s="552">
        <v>10</v>
      </c>
    </row>
  </sheetData>
  <sheetProtection password="E23E" sheet="1" objects="1" scenarios="1"/>
  <mergeCells count="10">
    <mergeCell ref="I8:I9"/>
    <mergeCell ref="F8:F9"/>
    <mergeCell ref="E46:F46"/>
    <mergeCell ref="C34:G34"/>
    <mergeCell ref="C3:E3"/>
    <mergeCell ref="B8:B11"/>
    <mergeCell ref="G8:H8"/>
    <mergeCell ref="B35:B36"/>
    <mergeCell ref="E35:F35"/>
    <mergeCell ref="C8:E8"/>
  </mergeCells>
  <conditionalFormatting sqref="I14:I17 I19:I24 I26:I27">
    <cfRule type="cellIs" dxfId="6" priority="9" operator="equal">
      <formula>"YES"</formula>
    </cfRule>
  </conditionalFormatting>
  <conditionalFormatting sqref="I40">
    <cfRule type="cellIs" dxfId="5" priority="8" operator="equal">
      <formula>"YES"</formula>
    </cfRule>
  </conditionalFormatting>
  <conditionalFormatting sqref="G52:G53 G55:G57 G59">
    <cfRule type="cellIs" dxfId="4" priority="6" operator="equal">
      <formula>"YES"</formula>
    </cfRule>
  </conditionalFormatting>
  <conditionalFormatting sqref="B1:B2">
    <cfRule type="expression" dxfId="3" priority="5" stopIfTrue="1">
      <formula>#REF!=0</formula>
    </cfRule>
  </conditionalFormatting>
  <conditionalFormatting sqref="G40">
    <cfRule type="cellIs" dxfId="2" priority="3" operator="equal">
      <formula>"YES"</formula>
    </cfRule>
  </conditionalFormatting>
  <conditionalFormatting sqref="I39">
    <cfRule type="cellIs" dxfId="1" priority="2" operator="equal">
      <formula>"YES"</formula>
    </cfRule>
  </conditionalFormatting>
  <conditionalFormatting sqref="G39">
    <cfRule type="cellIs" dxfId="0" priority="1" operator="equal">
      <formula>"YES"</formula>
    </cfRule>
  </conditionalFormatting>
  <dataValidations count="1">
    <dataValidation allowBlank="1" sqref="G48:G49 C46:E48 B46 D9:E30 B8:B9 H4:I4 F10:F30 G46 D49:F49 F47:F48 C49:C50 E37:E38 G35:I35 C59:G59 J4:J7 B53:C53 C3 K28:FL30 K4:FL4 K5:FI7 J8:FJ27 F37:G40 H10:H30 C36:D40 C52 E36:F36 B35:E35 C55:G57 C8:C30 I8 G8:G30 F8 B13:B30 I11:I33 B40:B41 B50:B52 D50:G53 B54:B60 J28:J60 I37:I53 C41:H42"/>
  </dataValidations>
  <pageMargins left="0.19685039370078741" right="0.19685039370078741" top="0.19685039370078741" bottom="0.19685039370078741" header="0" footer="0"/>
  <pageSetup paperSize="9" scale="51" fitToHeight="0" orientation="portrait" r:id="rId1"/>
  <headerFooter alignWithMargins="0"/>
  <rowBreaks count="1" manualBreakCount="1">
    <brk id="30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H265"/>
  <sheetViews>
    <sheetView topLeftCell="A266" zoomScale="80" zoomScaleNormal="80" workbookViewId="0">
      <selection activeCell="A266" sqref="A266"/>
    </sheetView>
  </sheetViews>
  <sheetFormatPr defaultColWidth="9.140625" defaultRowHeight="15" customHeight="1"/>
  <cols>
    <col min="1" max="1" width="11.28515625" style="980" customWidth="1"/>
    <col min="2" max="2" width="57.28515625" style="980" customWidth="1"/>
    <col min="3" max="43" width="12.7109375" style="980" customWidth="1"/>
    <col min="44" max="44" width="13.7109375" style="980" customWidth="1"/>
    <col min="45" max="65" width="12.7109375" style="980" customWidth="1"/>
    <col min="66" max="66" width="20.7109375" style="980" customWidth="1"/>
    <col min="67" max="67" width="55.5703125" style="980" customWidth="1"/>
    <col min="68" max="87" width="12.7109375" style="980" customWidth="1"/>
    <col min="88" max="88" width="20.7109375" style="980" customWidth="1"/>
    <col min="89" max="89" width="8.7109375" style="980" customWidth="1"/>
    <col min="90" max="90" width="43.85546875" style="980" customWidth="1"/>
    <col min="91" max="92" width="14.7109375" style="980" customWidth="1"/>
    <col min="93" max="93" width="20.7109375" style="980" customWidth="1"/>
    <col min="94" max="94" width="9.140625" style="980" customWidth="1"/>
    <col min="95" max="95" width="48.5703125" style="980" customWidth="1"/>
    <col min="96" max="99" width="14.7109375" style="980" customWidth="1"/>
    <col min="100" max="100" width="80.7109375" style="980" customWidth="1"/>
    <col min="101" max="104" width="14.7109375" style="980" customWidth="1"/>
    <col min="105" max="105" width="80.7109375" style="980" customWidth="1"/>
    <col min="106" max="109" width="14.7109375" style="980" customWidth="1"/>
    <col min="110" max="110" width="20.7109375" style="980" customWidth="1"/>
    <col min="111" max="111" width="32" style="980" customWidth="1"/>
    <col min="112" max="258" width="12.7109375" style="980" customWidth="1"/>
    <col min="259" max="259" width="20.7109375" style="980" customWidth="1"/>
    <col min="260" max="260" width="10.7109375" style="980" customWidth="1"/>
    <col min="261" max="261" width="27.85546875" style="980" customWidth="1"/>
    <col min="262" max="262" width="54.7109375" style="980" customWidth="1"/>
    <col min="263" max="263" width="12.7109375" style="980" customWidth="1"/>
    <col min="264" max="264" width="72.7109375" style="980" customWidth="1"/>
    <col min="265" max="265" width="12.7109375" style="980" customWidth="1"/>
    <col min="266" max="266" width="75.7109375" style="980" customWidth="1"/>
    <col min="267" max="267" width="12.7109375" style="980" customWidth="1"/>
    <col min="268" max="268" width="90.7109375" style="980" customWidth="1"/>
    <col min="269" max="269" width="12.7109375" style="980" customWidth="1"/>
    <col min="270" max="270" width="54.7109375" style="980" customWidth="1"/>
    <col min="271" max="271" width="12.7109375" style="980" customWidth="1"/>
    <col min="272" max="272" width="95.7109375" style="980" customWidth="1"/>
    <col min="273" max="273" width="12.7109375" style="980" customWidth="1"/>
    <col min="274" max="274" width="54.7109375" style="980" customWidth="1"/>
    <col min="275" max="275" width="12.7109375" style="980" customWidth="1"/>
    <col min="276" max="276" width="20.7109375" style="980" customWidth="1"/>
    <col min="277" max="277" width="32.7109375" style="980" customWidth="1"/>
    <col min="278" max="424" width="12.7109375" style="980" customWidth="1"/>
    <col min="425" max="16384" width="9.140625" style="980"/>
  </cols>
  <sheetData>
    <row r="1" spans="1:70" s="1068" customFormat="1" hidden="1">
      <c r="BP1" s="1719"/>
      <c r="BQ1" s="1719"/>
      <c r="BR1" s="1719"/>
    </row>
    <row r="2" spans="1:70" s="1068" customFormat="1" ht="30" hidden="1" customHeight="1">
      <c r="A2" s="1069" t="s">
        <v>338</v>
      </c>
      <c r="C2" s="1750">
        <v>8</v>
      </c>
      <c r="D2" s="1070" t="str">
        <f>VLOOKUP(C2,Inst_Tables,2,FALSE)</f>
        <v>Glasgow, University of</v>
      </c>
    </row>
    <row r="3" spans="1:70" s="1068" customFormat="1" ht="18" hidden="1" customHeight="1"/>
    <row r="4" spans="1:70" s="1068" customFormat="1" ht="20.100000000000001" hidden="1" customHeight="1">
      <c r="A4" s="1071" t="s">
        <v>339</v>
      </c>
      <c r="C4" s="1072"/>
      <c r="D4" s="1073"/>
      <c r="E4" s="1074"/>
      <c r="F4" s="1074"/>
      <c r="G4" s="1074"/>
      <c r="H4" s="1074"/>
      <c r="I4" s="1074"/>
      <c r="J4" s="1074"/>
      <c r="K4" s="1074"/>
      <c r="L4" s="1074"/>
      <c r="M4" s="1074"/>
      <c r="N4" s="1074"/>
      <c r="O4" s="1075"/>
      <c r="P4" s="1076"/>
      <c r="Q4" s="1076"/>
      <c r="R4" s="1076"/>
      <c r="S4" s="981"/>
      <c r="T4" s="981"/>
      <c r="U4" s="981"/>
      <c r="V4" s="981"/>
      <c r="W4" s="1077"/>
      <c r="X4" s="1078"/>
      <c r="Y4" s="1078"/>
      <c r="Z4" s="1078"/>
      <c r="AA4" s="1078"/>
      <c r="AB4" s="1078"/>
      <c r="AC4" s="1078"/>
      <c r="AD4" s="1078"/>
      <c r="AE4" s="1078"/>
      <c r="AF4" s="1078"/>
      <c r="AX4" s="1079"/>
    </row>
    <row r="5" spans="1:70" s="1068" customFormat="1" ht="9.9499999999999993" hidden="1" customHeight="1" thickBot="1">
      <c r="B5" s="1080"/>
      <c r="D5" s="1080"/>
      <c r="F5" s="1080"/>
      <c r="H5" s="1080"/>
      <c r="J5" s="1080"/>
      <c r="L5" s="1080"/>
      <c r="N5" s="1080"/>
      <c r="P5" s="1080"/>
      <c r="R5" s="1080"/>
      <c r="T5" s="1080"/>
      <c r="V5" s="1080"/>
      <c r="X5" s="1080"/>
      <c r="Z5" s="1080"/>
      <c r="AB5" s="1080"/>
      <c r="AD5" s="1080"/>
      <c r="AF5" s="1080"/>
      <c r="AH5" s="1080"/>
      <c r="AJ5" s="1080"/>
      <c r="AL5" s="1080"/>
      <c r="AN5" s="1080"/>
      <c r="AX5" s="1079"/>
    </row>
    <row r="6" spans="1:70" s="1125" customFormat="1" ht="30" hidden="1" customHeight="1">
      <c r="A6" s="1138"/>
      <c r="B6" s="1139"/>
      <c r="C6" s="1915" t="s">
        <v>348</v>
      </c>
      <c r="D6" s="1916"/>
      <c r="E6" s="1917"/>
      <c r="F6" s="1909" t="s">
        <v>340</v>
      </c>
      <c r="G6" s="1910"/>
      <c r="H6" s="1910"/>
      <c r="I6" s="1910"/>
      <c r="J6" s="1910"/>
      <c r="K6" s="1910"/>
      <c r="L6" s="1911"/>
      <c r="M6" s="1920" t="s">
        <v>363</v>
      </c>
      <c r="N6" s="1921"/>
      <c r="O6" s="1921"/>
      <c r="P6" s="1921"/>
      <c r="Q6" s="1921"/>
      <c r="R6" s="1921"/>
      <c r="S6" s="1921"/>
      <c r="T6" s="1921"/>
      <c r="U6" s="1921"/>
      <c r="V6" s="1921"/>
      <c r="W6" s="1921"/>
      <c r="X6" s="1921"/>
      <c r="Y6" s="1921"/>
      <c r="Z6" s="1921"/>
      <c r="AA6" s="1921"/>
      <c r="AB6" s="1921"/>
      <c r="AC6" s="1921"/>
      <c r="AD6" s="1921"/>
      <c r="AE6" s="1921"/>
      <c r="AF6" s="1921"/>
      <c r="AG6" s="1921"/>
      <c r="AH6" s="1921"/>
      <c r="AI6" s="1921"/>
      <c r="AJ6" s="1921"/>
      <c r="AK6" s="1921"/>
      <c r="AL6" s="1921"/>
      <c r="AM6" s="1921"/>
      <c r="AN6" s="1921"/>
      <c r="AO6" s="1921"/>
      <c r="AP6" s="1921"/>
      <c r="AQ6" s="1921"/>
      <c r="AR6" s="1921"/>
      <c r="AS6" s="1921"/>
      <c r="AT6" s="1921"/>
      <c r="AU6" s="1921"/>
      <c r="AV6" s="1921"/>
      <c r="AW6" s="1921"/>
      <c r="AX6" s="1921"/>
      <c r="AY6" s="1921"/>
      <c r="AZ6" s="1921"/>
      <c r="BA6" s="1921"/>
      <c r="BB6" s="1921"/>
      <c r="BC6" s="1921"/>
      <c r="BD6" s="1921"/>
      <c r="BE6" s="1921"/>
      <c r="BF6" s="1921"/>
      <c r="BG6" s="1921"/>
      <c r="BH6" s="1921"/>
      <c r="BI6" s="1921"/>
      <c r="BJ6" s="1922"/>
    </row>
    <row r="7" spans="1:70" s="1125" customFormat="1" ht="69.95" hidden="1" customHeight="1">
      <c r="A7" s="1905" t="s">
        <v>218</v>
      </c>
      <c r="B7" s="1906"/>
      <c r="C7" s="1918" t="s">
        <v>164</v>
      </c>
      <c r="D7" s="1919"/>
      <c r="E7" s="1907" t="s">
        <v>349</v>
      </c>
      <c r="F7" s="1144" t="s">
        <v>355</v>
      </c>
      <c r="G7" s="1126" t="s">
        <v>356</v>
      </c>
      <c r="H7" s="1126" t="s">
        <v>359</v>
      </c>
      <c r="I7" s="1126" t="s">
        <v>357</v>
      </c>
      <c r="J7" s="1126" t="s">
        <v>360</v>
      </c>
      <c r="K7" s="1126" t="s">
        <v>361</v>
      </c>
      <c r="L7" s="1151" t="s">
        <v>362</v>
      </c>
      <c r="M7" s="1538" t="s">
        <v>356</v>
      </c>
      <c r="N7" s="1912" t="s">
        <v>350</v>
      </c>
      <c r="O7" s="1913"/>
      <c r="P7" s="1913"/>
      <c r="Q7" s="1913"/>
      <c r="R7" s="1914"/>
      <c r="S7" s="1912" t="s">
        <v>377</v>
      </c>
      <c r="T7" s="1913"/>
      <c r="U7" s="1912" t="s">
        <v>381</v>
      </c>
      <c r="V7" s="1913"/>
      <c r="W7" s="1913"/>
      <c r="X7" s="1913"/>
      <c r="Y7" s="1913"/>
      <c r="Z7" s="1913"/>
      <c r="AA7" s="1913"/>
      <c r="AB7" s="1913"/>
      <c r="AC7" s="1913"/>
      <c r="AD7" s="1913"/>
      <c r="AE7" s="1913"/>
      <c r="AF7" s="1913"/>
      <c r="AG7" s="1913"/>
      <c r="AH7" s="1913"/>
      <c r="AI7" s="1913"/>
      <c r="AJ7" s="1913"/>
      <c r="AK7" s="1913"/>
      <c r="AL7" s="1913"/>
      <c r="AM7" s="1913"/>
      <c r="AN7" s="1913"/>
      <c r="AO7" s="1914"/>
      <c r="AP7" s="1912" t="s">
        <v>384</v>
      </c>
      <c r="AQ7" s="1913"/>
      <c r="AR7" s="1913"/>
      <c r="AS7" s="1913"/>
      <c r="AT7" s="1913"/>
      <c r="AU7" s="1913"/>
      <c r="AV7" s="1913"/>
      <c r="AW7" s="1913"/>
      <c r="AX7" s="1913"/>
      <c r="AY7" s="1913"/>
      <c r="AZ7" s="1913"/>
      <c r="BA7" s="1913"/>
      <c r="BB7" s="1913"/>
      <c r="BC7" s="1913"/>
      <c r="BD7" s="1913"/>
      <c r="BE7" s="1913"/>
      <c r="BF7" s="1913"/>
      <c r="BG7" s="1913"/>
      <c r="BH7" s="1913"/>
      <c r="BI7" s="1913"/>
      <c r="BJ7" s="1963"/>
    </row>
    <row r="8" spans="1:70" s="1125" customFormat="1" ht="50.1" hidden="1" customHeight="1">
      <c r="A8" s="1081" t="s">
        <v>358</v>
      </c>
      <c r="B8" s="1116" t="s">
        <v>84</v>
      </c>
      <c r="C8" s="1127" t="s">
        <v>22</v>
      </c>
      <c r="D8" s="1128" t="s">
        <v>2</v>
      </c>
      <c r="E8" s="1908"/>
      <c r="F8" s="1149"/>
      <c r="G8" s="1129"/>
      <c r="H8" s="1129"/>
      <c r="I8" s="1129"/>
      <c r="J8" s="1129"/>
      <c r="K8" s="1129"/>
      <c r="L8" s="1145"/>
      <c r="M8" s="1130" t="s">
        <v>351</v>
      </c>
      <c r="N8" s="1131" t="s">
        <v>112</v>
      </c>
      <c r="O8" s="1132" t="s">
        <v>352</v>
      </c>
      <c r="P8" s="1132" t="s">
        <v>353</v>
      </c>
      <c r="Q8" s="1266" t="s">
        <v>372</v>
      </c>
      <c r="R8" s="1266" t="s">
        <v>354</v>
      </c>
      <c r="S8" s="1384" t="s">
        <v>112</v>
      </c>
      <c r="T8" s="1440" t="s">
        <v>351</v>
      </c>
      <c r="U8" s="1743" t="s">
        <v>172</v>
      </c>
      <c r="V8" s="1436" t="s">
        <v>176</v>
      </c>
      <c r="W8" s="1039" t="s">
        <v>177</v>
      </c>
      <c r="X8" s="1744" t="s">
        <v>178</v>
      </c>
      <c r="Y8" s="1040" t="s">
        <v>179</v>
      </c>
      <c r="Z8" s="1040" t="s">
        <v>180</v>
      </c>
      <c r="AA8" s="1040" t="s">
        <v>181</v>
      </c>
      <c r="AB8" s="1040" t="s">
        <v>182</v>
      </c>
      <c r="AC8" s="1040" t="s">
        <v>183</v>
      </c>
      <c r="AD8" s="1040" t="s">
        <v>184</v>
      </c>
      <c r="AE8" s="1040" t="s">
        <v>185</v>
      </c>
      <c r="AF8" s="1744" t="s">
        <v>186</v>
      </c>
      <c r="AG8" s="1040" t="s">
        <v>187</v>
      </c>
      <c r="AH8" s="1744" t="s">
        <v>188</v>
      </c>
      <c r="AI8" s="1744" t="s">
        <v>189</v>
      </c>
      <c r="AJ8" s="1040" t="s">
        <v>190</v>
      </c>
      <c r="AK8" s="1744" t="s">
        <v>191</v>
      </c>
      <c r="AL8" s="1040" t="s">
        <v>192</v>
      </c>
      <c r="AM8" s="1744" t="s">
        <v>193</v>
      </c>
      <c r="AN8" s="1744" t="s">
        <v>194</v>
      </c>
      <c r="AO8" s="1445" t="s">
        <v>195</v>
      </c>
      <c r="AP8" s="1743" t="s">
        <v>172</v>
      </c>
      <c r="AQ8" s="1436" t="s">
        <v>176</v>
      </c>
      <c r="AR8" s="1039" t="s">
        <v>177</v>
      </c>
      <c r="AS8" s="1744" t="s">
        <v>178</v>
      </c>
      <c r="AT8" s="1040" t="s">
        <v>179</v>
      </c>
      <c r="AU8" s="1040" t="s">
        <v>180</v>
      </c>
      <c r="AV8" s="1040" t="s">
        <v>181</v>
      </c>
      <c r="AW8" s="1040" t="s">
        <v>182</v>
      </c>
      <c r="AX8" s="1040" t="s">
        <v>183</v>
      </c>
      <c r="AY8" s="1040" t="s">
        <v>184</v>
      </c>
      <c r="AZ8" s="1040" t="s">
        <v>185</v>
      </c>
      <c r="BA8" s="1744" t="s">
        <v>186</v>
      </c>
      <c r="BB8" s="1040" t="s">
        <v>187</v>
      </c>
      <c r="BC8" s="1744" t="s">
        <v>188</v>
      </c>
      <c r="BD8" s="1744" t="s">
        <v>189</v>
      </c>
      <c r="BE8" s="1040" t="s">
        <v>190</v>
      </c>
      <c r="BF8" s="1744" t="s">
        <v>191</v>
      </c>
      <c r="BG8" s="1040" t="s">
        <v>192</v>
      </c>
      <c r="BH8" s="1744" t="s">
        <v>193</v>
      </c>
      <c r="BI8" s="1744" t="s">
        <v>194</v>
      </c>
      <c r="BJ8" s="1041" t="s">
        <v>195</v>
      </c>
    </row>
    <row r="9" spans="1:70" s="1125" customFormat="1" ht="24.95" hidden="1" customHeight="1">
      <c r="A9" s="1485">
        <v>1</v>
      </c>
      <c r="B9" s="1486">
        <v>2</v>
      </c>
      <c r="C9" s="1133">
        <v>3</v>
      </c>
      <c r="D9" s="1134">
        <v>4</v>
      </c>
      <c r="E9" s="1135">
        <v>5</v>
      </c>
      <c r="F9" s="1150">
        <v>6</v>
      </c>
      <c r="G9" s="1137">
        <v>7</v>
      </c>
      <c r="H9" s="1137">
        <v>8</v>
      </c>
      <c r="I9" s="1137">
        <v>9</v>
      </c>
      <c r="J9" s="1137">
        <v>10</v>
      </c>
      <c r="K9" s="1137">
        <v>11</v>
      </c>
      <c r="L9" s="1152">
        <v>12</v>
      </c>
      <c r="M9" s="1136">
        <v>13</v>
      </c>
      <c r="N9" s="1137">
        <v>14</v>
      </c>
      <c r="O9" s="1137">
        <v>15</v>
      </c>
      <c r="P9" s="1137">
        <v>16</v>
      </c>
      <c r="Q9" s="1137">
        <v>17</v>
      </c>
      <c r="R9" s="1137">
        <v>18</v>
      </c>
      <c r="S9" s="1137">
        <v>19</v>
      </c>
      <c r="T9" s="1134">
        <v>20</v>
      </c>
      <c r="U9" s="1487">
        <v>21</v>
      </c>
      <c r="V9" s="1487">
        <v>22</v>
      </c>
      <c r="W9" s="1137">
        <v>23</v>
      </c>
      <c r="X9" s="1137">
        <v>24</v>
      </c>
      <c r="Y9" s="1137">
        <v>25</v>
      </c>
      <c r="Z9" s="1137">
        <v>26</v>
      </c>
      <c r="AA9" s="1137">
        <v>27</v>
      </c>
      <c r="AB9" s="1137">
        <v>28</v>
      </c>
      <c r="AC9" s="1137">
        <v>29</v>
      </c>
      <c r="AD9" s="1137">
        <v>30</v>
      </c>
      <c r="AE9" s="1137">
        <v>31</v>
      </c>
      <c r="AF9" s="1137">
        <v>32</v>
      </c>
      <c r="AG9" s="1137">
        <v>33</v>
      </c>
      <c r="AH9" s="1137">
        <v>34</v>
      </c>
      <c r="AI9" s="1137">
        <v>35</v>
      </c>
      <c r="AJ9" s="1137">
        <v>36</v>
      </c>
      <c r="AK9" s="1137">
        <v>37</v>
      </c>
      <c r="AL9" s="1137">
        <v>38</v>
      </c>
      <c r="AM9" s="1137">
        <v>39</v>
      </c>
      <c r="AN9" s="1137">
        <v>40</v>
      </c>
      <c r="AO9" s="1487">
        <v>41</v>
      </c>
      <c r="AP9" s="1487">
        <v>42</v>
      </c>
      <c r="AQ9" s="1487">
        <v>43</v>
      </c>
      <c r="AR9" s="1137">
        <v>44</v>
      </c>
      <c r="AS9" s="1137">
        <v>45</v>
      </c>
      <c r="AT9" s="1137">
        <v>46</v>
      </c>
      <c r="AU9" s="1137">
        <v>47</v>
      </c>
      <c r="AV9" s="1137">
        <v>48</v>
      </c>
      <c r="AW9" s="1137">
        <v>49</v>
      </c>
      <c r="AX9" s="1137">
        <v>50</v>
      </c>
      <c r="AY9" s="1137">
        <v>51</v>
      </c>
      <c r="AZ9" s="1137">
        <v>52</v>
      </c>
      <c r="BA9" s="1137">
        <v>53</v>
      </c>
      <c r="BB9" s="1137">
        <v>54</v>
      </c>
      <c r="BC9" s="1137">
        <v>55</v>
      </c>
      <c r="BD9" s="1137">
        <v>56</v>
      </c>
      <c r="BE9" s="1137">
        <v>57</v>
      </c>
      <c r="BF9" s="1137">
        <v>58</v>
      </c>
      <c r="BG9" s="1137">
        <v>59</v>
      </c>
      <c r="BH9" s="1137">
        <v>60</v>
      </c>
      <c r="BI9" s="1137">
        <v>61</v>
      </c>
      <c r="BJ9" s="1537">
        <v>62</v>
      </c>
    </row>
    <row r="10" spans="1:70" s="1068" customFormat="1" ht="24.95" hidden="1" customHeight="1">
      <c r="A10" s="1143">
        <v>1</v>
      </c>
      <c r="B10" s="1140" t="s">
        <v>245</v>
      </c>
      <c r="C10" s="1084">
        <v>3</v>
      </c>
      <c r="D10" s="1085">
        <v>4</v>
      </c>
      <c r="E10" s="1086">
        <v>45</v>
      </c>
      <c r="F10" s="1146">
        <f>IF(C39&gt;0,1,0)</f>
        <v>1</v>
      </c>
      <c r="G10" s="1083">
        <f>IF(D39&gt;0,1,0)</f>
        <v>0</v>
      </c>
      <c r="H10" s="1083">
        <f>IF(SUM(AE39:AF39)&gt;0,1,0)</f>
        <v>1</v>
      </c>
      <c r="I10" s="1083">
        <f>IF(SUM(E39:G39)&gt;0,1,0)</f>
        <v>0</v>
      </c>
      <c r="J10" s="1083">
        <v>1</v>
      </c>
      <c r="K10" s="1083">
        <f>IF(SUM(T39,AD39)&gt;0,1,0)</f>
        <v>1</v>
      </c>
      <c r="L10" s="1530">
        <v>1</v>
      </c>
      <c r="M10" s="1160">
        <v>2</v>
      </c>
      <c r="N10" s="1267"/>
      <c r="O10" s="1268"/>
      <c r="P10" s="1267"/>
      <c r="Q10" s="1267"/>
      <c r="R10" s="1267"/>
      <c r="S10" s="1385">
        <v>3</v>
      </c>
      <c r="T10" s="1441">
        <v>4</v>
      </c>
      <c r="U10" s="1437">
        <v>2</v>
      </c>
      <c r="V10" s="1439">
        <f>U10+1</f>
        <v>3</v>
      </c>
      <c r="W10" s="1439">
        <f t="shared" ref="W10:AO10" si="0">V10+1</f>
        <v>4</v>
      </c>
      <c r="X10" s="1439">
        <f t="shared" si="0"/>
        <v>5</v>
      </c>
      <c r="Y10" s="1439">
        <f t="shared" si="0"/>
        <v>6</v>
      </c>
      <c r="Z10" s="1439">
        <f t="shared" si="0"/>
        <v>7</v>
      </c>
      <c r="AA10" s="1439">
        <f t="shared" si="0"/>
        <v>8</v>
      </c>
      <c r="AB10" s="1439">
        <f t="shared" si="0"/>
        <v>9</v>
      </c>
      <c r="AC10" s="1439">
        <f t="shared" si="0"/>
        <v>10</v>
      </c>
      <c r="AD10" s="1439">
        <f t="shared" si="0"/>
        <v>11</v>
      </c>
      <c r="AE10" s="1439">
        <f t="shared" si="0"/>
        <v>12</v>
      </c>
      <c r="AF10" s="1439">
        <f t="shared" si="0"/>
        <v>13</v>
      </c>
      <c r="AG10" s="1439">
        <f t="shared" si="0"/>
        <v>14</v>
      </c>
      <c r="AH10" s="1439">
        <f t="shared" si="0"/>
        <v>15</v>
      </c>
      <c r="AI10" s="1439">
        <f t="shared" si="0"/>
        <v>16</v>
      </c>
      <c r="AJ10" s="1439">
        <f t="shared" si="0"/>
        <v>17</v>
      </c>
      <c r="AK10" s="1439">
        <f t="shared" si="0"/>
        <v>18</v>
      </c>
      <c r="AL10" s="1439">
        <f t="shared" si="0"/>
        <v>19</v>
      </c>
      <c r="AM10" s="1439">
        <f t="shared" si="0"/>
        <v>20</v>
      </c>
      <c r="AN10" s="1439">
        <f t="shared" si="0"/>
        <v>21</v>
      </c>
      <c r="AO10" s="1439">
        <f t="shared" si="0"/>
        <v>22</v>
      </c>
      <c r="AP10" s="1439">
        <v>2</v>
      </c>
      <c r="AQ10" s="1439">
        <f>AP10+1</f>
        <v>3</v>
      </c>
      <c r="AR10" s="1439">
        <f t="shared" ref="AR10:BJ10" si="1">AQ10+1</f>
        <v>4</v>
      </c>
      <c r="AS10" s="1439">
        <f t="shared" si="1"/>
        <v>5</v>
      </c>
      <c r="AT10" s="1439">
        <f t="shared" si="1"/>
        <v>6</v>
      </c>
      <c r="AU10" s="1439">
        <f t="shared" si="1"/>
        <v>7</v>
      </c>
      <c r="AV10" s="1439">
        <f t="shared" si="1"/>
        <v>8</v>
      </c>
      <c r="AW10" s="1439">
        <f t="shared" si="1"/>
        <v>9</v>
      </c>
      <c r="AX10" s="1439">
        <f t="shared" si="1"/>
        <v>10</v>
      </c>
      <c r="AY10" s="1439">
        <f t="shared" si="1"/>
        <v>11</v>
      </c>
      <c r="AZ10" s="1439">
        <f t="shared" si="1"/>
        <v>12</v>
      </c>
      <c r="BA10" s="1439">
        <f t="shared" si="1"/>
        <v>13</v>
      </c>
      <c r="BB10" s="1439">
        <f t="shared" si="1"/>
        <v>14</v>
      </c>
      <c r="BC10" s="1439">
        <f t="shared" si="1"/>
        <v>15</v>
      </c>
      <c r="BD10" s="1439">
        <f t="shared" si="1"/>
        <v>16</v>
      </c>
      <c r="BE10" s="1439">
        <f t="shared" si="1"/>
        <v>17</v>
      </c>
      <c r="BF10" s="1439">
        <f t="shared" si="1"/>
        <v>18</v>
      </c>
      <c r="BG10" s="1439">
        <f t="shared" si="1"/>
        <v>19</v>
      </c>
      <c r="BH10" s="1439">
        <f t="shared" si="1"/>
        <v>20</v>
      </c>
      <c r="BI10" s="1439">
        <f t="shared" si="1"/>
        <v>21</v>
      </c>
      <c r="BJ10" s="1531">
        <f t="shared" si="1"/>
        <v>22</v>
      </c>
    </row>
    <row r="11" spans="1:70" s="1068" customFormat="1" ht="20.100000000000001" hidden="1" customHeight="1">
      <c r="A11" s="1082">
        <v>2</v>
      </c>
      <c r="B11" s="1087" t="s">
        <v>246</v>
      </c>
      <c r="C11" s="1084">
        <f>C10+2</f>
        <v>5</v>
      </c>
      <c r="D11" s="1085">
        <f>D10+2</f>
        <v>6</v>
      </c>
      <c r="E11" s="1086">
        <v>46</v>
      </c>
      <c r="F11" s="1146">
        <f t="shared" ref="F11:F28" si="2">IF(C40&gt;0,1,0)</f>
        <v>1</v>
      </c>
      <c r="G11" s="1083">
        <f t="shared" ref="G11:G28" si="3">IF(D40&gt;0,1,0)</f>
        <v>0</v>
      </c>
      <c r="H11" s="1083">
        <f t="shared" ref="H11:H28" si="4">IF(SUM(AE40:AF40)&gt;0,1,0)</f>
        <v>0</v>
      </c>
      <c r="I11" s="1083">
        <f t="shared" ref="I11:I28" si="5">IF(SUM(E40:G40)&gt;0,1,0)</f>
        <v>0</v>
      </c>
      <c r="J11" s="1083">
        <v>0</v>
      </c>
      <c r="K11" s="1083">
        <f t="shared" ref="K11:K28" si="6">IF(SUM(T40,AD40)&gt;0,1,0)</f>
        <v>0</v>
      </c>
      <c r="L11" s="1530">
        <v>0</v>
      </c>
      <c r="M11" s="1160">
        <v>3</v>
      </c>
      <c r="N11" s="1153"/>
      <c r="O11" s="1269"/>
      <c r="P11" s="1153"/>
      <c r="Q11" s="1153"/>
      <c r="R11" s="1153"/>
      <c r="S11" s="1153"/>
      <c r="T11" s="1442"/>
      <c r="U11" s="1437"/>
      <c r="V11" s="1437"/>
      <c r="W11" s="1437"/>
      <c r="X11" s="1437"/>
      <c r="Y11" s="1437"/>
      <c r="Z11" s="1437"/>
      <c r="AA11" s="1437"/>
      <c r="AB11" s="1437"/>
      <c r="AC11" s="1437"/>
      <c r="AD11" s="1437"/>
      <c r="AE11" s="1437"/>
      <c r="AF11" s="1437"/>
      <c r="AG11" s="1437"/>
      <c r="AH11" s="1437"/>
      <c r="AI11" s="1437"/>
      <c r="AJ11" s="1437"/>
      <c r="AK11" s="1437"/>
      <c r="AL11" s="1437"/>
      <c r="AM11" s="1437"/>
      <c r="AN11" s="1437"/>
      <c r="AO11" s="1437"/>
      <c r="AP11" s="1437"/>
      <c r="AQ11" s="1437"/>
      <c r="AR11" s="1437"/>
      <c r="AS11" s="1437"/>
      <c r="AT11" s="1437"/>
      <c r="AU11" s="1437"/>
      <c r="AV11" s="1437"/>
      <c r="AW11" s="1437"/>
      <c r="AX11" s="1437"/>
      <c r="AY11" s="1437"/>
      <c r="AZ11" s="1437"/>
      <c r="BA11" s="1437"/>
      <c r="BB11" s="1437"/>
      <c r="BC11" s="1437"/>
      <c r="BD11" s="1437"/>
      <c r="BE11" s="1437"/>
      <c r="BF11" s="1437"/>
      <c r="BG11" s="1437"/>
      <c r="BH11" s="1437"/>
      <c r="BI11" s="1437"/>
      <c r="BJ11" s="1532"/>
    </row>
    <row r="12" spans="1:70" s="1068" customFormat="1" ht="20.100000000000001" hidden="1" customHeight="1">
      <c r="A12" s="1082">
        <v>3</v>
      </c>
      <c r="B12" s="1087" t="s">
        <v>247</v>
      </c>
      <c r="C12" s="1084">
        <f t="shared" ref="C12:D12" si="7">C11+2</f>
        <v>7</v>
      </c>
      <c r="D12" s="1085">
        <f t="shared" si="7"/>
        <v>8</v>
      </c>
      <c r="E12" s="1086">
        <v>47</v>
      </c>
      <c r="F12" s="1146">
        <f t="shared" si="2"/>
        <v>1</v>
      </c>
      <c r="G12" s="1083">
        <f t="shared" si="3"/>
        <v>0</v>
      </c>
      <c r="H12" s="1083">
        <f t="shared" si="4"/>
        <v>1</v>
      </c>
      <c r="I12" s="1083">
        <f t="shared" si="5"/>
        <v>0</v>
      </c>
      <c r="J12" s="1083">
        <v>1</v>
      </c>
      <c r="K12" s="1083">
        <f t="shared" si="6"/>
        <v>1</v>
      </c>
      <c r="L12" s="1530">
        <v>1</v>
      </c>
      <c r="M12" s="1160">
        <v>4</v>
      </c>
      <c r="N12" s="1153"/>
      <c r="O12" s="1269"/>
      <c r="P12" s="1153"/>
      <c r="Q12" s="1153"/>
      <c r="R12" s="1153"/>
      <c r="S12" s="1386">
        <v>5</v>
      </c>
      <c r="T12" s="1443">
        <v>6</v>
      </c>
      <c r="U12" s="1437">
        <f>AO10+1</f>
        <v>23</v>
      </c>
      <c r="V12" s="1437">
        <f t="shared" ref="V12:AO12" si="8">U12+1</f>
        <v>24</v>
      </c>
      <c r="W12" s="1437">
        <f t="shared" si="8"/>
        <v>25</v>
      </c>
      <c r="X12" s="1437">
        <f t="shared" si="8"/>
        <v>26</v>
      </c>
      <c r="Y12" s="1437">
        <f t="shared" si="8"/>
        <v>27</v>
      </c>
      <c r="Z12" s="1437">
        <f t="shared" si="8"/>
        <v>28</v>
      </c>
      <c r="AA12" s="1437">
        <f t="shared" si="8"/>
        <v>29</v>
      </c>
      <c r="AB12" s="1437">
        <f t="shared" si="8"/>
        <v>30</v>
      </c>
      <c r="AC12" s="1437">
        <f t="shared" si="8"/>
        <v>31</v>
      </c>
      <c r="AD12" s="1437">
        <f t="shared" si="8"/>
        <v>32</v>
      </c>
      <c r="AE12" s="1437">
        <f t="shared" si="8"/>
        <v>33</v>
      </c>
      <c r="AF12" s="1437">
        <f t="shared" si="8"/>
        <v>34</v>
      </c>
      <c r="AG12" s="1437">
        <f t="shared" si="8"/>
        <v>35</v>
      </c>
      <c r="AH12" s="1437">
        <f t="shared" si="8"/>
        <v>36</v>
      </c>
      <c r="AI12" s="1437">
        <f t="shared" si="8"/>
        <v>37</v>
      </c>
      <c r="AJ12" s="1437">
        <f t="shared" si="8"/>
        <v>38</v>
      </c>
      <c r="AK12" s="1437">
        <f t="shared" si="8"/>
        <v>39</v>
      </c>
      <c r="AL12" s="1437">
        <f t="shared" si="8"/>
        <v>40</v>
      </c>
      <c r="AM12" s="1437">
        <f t="shared" si="8"/>
        <v>41</v>
      </c>
      <c r="AN12" s="1437">
        <f t="shared" si="8"/>
        <v>42</v>
      </c>
      <c r="AO12" s="1437">
        <f t="shared" si="8"/>
        <v>43</v>
      </c>
      <c r="AP12" s="1437">
        <f>BJ10+1</f>
        <v>23</v>
      </c>
      <c r="AQ12" s="1437">
        <f t="shared" ref="AQ12:BJ12" si="9">AP12+1</f>
        <v>24</v>
      </c>
      <c r="AR12" s="1437">
        <f t="shared" si="9"/>
        <v>25</v>
      </c>
      <c r="AS12" s="1437">
        <f t="shared" si="9"/>
        <v>26</v>
      </c>
      <c r="AT12" s="1437">
        <f t="shared" si="9"/>
        <v>27</v>
      </c>
      <c r="AU12" s="1437">
        <f t="shared" si="9"/>
        <v>28</v>
      </c>
      <c r="AV12" s="1437">
        <f t="shared" si="9"/>
        <v>29</v>
      </c>
      <c r="AW12" s="1437">
        <f t="shared" si="9"/>
        <v>30</v>
      </c>
      <c r="AX12" s="1437">
        <f t="shared" si="9"/>
        <v>31</v>
      </c>
      <c r="AY12" s="1437">
        <f t="shared" si="9"/>
        <v>32</v>
      </c>
      <c r="AZ12" s="1437">
        <f t="shared" si="9"/>
        <v>33</v>
      </c>
      <c r="BA12" s="1437">
        <f t="shared" si="9"/>
        <v>34</v>
      </c>
      <c r="BB12" s="1437">
        <f t="shared" si="9"/>
        <v>35</v>
      </c>
      <c r="BC12" s="1437">
        <f t="shared" si="9"/>
        <v>36</v>
      </c>
      <c r="BD12" s="1437">
        <f t="shared" si="9"/>
        <v>37</v>
      </c>
      <c r="BE12" s="1437">
        <f t="shared" si="9"/>
        <v>38</v>
      </c>
      <c r="BF12" s="1437">
        <f t="shared" si="9"/>
        <v>39</v>
      </c>
      <c r="BG12" s="1437">
        <f t="shared" si="9"/>
        <v>40</v>
      </c>
      <c r="BH12" s="1437">
        <f t="shared" si="9"/>
        <v>41</v>
      </c>
      <c r="BI12" s="1437">
        <f t="shared" si="9"/>
        <v>42</v>
      </c>
      <c r="BJ12" s="1532">
        <f t="shared" si="9"/>
        <v>43</v>
      </c>
    </row>
    <row r="13" spans="1:70" s="1068" customFormat="1" ht="20.100000000000001" hidden="1" customHeight="1">
      <c r="A13" s="1082">
        <v>4</v>
      </c>
      <c r="B13" s="1087" t="s">
        <v>60</v>
      </c>
      <c r="C13" s="1084">
        <f t="shared" ref="C13:D13" si="10">C12+2</f>
        <v>9</v>
      </c>
      <c r="D13" s="1085">
        <f t="shared" si="10"/>
        <v>10</v>
      </c>
      <c r="E13" s="1086">
        <v>48</v>
      </c>
      <c r="F13" s="1146">
        <f t="shared" si="2"/>
        <v>1</v>
      </c>
      <c r="G13" s="1083">
        <f t="shared" si="3"/>
        <v>1</v>
      </c>
      <c r="H13" s="1083">
        <f t="shared" si="4"/>
        <v>0</v>
      </c>
      <c r="I13" s="1083">
        <f t="shared" si="5"/>
        <v>0</v>
      </c>
      <c r="J13" s="1083">
        <v>0</v>
      </c>
      <c r="K13" s="1083">
        <f t="shared" si="6"/>
        <v>0</v>
      </c>
      <c r="L13" s="1530">
        <v>0</v>
      </c>
      <c r="M13" s="1160">
        <v>5</v>
      </c>
      <c r="N13" s="1153"/>
      <c r="O13" s="1269"/>
      <c r="P13" s="1153"/>
      <c r="Q13" s="1153"/>
      <c r="R13" s="1153"/>
      <c r="S13" s="1153"/>
      <c r="T13" s="1442"/>
      <c r="U13" s="1437"/>
      <c r="V13" s="1437"/>
      <c r="W13" s="1437"/>
      <c r="X13" s="1437"/>
      <c r="Y13" s="1437"/>
      <c r="Z13" s="1437"/>
      <c r="AA13" s="1437"/>
      <c r="AB13" s="1437"/>
      <c r="AC13" s="1437"/>
      <c r="AD13" s="1437"/>
      <c r="AE13" s="1437"/>
      <c r="AF13" s="1437"/>
      <c r="AG13" s="1437"/>
      <c r="AH13" s="1437"/>
      <c r="AI13" s="1437"/>
      <c r="AJ13" s="1437"/>
      <c r="AK13" s="1437"/>
      <c r="AL13" s="1437"/>
      <c r="AM13" s="1437"/>
      <c r="AN13" s="1437"/>
      <c r="AO13" s="1437"/>
      <c r="AP13" s="1437"/>
      <c r="AQ13" s="1437"/>
      <c r="AR13" s="1437"/>
      <c r="AS13" s="1437"/>
      <c r="AT13" s="1437"/>
      <c r="AU13" s="1437"/>
      <c r="AV13" s="1437"/>
      <c r="AW13" s="1437"/>
      <c r="AX13" s="1437"/>
      <c r="AY13" s="1437"/>
      <c r="AZ13" s="1437"/>
      <c r="BA13" s="1437"/>
      <c r="BB13" s="1437"/>
      <c r="BC13" s="1437"/>
      <c r="BD13" s="1437"/>
      <c r="BE13" s="1437"/>
      <c r="BF13" s="1437"/>
      <c r="BG13" s="1437"/>
      <c r="BH13" s="1437"/>
      <c r="BI13" s="1437"/>
      <c r="BJ13" s="1532"/>
    </row>
    <row r="14" spans="1:70" s="1068" customFormat="1" ht="20.100000000000001" hidden="1" customHeight="1">
      <c r="A14" s="1082">
        <v>5</v>
      </c>
      <c r="B14" s="1087" t="s">
        <v>61</v>
      </c>
      <c r="C14" s="1084">
        <f t="shared" ref="C14:D14" si="11">C13+2</f>
        <v>11</v>
      </c>
      <c r="D14" s="1085">
        <f t="shared" si="11"/>
        <v>12</v>
      </c>
      <c r="E14" s="1086">
        <v>49</v>
      </c>
      <c r="F14" s="1146">
        <f t="shared" si="2"/>
        <v>1</v>
      </c>
      <c r="G14" s="1083">
        <f t="shared" si="3"/>
        <v>1</v>
      </c>
      <c r="H14" s="1083">
        <f t="shared" si="4"/>
        <v>1</v>
      </c>
      <c r="I14" s="1083">
        <f t="shared" si="5"/>
        <v>1</v>
      </c>
      <c r="J14" s="1083">
        <v>1</v>
      </c>
      <c r="K14" s="1083">
        <f t="shared" si="6"/>
        <v>1</v>
      </c>
      <c r="L14" s="1530">
        <v>1</v>
      </c>
      <c r="M14" s="1160">
        <v>6</v>
      </c>
      <c r="N14" s="1270">
        <v>2</v>
      </c>
      <c r="O14" s="1271">
        <v>3</v>
      </c>
      <c r="P14" s="1270">
        <v>4</v>
      </c>
      <c r="Q14" s="1270">
        <v>5</v>
      </c>
      <c r="R14" s="1270">
        <v>6</v>
      </c>
      <c r="S14" s="1386">
        <v>7</v>
      </c>
      <c r="T14" s="1443">
        <v>8</v>
      </c>
      <c r="U14" s="1437">
        <f>AO12+1</f>
        <v>44</v>
      </c>
      <c r="V14" s="1437">
        <f t="shared" ref="V14:AO14" si="12">U14+1</f>
        <v>45</v>
      </c>
      <c r="W14" s="1437">
        <f t="shared" si="12"/>
        <v>46</v>
      </c>
      <c r="X14" s="1437">
        <f t="shared" si="12"/>
        <v>47</v>
      </c>
      <c r="Y14" s="1437">
        <f t="shared" si="12"/>
        <v>48</v>
      </c>
      <c r="Z14" s="1437">
        <f t="shared" si="12"/>
        <v>49</v>
      </c>
      <c r="AA14" s="1437">
        <f t="shared" si="12"/>
        <v>50</v>
      </c>
      <c r="AB14" s="1437">
        <f t="shared" si="12"/>
        <v>51</v>
      </c>
      <c r="AC14" s="1437">
        <f t="shared" si="12"/>
        <v>52</v>
      </c>
      <c r="AD14" s="1437">
        <f t="shared" si="12"/>
        <v>53</v>
      </c>
      <c r="AE14" s="1437">
        <f t="shared" si="12"/>
        <v>54</v>
      </c>
      <c r="AF14" s="1437">
        <f t="shared" si="12"/>
        <v>55</v>
      </c>
      <c r="AG14" s="1437">
        <f t="shared" si="12"/>
        <v>56</v>
      </c>
      <c r="AH14" s="1437">
        <f t="shared" si="12"/>
        <v>57</v>
      </c>
      <c r="AI14" s="1437">
        <f t="shared" si="12"/>
        <v>58</v>
      </c>
      <c r="AJ14" s="1437">
        <f t="shared" si="12"/>
        <v>59</v>
      </c>
      <c r="AK14" s="1437">
        <f t="shared" si="12"/>
        <v>60</v>
      </c>
      <c r="AL14" s="1437">
        <f t="shared" si="12"/>
        <v>61</v>
      </c>
      <c r="AM14" s="1437">
        <f t="shared" si="12"/>
        <v>62</v>
      </c>
      <c r="AN14" s="1437">
        <f t="shared" si="12"/>
        <v>63</v>
      </c>
      <c r="AO14" s="1437">
        <f t="shared" si="12"/>
        <v>64</v>
      </c>
      <c r="AP14" s="1437">
        <f>BJ12+1</f>
        <v>44</v>
      </c>
      <c r="AQ14" s="1437">
        <f t="shared" ref="AQ14:BJ14" si="13">AP14+1</f>
        <v>45</v>
      </c>
      <c r="AR14" s="1437">
        <f t="shared" si="13"/>
        <v>46</v>
      </c>
      <c r="AS14" s="1437">
        <f t="shared" si="13"/>
        <v>47</v>
      </c>
      <c r="AT14" s="1437">
        <f t="shared" si="13"/>
        <v>48</v>
      </c>
      <c r="AU14" s="1437">
        <f t="shared" si="13"/>
        <v>49</v>
      </c>
      <c r="AV14" s="1437">
        <f t="shared" si="13"/>
        <v>50</v>
      </c>
      <c r="AW14" s="1437">
        <f t="shared" si="13"/>
        <v>51</v>
      </c>
      <c r="AX14" s="1437">
        <f t="shared" si="13"/>
        <v>52</v>
      </c>
      <c r="AY14" s="1437">
        <f t="shared" si="13"/>
        <v>53</v>
      </c>
      <c r="AZ14" s="1437">
        <f t="shared" si="13"/>
        <v>54</v>
      </c>
      <c r="BA14" s="1437">
        <f t="shared" si="13"/>
        <v>55</v>
      </c>
      <c r="BB14" s="1437">
        <f t="shared" si="13"/>
        <v>56</v>
      </c>
      <c r="BC14" s="1437">
        <f t="shared" si="13"/>
        <v>57</v>
      </c>
      <c r="BD14" s="1437">
        <f t="shared" si="13"/>
        <v>58</v>
      </c>
      <c r="BE14" s="1437">
        <f t="shared" si="13"/>
        <v>59</v>
      </c>
      <c r="BF14" s="1437">
        <f t="shared" si="13"/>
        <v>60</v>
      </c>
      <c r="BG14" s="1437">
        <f t="shared" si="13"/>
        <v>61</v>
      </c>
      <c r="BH14" s="1437">
        <f t="shared" si="13"/>
        <v>62</v>
      </c>
      <c r="BI14" s="1437">
        <f t="shared" si="13"/>
        <v>63</v>
      </c>
      <c r="BJ14" s="1532">
        <f t="shared" si="13"/>
        <v>64</v>
      </c>
    </row>
    <row r="15" spans="1:70" s="1068" customFormat="1" ht="20.100000000000001" hidden="1" customHeight="1">
      <c r="A15" s="1082">
        <v>6</v>
      </c>
      <c r="B15" s="1087" t="s">
        <v>248</v>
      </c>
      <c r="C15" s="1084">
        <f t="shared" ref="C15:D15" si="14">C14+2</f>
        <v>13</v>
      </c>
      <c r="D15" s="1085">
        <f t="shared" si="14"/>
        <v>14</v>
      </c>
      <c r="E15" s="1086">
        <v>50</v>
      </c>
      <c r="F15" s="1146">
        <f t="shared" si="2"/>
        <v>1</v>
      </c>
      <c r="G15" s="1083">
        <f t="shared" si="3"/>
        <v>0</v>
      </c>
      <c r="H15" s="1083">
        <f t="shared" si="4"/>
        <v>0</v>
      </c>
      <c r="I15" s="1083">
        <f t="shared" si="5"/>
        <v>0</v>
      </c>
      <c r="J15" s="1083">
        <v>0</v>
      </c>
      <c r="K15" s="1083">
        <f t="shared" si="6"/>
        <v>0</v>
      </c>
      <c r="L15" s="1530">
        <v>0</v>
      </c>
      <c r="M15" s="1160">
        <v>7</v>
      </c>
      <c r="N15" s="1153"/>
      <c r="O15" s="1269"/>
      <c r="P15" s="1153"/>
      <c r="Q15" s="1153"/>
      <c r="R15" s="1153"/>
      <c r="S15" s="1153"/>
      <c r="T15" s="1442"/>
      <c r="U15" s="1437"/>
      <c r="V15" s="1437"/>
      <c r="W15" s="1437"/>
      <c r="X15" s="1437"/>
      <c r="Y15" s="1437"/>
      <c r="Z15" s="1437"/>
      <c r="AA15" s="1437"/>
      <c r="AB15" s="1437"/>
      <c r="AC15" s="1437"/>
      <c r="AD15" s="1437"/>
      <c r="AE15" s="1437"/>
      <c r="AF15" s="1437"/>
      <c r="AG15" s="1437"/>
      <c r="AH15" s="1437"/>
      <c r="AI15" s="1437"/>
      <c r="AJ15" s="1437"/>
      <c r="AK15" s="1437"/>
      <c r="AL15" s="1437"/>
      <c r="AM15" s="1437"/>
      <c r="AN15" s="1437"/>
      <c r="AO15" s="1437"/>
      <c r="AP15" s="1437"/>
      <c r="AQ15" s="1437"/>
      <c r="AR15" s="1437"/>
      <c r="AS15" s="1437"/>
      <c r="AT15" s="1437"/>
      <c r="AU15" s="1437"/>
      <c r="AV15" s="1437"/>
      <c r="AW15" s="1437"/>
      <c r="AX15" s="1437"/>
      <c r="AY15" s="1437"/>
      <c r="AZ15" s="1437"/>
      <c r="BA15" s="1437"/>
      <c r="BB15" s="1437"/>
      <c r="BC15" s="1437"/>
      <c r="BD15" s="1437"/>
      <c r="BE15" s="1437"/>
      <c r="BF15" s="1437"/>
      <c r="BG15" s="1437"/>
      <c r="BH15" s="1437"/>
      <c r="BI15" s="1437"/>
      <c r="BJ15" s="1532"/>
    </row>
    <row r="16" spans="1:70" s="1068" customFormat="1" ht="20.100000000000001" hidden="1" customHeight="1">
      <c r="A16" s="1082">
        <v>7</v>
      </c>
      <c r="B16" s="1087" t="s">
        <v>249</v>
      </c>
      <c r="C16" s="1084">
        <f t="shared" ref="C16:D16" si="15">C15+2</f>
        <v>15</v>
      </c>
      <c r="D16" s="1085">
        <f t="shared" si="15"/>
        <v>16</v>
      </c>
      <c r="E16" s="1086">
        <v>51</v>
      </c>
      <c r="F16" s="1146">
        <f t="shared" si="2"/>
        <v>1</v>
      </c>
      <c r="G16" s="1083">
        <f t="shared" si="3"/>
        <v>0</v>
      </c>
      <c r="H16" s="1083">
        <f t="shared" si="4"/>
        <v>0</v>
      </c>
      <c r="I16" s="1083">
        <f t="shared" si="5"/>
        <v>0</v>
      </c>
      <c r="J16" s="1083">
        <v>0</v>
      </c>
      <c r="K16" s="1083">
        <f t="shared" si="6"/>
        <v>0</v>
      </c>
      <c r="L16" s="1530">
        <v>0</v>
      </c>
      <c r="M16" s="1160">
        <v>8</v>
      </c>
      <c r="N16" s="1153"/>
      <c r="O16" s="1269"/>
      <c r="P16" s="1153"/>
      <c r="Q16" s="1153"/>
      <c r="R16" s="1153"/>
      <c r="S16" s="1153"/>
      <c r="T16" s="1442"/>
      <c r="U16" s="1437"/>
      <c r="V16" s="1437"/>
      <c r="W16" s="1437"/>
      <c r="X16" s="1437"/>
      <c r="Y16" s="1437"/>
      <c r="Z16" s="1437"/>
      <c r="AA16" s="1437"/>
      <c r="AB16" s="1437"/>
      <c r="AC16" s="1437"/>
      <c r="AD16" s="1437"/>
      <c r="AE16" s="1437"/>
      <c r="AF16" s="1437"/>
      <c r="AG16" s="1437"/>
      <c r="AH16" s="1437"/>
      <c r="AI16" s="1437"/>
      <c r="AJ16" s="1437"/>
      <c r="AK16" s="1437"/>
      <c r="AL16" s="1437"/>
      <c r="AM16" s="1437"/>
      <c r="AN16" s="1437"/>
      <c r="AO16" s="1437"/>
      <c r="AP16" s="1437"/>
      <c r="AQ16" s="1437"/>
      <c r="AR16" s="1437"/>
      <c r="AS16" s="1437"/>
      <c r="AT16" s="1437"/>
      <c r="AU16" s="1437"/>
      <c r="AV16" s="1437"/>
      <c r="AW16" s="1437"/>
      <c r="AX16" s="1437"/>
      <c r="AY16" s="1437"/>
      <c r="AZ16" s="1437"/>
      <c r="BA16" s="1437"/>
      <c r="BB16" s="1437"/>
      <c r="BC16" s="1437"/>
      <c r="BD16" s="1437"/>
      <c r="BE16" s="1437"/>
      <c r="BF16" s="1437"/>
      <c r="BG16" s="1437"/>
      <c r="BH16" s="1437"/>
      <c r="BI16" s="1437"/>
      <c r="BJ16" s="1532"/>
    </row>
    <row r="17" spans="1:62" s="1068" customFormat="1" ht="20.100000000000001" hidden="1" customHeight="1">
      <c r="A17" s="1082">
        <v>8</v>
      </c>
      <c r="B17" s="1087" t="s">
        <v>62</v>
      </c>
      <c r="C17" s="1084">
        <f t="shared" ref="C17:D17" si="16">C16+2</f>
        <v>17</v>
      </c>
      <c r="D17" s="1085">
        <f t="shared" si="16"/>
        <v>18</v>
      </c>
      <c r="E17" s="1086">
        <v>52</v>
      </c>
      <c r="F17" s="1146">
        <f t="shared" si="2"/>
        <v>1</v>
      </c>
      <c r="G17" s="1083">
        <f t="shared" si="3"/>
        <v>1</v>
      </c>
      <c r="H17" s="1083">
        <f t="shared" si="4"/>
        <v>1</v>
      </c>
      <c r="I17" s="1083">
        <f t="shared" si="5"/>
        <v>0</v>
      </c>
      <c r="J17" s="1083">
        <v>1</v>
      </c>
      <c r="K17" s="1083">
        <f t="shared" si="6"/>
        <v>1</v>
      </c>
      <c r="L17" s="1530">
        <v>1</v>
      </c>
      <c r="M17" s="1160">
        <v>9</v>
      </c>
      <c r="N17" s="1153"/>
      <c r="O17" s="1269"/>
      <c r="P17" s="1153"/>
      <c r="Q17" s="1153"/>
      <c r="R17" s="1153"/>
      <c r="S17" s="1386">
        <v>9</v>
      </c>
      <c r="T17" s="1443">
        <v>10</v>
      </c>
      <c r="U17" s="1437">
        <f>AO14+1</f>
        <v>65</v>
      </c>
      <c r="V17" s="1437">
        <f t="shared" ref="V17:AO17" si="17">U17+1</f>
        <v>66</v>
      </c>
      <c r="W17" s="1437">
        <f t="shared" si="17"/>
        <v>67</v>
      </c>
      <c r="X17" s="1437">
        <f t="shared" si="17"/>
        <v>68</v>
      </c>
      <c r="Y17" s="1437">
        <f t="shared" si="17"/>
        <v>69</v>
      </c>
      <c r="Z17" s="1437">
        <f t="shared" si="17"/>
        <v>70</v>
      </c>
      <c r="AA17" s="1437">
        <f t="shared" si="17"/>
        <v>71</v>
      </c>
      <c r="AB17" s="1437">
        <f t="shared" si="17"/>
        <v>72</v>
      </c>
      <c r="AC17" s="1437">
        <f t="shared" si="17"/>
        <v>73</v>
      </c>
      <c r="AD17" s="1437">
        <f t="shared" si="17"/>
        <v>74</v>
      </c>
      <c r="AE17" s="1437">
        <f t="shared" si="17"/>
        <v>75</v>
      </c>
      <c r="AF17" s="1437">
        <f t="shared" si="17"/>
        <v>76</v>
      </c>
      <c r="AG17" s="1437">
        <f t="shared" si="17"/>
        <v>77</v>
      </c>
      <c r="AH17" s="1437">
        <f t="shared" si="17"/>
        <v>78</v>
      </c>
      <c r="AI17" s="1437">
        <f t="shared" si="17"/>
        <v>79</v>
      </c>
      <c r="AJ17" s="1437">
        <f t="shared" si="17"/>
        <v>80</v>
      </c>
      <c r="AK17" s="1437">
        <f t="shared" si="17"/>
        <v>81</v>
      </c>
      <c r="AL17" s="1437">
        <f t="shared" si="17"/>
        <v>82</v>
      </c>
      <c r="AM17" s="1437">
        <f t="shared" si="17"/>
        <v>83</v>
      </c>
      <c r="AN17" s="1437">
        <f t="shared" si="17"/>
        <v>84</v>
      </c>
      <c r="AO17" s="1437">
        <f t="shared" si="17"/>
        <v>85</v>
      </c>
      <c r="AP17" s="1437">
        <f>BJ14+1</f>
        <v>65</v>
      </c>
      <c r="AQ17" s="1437">
        <f t="shared" ref="AQ17:BJ17" si="18">AP17+1</f>
        <v>66</v>
      </c>
      <c r="AR17" s="1437">
        <f t="shared" si="18"/>
        <v>67</v>
      </c>
      <c r="AS17" s="1437">
        <f t="shared" si="18"/>
        <v>68</v>
      </c>
      <c r="AT17" s="1437">
        <f t="shared" si="18"/>
        <v>69</v>
      </c>
      <c r="AU17" s="1437">
        <f t="shared" si="18"/>
        <v>70</v>
      </c>
      <c r="AV17" s="1437">
        <f t="shared" si="18"/>
        <v>71</v>
      </c>
      <c r="AW17" s="1437">
        <f t="shared" si="18"/>
        <v>72</v>
      </c>
      <c r="AX17" s="1437">
        <f t="shared" si="18"/>
        <v>73</v>
      </c>
      <c r="AY17" s="1437">
        <f t="shared" si="18"/>
        <v>74</v>
      </c>
      <c r="AZ17" s="1437">
        <f t="shared" si="18"/>
        <v>75</v>
      </c>
      <c r="BA17" s="1437">
        <f t="shared" si="18"/>
        <v>76</v>
      </c>
      <c r="BB17" s="1437">
        <f t="shared" si="18"/>
        <v>77</v>
      </c>
      <c r="BC17" s="1437">
        <f t="shared" si="18"/>
        <v>78</v>
      </c>
      <c r="BD17" s="1437">
        <f t="shared" si="18"/>
        <v>79</v>
      </c>
      <c r="BE17" s="1437">
        <f t="shared" si="18"/>
        <v>80</v>
      </c>
      <c r="BF17" s="1437">
        <f t="shared" si="18"/>
        <v>81</v>
      </c>
      <c r="BG17" s="1437">
        <f t="shared" si="18"/>
        <v>82</v>
      </c>
      <c r="BH17" s="1437">
        <f t="shared" si="18"/>
        <v>83</v>
      </c>
      <c r="BI17" s="1437">
        <f t="shared" si="18"/>
        <v>84</v>
      </c>
      <c r="BJ17" s="1532">
        <f t="shared" si="18"/>
        <v>85</v>
      </c>
    </row>
    <row r="18" spans="1:62" s="1068" customFormat="1" ht="20.100000000000001" hidden="1" customHeight="1">
      <c r="A18" s="1082">
        <v>9</v>
      </c>
      <c r="B18" s="1087" t="s">
        <v>63</v>
      </c>
      <c r="C18" s="1084">
        <f t="shared" ref="C18:D18" si="19">C17+2</f>
        <v>19</v>
      </c>
      <c r="D18" s="1085">
        <f t="shared" si="19"/>
        <v>20</v>
      </c>
      <c r="E18" s="1086">
        <v>53</v>
      </c>
      <c r="F18" s="1146">
        <f t="shared" si="2"/>
        <v>1</v>
      </c>
      <c r="G18" s="1083">
        <f t="shared" si="3"/>
        <v>1</v>
      </c>
      <c r="H18" s="1083">
        <f t="shared" si="4"/>
        <v>0</v>
      </c>
      <c r="I18" s="1083">
        <f t="shared" si="5"/>
        <v>0</v>
      </c>
      <c r="J18" s="1083">
        <v>0</v>
      </c>
      <c r="K18" s="1083">
        <f t="shared" si="6"/>
        <v>0</v>
      </c>
      <c r="L18" s="1530">
        <v>0</v>
      </c>
      <c r="M18" s="1160">
        <v>10</v>
      </c>
      <c r="N18" s="1153"/>
      <c r="O18" s="1269"/>
      <c r="P18" s="1153"/>
      <c r="Q18" s="1153"/>
      <c r="R18" s="1153"/>
      <c r="S18" s="1153"/>
      <c r="T18" s="1442"/>
      <c r="U18" s="1437"/>
      <c r="V18" s="1437"/>
      <c r="W18" s="1437"/>
      <c r="X18" s="1437"/>
      <c r="Y18" s="1437"/>
      <c r="Z18" s="1437"/>
      <c r="AA18" s="1437"/>
      <c r="AB18" s="1437"/>
      <c r="AC18" s="1437"/>
      <c r="AD18" s="1437"/>
      <c r="AE18" s="1437"/>
      <c r="AF18" s="1437"/>
      <c r="AG18" s="1437"/>
      <c r="AH18" s="1437"/>
      <c r="AI18" s="1437"/>
      <c r="AJ18" s="1437"/>
      <c r="AK18" s="1437"/>
      <c r="AL18" s="1437"/>
      <c r="AM18" s="1437"/>
      <c r="AN18" s="1437"/>
      <c r="AO18" s="1437"/>
      <c r="AP18" s="1437"/>
      <c r="AQ18" s="1437"/>
      <c r="AR18" s="1437"/>
      <c r="AS18" s="1437"/>
      <c r="AT18" s="1437"/>
      <c r="AU18" s="1437"/>
      <c r="AV18" s="1437"/>
      <c r="AW18" s="1437"/>
      <c r="AX18" s="1437"/>
      <c r="AY18" s="1437"/>
      <c r="AZ18" s="1437"/>
      <c r="BA18" s="1437"/>
      <c r="BB18" s="1437"/>
      <c r="BC18" s="1437"/>
      <c r="BD18" s="1437"/>
      <c r="BE18" s="1437"/>
      <c r="BF18" s="1437"/>
      <c r="BG18" s="1437"/>
      <c r="BH18" s="1437"/>
      <c r="BI18" s="1437"/>
      <c r="BJ18" s="1532"/>
    </row>
    <row r="19" spans="1:62" s="1068" customFormat="1" ht="20.100000000000001" hidden="1" customHeight="1">
      <c r="A19" s="1082">
        <v>10</v>
      </c>
      <c r="B19" s="1087" t="s">
        <v>250</v>
      </c>
      <c r="C19" s="1084">
        <f t="shared" ref="C19:D19" si="20">C18+2</f>
        <v>21</v>
      </c>
      <c r="D19" s="1085">
        <f t="shared" si="20"/>
        <v>22</v>
      </c>
      <c r="E19" s="1086">
        <v>54</v>
      </c>
      <c r="F19" s="1146">
        <f t="shared" si="2"/>
        <v>0</v>
      </c>
      <c r="G19" s="1083">
        <f t="shared" si="3"/>
        <v>0</v>
      </c>
      <c r="H19" s="1083">
        <f t="shared" si="4"/>
        <v>1</v>
      </c>
      <c r="I19" s="1083">
        <f t="shared" si="5"/>
        <v>1</v>
      </c>
      <c r="J19" s="1083">
        <v>1</v>
      </c>
      <c r="K19" s="1083">
        <f t="shared" si="6"/>
        <v>1</v>
      </c>
      <c r="L19" s="1530">
        <v>1</v>
      </c>
      <c r="M19" s="1160">
        <v>11</v>
      </c>
      <c r="N19" s="1270">
        <v>7</v>
      </c>
      <c r="O19" s="1271">
        <v>8</v>
      </c>
      <c r="P19" s="1270">
        <v>9</v>
      </c>
      <c r="Q19" s="1271">
        <v>10</v>
      </c>
      <c r="R19" s="1270">
        <v>11</v>
      </c>
      <c r="S19" s="1386">
        <v>11</v>
      </c>
      <c r="T19" s="1443">
        <v>12</v>
      </c>
      <c r="U19" s="1437">
        <f>AO17+1</f>
        <v>86</v>
      </c>
      <c r="V19" s="1437">
        <f t="shared" ref="V19:AO19" si="21">U19+1</f>
        <v>87</v>
      </c>
      <c r="W19" s="1437">
        <f t="shared" si="21"/>
        <v>88</v>
      </c>
      <c r="X19" s="1437">
        <f t="shared" si="21"/>
        <v>89</v>
      </c>
      <c r="Y19" s="1437">
        <f t="shared" si="21"/>
        <v>90</v>
      </c>
      <c r="Z19" s="1437">
        <f t="shared" si="21"/>
        <v>91</v>
      </c>
      <c r="AA19" s="1437">
        <f t="shared" si="21"/>
        <v>92</v>
      </c>
      <c r="AB19" s="1437">
        <f t="shared" si="21"/>
        <v>93</v>
      </c>
      <c r="AC19" s="1437">
        <f t="shared" si="21"/>
        <v>94</v>
      </c>
      <c r="AD19" s="1437">
        <f t="shared" si="21"/>
        <v>95</v>
      </c>
      <c r="AE19" s="1437">
        <f t="shared" si="21"/>
        <v>96</v>
      </c>
      <c r="AF19" s="1437">
        <f t="shared" si="21"/>
        <v>97</v>
      </c>
      <c r="AG19" s="1437">
        <f t="shared" si="21"/>
        <v>98</v>
      </c>
      <c r="AH19" s="1437">
        <f t="shared" si="21"/>
        <v>99</v>
      </c>
      <c r="AI19" s="1437">
        <f t="shared" si="21"/>
        <v>100</v>
      </c>
      <c r="AJ19" s="1437">
        <f t="shared" si="21"/>
        <v>101</v>
      </c>
      <c r="AK19" s="1437">
        <f t="shared" si="21"/>
        <v>102</v>
      </c>
      <c r="AL19" s="1437">
        <f t="shared" si="21"/>
        <v>103</v>
      </c>
      <c r="AM19" s="1437">
        <f t="shared" si="21"/>
        <v>104</v>
      </c>
      <c r="AN19" s="1437">
        <f t="shared" si="21"/>
        <v>105</v>
      </c>
      <c r="AO19" s="1437">
        <f t="shared" si="21"/>
        <v>106</v>
      </c>
      <c r="AP19" s="1437">
        <f>BJ17+1</f>
        <v>86</v>
      </c>
      <c r="AQ19" s="1437">
        <f t="shared" ref="AQ19:BJ19" si="22">AP19+1</f>
        <v>87</v>
      </c>
      <c r="AR19" s="1437">
        <f t="shared" si="22"/>
        <v>88</v>
      </c>
      <c r="AS19" s="1437">
        <f t="shared" si="22"/>
        <v>89</v>
      </c>
      <c r="AT19" s="1437">
        <f t="shared" si="22"/>
        <v>90</v>
      </c>
      <c r="AU19" s="1437">
        <f t="shared" si="22"/>
        <v>91</v>
      </c>
      <c r="AV19" s="1437">
        <f t="shared" si="22"/>
        <v>92</v>
      </c>
      <c r="AW19" s="1437">
        <f t="shared" si="22"/>
        <v>93</v>
      </c>
      <c r="AX19" s="1437">
        <f t="shared" si="22"/>
        <v>94</v>
      </c>
      <c r="AY19" s="1437">
        <f t="shared" si="22"/>
        <v>95</v>
      </c>
      <c r="AZ19" s="1437">
        <f t="shared" si="22"/>
        <v>96</v>
      </c>
      <c r="BA19" s="1437">
        <f t="shared" si="22"/>
        <v>97</v>
      </c>
      <c r="BB19" s="1437">
        <f t="shared" si="22"/>
        <v>98</v>
      </c>
      <c r="BC19" s="1437">
        <f t="shared" si="22"/>
        <v>99</v>
      </c>
      <c r="BD19" s="1437">
        <f t="shared" si="22"/>
        <v>100</v>
      </c>
      <c r="BE19" s="1437">
        <f t="shared" si="22"/>
        <v>101</v>
      </c>
      <c r="BF19" s="1437">
        <f t="shared" si="22"/>
        <v>102</v>
      </c>
      <c r="BG19" s="1437">
        <f t="shared" si="22"/>
        <v>103</v>
      </c>
      <c r="BH19" s="1437">
        <f t="shared" si="22"/>
        <v>104</v>
      </c>
      <c r="BI19" s="1437">
        <f t="shared" si="22"/>
        <v>105</v>
      </c>
      <c r="BJ19" s="1532">
        <f t="shared" si="22"/>
        <v>106</v>
      </c>
    </row>
    <row r="20" spans="1:62" s="1068" customFormat="1" ht="20.100000000000001" hidden="1" customHeight="1">
      <c r="A20" s="1082">
        <v>11</v>
      </c>
      <c r="B20" s="1087" t="s">
        <v>251</v>
      </c>
      <c r="C20" s="1084">
        <f t="shared" ref="C20:D20" si="23">C19+2</f>
        <v>23</v>
      </c>
      <c r="D20" s="1085">
        <f t="shared" si="23"/>
        <v>24</v>
      </c>
      <c r="E20" s="1086">
        <v>55</v>
      </c>
      <c r="F20" s="1146">
        <f t="shared" si="2"/>
        <v>1</v>
      </c>
      <c r="G20" s="1083">
        <f t="shared" si="3"/>
        <v>0</v>
      </c>
      <c r="H20" s="1083">
        <f t="shared" si="4"/>
        <v>0</v>
      </c>
      <c r="I20" s="1083">
        <f t="shared" si="5"/>
        <v>0</v>
      </c>
      <c r="J20" s="1083">
        <v>0</v>
      </c>
      <c r="K20" s="1083">
        <f t="shared" si="6"/>
        <v>0</v>
      </c>
      <c r="L20" s="1530">
        <v>0</v>
      </c>
      <c r="M20" s="1160">
        <v>12</v>
      </c>
      <c r="N20" s="1153"/>
      <c r="O20" s="1269"/>
      <c r="P20" s="1153"/>
      <c r="Q20" s="1153"/>
      <c r="R20" s="1153"/>
      <c r="S20" s="1153"/>
      <c r="T20" s="1442"/>
      <c r="U20" s="1437"/>
      <c r="V20" s="1437"/>
      <c r="W20" s="1437"/>
      <c r="X20" s="1437"/>
      <c r="Y20" s="1437"/>
      <c r="Z20" s="1437"/>
      <c r="AA20" s="1437"/>
      <c r="AB20" s="1437"/>
      <c r="AC20" s="1437"/>
      <c r="AD20" s="1437"/>
      <c r="AE20" s="1437"/>
      <c r="AF20" s="1437"/>
      <c r="AG20" s="1437"/>
      <c r="AH20" s="1437"/>
      <c r="AI20" s="1437"/>
      <c r="AJ20" s="1437"/>
      <c r="AK20" s="1437"/>
      <c r="AL20" s="1437"/>
      <c r="AM20" s="1437"/>
      <c r="AN20" s="1437"/>
      <c r="AO20" s="1437"/>
      <c r="AP20" s="1533"/>
      <c r="AQ20" s="1533"/>
      <c r="AR20" s="1533"/>
      <c r="AS20" s="1533"/>
      <c r="AT20" s="1533"/>
      <c r="AU20" s="1533"/>
      <c r="AV20" s="1533"/>
      <c r="AW20" s="1533"/>
      <c r="AX20" s="1533"/>
      <c r="AY20" s="1533"/>
      <c r="AZ20" s="1533"/>
      <c r="BA20" s="1533"/>
      <c r="BB20" s="1533"/>
      <c r="BC20" s="1533"/>
      <c r="BD20" s="1533"/>
      <c r="BE20" s="1533"/>
      <c r="BF20" s="1533"/>
      <c r="BG20" s="1533"/>
      <c r="BH20" s="1533"/>
      <c r="BI20" s="1533"/>
      <c r="BJ20" s="1534"/>
    </row>
    <row r="21" spans="1:62" s="1068" customFormat="1" ht="20.100000000000001" hidden="1" customHeight="1">
      <c r="A21" s="1082">
        <v>12</v>
      </c>
      <c r="B21" s="1087" t="s">
        <v>252</v>
      </c>
      <c r="C21" s="1084">
        <f t="shared" ref="C21:D21" si="24">C20+2</f>
        <v>25</v>
      </c>
      <c r="D21" s="1085">
        <f t="shared" si="24"/>
        <v>26</v>
      </c>
      <c r="E21" s="1086">
        <v>56</v>
      </c>
      <c r="F21" s="1146">
        <f t="shared" si="2"/>
        <v>1</v>
      </c>
      <c r="G21" s="1083">
        <f t="shared" si="3"/>
        <v>0</v>
      </c>
      <c r="H21" s="1083">
        <f t="shared" si="4"/>
        <v>0</v>
      </c>
      <c r="I21" s="1083">
        <f t="shared" si="5"/>
        <v>0</v>
      </c>
      <c r="J21" s="1083">
        <v>0</v>
      </c>
      <c r="K21" s="1083">
        <f t="shared" si="6"/>
        <v>0</v>
      </c>
      <c r="L21" s="1530">
        <v>0</v>
      </c>
      <c r="M21" s="1160">
        <v>13</v>
      </c>
      <c r="N21" s="1153"/>
      <c r="O21" s="1269"/>
      <c r="P21" s="1153"/>
      <c r="Q21" s="1153"/>
      <c r="R21" s="1153"/>
      <c r="S21" s="1153"/>
      <c r="T21" s="1442"/>
      <c r="U21" s="1437"/>
      <c r="V21" s="1437"/>
      <c r="W21" s="1437"/>
      <c r="X21" s="1437"/>
      <c r="Y21" s="1437"/>
      <c r="Z21" s="1437"/>
      <c r="AA21" s="1437"/>
      <c r="AB21" s="1437"/>
      <c r="AC21" s="1437"/>
      <c r="AD21" s="1437"/>
      <c r="AE21" s="1437"/>
      <c r="AF21" s="1437"/>
      <c r="AG21" s="1437"/>
      <c r="AH21" s="1437"/>
      <c r="AI21" s="1437"/>
      <c r="AJ21" s="1437"/>
      <c r="AK21" s="1437"/>
      <c r="AL21" s="1437"/>
      <c r="AM21" s="1437"/>
      <c r="AN21" s="1437"/>
      <c r="AO21" s="1437"/>
      <c r="AP21" s="1533"/>
      <c r="AQ21" s="1533"/>
      <c r="AR21" s="1533"/>
      <c r="AS21" s="1533"/>
      <c r="AT21" s="1533"/>
      <c r="AU21" s="1533"/>
      <c r="AV21" s="1533"/>
      <c r="AW21" s="1533"/>
      <c r="AX21" s="1533"/>
      <c r="AY21" s="1533"/>
      <c r="AZ21" s="1533"/>
      <c r="BA21" s="1533"/>
      <c r="BB21" s="1533"/>
      <c r="BC21" s="1533"/>
      <c r="BD21" s="1533"/>
      <c r="BE21" s="1533"/>
      <c r="BF21" s="1533"/>
      <c r="BG21" s="1533"/>
      <c r="BH21" s="1533"/>
      <c r="BI21" s="1533"/>
      <c r="BJ21" s="1534"/>
    </row>
    <row r="22" spans="1:62" s="1068" customFormat="1" ht="20.100000000000001" hidden="1" customHeight="1">
      <c r="A22" s="1082">
        <v>13</v>
      </c>
      <c r="B22" s="1087" t="s">
        <v>253</v>
      </c>
      <c r="C22" s="1084">
        <f t="shared" ref="C22:D22" si="25">C21+2</f>
        <v>27</v>
      </c>
      <c r="D22" s="1085">
        <f t="shared" si="25"/>
        <v>28</v>
      </c>
      <c r="E22" s="1086">
        <v>57</v>
      </c>
      <c r="F22" s="1146">
        <f t="shared" si="2"/>
        <v>1</v>
      </c>
      <c r="G22" s="1083">
        <f t="shared" si="3"/>
        <v>0</v>
      </c>
      <c r="H22" s="1083">
        <f t="shared" si="4"/>
        <v>0</v>
      </c>
      <c r="I22" s="1083">
        <f t="shared" si="5"/>
        <v>0</v>
      </c>
      <c r="J22" s="1083">
        <v>0</v>
      </c>
      <c r="K22" s="1083">
        <f t="shared" si="6"/>
        <v>0</v>
      </c>
      <c r="L22" s="1530">
        <v>0</v>
      </c>
      <c r="M22" s="1160">
        <v>14</v>
      </c>
      <c r="N22" s="1153"/>
      <c r="O22" s="1269"/>
      <c r="P22" s="1153"/>
      <c r="Q22" s="1153"/>
      <c r="R22" s="1153"/>
      <c r="S22" s="1153"/>
      <c r="T22" s="1442"/>
      <c r="U22" s="1437"/>
      <c r="V22" s="1437"/>
      <c r="W22" s="1437"/>
      <c r="X22" s="1437"/>
      <c r="Y22" s="1437"/>
      <c r="Z22" s="1437"/>
      <c r="AA22" s="1437"/>
      <c r="AB22" s="1437"/>
      <c r="AC22" s="1437"/>
      <c r="AD22" s="1437"/>
      <c r="AE22" s="1437"/>
      <c r="AF22" s="1437"/>
      <c r="AG22" s="1437"/>
      <c r="AH22" s="1437"/>
      <c r="AI22" s="1437"/>
      <c r="AJ22" s="1437"/>
      <c r="AK22" s="1437"/>
      <c r="AL22" s="1437"/>
      <c r="AM22" s="1437"/>
      <c r="AN22" s="1437"/>
      <c r="AO22" s="1437"/>
      <c r="AP22" s="1533"/>
      <c r="AQ22" s="1533"/>
      <c r="AR22" s="1533"/>
      <c r="AS22" s="1533"/>
      <c r="AT22" s="1533"/>
      <c r="AU22" s="1533"/>
      <c r="AV22" s="1533"/>
      <c r="AW22" s="1533"/>
      <c r="AX22" s="1533"/>
      <c r="AY22" s="1533"/>
      <c r="AZ22" s="1533"/>
      <c r="BA22" s="1533"/>
      <c r="BB22" s="1533"/>
      <c r="BC22" s="1533"/>
      <c r="BD22" s="1533"/>
      <c r="BE22" s="1533"/>
      <c r="BF22" s="1533"/>
      <c r="BG22" s="1533"/>
      <c r="BH22" s="1533"/>
      <c r="BI22" s="1533"/>
      <c r="BJ22" s="1534"/>
    </row>
    <row r="23" spans="1:62" s="1068" customFormat="1" ht="20.100000000000001" hidden="1" customHeight="1">
      <c r="A23" s="1082">
        <v>14</v>
      </c>
      <c r="B23" s="1141" t="s">
        <v>254</v>
      </c>
      <c r="C23" s="1084">
        <f t="shared" ref="C23:D23" si="26">C22+2</f>
        <v>29</v>
      </c>
      <c r="D23" s="1085">
        <f t="shared" si="26"/>
        <v>30</v>
      </c>
      <c r="E23" s="1086">
        <v>58</v>
      </c>
      <c r="F23" s="1146">
        <f t="shared" si="2"/>
        <v>1</v>
      </c>
      <c r="G23" s="1083">
        <f t="shared" si="3"/>
        <v>0</v>
      </c>
      <c r="H23" s="1083">
        <f t="shared" si="4"/>
        <v>0</v>
      </c>
      <c r="I23" s="1083">
        <f t="shared" si="5"/>
        <v>0</v>
      </c>
      <c r="J23" s="1083">
        <v>0</v>
      </c>
      <c r="K23" s="1083">
        <f t="shared" si="6"/>
        <v>0</v>
      </c>
      <c r="L23" s="1530">
        <v>0</v>
      </c>
      <c r="M23" s="1160">
        <v>15</v>
      </c>
      <c r="N23" s="1153"/>
      <c r="O23" s="1269"/>
      <c r="P23" s="1153"/>
      <c r="Q23" s="1153"/>
      <c r="R23" s="1153"/>
      <c r="S23" s="1153"/>
      <c r="T23" s="1442"/>
      <c r="U23" s="1437"/>
      <c r="V23" s="1437"/>
      <c r="W23" s="1437"/>
      <c r="X23" s="1437"/>
      <c r="Y23" s="1437"/>
      <c r="Z23" s="1437"/>
      <c r="AA23" s="1437"/>
      <c r="AB23" s="1437"/>
      <c r="AC23" s="1437"/>
      <c r="AD23" s="1437"/>
      <c r="AE23" s="1437"/>
      <c r="AF23" s="1437"/>
      <c r="AG23" s="1437"/>
      <c r="AH23" s="1437"/>
      <c r="AI23" s="1437"/>
      <c r="AJ23" s="1437"/>
      <c r="AK23" s="1437"/>
      <c r="AL23" s="1437"/>
      <c r="AM23" s="1437"/>
      <c r="AN23" s="1437"/>
      <c r="AO23" s="1437"/>
      <c r="AP23" s="1533"/>
      <c r="AQ23" s="1533"/>
      <c r="AR23" s="1533"/>
      <c r="AS23" s="1533"/>
      <c r="AT23" s="1533"/>
      <c r="AU23" s="1533"/>
      <c r="AV23" s="1533"/>
      <c r="AW23" s="1533"/>
      <c r="AX23" s="1533"/>
      <c r="AY23" s="1533"/>
      <c r="AZ23" s="1533"/>
      <c r="BA23" s="1533"/>
      <c r="BB23" s="1533"/>
      <c r="BC23" s="1533"/>
      <c r="BD23" s="1533"/>
      <c r="BE23" s="1533"/>
      <c r="BF23" s="1533"/>
      <c r="BG23" s="1533"/>
      <c r="BH23" s="1533"/>
      <c r="BI23" s="1533"/>
      <c r="BJ23" s="1534"/>
    </row>
    <row r="24" spans="1:62" s="1068" customFormat="1" ht="20.100000000000001" hidden="1" customHeight="1">
      <c r="A24" s="1082">
        <v>15</v>
      </c>
      <c r="B24" s="1087" t="s">
        <v>255</v>
      </c>
      <c r="C24" s="1084">
        <f t="shared" ref="C24:D24" si="27">C23+2</f>
        <v>31</v>
      </c>
      <c r="D24" s="1085">
        <f t="shared" si="27"/>
        <v>32</v>
      </c>
      <c r="E24" s="1086">
        <v>59</v>
      </c>
      <c r="F24" s="1146">
        <f t="shared" si="2"/>
        <v>1</v>
      </c>
      <c r="G24" s="1083">
        <f t="shared" si="3"/>
        <v>0</v>
      </c>
      <c r="H24" s="1083">
        <f t="shared" si="4"/>
        <v>0</v>
      </c>
      <c r="I24" s="1083">
        <f t="shared" si="5"/>
        <v>1</v>
      </c>
      <c r="J24" s="1083">
        <v>0</v>
      </c>
      <c r="K24" s="1083">
        <f t="shared" si="6"/>
        <v>0</v>
      </c>
      <c r="L24" s="1530">
        <v>0</v>
      </c>
      <c r="M24" s="1160">
        <v>16</v>
      </c>
      <c r="N24" s="1270">
        <v>12</v>
      </c>
      <c r="O24" s="1271">
        <v>13</v>
      </c>
      <c r="P24" s="1270">
        <v>14</v>
      </c>
      <c r="Q24" s="1271">
        <v>15</v>
      </c>
      <c r="R24" s="1270">
        <v>16</v>
      </c>
      <c r="S24" s="1153"/>
      <c r="T24" s="1442"/>
      <c r="U24" s="1437"/>
      <c r="V24" s="1437"/>
      <c r="W24" s="1437"/>
      <c r="X24" s="1437"/>
      <c r="Y24" s="1437"/>
      <c r="Z24" s="1437"/>
      <c r="AA24" s="1437"/>
      <c r="AB24" s="1437"/>
      <c r="AC24" s="1437"/>
      <c r="AD24" s="1437"/>
      <c r="AE24" s="1437"/>
      <c r="AF24" s="1437"/>
      <c r="AG24" s="1437"/>
      <c r="AH24" s="1437"/>
      <c r="AI24" s="1437"/>
      <c r="AJ24" s="1437"/>
      <c r="AK24" s="1437"/>
      <c r="AL24" s="1437"/>
      <c r="AM24" s="1437"/>
      <c r="AN24" s="1437"/>
      <c r="AO24" s="1437"/>
      <c r="AP24" s="1533"/>
      <c r="AQ24" s="1533"/>
      <c r="AR24" s="1533"/>
      <c r="AS24" s="1533"/>
      <c r="AT24" s="1533"/>
      <c r="AU24" s="1533"/>
      <c r="AV24" s="1533"/>
      <c r="AW24" s="1533"/>
      <c r="AX24" s="1533"/>
      <c r="AY24" s="1533"/>
      <c r="AZ24" s="1533"/>
      <c r="BA24" s="1533"/>
      <c r="BB24" s="1533"/>
      <c r="BC24" s="1533"/>
      <c r="BD24" s="1533"/>
      <c r="BE24" s="1533"/>
      <c r="BF24" s="1533"/>
      <c r="BG24" s="1533"/>
      <c r="BH24" s="1533"/>
      <c r="BI24" s="1533"/>
      <c r="BJ24" s="1534"/>
    </row>
    <row r="25" spans="1:62" s="1068" customFormat="1" ht="20.100000000000001" hidden="1" customHeight="1">
      <c r="A25" s="1082">
        <v>16</v>
      </c>
      <c r="B25" s="1087" t="s">
        <v>256</v>
      </c>
      <c r="C25" s="1084">
        <f t="shared" ref="C25:D25" si="28">C24+2</f>
        <v>33</v>
      </c>
      <c r="D25" s="1085">
        <f t="shared" si="28"/>
        <v>34</v>
      </c>
      <c r="E25" s="1086">
        <v>60</v>
      </c>
      <c r="F25" s="1146">
        <f t="shared" si="2"/>
        <v>1</v>
      </c>
      <c r="G25" s="1083">
        <f t="shared" si="3"/>
        <v>0</v>
      </c>
      <c r="H25" s="1083">
        <f t="shared" si="4"/>
        <v>0</v>
      </c>
      <c r="I25" s="1083">
        <f t="shared" si="5"/>
        <v>0</v>
      </c>
      <c r="J25" s="1083">
        <v>0</v>
      </c>
      <c r="K25" s="1083">
        <f t="shared" si="6"/>
        <v>0</v>
      </c>
      <c r="L25" s="1530">
        <v>0</v>
      </c>
      <c r="M25" s="1160">
        <v>17</v>
      </c>
      <c r="N25" s="1153"/>
      <c r="O25" s="1269"/>
      <c r="P25" s="1153"/>
      <c r="Q25" s="1153"/>
      <c r="R25" s="1153"/>
      <c r="S25" s="1153"/>
      <c r="T25" s="1442"/>
      <c r="U25" s="1437"/>
      <c r="V25" s="1437"/>
      <c r="W25" s="1437"/>
      <c r="X25" s="1437"/>
      <c r="Y25" s="1437"/>
      <c r="Z25" s="1437"/>
      <c r="AA25" s="1437"/>
      <c r="AB25" s="1437"/>
      <c r="AC25" s="1437"/>
      <c r="AD25" s="1437"/>
      <c r="AE25" s="1437"/>
      <c r="AF25" s="1437"/>
      <c r="AG25" s="1437"/>
      <c r="AH25" s="1437"/>
      <c r="AI25" s="1437"/>
      <c r="AJ25" s="1437"/>
      <c r="AK25" s="1437"/>
      <c r="AL25" s="1437"/>
      <c r="AM25" s="1437"/>
      <c r="AN25" s="1437"/>
      <c r="AO25" s="1437"/>
      <c r="AP25" s="1533"/>
      <c r="AQ25" s="1533"/>
      <c r="AR25" s="1533"/>
      <c r="AS25" s="1533"/>
      <c r="AT25" s="1533"/>
      <c r="AU25" s="1533"/>
      <c r="AV25" s="1533"/>
      <c r="AW25" s="1533"/>
      <c r="AX25" s="1533"/>
      <c r="AY25" s="1533"/>
      <c r="AZ25" s="1533"/>
      <c r="BA25" s="1533"/>
      <c r="BB25" s="1533"/>
      <c r="BC25" s="1533"/>
      <c r="BD25" s="1533"/>
      <c r="BE25" s="1533"/>
      <c r="BF25" s="1533"/>
      <c r="BG25" s="1533"/>
      <c r="BH25" s="1533"/>
      <c r="BI25" s="1533"/>
      <c r="BJ25" s="1534"/>
    </row>
    <row r="26" spans="1:62" s="1068" customFormat="1" ht="20.100000000000001" hidden="1" customHeight="1">
      <c r="A26" s="1082">
        <v>17</v>
      </c>
      <c r="B26" s="1087" t="s">
        <v>64</v>
      </c>
      <c r="C26" s="1084">
        <f t="shared" ref="C26:D26" si="29">C25+2</f>
        <v>35</v>
      </c>
      <c r="D26" s="1085">
        <f t="shared" si="29"/>
        <v>36</v>
      </c>
      <c r="E26" s="1086">
        <v>61</v>
      </c>
      <c r="F26" s="1146">
        <f t="shared" si="2"/>
        <v>1</v>
      </c>
      <c r="G26" s="1083">
        <f t="shared" si="3"/>
        <v>1</v>
      </c>
      <c r="H26" s="1083">
        <f t="shared" si="4"/>
        <v>0</v>
      </c>
      <c r="I26" s="1083">
        <f t="shared" si="5"/>
        <v>0</v>
      </c>
      <c r="J26" s="1083">
        <v>1</v>
      </c>
      <c r="K26" s="1083">
        <f t="shared" si="6"/>
        <v>0</v>
      </c>
      <c r="L26" s="1530">
        <v>1</v>
      </c>
      <c r="M26" s="1160">
        <v>18</v>
      </c>
      <c r="N26" s="1153"/>
      <c r="O26" s="1269"/>
      <c r="P26" s="1153"/>
      <c r="Q26" s="1153"/>
      <c r="R26" s="1153"/>
      <c r="S26" s="1386">
        <v>13</v>
      </c>
      <c r="T26" s="1443">
        <v>14</v>
      </c>
      <c r="U26" s="1437"/>
      <c r="V26" s="1437"/>
      <c r="W26" s="1437"/>
      <c r="X26" s="1437"/>
      <c r="Y26" s="1437"/>
      <c r="Z26" s="1437"/>
      <c r="AA26" s="1437"/>
      <c r="AB26" s="1437"/>
      <c r="AC26" s="1437"/>
      <c r="AD26" s="1437"/>
      <c r="AE26" s="1437"/>
      <c r="AF26" s="1437"/>
      <c r="AG26" s="1437"/>
      <c r="AH26" s="1437"/>
      <c r="AI26" s="1437"/>
      <c r="AJ26" s="1437"/>
      <c r="AK26" s="1437"/>
      <c r="AL26" s="1437"/>
      <c r="AM26" s="1437"/>
      <c r="AN26" s="1437"/>
      <c r="AO26" s="1437"/>
      <c r="AP26" s="1437">
        <f>BJ19+1</f>
        <v>107</v>
      </c>
      <c r="AQ26" s="1437">
        <f t="shared" ref="AQ26:BJ26" si="30">AP26+1</f>
        <v>108</v>
      </c>
      <c r="AR26" s="1437">
        <f t="shared" si="30"/>
        <v>109</v>
      </c>
      <c r="AS26" s="1437">
        <f t="shared" si="30"/>
        <v>110</v>
      </c>
      <c r="AT26" s="1437">
        <f t="shared" si="30"/>
        <v>111</v>
      </c>
      <c r="AU26" s="1437">
        <f t="shared" si="30"/>
        <v>112</v>
      </c>
      <c r="AV26" s="1437">
        <f t="shared" si="30"/>
        <v>113</v>
      </c>
      <c r="AW26" s="1437">
        <f t="shared" si="30"/>
        <v>114</v>
      </c>
      <c r="AX26" s="1437">
        <f t="shared" si="30"/>
        <v>115</v>
      </c>
      <c r="AY26" s="1437">
        <f t="shared" si="30"/>
        <v>116</v>
      </c>
      <c r="AZ26" s="1437">
        <f t="shared" si="30"/>
        <v>117</v>
      </c>
      <c r="BA26" s="1437">
        <f t="shared" si="30"/>
        <v>118</v>
      </c>
      <c r="BB26" s="1437">
        <f t="shared" si="30"/>
        <v>119</v>
      </c>
      <c r="BC26" s="1437">
        <f t="shared" si="30"/>
        <v>120</v>
      </c>
      <c r="BD26" s="1437">
        <f t="shared" si="30"/>
        <v>121</v>
      </c>
      <c r="BE26" s="1437">
        <f t="shared" si="30"/>
        <v>122</v>
      </c>
      <c r="BF26" s="1437">
        <f t="shared" si="30"/>
        <v>123</v>
      </c>
      <c r="BG26" s="1437">
        <f t="shared" si="30"/>
        <v>124</v>
      </c>
      <c r="BH26" s="1437">
        <f t="shared" si="30"/>
        <v>125</v>
      </c>
      <c r="BI26" s="1437">
        <f t="shared" si="30"/>
        <v>126</v>
      </c>
      <c r="BJ26" s="1532">
        <f t="shared" si="30"/>
        <v>127</v>
      </c>
    </row>
    <row r="27" spans="1:62" s="1068" customFormat="1" ht="20.100000000000001" hidden="1" customHeight="1">
      <c r="A27" s="1082">
        <v>18</v>
      </c>
      <c r="B27" s="1087" t="s">
        <v>65</v>
      </c>
      <c r="C27" s="1084">
        <f t="shared" ref="C27:D27" si="31">C26+2</f>
        <v>37</v>
      </c>
      <c r="D27" s="1085">
        <f t="shared" si="31"/>
        <v>38</v>
      </c>
      <c r="E27" s="1086">
        <v>62</v>
      </c>
      <c r="F27" s="1146">
        <f t="shared" si="2"/>
        <v>1</v>
      </c>
      <c r="G27" s="1083">
        <f t="shared" si="3"/>
        <v>1</v>
      </c>
      <c r="H27" s="1083">
        <f t="shared" si="4"/>
        <v>1</v>
      </c>
      <c r="I27" s="1083">
        <f t="shared" si="5"/>
        <v>0</v>
      </c>
      <c r="J27" s="1083">
        <v>1</v>
      </c>
      <c r="K27" s="1083">
        <f t="shared" si="6"/>
        <v>1</v>
      </c>
      <c r="L27" s="1530">
        <v>1</v>
      </c>
      <c r="M27" s="1160">
        <v>19</v>
      </c>
      <c r="N27" s="1153"/>
      <c r="O27" s="1269"/>
      <c r="P27" s="1153"/>
      <c r="Q27" s="1153"/>
      <c r="R27" s="1153"/>
      <c r="S27" s="1386">
        <v>15</v>
      </c>
      <c r="T27" s="1443">
        <v>16</v>
      </c>
      <c r="U27" s="1437">
        <f>AO19+1</f>
        <v>107</v>
      </c>
      <c r="V27" s="1437">
        <f t="shared" ref="V27:AO27" si="32">U27+1</f>
        <v>108</v>
      </c>
      <c r="W27" s="1437">
        <f t="shared" si="32"/>
        <v>109</v>
      </c>
      <c r="X27" s="1437">
        <f t="shared" si="32"/>
        <v>110</v>
      </c>
      <c r="Y27" s="1437">
        <f t="shared" si="32"/>
        <v>111</v>
      </c>
      <c r="Z27" s="1437">
        <f t="shared" si="32"/>
        <v>112</v>
      </c>
      <c r="AA27" s="1437">
        <f t="shared" si="32"/>
        <v>113</v>
      </c>
      <c r="AB27" s="1437">
        <f t="shared" si="32"/>
        <v>114</v>
      </c>
      <c r="AC27" s="1437">
        <f t="shared" si="32"/>
        <v>115</v>
      </c>
      <c r="AD27" s="1437">
        <f t="shared" si="32"/>
        <v>116</v>
      </c>
      <c r="AE27" s="1437">
        <f t="shared" si="32"/>
        <v>117</v>
      </c>
      <c r="AF27" s="1437">
        <f t="shared" si="32"/>
        <v>118</v>
      </c>
      <c r="AG27" s="1437">
        <f t="shared" si="32"/>
        <v>119</v>
      </c>
      <c r="AH27" s="1437">
        <f t="shared" si="32"/>
        <v>120</v>
      </c>
      <c r="AI27" s="1437">
        <f t="shared" si="32"/>
        <v>121</v>
      </c>
      <c r="AJ27" s="1437">
        <f t="shared" si="32"/>
        <v>122</v>
      </c>
      <c r="AK27" s="1437">
        <f t="shared" si="32"/>
        <v>123</v>
      </c>
      <c r="AL27" s="1437">
        <f t="shared" si="32"/>
        <v>124</v>
      </c>
      <c r="AM27" s="1437">
        <f t="shared" si="32"/>
        <v>125</v>
      </c>
      <c r="AN27" s="1437">
        <f t="shared" si="32"/>
        <v>126</v>
      </c>
      <c r="AO27" s="1437">
        <f t="shared" si="32"/>
        <v>127</v>
      </c>
      <c r="AP27" s="1437">
        <f t="shared" ref="AP27" si="33">BJ26+1</f>
        <v>128</v>
      </c>
      <c r="AQ27" s="1437">
        <f t="shared" ref="AQ27:BJ27" si="34">AP27+1</f>
        <v>129</v>
      </c>
      <c r="AR27" s="1437">
        <f t="shared" si="34"/>
        <v>130</v>
      </c>
      <c r="AS27" s="1437">
        <f t="shared" si="34"/>
        <v>131</v>
      </c>
      <c r="AT27" s="1437">
        <f t="shared" si="34"/>
        <v>132</v>
      </c>
      <c r="AU27" s="1437">
        <f t="shared" si="34"/>
        <v>133</v>
      </c>
      <c r="AV27" s="1437">
        <f t="shared" si="34"/>
        <v>134</v>
      </c>
      <c r="AW27" s="1437">
        <f t="shared" si="34"/>
        <v>135</v>
      </c>
      <c r="AX27" s="1437">
        <f t="shared" si="34"/>
        <v>136</v>
      </c>
      <c r="AY27" s="1437">
        <f t="shared" si="34"/>
        <v>137</v>
      </c>
      <c r="AZ27" s="1437">
        <f t="shared" si="34"/>
        <v>138</v>
      </c>
      <c r="BA27" s="1437">
        <f t="shared" si="34"/>
        <v>139</v>
      </c>
      <c r="BB27" s="1437">
        <f t="shared" si="34"/>
        <v>140</v>
      </c>
      <c r="BC27" s="1437">
        <f t="shared" si="34"/>
        <v>141</v>
      </c>
      <c r="BD27" s="1437">
        <f t="shared" si="34"/>
        <v>142</v>
      </c>
      <c r="BE27" s="1437">
        <f t="shared" si="34"/>
        <v>143</v>
      </c>
      <c r="BF27" s="1437">
        <f t="shared" si="34"/>
        <v>144</v>
      </c>
      <c r="BG27" s="1437">
        <f t="shared" si="34"/>
        <v>145</v>
      </c>
      <c r="BH27" s="1437">
        <f t="shared" si="34"/>
        <v>146</v>
      </c>
      <c r="BI27" s="1437">
        <f t="shared" si="34"/>
        <v>147</v>
      </c>
      <c r="BJ27" s="1532">
        <f t="shared" si="34"/>
        <v>148</v>
      </c>
    </row>
    <row r="28" spans="1:62" s="1068" customFormat="1" ht="20.100000000000001" hidden="1" customHeight="1">
      <c r="A28" s="1082">
        <v>19</v>
      </c>
      <c r="B28" s="1087" t="s">
        <v>257</v>
      </c>
      <c r="C28" s="1084">
        <f t="shared" ref="C28:D28" si="35">C27+2</f>
        <v>39</v>
      </c>
      <c r="D28" s="1085">
        <f t="shared" si="35"/>
        <v>40</v>
      </c>
      <c r="E28" s="1086">
        <v>63</v>
      </c>
      <c r="F28" s="1146">
        <f t="shared" si="2"/>
        <v>1</v>
      </c>
      <c r="G28" s="1083">
        <f t="shared" si="3"/>
        <v>0</v>
      </c>
      <c r="H28" s="1083">
        <f t="shared" si="4"/>
        <v>1</v>
      </c>
      <c r="I28" s="1083">
        <f t="shared" si="5"/>
        <v>0</v>
      </c>
      <c r="J28" s="1083">
        <v>0</v>
      </c>
      <c r="K28" s="1083">
        <f t="shared" si="6"/>
        <v>1</v>
      </c>
      <c r="L28" s="1530">
        <v>0</v>
      </c>
      <c r="M28" s="1160">
        <v>20</v>
      </c>
      <c r="N28" s="1153"/>
      <c r="O28" s="1269"/>
      <c r="P28" s="1153"/>
      <c r="Q28" s="1153"/>
      <c r="R28" s="1153"/>
      <c r="S28" s="1153"/>
      <c r="T28" s="1442"/>
      <c r="U28" s="1437">
        <f t="shared" ref="U28" si="36">AO27+1</f>
        <v>128</v>
      </c>
      <c r="V28" s="1437">
        <f t="shared" ref="V28:AO28" si="37">U28+1</f>
        <v>129</v>
      </c>
      <c r="W28" s="1437">
        <f t="shared" si="37"/>
        <v>130</v>
      </c>
      <c r="X28" s="1437">
        <f t="shared" si="37"/>
        <v>131</v>
      </c>
      <c r="Y28" s="1437">
        <f t="shared" si="37"/>
        <v>132</v>
      </c>
      <c r="Z28" s="1437">
        <f t="shared" si="37"/>
        <v>133</v>
      </c>
      <c r="AA28" s="1437">
        <f t="shared" si="37"/>
        <v>134</v>
      </c>
      <c r="AB28" s="1437">
        <f t="shared" si="37"/>
        <v>135</v>
      </c>
      <c r="AC28" s="1437">
        <f t="shared" si="37"/>
        <v>136</v>
      </c>
      <c r="AD28" s="1437">
        <f t="shared" si="37"/>
        <v>137</v>
      </c>
      <c r="AE28" s="1437">
        <f t="shared" si="37"/>
        <v>138</v>
      </c>
      <c r="AF28" s="1437">
        <f t="shared" si="37"/>
        <v>139</v>
      </c>
      <c r="AG28" s="1437">
        <f t="shared" si="37"/>
        <v>140</v>
      </c>
      <c r="AH28" s="1437">
        <f t="shared" si="37"/>
        <v>141</v>
      </c>
      <c r="AI28" s="1437">
        <f t="shared" si="37"/>
        <v>142</v>
      </c>
      <c r="AJ28" s="1437">
        <f t="shared" si="37"/>
        <v>143</v>
      </c>
      <c r="AK28" s="1437">
        <f t="shared" si="37"/>
        <v>144</v>
      </c>
      <c r="AL28" s="1437">
        <f t="shared" si="37"/>
        <v>145</v>
      </c>
      <c r="AM28" s="1437">
        <f t="shared" si="37"/>
        <v>146</v>
      </c>
      <c r="AN28" s="1437">
        <f t="shared" si="37"/>
        <v>147</v>
      </c>
      <c r="AO28" s="1437">
        <f t="shared" si="37"/>
        <v>148</v>
      </c>
      <c r="AP28" s="1533"/>
      <c r="AQ28" s="1533"/>
      <c r="AR28" s="1533"/>
      <c r="AS28" s="1533"/>
      <c r="AT28" s="1533"/>
      <c r="AU28" s="1533"/>
      <c r="AV28" s="1533"/>
      <c r="AW28" s="1533"/>
      <c r="AX28" s="1533"/>
      <c r="AY28" s="1533"/>
      <c r="AZ28" s="1533"/>
      <c r="BA28" s="1533"/>
      <c r="BB28" s="1533"/>
      <c r="BC28" s="1533"/>
      <c r="BD28" s="1533"/>
      <c r="BE28" s="1533"/>
      <c r="BF28" s="1533"/>
      <c r="BG28" s="1533"/>
      <c r="BH28" s="1533"/>
      <c r="BI28" s="1533"/>
      <c r="BJ28" s="1534"/>
    </row>
    <row r="29" spans="1:62" s="1068" customFormat="1" ht="27" hidden="1" customHeight="1" thickBot="1">
      <c r="A29" s="1088">
        <v>20</v>
      </c>
      <c r="B29" s="1142" t="s">
        <v>341</v>
      </c>
      <c r="C29" s="1089">
        <f>C28+4</f>
        <v>43</v>
      </c>
      <c r="D29" s="1090">
        <f>D28+4</f>
        <v>44</v>
      </c>
      <c r="E29" s="1091">
        <v>65</v>
      </c>
      <c r="F29" s="1147"/>
      <c r="G29" s="1154"/>
      <c r="H29" s="1154"/>
      <c r="I29" s="1155"/>
      <c r="J29" s="1155"/>
      <c r="K29" s="1155"/>
      <c r="L29" s="1148"/>
      <c r="M29" s="1159"/>
      <c r="N29" s="1154"/>
      <c r="O29" s="1272"/>
      <c r="P29" s="1154"/>
      <c r="Q29" s="1154"/>
      <c r="R29" s="1154"/>
      <c r="S29" s="1154"/>
      <c r="T29" s="1444"/>
      <c r="U29" s="1438"/>
      <c r="V29" s="1438"/>
      <c r="W29" s="1438"/>
      <c r="X29" s="1438"/>
      <c r="Y29" s="1438"/>
      <c r="Z29" s="1438"/>
      <c r="AA29" s="1438"/>
      <c r="AB29" s="1438"/>
      <c r="AC29" s="1438"/>
      <c r="AD29" s="1438"/>
      <c r="AE29" s="1438"/>
      <c r="AF29" s="1438"/>
      <c r="AG29" s="1438"/>
      <c r="AH29" s="1438"/>
      <c r="AI29" s="1438"/>
      <c r="AJ29" s="1438"/>
      <c r="AK29" s="1438"/>
      <c r="AL29" s="1438"/>
      <c r="AM29" s="1438"/>
      <c r="AN29" s="1438"/>
      <c r="AO29" s="1438"/>
      <c r="AP29" s="1535"/>
      <c r="AQ29" s="1535"/>
      <c r="AR29" s="1535"/>
      <c r="AS29" s="1535"/>
      <c r="AT29" s="1535"/>
      <c r="AU29" s="1535"/>
      <c r="AV29" s="1535"/>
      <c r="AW29" s="1535"/>
      <c r="AX29" s="1535"/>
      <c r="AY29" s="1535"/>
      <c r="AZ29" s="1535"/>
      <c r="BA29" s="1535"/>
      <c r="BB29" s="1535"/>
      <c r="BC29" s="1535"/>
      <c r="BD29" s="1535"/>
      <c r="BE29" s="1535"/>
      <c r="BF29" s="1535"/>
      <c r="BG29" s="1535"/>
      <c r="BH29" s="1535"/>
      <c r="BI29" s="1535"/>
      <c r="BJ29" s="1536"/>
    </row>
    <row r="30" spans="1:62" ht="15" hidden="1" customHeight="1"/>
    <row r="31" spans="1:62" ht="15" hidden="1" customHeight="1"/>
    <row r="32" spans="1:62" s="779" customFormat="1" ht="24.95" hidden="1" customHeight="1">
      <c r="A32" s="778" t="s">
        <v>208</v>
      </c>
      <c r="G32" s="780"/>
      <c r="H32" s="780"/>
      <c r="I32" s="780"/>
    </row>
    <row r="33" spans="1:70" s="782" customFormat="1" ht="24.95" hidden="1" customHeight="1">
      <c r="A33" s="781" t="s">
        <v>209</v>
      </c>
      <c r="C33" s="783"/>
      <c r="D33" s="783"/>
      <c r="E33" s="783"/>
      <c r="F33" s="783"/>
      <c r="G33" s="783"/>
      <c r="H33" s="783"/>
      <c r="I33" s="783"/>
      <c r="J33" s="783"/>
      <c r="K33" s="783"/>
      <c r="L33" s="783"/>
      <c r="M33" s="783"/>
      <c r="N33" s="783"/>
      <c r="O33" s="783"/>
      <c r="P33" s="783"/>
      <c r="Q33" s="783"/>
      <c r="R33" s="783"/>
      <c r="S33" s="783"/>
      <c r="T33" s="783"/>
      <c r="U33" s="783"/>
      <c r="V33" s="783"/>
      <c r="W33" s="783"/>
      <c r="X33" s="783"/>
      <c r="Y33" s="783"/>
      <c r="Z33" s="783"/>
      <c r="AA33" s="783"/>
      <c r="AB33" s="783"/>
      <c r="AC33" s="783"/>
      <c r="AD33" s="783"/>
      <c r="AE33" s="783"/>
      <c r="AF33" s="783"/>
      <c r="AG33" s="783"/>
      <c r="AH33" s="783"/>
      <c r="AI33" s="783"/>
      <c r="AJ33" s="783"/>
      <c r="AK33" s="783"/>
      <c r="AL33" s="783"/>
      <c r="AM33" s="783"/>
      <c r="AN33" s="783"/>
      <c r="AO33" s="783"/>
      <c r="AP33" s="783"/>
      <c r="AQ33" s="783"/>
      <c r="AR33" s="783"/>
    </row>
    <row r="34" spans="1:70" s="784" customFormat="1" ht="9.9499999999999993" hidden="1" customHeight="1" thickBot="1">
      <c r="AD34" s="785"/>
      <c r="AE34" s="785"/>
      <c r="AP34" s="786"/>
    </row>
    <row r="35" spans="1:70" s="784" customFormat="1" ht="45" hidden="1" customHeight="1">
      <c r="A35" s="787"/>
      <c r="B35" s="788"/>
      <c r="C35" s="1952" t="s">
        <v>210</v>
      </c>
      <c r="D35" s="789" t="s">
        <v>211</v>
      </c>
      <c r="E35" s="1954" t="s">
        <v>212</v>
      </c>
      <c r="F35" s="1955"/>
      <c r="G35" s="1956"/>
      <c r="H35" s="1957" t="s">
        <v>213</v>
      </c>
      <c r="I35" s="1958"/>
      <c r="J35" s="1959"/>
      <c r="K35" s="1944" t="s">
        <v>214</v>
      </c>
      <c r="L35" s="1960"/>
      <c r="M35" s="1960"/>
      <c r="N35" s="1960"/>
      <c r="O35" s="1960"/>
      <c r="P35" s="1960"/>
      <c r="Q35" s="1960"/>
      <c r="R35" s="1960"/>
      <c r="S35" s="1960"/>
      <c r="T35" s="1960"/>
      <c r="U35" s="1960"/>
      <c r="V35" s="1945"/>
      <c r="W35" s="1944" t="s">
        <v>215</v>
      </c>
      <c r="X35" s="1960"/>
      <c r="Y35" s="1960"/>
      <c r="Z35" s="1960"/>
      <c r="AA35" s="1960"/>
      <c r="AB35" s="1960"/>
      <c r="AC35" s="1960"/>
      <c r="AD35" s="1960"/>
      <c r="AE35" s="1960"/>
      <c r="AF35" s="1960"/>
      <c r="AG35" s="1945"/>
      <c r="AH35" s="1964" t="s">
        <v>216</v>
      </c>
      <c r="AI35" s="1965"/>
      <c r="AJ35" s="1965"/>
      <c r="AK35" s="1965"/>
      <c r="AL35" s="1966"/>
      <c r="AM35" s="1967" t="s">
        <v>217</v>
      </c>
      <c r="AP35" s="786"/>
      <c r="BE35" s="790"/>
      <c r="BF35" s="791"/>
      <c r="BG35" s="791"/>
      <c r="BH35" s="791"/>
      <c r="BI35" s="791"/>
      <c r="BJ35" s="790"/>
      <c r="BK35" s="790"/>
      <c r="BL35" s="790"/>
      <c r="BM35" s="790"/>
      <c r="BN35" s="791"/>
      <c r="BO35" s="791"/>
    </row>
    <row r="36" spans="1:70" s="784" customFormat="1" ht="99.95" hidden="1" customHeight="1">
      <c r="A36" s="1946" t="s">
        <v>218</v>
      </c>
      <c r="B36" s="1947"/>
      <c r="C36" s="1953"/>
      <c r="D36" s="792"/>
      <c r="E36" s="793" t="s">
        <v>219</v>
      </c>
      <c r="F36" s="794" t="s">
        <v>220</v>
      </c>
      <c r="G36" s="795" t="s">
        <v>221</v>
      </c>
      <c r="H36" s="796" t="s">
        <v>222</v>
      </c>
      <c r="I36" s="797" t="s">
        <v>223</v>
      </c>
      <c r="J36" s="798" t="s">
        <v>3</v>
      </c>
      <c r="K36" s="799" t="s">
        <v>224</v>
      </c>
      <c r="L36" s="800" t="s">
        <v>225</v>
      </c>
      <c r="M36" s="801" t="s">
        <v>226</v>
      </c>
      <c r="N36" s="800" t="s">
        <v>227</v>
      </c>
      <c r="O36" s="802" t="s">
        <v>228</v>
      </c>
      <c r="P36" s="802" t="s">
        <v>229</v>
      </c>
      <c r="Q36" s="802" t="s">
        <v>230</v>
      </c>
      <c r="R36" s="802" t="s">
        <v>231</v>
      </c>
      <c r="S36" s="802" t="s">
        <v>232</v>
      </c>
      <c r="T36" s="802" t="s">
        <v>233</v>
      </c>
      <c r="U36" s="802" t="s">
        <v>234</v>
      </c>
      <c r="V36" s="803" t="s">
        <v>3</v>
      </c>
      <c r="W36" s="804" t="s">
        <v>224</v>
      </c>
      <c r="X36" s="800" t="s">
        <v>235</v>
      </c>
      <c r="Y36" s="805" t="s">
        <v>236</v>
      </c>
      <c r="Z36" s="800" t="s">
        <v>225</v>
      </c>
      <c r="AA36" s="800" t="s">
        <v>237</v>
      </c>
      <c r="AB36" s="800" t="s">
        <v>228</v>
      </c>
      <c r="AC36" s="800" t="s">
        <v>232</v>
      </c>
      <c r="AD36" s="1720" t="s">
        <v>233</v>
      </c>
      <c r="AE36" s="1720" t="s">
        <v>238</v>
      </c>
      <c r="AF36" s="802" t="s">
        <v>239</v>
      </c>
      <c r="AG36" s="803" t="s">
        <v>3</v>
      </c>
      <c r="AH36" s="806" t="s">
        <v>240</v>
      </c>
      <c r="AI36" s="807" t="s">
        <v>241</v>
      </c>
      <c r="AJ36" s="808" t="s">
        <v>242</v>
      </c>
      <c r="AK36" s="808" t="s">
        <v>243</v>
      </c>
      <c r="AL36" s="809" t="s">
        <v>237</v>
      </c>
      <c r="AM36" s="1968"/>
      <c r="AU36" s="786"/>
      <c r="BE36" s="791"/>
      <c r="BF36" s="791"/>
      <c r="BG36" s="791"/>
      <c r="BH36" s="791"/>
      <c r="BI36" s="791"/>
      <c r="BJ36" s="790"/>
      <c r="BK36" s="790"/>
      <c r="BL36" s="790"/>
      <c r="BM36" s="790"/>
      <c r="BN36" s="791"/>
      <c r="BO36" s="791"/>
      <c r="BP36" s="791"/>
      <c r="BQ36" s="791"/>
      <c r="BR36" s="790"/>
    </row>
    <row r="37" spans="1:70" s="784" customFormat="1" ht="24.95" hidden="1" customHeight="1">
      <c r="A37" s="1488" t="s">
        <v>358</v>
      </c>
      <c r="B37" s="810" t="s">
        <v>84</v>
      </c>
      <c r="C37" s="811" t="s">
        <v>26</v>
      </c>
      <c r="D37" s="813" t="s">
        <v>26</v>
      </c>
      <c r="E37" s="811" t="s">
        <v>26</v>
      </c>
      <c r="F37" s="812" t="s">
        <v>26</v>
      </c>
      <c r="G37" s="813" t="s">
        <v>26</v>
      </c>
      <c r="H37" s="811" t="s">
        <v>26</v>
      </c>
      <c r="I37" s="812" t="s">
        <v>26</v>
      </c>
      <c r="J37" s="813" t="s">
        <v>26</v>
      </c>
      <c r="K37" s="814" t="s">
        <v>26</v>
      </c>
      <c r="L37" s="815" t="s">
        <v>26</v>
      </c>
      <c r="M37" s="816" t="s">
        <v>26</v>
      </c>
      <c r="N37" s="815" t="s">
        <v>26</v>
      </c>
      <c r="O37" s="817" t="s">
        <v>26</v>
      </c>
      <c r="P37" s="817" t="s">
        <v>26</v>
      </c>
      <c r="Q37" s="817" t="s">
        <v>26</v>
      </c>
      <c r="R37" s="817" t="s">
        <v>26</v>
      </c>
      <c r="S37" s="817" t="s">
        <v>26</v>
      </c>
      <c r="T37" s="817" t="s">
        <v>26</v>
      </c>
      <c r="U37" s="817" t="s">
        <v>26</v>
      </c>
      <c r="V37" s="818" t="s">
        <v>26</v>
      </c>
      <c r="W37" s="819" t="s">
        <v>26</v>
      </c>
      <c r="X37" s="815" t="s">
        <v>26</v>
      </c>
      <c r="Y37" s="815" t="s">
        <v>26</v>
      </c>
      <c r="Z37" s="815" t="s">
        <v>26</v>
      </c>
      <c r="AA37" s="815" t="s">
        <v>26</v>
      </c>
      <c r="AB37" s="815" t="s">
        <v>26</v>
      </c>
      <c r="AC37" s="816" t="s">
        <v>26</v>
      </c>
      <c r="AD37" s="815" t="s">
        <v>26</v>
      </c>
      <c r="AE37" s="816" t="s">
        <v>26</v>
      </c>
      <c r="AF37" s="815" t="s">
        <v>26</v>
      </c>
      <c r="AG37" s="820" t="s">
        <v>26</v>
      </c>
      <c r="AH37" s="821" t="s">
        <v>26</v>
      </c>
      <c r="AI37" s="822" t="s">
        <v>26</v>
      </c>
      <c r="AJ37" s="822" t="s">
        <v>26</v>
      </c>
      <c r="AK37" s="823" t="s">
        <v>26</v>
      </c>
      <c r="AL37" s="822" t="s">
        <v>26</v>
      </c>
      <c r="AM37" s="820" t="s">
        <v>244</v>
      </c>
      <c r="BE37" s="791"/>
      <c r="BF37" s="791"/>
      <c r="BG37" s="791"/>
      <c r="BH37" s="790"/>
      <c r="BI37" s="790"/>
      <c r="BJ37" s="790"/>
      <c r="BK37" s="981"/>
      <c r="BL37" s="981"/>
      <c r="BM37" s="981"/>
      <c r="BN37" s="981"/>
      <c r="BO37" s="981"/>
      <c r="BP37" s="790"/>
      <c r="BQ37" s="790"/>
      <c r="BR37" s="790"/>
    </row>
    <row r="38" spans="1:70" s="784" customFormat="1" ht="24.95" hidden="1" customHeight="1">
      <c r="A38" s="1489">
        <v>1</v>
      </c>
      <c r="B38" s="1490">
        <v>2</v>
      </c>
      <c r="C38" s="825">
        <v>3</v>
      </c>
      <c r="D38" s="824">
        <v>4</v>
      </c>
      <c r="E38" s="825">
        <v>5</v>
      </c>
      <c r="F38" s="826">
        <v>6</v>
      </c>
      <c r="G38" s="827">
        <v>7</v>
      </c>
      <c r="H38" s="825">
        <v>8</v>
      </c>
      <c r="I38" s="826">
        <v>9</v>
      </c>
      <c r="J38" s="827">
        <v>10</v>
      </c>
      <c r="K38" s="825">
        <v>11</v>
      </c>
      <c r="L38" s="826">
        <v>12</v>
      </c>
      <c r="M38" s="826">
        <v>13</v>
      </c>
      <c r="N38" s="828">
        <v>14</v>
      </c>
      <c r="O38" s="826">
        <v>15</v>
      </c>
      <c r="P38" s="826">
        <v>16</v>
      </c>
      <c r="Q38" s="828">
        <v>17</v>
      </c>
      <c r="R38" s="826">
        <v>18</v>
      </c>
      <c r="S38" s="826">
        <v>19</v>
      </c>
      <c r="T38" s="828">
        <v>20</v>
      </c>
      <c r="U38" s="826">
        <v>21</v>
      </c>
      <c r="V38" s="827">
        <v>22</v>
      </c>
      <c r="W38" s="825">
        <v>23</v>
      </c>
      <c r="X38" s="826">
        <v>24</v>
      </c>
      <c r="Y38" s="829">
        <v>25</v>
      </c>
      <c r="Z38" s="826">
        <v>26</v>
      </c>
      <c r="AA38" s="829">
        <v>27</v>
      </c>
      <c r="AB38" s="826">
        <v>28</v>
      </c>
      <c r="AC38" s="829">
        <v>29</v>
      </c>
      <c r="AD38" s="826">
        <v>30</v>
      </c>
      <c r="AE38" s="826">
        <v>31</v>
      </c>
      <c r="AF38" s="826">
        <v>32</v>
      </c>
      <c r="AG38" s="830">
        <v>33</v>
      </c>
      <c r="AH38" s="831">
        <v>34</v>
      </c>
      <c r="AI38" s="829">
        <v>35</v>
      </c>
      <c r="AJ38" s="828">
        <v>36</v>
      </c>
      <c r="AK38" s="826">
        <v>37</v>
      </c>
      <c r="AL38" s="829">
        <v>38</v>
      </c>
      <c r="AM38" s="832">
        <v>39</v>
      </c>
      <c r="AS38" s="786"/>
      <c r="BE38" s="790"/>
      <c r="BF38" s="790"/>
      <c r="BG38" s="790"/>
      <c r="BH38" s="790"/>
      <c r="BI38" s="790"/>
      <c r="BJ38" s="790"/>
      <c r="BK38" s="1721"/>
      <c r="BL38" s="1721"/>
      <c r="BM38" s="1721"/>
      <c r="BN38" s="1721"/>
      <c r="BO38" s="1721"/>
      <c r="BP38" s="790"/>
      <c r="BQ38" s="790"/>
      <c r="BR38" s="790"/>
    </row>
    <row r="39" spans="1:70" s="784" customFormat="1" ht="24.95" hidden="1" customHeight="1">
      <c r="A39" s="833">
        <v>1</v>
      </c>
      <c r="B39" s="834" t="s">
        <v>245</v>
      </c>
      <c r="C39" s="835">
        <v>71</v>
      </c>
      <c r="D39" s="1722">
        <v>0</v>
      </c>
      <c r="E39" s="836">
        <v>0</v>
      </c>
      <c r="F39" s="837">
        <v>0</v>
      </c>
      <c r="G39" s="838">
        <v>0</v>
      </c>
      <c r="H39" s="841">
        <v>6704.2999999999993</v>
      </c>
      <c r="I39" s="843">
        <v>0</v>
      </c>
      <c r="J39" s="839">
        <v>6704.2999999999993</v>
      </c>
      <c r="K39" s="1723">
        <v>381.3</v>
      </c>
      <c r="L39" s="1724">
        <v>0</v>
      </c>
      <c r="M39" s="1724">
        <v>236.6</v>
      </c>
      <c r="N39" s="1724">
        <v>0</v>
      </c>
      <c r="O39" s="1724">
        <v>393</v>
      </c>
      <c r="P39" s="1724">
        <v>67.900000000000006</v>
      </c>
      <c r="Q39" s="1724">
        <v>0</v>
      </c>
      <c r="R39" s="1724">
        <v>0</v>
      </c>
      <c r="S39" s="1724">
        <v>56.8</v>
      </c>
      <c r="T39" s="1724">
        <v>97.4</v>
      </c>
      <c r="U39" s="1724">
        <v>0</v>
      </c>
      <c r="V39" s="840">
        <v>1233</v>
      </c>
      <c r="W39" s="841">
        <v>18</v>
      </c>
      <c r="X39" s="842">
        <v>20</v>
      </c>
      <c r="Y39" s="843">
        <v>20</v>
      </c>
      <c r="Z39" s="843">
        <v>60.9</v>
      </c>
      <c r="AA39" s="843">
        <v>0</v>
      </c>
      <c r="AB39" s="844">
        <v>0</v>
      </c>
      <c r="AC39" s="844">
        <v>154</v>
      </c>
      <c r="AD39" s="844">
        <v>111</v>
      </c>
      <c r="AE39" s="844">
        <v>15.5</v>
      </c>
      <c r="AF39" s="845">
        <v>0</v>
      </c>
      <c r="AG39" s="839">
        <v>399.4</v>
      </c>
      <c r="AH39" s="1725">
        <v>819</v>
      </c>
      <c r="AI39" s="1600">
        <v>80</v>
      </c>
      <c r="AJ39" s="1601">
        <v>615</v>
      </c>
      <c r="AK39" s="1602">
        <v>280</v>
      </c>
      <c r="AL39" s="1603">
        <v>0</v>
      </c>
      <c r="AM39" s="1604">
        <v>6271</v>
      </c>
      <c r="AS39" s="786"/>
      <c r="BE39" s="981"/>
      <c r="BF39" s="981"/>
      <c r="BG39" s="981"/>
      <c r="BH39" s="981"/>
      <c r="BI39" s="981"/>
      <c r="BJ39" s="981"/>
      <c r="BK39" s="981"/>
      <c r="BL39" s="1726"/>
      <c r="BM39" s="1726"/>
      <c r="BN39" s="1726"/>
      <c r="BO39" s="1726"/>
      <c r="BP39" s="1726"/>
      <c r="BQ39" s="1726"/>
      <c r="BR39" s="790"/>
    </row>
    <row r="40" spans="1:70" s="784" customFormat="1" ht="20.100000000000001" hidden="1" customHeight="1">
      <c r="A40" s="849">
        <v>2</v>
      </c>
      <c r="B40" s="850" t="s">
        <v>246</v>
      </c>
      <c r="C40" s="835">
        <v>20</v>
      </c>
      <c r="D40" s="852">
        <v>0</v>
      </c>
      <c r="E40" s="836">
        <v>0</v>
      </c>
      <c r="F40" s="842">
        <v>0</v>
      </c>
      <c r="G40" s="848">
        <v>0</v>
      </c>
      <c r="H40" s="855">
        <v>3162.5</v>
      </c>
      <c r="I40" s="851">
        <v>0</v>
      </c>
      <c r="J40" s="839">
        <v>3162.5</v>
      </c>
      <c r="K40" s="1723">
        <v>0</v>
      </c>
      <c r="L40" s="1724">
        <v>0</v>
      </c>
      <c r="M40" s="1724">
        <v>0</v>
      </c>
      <c r="N40" s="1724">
        <v>0</v>
      </c>
      <c r="O40" s="1724">
        <v>0</v>
      </c>
      <c r="P40" s="1724">
        <v>0</v>
      </c>
      <c r="Q40" s="1724">
        <v>0</v>
      </c>
      <c r="R40" s="1724">
        <v>0</v>
      </c>
      <c r="S40" s="1724">
        <v>0</v>
      </c>
      <c r="T40" s="1724">
        <v>0</v>
      </c>
      <c r="U40" s="1724">
        <v>130</v>
      </c>
      <c r="V40" s="840">
        <v>130</v>
      </c>
      <c r="W40" s="851">
        <v>0</v>
      </c>
      <c r="X40" s="842">
        <v>0</v>
      </c>
      <c r="Y40" s="851">
        <v>0</v>
      </c>
      <c r="Z40" s="851">
        <v>0</v>
      </c>
      <c r="AA40" s="851">
        <v>0</v>
      </c>
      <c r="AB40" s="851">
        <v>0</v>
      </c>
      <c r="AC40" s="851">
        <v>0</v>
      </c>
      <c r="AD40" s="851">
        <v>0</v>
      </c>
      <c r="AE40" s="851">
        <v>0</v>
      </c>
      <c r="AF40" s="852">
        <v>0</v>
      </c>
      <c r="AG40" s="853">
        <v>0</v>
      </c>
      <c r="AH40" s="1725">
        <v>0</v>
      </c>
      <c r="AI40" s="1600">
        <v>0</v>
      </c>
      <c r="AJ40" s="1605">
        <v>0</v>
      </c>
      <c r="AK40" s="1602">
        <v>0</v>
      </c>
      <c r="AL40" s="1606">
        <v>135</v>
      </c>
      <c r="AM40" s="1604">
        <v>3370</v>
      </c>
      <c r="BE40" s="981"/>
      <c r="BF40" s="981"/>
      <c r="BG40" s="981"/>
      <c r="BH40" s="981"/>
      <c r="BI40" s="981"/>
      <c r="BJ40" s="981"/>
      <c r="BK40" s="981"/>
      <c r="BL40" s="1726"/>
      <c r="BM40" s="1726"/>
      <c r="BN40" s="1726"/>
      <c r="BO40" s="1726"/>
      <c r="BP40" s="1726"/>
      <c r="BQ40" s="1726"/>
      <c r="BR40" s="790"/>
    </row>
    <row r="41" spans="1:70" s="784" customFormat="1" ht="20.100000000000001" hidden="1" customHeight="1">
      <c r="A41" s="849">
        <v>3</v>
      </c>
      <c r="B41" s="850" t="s">
        <v>247</v>
      </c>
      <c r="C41" s="835">
        <v>49</v>
      </c>
      <c r="D41" s="852">
        <v>0</v>
      </c>
      <c r="E41" s="836">
        <v>0</v>
      </c>
      <c r="F41" s="842">
        <v>0</v>
      </c>
      <c r="G41" s="848">
        <v>0</v>
      </c>
      <c r="H41" s="855">
        <v>5935.4</v>
      </c>
      <c r="I41" s="851">
        <v>0</v>
      </c>
      <c r="J41" s="839">
        <v>5935.4</v>
      </c>
      <c r="K41" s="1723">
        <v>296.5</v>
      </c>
      <c r="L41" s="1724">
        <v>130.9</v>
      </c>
      <c r="M41" s="1724">
        <v>213.5</v>
      </c>
      <c r="N41" s="1724">
        <v>31.7</v>
      </c>
      <c r="O41" s="1724">
        <v>226.1</v>
      </c>
      <c r="P41" s="1724">
        <v>0</v>
      </c>
      <c r="Q41" s="1724">
        <v>0</v>
      </c>
      <c r="R41" s="1724">
        <v>0</v>
      </c>
      <c r="S41" s="1724">
        <v>39.700000000000003</v>
      </c>
      <c r="T41" s="1724">
        <v>38.299999999999997</v>
      </c>
      <c r="U41" s="1724">
        <v>0</v>
      </c>
      <c r="V41" s="840">
        <v>976.7</v>
      </c>
      <c r="W41" s="855">
        <v>18</v>
      </c>
      <c r="X41" s="842">
        <v>20</v>
      </c>
      <c r="Y41" s="851">
        <v>0</v>
      </c>
      <c r="Z41" s="851">
        <v>0</v>
      </c>
      <c r="AA41" s="851">
        <v>1121</v>
      </c>
      <c r="AB41" s="851">
        <v>0</v>
      </c>
      <c r="AC41" s="846">
        <v>124</v>
      </c>
      <c r="AD41" s="846">
        <v>45</v>
      </c>
      <c r="AE41" s="846">
        <v>22</v>
      </c>
      <c r="AF41" s="852">
        <v>0</v>
      </c>
      <c r="AG41" s="853">
        <v>1350</v>
      </c>
      <c r="AH41" s="1725">
        <v>692</v>
      </c>
      <c r="AI41" s="1600">
        <v>244</v>
      </c>
      <c r="AJ41" s="1605">
        <v>401</v>
      </c>
      <c r="AK41" s="1602">
        <v>85</v>
      </c>
      <c r="AL41" s="1606">
        <v>1202</v>
      </c>
      <c r="AM41" s="1604">
        <v>5515</v>
      </c>
      <c r="BE41" s="981"/>
      <c r="BF41" s="981"/>
      <c r="BG41" s="981"/>
      <c r="BH41" s="981"/>
      <c r="BI41" s="981"/>
      <c r="BJ41" s="981"/>
      <c r="BK41" s="981"/>
      <c r="BL41" s="1726"/>
      <c r="BM41" s="1726"/>
      <c r="BN41" s="1726"/>
      <c r="BO41" s="1726"/>
      <c r="BP41" s="1726"/>
      <c r="BQ41" s="1726"/>
      <c r="BR41" s="790"/>
    </row>
    <row r="42" spans="1:70" s="784" customFormat="1" ht="20.100000000000001" hidden="1" customHeight="1">
      <c r="A42" s="849">
        <v>4</v>
      </c>
      <c r="B42" s="850" t="s">
        <v>60</v>
      </c>
      <c r="C42" s="835">
        <v>24</v>
      </c>
      <c r="D42" s="852">
        <v>15</v>
      </c>
      <c r="E42" s="836">
        <v>0</v>
      </c>
      <c r="F42" s="842">
        <v>0</v>
      </c>
      <c r="G42" s="848">
        <v>0</v>
      </c>
      <c r="H42" s="855">
        <v>7510.3</v>
      </c>
      <c r="I42" s="851">
        <v>0</v>
      </c>
      <c r="J42" s="839">
        <v>7510.3</v>
      </c>
      <c r="K42" s="1723">
        <v>0</v>
      </c>
      <c r="L42" s="1724">
        <v>0</v>
      </c>
      <c r="M42" s="1724">
        <v>0</v>
      </c>
      <c r="N42" s="1724">
        <v>0</v>
      </c>
      <c r="O42" s="1724">
        <v>0</v>
      </c>
      <c r="P42" s="1724">
        <v>0</v>
      </c>
      <c r="Q42" s="1724">
        <v>0</v>
      </c>
      <c r="R42" s="1724">
        <v>0</v>
      </c>
      <c r="S42" s="1724">
        <v>0</v>
      </c>
      <c r="T42" s="1724">
        <v>0</v>
      </c>
      <c r="U42" s="1724">
        <v>0</v>
      </c>
      <c r="V42" s="840">
        <v>0</v>
      </c>
      <c r="W42" s="856">
        <v>0</v>
      </c>
      <c r="X42" s="842">
        <v>0</v>
      </c>
      <c r="Y42" s="846">
        <v>0</v>
      </c>
      <c r="Z42" s="846">
        <v>0</v>
      </c>
      <c r="AA42" s="846">
        <v>1638</v>
      </c>
      <c r="AB42" s="851">
        <v>0</v>
      </c>
      <c r="AC42" s="846">
        <v>0</v>
      </c>
      <c r="AD42" s="846">
        <v>0</v>
      </c>
      <c r="AE42" s="846">
        <v>0</v>
      </c>
      <c r="AF42" s="852">
        <v>0</v>
      </c>
      <c r="AG42" s="853">
        <v>1638</v>
      </c>
      <c r="AH42" s="1725">
        <v>0</v>
      </c>
      <c r="AI42" s="1600">
        <v>0</v>
      </c>
      <c r="AJ42" s="1605">
        <v>0</v>
      </c>
      <c r="AK42" s="1602">
        <v>0</v>
      </c>
      <c r="AL42" s="1606">
        <v>1712</v>
      </c>
      <c r="AM42" s="1604">
        <v>6204</v>
      </c>
      <c r="BE42" s="981"/>
      <c r="BF42" s="981"/>
      <c r="BG42" s="981"/>
      <c r="BH42" s="981"/>
      <c r="BI42" s="981"/>
      <c r="BJ42" s="981"/>
      <c r="BK42" s="981"/>
      <c r="BL42" s="1726"/>
      <c r="BM42" s="1726"/>
      <c r="BN42" s="1726"/>
      <c r="BO42" s="1726"/>
      <c r="BP42" s="1726"/>
      <c r="BQ42" s="1726"/>
      <c r="BR42" s="790"/>
    </row>
    <row r="43" spans="1:70" s="784" customFormat="1" ht="20.100000000000001" hidden="1" customHeight="1">
      <c r="A43" s="849">
        <v>5</v>
      </c>
      <c r="B43" s="850" t="s">
        <v>61</v>
      </c>
      <c r="C43" s="835">
        <v>92</v>
      </c>
      <c r="D43" s="852">
        <v>50</v>
      </c>
      <c r="E43" s="836">
        <v>0</v>
      </c>
      <c r="F43" s="842">
        <v>80</v>
      </c>
      <c r="G43" s="848">
        <v>0</v>
      </c>
      <c r="H43" s="855">
        <v>9155.2999999999993</v>
      </c>
      <c r="I43" s="851">
        <v>0</v>
      </c>
      <c r="J43" s="839">
        <v>9155.2999999999993</v>
      </c>
      <c r="K43" s="1723">
        <v>351.3</v>
      </c>
      <c r="L43" s="1724">
        <v>0</v>
      </c>
      <c r="M43" s="1724">
        <v>206.9</v>
      </c>
      <c r="N43" s="1724">
        <v>0</v>
      </c>
      <c r="O43" s="1724">
        <v>373.6</v>
      </c>
      <c r="P43" s="1724">
        <v>0</v>
      </c>
      <c r="Q43" s="1724">
        <v>353</v>
      </c>
      <c r="R43" s="1724">
        <v>0</v>
      </c>
      <c r="S43" s="1724">
        <v>62</v>
      </c>
      <c r="T43" s="1724">
        <v>123</v>
      </c>
      <c r="U43" s="1724">
        <v>119</v>
      </c>
      <c r="V43" s="840">
        <v>1588.8000000000002</v>
      </c>
      <c r="W43" s="855">
        <v>48</v>
      </c>
      <c r="X43" s="842">
        <v>20</v>
      </c>
      <c r="Y43" s="846">
        <v>0</v>
      </c>
      <c r="Z43" s="851">
        <v>0</v>
      </c>
      <c r="AA43" s="851">
        <v>0</v>
      </c>
      <c r="AB43" s="846">
        <v>40</v>
      </c>
      <c r="AC43" s="851">
        <v>56</v>
      </c>
      <c r="AD43" s="851">
        <v>145</v>
      </c>
      <c r="AE43" s="851">
        <v>17.5</v>
      </c>
      <c r="AF43" s="852">
        <v>0</v>
      </c>
      <c r="AG43" s="853">
        <v>326.5</v>
      </c>
      <c r="AH43" s="1725">
        <v>1045</v>
      </c>
      <c r="AI43" s="1600">
        <v>0</v>
      </c>
      <c r="AJ43" s="1605">
        <v>553</v>
      </c>
      <c r="AK43" s="1602">
        <v>631</v>
      </c>
      <c r="AL43" s="1606">
        <v>130</v>
      </c>
      <c r="AM43" s="1604">
        <v>8417</v>
      </c>
      <c r="BE43" s="981"/>
      <c r="BF43" s="981"/>
      <c r="BG43" s="981"/>
      <c r="BH43" s="981"/>
      <c r="BI43" s="981"/>
      <c r="BJ43" s="981"/>
      <c r="BK43" s="981"/>
      <c r="BL43" s="1726"/>
      <c r="BM43" s="1726"/>
      <c r="BN43" s="1726"/>
      <c r="BO43" s="1726"/>
      <c r="BP43" s="1726"/>
      <c r="BQ43" s="1726"/>
      <c r="BR43" s="790"/>
    </row>
    <row r="44" spans="1:70" s="784" customFormat="1" ht="24.95" hidden="1" customHeight="1">
      <c r="A44" s="849">
        <v>6</v>
      </c>
      <c r="B44" s="850" t="s">
        <v>248</v>
      </c>
      <c r="C44" s="835">
        <v>51</v>
      </c>
      <c r="D44" s="852">
        <v>0</v>
      </c>
      <c r="E44" s="836">
        <v>0</v>
      </c>
      <c r="F44" s="842">
        <v>0</v>
      </c>
      <c r="G44" s="848">
        <v>0</v>
      </c>
      <c r="H44" s="855">
        <v>9728</v>
      </c>
      <c r="I44" s="851">
        <v>0</v>
      </c>
      <c r="J44" s="839">
        <v>9728</v>
      </c>
      <c r="K44" s="1723">
        <v>0</v>
      </c>
      <c r="L44" s="1724">
        <v>0</v>
      </c>
      <c r="M44" s="1724">
        <v>0</v>
      </c>
      <c r="N44" s="1724">
        <v>0</v>
      </c>
      <c r="O44" s="1724">
        <v>0</v>
      </c>
      <c r="P44" s="1724">
        <v>0</v>
      </c>
      <c r="Q44" s="1724">
        <v>0</v>
      </c>
      <c r="R44" s="1724">
        <v>0</v>
      </c>
      <c r="S44" s="1724">
        <v>0</v>
      </c>
      <c r="T44" s="1724">
        <v>0</v>
      </c>
      <c r="U44" s="1724">
        <v>178</v>
      </c>
      <c r="V44" s="840">
        <v>178</v>
      </c>
      <c r="W44" s="856">
        <v>0</v>
      </c>
      <c r="X44" s="842">
        <v>0</v>
      </c>
      <c r="Y44" s="846">
        <v>0</v>
      </c>
      <c r="Z44" s="846">
        <v>0</v>
      </c>
      <c r="AA44" s="846">
        <v>1394</v>
      </c>
      <c r="AB44" s="851">
        <v>0</v>
      </c>
      <c r="AC44" s="846">
        <v>0</v>
      </c>
      <c r="AD44" s="846">
        <v>0</v>
      </c>
      <c r="AE44" s="846">
        <v>0</v>
      </c>
      <c r="AF44" s="852">
        <v>0</v>
      </c>
      <c r="AG44" s="853">
        <v>1394</v>
      </c>
      <c r="AH44" s="1725">
        <v>0</v>
      </c>
      <c r="AI44" s="1600">
        <v>0</v>
      </c>
      <c r="AJ44" s="1605">
        <v>0</v>
      </c>
      <c r="AK44" s="1602">
        <v>0</v>
      </c>
      <c r="AL44" s="1606">
        <v>1594</v>
      </c>
      <c r="AM44" s="1604">
        <v>8561</v>
      </c>
      <c r="BE44" s="981"/>
      <c r="BF44" s="981"/>
      <c r="BG44" s="981"/>
      <c r="BH44" s="981"/>
      <c r="BI44" s="981"/>
      <c r="BJ44" s="981"/>
      <c r="BK44" s="981"/>
      <c r="BL44" s="1726"/>
      <c r="BM44" s="1726"/>
      <c r="BN44" s="1726"/>
      <c r="BO44" s="1726"/>
      <c r="BP44" s="1726"/>
      <c r="BQ44" s="1726"/>
      <c r="BR44" s="790"/>
    </row>
    <row r="45" spans="1:70" s="784" customFormat="1" ht="20.100000000000001" hidden="1" customHeight="1">
      <c r="A45" s="849">
        <v>7</v>
      </c>
      <c r="B45" s="850" t="s">
        <v>249</v>
      </c>
      <c r="C45" s="835">
        <v>35</v>
      </c>
      <c r="D45" s="852">
        <v>0</v>
      </c>
      <c r="E45" s="836">
        <v>0</v>
      </c>
      <c r="F45" s="842">
        <v>0</v>
      </c>
      <c r="G45" s="848">
        <v>0</v>
      </c>
      <c r="H45" s="855">
        <v>1217.9999999999998</v>
      </c>
      <c r="I45" s="851">
        <v>0</v>
      </c>
      <c r="J45" s="839">
        <v>1217.9999999999998</v>
      </c>
      <c r="K45" s="1723">
        <v>0</v>
      </c>
      <c r="L45" s="1724">
        <v>0</v>
      </c>
      <c r="M45" s="1724">
        <v>0</v>
      </c>
      <c r="N45" s="1724">
        <v>0</v>
      </c>
      <c r="O45" s="1724">
        <v>0</v>
      </c>
      <c r="P45" s="1724">
        <v>0</v>
      </c>
      <c r="Q45" s="1724">
        <v>0</v>
      </c>
      <c r="R45" s="1724">
        <v>0</v>
      </c>
      <c r="S45" s="1724">
        <v>0</v>
      </c>
      <c r="T45" s="1724">
        <v>0</v>
      </c>
      <c r="U45" s="1724">
        <v>0</v>
      </c>
      <c r="V45" s="840">
        <v>0</v>
      </c>
      <c r="W45" s="856">
        <v>0</v>
      </c>
      <c r="X45" s="842">
        <v>0</v>
      </c>
      <c r="Y45" s="846">
        <v>0</v>
      </c>
      <c r="Z45" s="846">
        <v>0</v>
      </c>
      <c r="AA45" s="846">
        <v>0</v>
      </c>
      <c r="AB45" s="846">
        <v>0</v>
      </c>
      <c r="AC45" s="846">
        <v>0</v>
      </c>
      <c r="AD45" s="846">
        <v>0</v>
      </c>
      <c r="AE45" s="846">
        <v>0</v>
      </c>
      <c r="AF45" s="852">
        <v>0</v>
      </c>
      <c r="AG45" s="853">
        <v>0</v>
      </c>
      <c r="AH45" s="1725">
        <v>0</v>
      </c>
      <c r="AI45" s="1600">
        <v>0</v>
      </c>
      <c r="AJ45" s="1605">
        <v>0</v>
      </c>
      <c r="AK45" s="1602">
        <v>0</v>
      </c>
      <c r="AL45" s="1606">
        <v>0</v>
      </c>
      <c r="AM45" s="1604">
        <v>1069</v>
      </c>
      <c r="BE45" s="981"/>
      <c r="BF45" s="981"/>
      <c r="BG45" s="981"/>
      <c r="BH45" s="981"/>
      <c r="BI45" s="981"/>
      <c r="BJ45" s="981"/>
      <c r="BK45" s="981"/>
      <c r="BL45" s="1726"/>
      <c r="BM45" s="1726"/>
      <c r="BN45" s="1726"/>
      <c r="BO45" s="1726"/>
      <c r="BP45" s="1726"/>
      <c r="BQ45" s="1726"/>
      <c r="BR45" s="790"/>
    </row>
    <row r="46" spans="1:70" s="784" customFormat="1" ht="20.100000000000001" hidden="1" customHeight="1">
      <c r="A46" s="849">
        <v>8</v>
      </c>
      <c r="B46" s="850" t="s">
        <v>62</v>
      </c>
      <c r="C46" s="835">
        <v>124</v>
      </c>
      <c r="D46" s="852">
        <v>50</v>
      </c>
      <c r="E46" s="836">
        <v>0</v>
      </c>
      <c r="F46" s="842">
        <v>0</v>
      </c>
      <c r="G46" s="848">
        <v>0</v>
      </c>
      <c r="H46" s="855">
        <v>12202.699999999997</v>
      </c>
      <c r="I46" s="851">
        <v>0</v>
      </c>
      <c r="J46" s="839">
        <v>12202.699999999997</v>
      </c>
      <c r="K46" s="1723">
        <v>494.1</v>
      </c>
      <c r="L46" s="1724">
        <v>220.4</v>
      </c>
      <c r="M46" s="1724">
        <v>301</v>
      </c>
      <c r="N46" s="1724">
        <v>53.3</v>
      </c>
      <c r="O46" s="1724">
        <v>495</v>
      </c>
      <c r="P46" s="1724">
        <v>0</v>
      </c>
      <c r="Q46" s="1724">
        <v>0</v>
      </c>
      <c r="R46" s="1724">
        <v>99.2</v>
      </c>
      <c r="S46" s="1724">
        <v>69.7</v>
      </c>
      <c r="T46" s="1724">
        <v>126.1</v>
      </c>
      <c r="U46" s="1724">
        <v>146</v>
      </c>
      <c r="V46" s="840">
        <v>2004.8</v>
      </c>
      <c r="W46" s="855">
        <v>81</v>
      </c>
      <c r="X46" s="842">
        <v>20</v>
      </c>
      <c r="Y46" s="846">
        <v>20</v>
      </c>
      <c r="Z46" s="851">
        <v>0</v>
      </c>
      <c r="AA46" s="851">
        <v>0</v>
      </c>
      <c r="AB46" s="846">
        <v>0</v>
      </c>
      <c r="AC46" s="846">
        <v>96</v>
      </c>
      <c r="AD46" s="846">
        <v>145</v>
      </c>
      <c r="AE46" s="846">
        <v>16.5</v>
      </c>
      <c r="AF46" s="852">
        <v>0</v>
      </c>
      <c r="AG46" s="853">
        <v>378.5</v>
      </c>
      <c r="AH46" s="1725">
        <v>1188</v>
      </c>
      <c r="AI46" s="1600">
        <v>341</v>
      </c>
      <c r="AJ46" s="1605">
        <v>666</v>
      </c>
      <c r="AK46" s="1602">
        <v>375</v>
      </c>
      <c r="AL46" s="1606">
        <v>151</v>
      </c>
      <c r="AM46" s="1604">
        <v>11120</v>
      </c>
      <c r="BE46" s="981"/>
      <c r="BF46" s="981"/>
      <c r="BG46" s="981"/>
      <c r="BH46" s="981"/>
      <c r="BI46" s="981"/>
      <c r="BJ46" s="981"/>
      <c r="BK46" s="981"/>
      <c r="BL46" s="1726"/>
      <c r="BM46" s="1726"/>
      <c r="BN46" s="1726"/>
      <c r="BO46" s="1726"/>
      <c r="BP46" s="1726"/>
      <c r="BQ46" s="1726"/>
      <c r="BR46" s="790"/>
    </row>
    <row r="47" spans="1:70" s="784" customFormat="1" ht="20.100000000000001" hidden="1" customHeight="1">
      <c r="A47" s="849">
        <v>9</v>
      </c>
      <c r="B47" s="850" t="s">
        <v>63</v>
      </c>
      <c r="C47" s="835">
        <v>70</v>
      </c>
      <c r="D47" s="852">
        <v>30</v>
      </c>
      <c r="E47" s="836">
        <v>0</v>
      </c>
      <c r="F47" s="842">
        <v>0</v>
      </c>
      <c r="G47" s="848">
        <v>0</v>
      </c>
      <c r="H47" s="855">
        <v>4932.6999999999989</v>
      </c>
      <c r="I47" s="851">
        <v>0</v>
      </c>
      <c r="J47" s="839">
        <v>4932.6999999999989</v>
      </c>
      <c r="K47" s="1723">
        <v>0</v>
      </c>
      <c r="L47" s="1724">
        <v>0</v>
      </c>
      <c r="M47" s="1724">
        <v>0</v>
      </c>
      <c r="N47" s="1724">
        <v>0</v>
      </c>
      <c r="O47" s="1724">
        <v>0</v>
      </c>
      <c r="P47" s="1724">
        <v>0</v>
      </c>
      <c r="Q47" s="1724">
        <v>0</v>
      </c>
      <c r="R47" s="1724">
        <v>0</v>
      </c>
      <c r="S47" s="1724">
        <v>0</v>
      </c>
      <c r="T47" s="1724">
        <v>0</v>
      </c>
      <c r="U47" s="1724">
        <v>0</v>
      </c>
      <c r="V47" s="840">
        <v>0</v>
      </c>
      <c r="W47" s="856">
        <v>0</v>
      </c>
      <c r="X47" s="842">
        <v>0</v>
      </c>
      <c r="Y47" s="846">
        <v>0</v>
      </c>
      <c r="Z47" s="846">
        <v>0</v>
      </c>
      <c r="AA47" s="846">
        <v>0</v>
      </c>
      <c r="AB47" s="842">
        <v>0</v>
      </c>
      <c r="AC47" s="846">
        <v>0</v>
      </c>
      <c r="AD47" s="846">
        <v>0</v>
      </c>
      <c r="AE47" s="846">
        <v>0</v>
      </c>
      <c r="AF47" s="857">
        <v>0</v>
      </c>
      <c r="AG47" s="858">
        <v>0</v>
      </c>
      <c r="AH47" s="1727">
        <v>0</v>
      </c>
      <c r="AI47" s="1600">
        <v>0</v>
      </c>
      <c r="AJ47" s="1605">
        <v>0</v>
      </c>
      <c r="AK47" s="1602">
        <v>0</v>
      </c>
      <c r="AL47" s="1606">
        <v>0</v>
      </c>
      <c r="AM47" s="1604">
        <v>4504</v>
      </c>
      <c r="BE47" s="981"/>
      <c r="BF47" s="981"/>
      <c r="BG47" s="981"/>
      <c r="BH47" s="981"/>
      <c r="BI47" s="981"/>
      <c r="BJ47" s="981"/>
      <c r="BK47" s="981"/>
      <c r="BL47" s="1726"/>
      <c r="BM47" s="1726"/>
      <c r="BN47" s="1726"/>
      <c r="BO47" s="1726"/>
      <c r="BP47" s="1726"/>
      <c r="BQ47" s="1726"/>
      <c r="BR47" s="790"/>
    </row>
    <row r="48" spans="1:70" s="784" customFormat="1" ht="20.100000000000001" hidden="1" customHeight="1">
      <c r="A48" s="849">
        <v>10</v>
      </c>
      <c r="B48" s="850" t="s">
        <v>250</v>
      </c>
      <c r="C48" s="835">
        <v>0</v>
      </c>
      <c r="D48" s="852">
        <v>0</v>
      </c>
      <c r="E48" s="836">
        <v>36</v>
      </c>
      <c r="F48" s="842">
        <v>16</v>
      </c>
      <c r="G48" s="848">
        <v>125</v>
      </c>
      <c r="H48" s="855">
        <v>5883.2</v>
      </c>
      <c r="I48" s="851">
        <v>0</v>
      </c>
      <c r="J48" s="839">
        <v>5883.2</v>
      </c>
      <c r="K48" s="1723">
        <v>0</v>
      </c>
      <c r="L48" s="1724">
        <v>0</v>
      </c>
      <c r="M48" s="1724">
        <v>0</v>
      </c>
      <c r="N48" s="1724">
        <v>0</v>
      </c>
      <c r="O48" s="1724">
        <v>0</v>
      </c>
      <c r="P48" s="1724">
        <v>0</v>
      </c>
      <c r="Q48" s="1724">
        <v>0</v>
      </c>
      <c r="R48" s="1724">
        <v>0</v>
      </c>
      <c r="S48" s="1724">
        <v>0</v>
      </c>
      <c r="T48" s="1724">
        <v>0</v>
      </c>
      <c r="U48" s="1724">
        <v>0</v>
      </c>
      <c r="V48" s="840">
        <v>0</v>
      </c>
      <c r="W48" s="856">
        <v>0</v>
      </c>
      <c r="X48" s="846">
        <v>0</v>
      </c>
      <c r="Y48" s="846">
        <v>0</v>
      </c>
      <c r="Z48" s="846">
        <v>0</v>
      </c>
      <c r="AA48" s="846">
        <v>130</v>
      </c>
      <c r="AB48" s="846">
        <v>0</v>
      </c>
      <c r="AC48" s="846">
        <v>84</v>
      </c>
      <c r="AD48" s="846">
        <v>25</v>
      </c>
      <c r="AE48" s="846">
        <v>34</v>
      </c>
      <c r="AF48" s="852">
        <v>71</v>
      </c>
      <c r="AG48" s="853">
        <v>344</v>
      </c>
      <c r="AH48" s="1725">
        <v>0</v>
      </c>
      <c r="AI48" s="1600">
        <v>0</v>
      </c>
      <c r="AJ48" s="1605">
        <v>84</v>
      </c>
      <c r="AK48" s="1602">
        <v>25</v>
      </c>
      <c r="AL48" s="1606">
        <v>130</v>
      </c>
      <c r="AM48" s="1604">
        <v>6145</v>
      </c>
      <c r="BE48" s="981"/>
      <c r="BF48" s="981"/>
      <c r="BG48" s="981"/>
      <c r="BH48" s="981"/>
      <c r="BI48" s="981"/>
      <c r="BJ48" s="981"/>
      <c r="BK48" s="981"/>
      <c r="BL48" s="1726"/>
      <c r="BM48" s="1726"/>
      <c r="BN48" s="1726"/>
      <c r="BO48" s="1726"/>
      <c r="BP48" s="1726"/>
      <c r="BQ48" s="1726"/>
      <c r="BR48" s="790"/>
    </row>
    <row r="49" spans="1:73" s="784" customFormat="1" ht="24.95" hidden="1" customHeight="1">
      <c r="A49" s="849">
        <v>11</v>
      </c>
      <c r="B49" s="850" t="s">
        <v>251</v>
      </c>
      <c r="C49" s="835">
        <v>18</v>
      </c>
      <c r="D49" s="852">
        <v>0</v>
      </c>
      <c r="E49" s="836">
        <v>0</v>
      </c>
      <c r="F49" s="842">
        <v>0</v>
      </c>
      <c r="G49" s="848">
        <v>0</v>
      </c>
      <c r="H49" s="855">
        <v>4100.5999999999995</v>
      </c>
      <c r="I49" s="851">
        <v>0</v>
      </c>
      <c r="J49" s="839">
        <v>4100.5999999999995</v>
      </c>
      <c r="K49" s="1723">
        <v>0</v>
      </c>
      <c r="L49" s="1724">
        <v>0</v>
      </c>
      <c r="M49" s="1724">
        <v>0</v>
      </c>
      <c r="N49" s="1724">
        <v>0</v>
      </c>
      <c r="O49" s="1724">
        <v>0</v>
      </c>
      <c r="P49" s="1724">
        <v>0</v>
      </c>
      <c r="Q49" s="1724">
        <v>0</v>
      </c>
      <c r="R49" s="1724">
        <v>0</v>
      </c>
      <c r="S49" s="1724">
        <v>0</v>
      </c>
      <c r="T49" s="1724">
        <v>0</v>
      </c>
      <c r="U49" s="1724">
        <v>0</v>
      </c>
      <c r="V49" s="840">
        <v>0</v>
      </c>
      <c r="W49" s="856">
        <v>0</v>
      </c>
      <c r="X49" s="842">
        <v>0</v>
      </c>
      <c r="Y49" s="846">
        <v>0</v>
      </c>
      <c r="Z49" s="846">
        <v>0</v>
      </c>
      <c r="AA49" s="846">
        <v>0</v>
      </c>
      <c r="AB49" s="846">
        <v>0</v>
      </c>
      <c r="AC49" s="846">
        <v>0</v>
      </c>
      <c r="AD49" s="846">
        <v>0</v>
      </c>
      <c r="AE49" s="846">
        <v>0</v>
      </c>
      <c r="AF49" s="852">
        <v>0</v>
      </c>
      <c r="AG49" s="853">
        <v>0</v>
      </c>
      <c r="AH49" s="1725">
        <v>0</v>
      </c>
      <c r="AI49" s="1600">
        <v>0</v>
      </c>
      <c r="AJ49" s="1605">
        <v>0</v>
      </c>
      <c r="AK49" s="1602">
        <v>0</v>
      </c>
      <c r="AL49" s="1606">
        <v>0</v>
      </c>
      <c r="AM49" s="1604">
        <v>0</v>
      </c>
      <c r="BE49" s="981"/>
      <c r="BF49" s="981"/>
      <c r="BG49" s="981"/>
      <c r="BH49" s="981"/>
      <c r="BI49" s="981"/>
      <c r="BJ49" s="981"/>
      <c r="BK49" s="981"/>
      <c r="BL49" s="1726"/>
      <c r="BM49" s="1726"/>
      <c r="BN49" s="1726"/>
      <c r="BO49" s="1726"/>
      <c r="BP49" s="1726"/>
      <c r="BQ49" s="1726"/>
      <c r="BR49" s="790"/>
    </row>
    <row r="50" spans="1:73" s="784" customFormat="1" ht="20.100000000000001" hidden="1" customHeight="1">
      <c r="A50" s="849">
        <v>12</v>
      </c>
      <c r="B50" s="850" t="s">
        <v>252</v>
      </c>
      <c r="C50" s="835">
        <v>27</v>
      </c>
      <c r="D50" s="852">
        <v>0</v>
      </c>
      <c r="E50" s="836">
        <v>0</v>
      </c>
      <c r="F50" s="842">
        <v>0</v>
      </c>
      <c r="G50" s="848">
        <v>0</v>
      </c>
      <c r="H50" s="855">
        <v>2315.5</v>
      </c>
      <c r="I50" s="851">
        <v>0</v>
      </c>
      <c r="J50" s="839">
        <v>2315.5</v>
      </c>
      <c r="K50" s="1723">
        <v>0</v>
      </c>
      <c r="L50" s="1724">
        <v>0</v>
      </c>
      <c r="M50" s="1724">
        <v>0</v>
      </c>
      <c r="N50" s="1724">
        <v>0</v>
      </c>
      <c r="O50" s="1724">
        <v>0</v>
      </c>
      <c r="P50" s="1724">
        <v>0</v>
      </c>
      <c r="Q50" s="1724">
        <v>0</v>
      </c>
      <c r="R50" s="1724">
        <v>0</v>
      </c>
      <c r="S50" s="1724">
        <v>0</v>
      </c>
      <c r="T50" s="1724">
        <v>0</v>
      </c>
      <c r="U50" s="1724">
        <v>139</v>
      </c>
      <c r="V50" s="840">
        <v>139</v>
      </c>
      <c r="W50" s="856">
        <v>0</v>
      </c>
      <c r="X50" s="842">
        <v>0</v>
      </c>
      <c r="Y50" s="846">
        <v>0</v>
      </c>
      <c r="Z50" s="846">
        <v>0</v>
      </c>
      <c r="AA50" s="846">
        <v>0</v>
      </c>
      <c r="AB50" s="846">
        <v>0</v>
      </c>
      <c r="AC50" s="846">
        <v>0</v>
      </c>
      <c r="AD50" s="846">
        <v>0</v>
      </c>
      <c r="AE50" s="846">
        <v>0</v>
      </c>
      <c r="AF50" s="852">
        <v>0</v>
      </c>
      <c r="AG50" s="853">
        <v>0</v>
      </c>
      <c r="AH50" s="1725">
        <v>0</v>
      </c>
      <c r="AI50" s="1600">
        <v>0</v>
      </c>
      <c r="AJ50" s="1605">
        <v>0</v>
      </c>
      <c r="AK50" s="1602">
        <v>0</v>
      </c>
      <c r="AL50" s="1606">
        <v>141</v>
      </c>
      <c r="AM50" s="1604">
        <v>2378</v>
      </c>
      <c r="BE50" s="981"/>
      <c r="BF50" s="981"/>
      <c r="BG50" s="981"/>
      <c r="BH50" s="981"/>
      <c r="BI50" s="981"/>
      <c r="BJ50" s="981"/>
      <c r="BK50" s="981"/>
      <c r="BL50" s="1726"/>
      <c r="BM50" s="1726"/>
      <c r="BN50" s="1726"/>
      <c r="BO50" s="1726"/>
      <c r="BP50" s="1726"/>
      <c r="BQ50" s="1726"/>
      <c r="BR50" s="790"/>
    </row>
    <row r="51" spans="1:73" s="784" customFormat="1" ht="20.100000000000001" hidden="1" customHeight="1">
      <c r="A51" s="849">
        <v>13</v>
      </c>
      <c r="B51" s="850" t="s">
        <v>253</v>
      </c>
      <c r="C51" s="835">
        <v>50</v>
      </c>
      <c r="D51" s="852">
        <v>0</v>
      </c>
      <c r="E51" s="836">
        <v>0</v>
      </c>
      <c r="F51" s="842">
        <v>0</v>
      </c>
      <c r="G51" s="848">
        <v>0</v>
      </c>
      <c r="H51" s="855">
        <v>6315.9999999999991</v>
      </c>
      <c r="I51" s="851">
        <v>0</v>
      </c>
      <c r="J51" s="839">
        <v>6315.9999999999991</v>
      </c>
      <c r="K51" s="1723">
        <v>0</v>
      </c>
      <c r="L51" s="1724">
        <v>0</v>
      </c>
      <c r="M51" s="1724">
        <v>0</v>
      </c>
      <c r="N51" s="1724">
        <v>0</v>
      </c>
      <c r="O51" s="1724">
        <v>0</v>
      </c>
      <c r="P51" s="1724">
        <v>0</v>
      </c>
      <c r="Q51" s="1724">
        <v>0</v>
      </c>
      <c r="R51" s="1724">
        <v>0</v>
      </c>
      <c r="S51" s="1724">
        <v>0</v>
      </c>
      <c r="T51" s="1724">
        <v>0</v>
      </c>
      <c r="U51" s="1724">
        <v>68</v>
      </c>
      <c r="V51" s="840">
        <v>68</v>
      </c>
      <c r="W51" s="856">
        <v>0</v>
      </c>
      <c r="X51" s="842">
        <v>0</v>
      </c>
      <c r="Y51" s="846">
        <v>0</v>
      </c>
      <c r="Z51" s="846">
        <v>0</v>
      </c>
      <c r="AA51" s="846">
        <v>882</v>
      </c>
      <c r="AB51" s="851">
        <v>0</v>
      </c>
      <c r="AC51" s="846">
        <v>0</v>
      </c>
      <c r="AD51" s="846">
        <v>0</v>
      </c>
      <c r="AE51" s="846">
        <v>0</v>
      </c>
      <c r="AF51" s="852">
        <v>0</v>
      </c>
      <c r="AG51" s="853">
        <v>882</v>
      </c>
      <c r="AH51" s="1725">
        <v>0</v>
      </c>
      <c r="AI51" s="1600">
        <v>0</v>
      </c>
      <c r="AJ51" s="1605">
        <v>0</v>
      </c>
      <c r="AK51" s="1602">
        <v>0</v>
      </c>
      <c r="AL51" s="1606">
        <v>959</v>
      </c>
      <c r="AM51" s="1604">
        <v>5731</v>
      </c>
      <c r="BE51" s="981"/>
      <c r="BF51" s="981"/>
      <c r="BG51" s="981"/>
      <c r="BH51" s="981"/>
      <c r="BI51" s="981"/>
      <c r="BJ51" s="981"/>
      <c r="BK51" s="981"/>
      <c r="BL51" s="1726"/>
      <c r="BM51" s="1726"/>
      <c r="BN51" s="1726"/>
      <c r="BO51" s="1726"/>
      <c r="BP51" s="1726"/>
      <c r="BQ51" s="1726"/>
      <c r="BR51" s="790"/>
    </row>
    <row r="52" spans="1:73" s="784" customFormat="1" ht="20.100000000000001" hidden="1" customHeight="1">
      <c r="A52" s="849">
        <v>14</v>
      </c>
      <c r="B52" s="859" t="s">
        <v>254</v>
      </c>
      <c r="C52" s="835">
        <v>24</v>
      </c>
      <c r="D52" s="852">
        <v>0</v>
      </c>
      <c r="E52" s="836">
        <v>0</v>
      </c>
      <c r="F52" s="842">
        <v>0</v>
      </c>
      <c r="G52" s="848">
        <v>0</v>
      </c>
      <c r="H52" s="855">
        <v>525</v>
      </c>
      <c r="I52" s="851">
        <v>48</v>
      </c>
      <c r="J52" s="839">
        <v>573</v>
      </c>
      <c r="K52" s="1723">
        <v>0</v>
      </c>
      <c r="L52" s="1724">
        <v>0</v>
      </c>
      <c r="M52" s="1724">
        <v>0</v>
      </c>
      <c r="N52" s="1724">
        <v>0</v>
      </c>
      <c r="O52" s="1724">
        <v>0</v>
      </c>
      <c r="P52" s="1724">
        <v>96.5</v>
      </c>
      <c r="Q52" s="1724">
        <v>0</v>
      </c>
      <c r="R52" s="1724">
        <v>0</v>
      </c>
      <c r="S52" s="1724">
        <v>0</v>
      </c>
      <c r="T52" s="1724">
        <v>0</v>
      </c>
      <c r="U52" s="1724">
        <v>0</v>
      </c>
      <c r="V52" s="840">
        <v>96.5</v>
      </c>
      <c r="W52" s="856">
        <v>0</v>
      </c>
      <c r="X52" s="842">
        <v>0</v>
      </c>
      <c r="Y52" s="846">
        <v>0</v>
      </c>
      <c r="Z52" s="846">
        <v>0</v>
      </c>
      <c r="AA52" s="846">
        <v>0</v>
      </c>
      <c r="AB52" s="846">
        <v>0</v>
      </c>
      <c r="AC52" s="846">
        <v>0</v>
      </c>
      <c r="AD52" s="846">
        <v>0</v>
      </c>
      <c r="AE52" s="846">
        <v>0</v>
      </c>
      <c r="AF52" s="852">
        <v>0</v>
      </c>
      <c r="AG52" s="853">
        <v>0</v>
      </c>
      <c r="AH52" s="1725">
        <v>0</v>
      </c>
      <c r="AI52" s="1600">
        <v>0</v>
      </c>
      <c r="AJ52" s="1605">
        <v>0</v>
      </c>
      <c r="AK52" s="1602">
        <v>97</v>
      </c>
      <c r="AL52" s="1606">
        <v>0</v>
      </c>
      <c r="AM52" s="1604">
        <v>479</v>
      </c>
      <c r="BE52" s="1728"/>
      <c r="BF52" s="981"/>
      <c r="BG52" s="981"/>
      <c r="BH52" s="981"/>
      <c r="BI52" s="981"/>
      <c r="BJ52" s="981"/>
      <c r="BK52" s="981"/>
      <c r="BL52" s="1726"/>
      <c r="BM52" s="1726"/>
      <c r="BN52" s="1726"/>
      <c r="BO52" s="1726"/>
      <c r="BP52" s="1726"/>
      <c r="BQ52" s="1726"/>
      <c r="BR52" s="790"/>
    </row>
    <row r="53" spans="1:73" s="784" customFormat="1" ht="20.100000000000001" hidden="1" customHeight="1">
      <c r="A53" s="849">
        <v>15</v>
      </c>
      <c r="B53" s="850" t="s">
        <v>255</v>
      </c>
      <c r="C53" s="835">
        <v>6</v>
      </c>
      <c r="D53" s="852">
        <v>0</v>
      </c>
      <c r="E53" s="836">
        <v>0</v>
      </c>
      <c r="F53" s="842">
        <v>0</v>
      </c>
      <c r="G53" s="848">
        <v>25</v>
      </c>
      <c r="H53" s="855">
        <v>1440.9999999999998</v>
      </c>
      <c r="I53" s="851">
        <v>0</v>
      </c>
      <c r="J53" s="839">
        <v>1440.9999999999998</v>
      </c>
      <c r="K53" s="1723">
        <v>0</v>
      </c>
      <c r="L53" s="1724">
        <v>0</v>
      </c>
      <c r="M53" s="1724">
        <v>0</v>
      </c>
      <c r="N53" s="1724">
        <v>0</v>
      </c>
      <c r="O53" s="1724">
        <v>0</v>
      </c>
      <c r="P53" s="1724">
        <v>0</v>
      </c>
      <c r="Q53" s="1724">
        <v>0</v>
      </c>
      <c r="R53" s="1724">
        <v>0</v>
      </c>
      <c r="S53" s="1724">
        <v>0</v>
      </c>
      <c r="T53" s="1724">
        <v>0</v>
      </c>
      <c r="U53" s="1724">
        <v>0</v>
      </c>
      <c r="V53" s="840">
        <v>0</v>
      </c>
      <c r="W53" s="856">
        <v>0</v>
      </c>
      <c r="X53" s="842">
        <v>0</v>
      </c>
      <c r="Y53" s="846">
        <v>0</v>
      </c>
      <c r="Z53" s="846">
        <v>0</v>
      </c>
      <c r="AA53" s="846">
        <v>0</v>
      </c>
      <c r="AB53" s="846">
        <v>0</v>
      </c>
      <c r="AC53" s="846">
        <v>0</v>
      </c>
      <c r="AD53" s="846">
        <v>0</v>
      </c>
      <c r="AE53" s="846">
        <v>0</v>
      </c>
      <c r="AF53" s="852">
        <v>0</v>
      </c>
      <c r="AG53" s="853">
        <v>0</v>
      </c>
      <c r="AH53" s="1725">
        <v>0</v>
      </c>
      <c r="AI53" s="1600">
        <v>0</v>
      </c>
      <c r="AJ53" s="1605">
        <v>0</v>
      </c>
      <c r="AK53" s="1602">
        <v>0</v>
      </c>
      <c r="AL53" s="1606">
        <v>0</v>
      </c>
      <c r="AM53" s="1604">
        <v>1412</v>
      </c>
      <c r="BE53" s="1726"/>
      <c r="BF53" s="981"/>
      <c r="BG53" s="981"/>
      <c r="BH53" s="981"/>
      <c r="BI53" s="981"/>
      <c r="BJ53" s="981"/>
      <c r="BK53" s="981"/>
      <c r="BL53" s="1726"/>
      <c r="BM53" s="1726"/>
      <c r="BN53" s="1726"/>
      <c r="BO53" s="1726"/>
      <c r="BP53" s="1726"/>
      <c r="BQ53" s="1726"/>
      <c r="BR53" s="790"/>
    </row>
    <row r="54" spans="1:73" s="784" customFormat="1" ht="24.95" hidden="1" customHeight="1">
      <c r="A54" s="849">
        <v>16</v>
      </c>
      <c r="B54" s="850" t="s">
        <v>256</v>
      </c>
      <c r="C54" s="835">
        <v>27</v>
      </c>
      <c r="D54" s="852">
        <v>0</v>
      </c>
      <c r="E54" s="836">
        <v>0</v>
      </c>
      <c r="F54" s="842">
        <v>0</v>
      </c>
      <c r="G54" s="848">
        <v>0</v>
      </c>
      <c r="H54" s="855">
        <v>2636</v>
      </c>
      <c r="I54" s="851">
        <v>39</v>
      </c>
      <c r="J54" s="839">
        <v>2675</v>
      </c>
      <c r="K54" s="1723">
        <v>0</v>
      </c>
      <c r="L54" s="1724">
        <v>0</v>
      </c>
      <c r="M54" s="1724">
        <v>173.2</v>
      </c>
      <c r="N54" s="1724">
        <v>0</v>
      </c>
      <c r="O54" s="1724">
        <v>0</v>
      </c>
      <c r="P54" s="1724">
        <v>0</v>
      </c>
      <c r="Q54" s="1724">
        <v>0</v>
      </c>
      <c r="R54" s="1724">
        <v>0</v>
      </c>
      <c r="S54" s="1724">
        <v>0</v>
      </c>
      <c r="T54" s="1724">
        <v>0</v>
      </c>
      <c r="U54" s="1724">
        <v>0</v>
      </c>
      <c r="V54" s="840">
        <v>173.2</v>
      </c>
      <c r="W54" s="856">
        <v>0</v>
      </c>
      <c r="X54" s="842">
        <v>20</v>
      </c>
      <c r="Y54" s="846">
        <v>0</v>
      </c>
      <c r="Z54" s="846">
        <v>0</v>
      </c>
      <c r="AA54" s="846">
        <v>0</v>
      </c>
      <c r="AB54" s="846">
        <v>0</v>
      </c>
      <c r="AC54" s="846">
        <v>0</v>
      </c>
      <c r="AD54" s="846">
        <v>0</v>
      </c>
      <c r="AE54" s="846">
        <v>0</v>
      </c>
      <c r="AF54" s="852">
        <v>0</v>
      </c>
      <c r="AG54" s="853">
        <v>20</v>
      </c>
      <c r="AH54" s="1725">
        <v>302</v>
      </c>
      <c r="AI54" s="1600">
        <v>0</v>
      </c>
      <c r="AJ54" s="1605">
        <v>0</v>
      </c>
      <c r="AK54" s="1602">
        <v>0</v>
      </c>
      <c r="AL54" s="1606">
        <v>0</v>
      </c>
      <c r="AM54" s="1604">
        <v>2590</v>
      </c>
      <c r="BE54" s="981"/>
      <c r="BF54" s="981"/>
      <c r="BG54" s="981"/>
      <c r="BH54" s="981"/>
      <c r="BI54" s="981"/>
      <c r="BJ54" s="981"/>
      <c r="BK54" s="981"/>
      <c r="BL54" s="1726"/>
      <c r="BM54" s="1726"/>
      <c r="BN54" s="1726"/>
      <c r="BO54" s="1726"/>
      <c r="BP54" s="1726"/>
      <c r="BQ54" s="1726"/>
      <c r="BR54" s="790"/>
    </row>
    <row r="55" spans="1:73" s="784" customFormat="1" ht="20.100000000000001" hidden="1" customHeight="1">
      <c r="A55" s="849">
        <v>17</v>
      </c>
      <c r="B55" s="850" t="s">
        <v>64</v>
      </c>
      <c r="C55" s="835">
        <v>42</v>
      </c>
      <c r="D55" s="852">
        <v>25</v>
      </c>
      <c r="E55" s="836">
        <v>0</v>
      </c>
      <c r="F55" s="842">
        <v>0</v>
      </c>
      <c r="G55" s="848">
        <v>0</v>
      </c>
      <c r="H55" s="855">
        <v>5497</v>
      </c>
      <c r="I55" s="851">
        <v>0</v>
      </c>
      <c r="J55" s="839">
        <v>5497</v>
      </c>
      <c r="K55" s="1723">
        <v>0</v>
      </c>
      <c r="L55" s="1724">
        <v>0</v>
      </c>
      <c r="M55" s="1724">
        <v>0</v>
      </c>
      <c r="N55" s="1724">
        <v>0</v>
      </c>
      <c r="O55" s="1724">
        <v>136.9</v>
      </c>
      <c r="P55" s="1724">
        <v>0</v>
      </c>
      <c r="Q55" s="1724">
        <v>0</v>
      </c>
      <c r="R55" s="1724">
        <v>0</v>
      </c>
      <c r="S55" s="1724">
        <v>0</v>
      </c>
      <c r="T55" s="1724">
        <v>0</v>
      </c>
      <c r="U55" s="1724">
        <v>0</v>
      </c>
      <c r="V55" s="840">
        <v>136.9</v>
      </c>
      <c r="W55" s="856">
        <v>0</v>
      </c>
      <c r="X55" s="842">
        <v>0</v>
      </c>
      <c r="Y55" s="846">
        <v>0</v>
      </c>
      <c r="Z55" s="851">
        <v>0</v>
      </c>
      <c r="AA55" s="851">
        <v>803</v>
      </c>
      <c r="AB55" s="846">
        <v>0</v>
      </c>
      <c r="AC55" s="846">
        <v>0</v>
      </c>
      <c r="AD55" s="846">
        <v>0</v>
      </c>
      <c r="AE55" s="846">
        <v>0</v>
      </c>
      <c r="AF55" s="852">
        <v>0</v>
      </c>
      <c r="AG55" s="853">
        <v>803</v>
      </c>
      <c r="AH55" s="1725">
        <v>0</v>
      </c>
      <c r="AI55" s="1600">
        <v>0</v>
      </c>
      <c r="AJ55" s="1605">
        <v>146</v>
      </c>
      <c r="AK55" s="1602">
        <v>0</v>
      </c>
      <c r="AL55" s="1606">
        <v>834</v>
      </c>
      <c r="AM55" s="1604">
        <v>5092</v>
      </c>
      <c r="BE55" s="981"/>
      <c r="BF55" s="981"/>
      <c r="BG55" s="981"/>
      <c r="BH55" s="981"/>
      <c r="BI55" s="981"/>
      <c r="BJ55" s="981"/>
      <c r="BK55" s="981"/>
      <c r="BL55" s="1726"/>
      <c r="BM55" s="1726"/>
      <c r="BN55" s="1726"/>
      <c r="BO55" s="1726"/>
      <c r="BP55" s="1726"/>
      <c r="BQ55" s="1726"/>
      <c r="BR55" s="790"/>
    </row>
    <row r="56" spans="1:73" s="784" customFormat="1" ht="20.100000000000001" hidden="1" customHeight="1">
      <c r="A56" s="849">
        <v>18</v>
      </c>
      <c r="B56" s="850" t="s">
        <v>65</v>
      </c>
      <c r="C56" s="835">
        <v>77</v>
      </c>
      <c r="D56" s="852">
        <v>45</v>
      </c>
      <c r="E56" s="836">
        <v>0</v>
      </c>
      <c r="F56" s="842">
        <v>0</v>
      </c>
      <c r="G56" s="848">
        <v>0</v>
      </c>
      <c r="H56" s="855">
        <v>11273.699999999999</v>
      </c>
      <c r="I56" s="851">
        <v>0</v>
      </c>
      <c r="J56" s="839">
        <v>11273.699999999999</v>
      </c>
      <c r="K56" s="1723">
        <v>0</v>
      </c>
      <c r="L56" s="1724">
        <v>0</v>
      </c>
      <c r="M56" s="1724">
        <v>0</v>
      </c>
      <c r="N56" s="1724">
        <v>0</v>
      </c>
      <c r="O56" s="1724">
        <v>528.79999999999995</v>
      </c>
      <c r="P56" s="1724">
        <v>0</v>
      </c>
      <c r="Q56" s="1724">
        <v>0</v>
      </c>
      <c r="R56" s="1724">
        <v>0</v>
      </c>
      <c r="S56" s="1724">
        <v>131.19999999999999</v>
      </c>
      <c r="T56" s="1724">
        <v>352.8</v>
      </c>
      <c r="U56" s="1724">
        <v>0</v>
      </c>
      <c r="V56" s="840">
        <v>1012.8</v>
      </c>
      <c r="W56" s="860">
        <v>0</v>
      </c>
      <c r="X56" s="842">
        <v>0</v>
      </c>
      <c r="Y56" s="842">
        <v>0</v>
      </c>
      <c r="Z56" s="842">
        <v>0</v>
      </c>
      <c r="AA56" s="842">
        <v>0</v>
      </c>
      <c r="AB56" s="842">
        <v>0</v>
      </c>
      <c r="AC56" s="842">
        <v>159</v>
      </c>
      <c r="AD56" s="842">
        <v>399</v>
      </c>
      <c r="AE56" s="842">
        <v>16.5</v>
      </c>
      <c r="AF56" s="842">
        <v>0</v>
      </c>
      <c r="AG56" s="861">
        <v>574.5</v>
      </c>
      <c r="AH56" s="1727">
        <v>0</v>
      </c>
      <c r="AI56" s="1600">
        <v>0</v>
      </c>
      <c r="AJ56" s="1605">
        <v>828</v>
      </c>
      <c r="AK56" s="1602">
        <v>761</v>
      </c>
      <c r="AL56" s="1606">
        <v>0</v>
      </c>
      <c r="AM56" s="1604">
        <v>10343</v>
      </c>
      <c r="BE56" s="981"/>
      <c r="BF56" s="981"/>
      <c r="BG56" s="981"/>
      <c r="BH56" s="981"/>
      <c r="BI56" s="981"/>
      <c r="BJ56" s="981"/>
      <c r="BK56" s="981"/>
      <c r="BL56" s="1726"/>
      <c r="BM56" s="1726"/>
      <c r="BN56" s="1726"/>
      <c r="BO56" s="1726"/>
      <c r="BP56" s="1726"/>
      <c r="BQ56" s="1726"/>
      <c r="BR56" s="790"/>
    </row>
    <row r="57" spans="1:73" s="784" customFormat="1" ht="20.100000000000001" hidden="1" customHeight="1">
      <c r="A57" s="849">
        <v>19</v>
      </c>
      <c r="B57" s="850" t="s">
        <v>257</v>
      </c>
      <c r="C57" s="835">
        <v>25</v>
      </c>
      <c r="D57" s="852">
        <v>0</v>
      </c>
      <c r="E57" s="836">
        <v>0</v>
      </c>
      <c r="F57" s="842">
        <v>0</v>
      </c>
      <c r="G57" s="848">
        <v>0</v>
      </c>
      <c r="H57" s="855">
        <v>8442.7999999999993</v>
      </c>
      <c r="I57" s="851">
        <v>0</v>
      </c>
      <c r="J57" s="839">
        <v>8442.7999999999993</v>
      </c>
      <c r="K57" s="1723">
        <v>0</v>
      </c>
      <c r="L57" s="1724">
        <v>0</v>
      </c>
      <c r="M57" s="1724">
        <v>0</v>
      </c>
      <c r="N57" s="1724">
        <v>0</v>
      </c>
      <c r="O57" s="1724">
        <v>277.5</v>
      </c>
      <c r="P57" s="1724">
        <v>0</v>
      </c>
      <c r="Q57" s="1724">
        <v>0</v>
      </c>
      <c r="R57" s="1724">
        <v>0</v>
      </c>
      <c r="S57" s="1724">
        <v>33.299999999999997</v>
      </c>
      <c r="T57" s="1724">
        <v>53.5</v>
      </c>
      <c r="U57" s="1724">
        <v>0</v>
      </c>
      <c r="V57" s="840">
        <v>364.3</v>
      </c>
      <c r="W57" s="856">
        <v>0</v>
      </c>
      <c r="X57" s="842">
        <v>0</v>
      </c>
      <c r="Y57" s="846">
        <v>0</v>
      </c>
      <c r="Z57" s="851">
        <v>0</v>
      </c>
      <c r="AA57" s="851">
        <v>1983</v>
      </c>
      <c r="AB57" s="851">
        <v>0</v>
      </c>
      <c r="AC57" s="846">
        <v>108</v>
      </c>
      <c r="AD57" s="846">
        <v>61</v>
      </c>
      <c r="AE57" s="846">
        <v>13</v>
      </c>
      <c r="AF57" s="852">
        <v>0</v>
      </c>
      <c r="AG57" s="853">
        <v>2165</v>
      </c>
      <c r="AH57" s="1725">
        <v>0</v>
      </c>
      <c r="AI57" s="1600">
        <v>0</v>
      </c>
      <c r="AJ57" s="1605">
        <v>420</v>
      </c>
      <c r="AK57" s="1602">
        <v>116</v>
      </c>
      <c r="AL57" s="1606">
        <v>2006</v>
      </c>
      <c r="AM57" s="1604">
        <v>8101</v>
      </c>
      <c r="BE57" s="981"/>
      <c r="BF57" s="981"/>
      <c r="BG57" s="981"/>
      <c r="BH57" s="981"/>
      <c r="BI57" s="981"/>
      <c r="BJ57" s="981"/>
      <c r="BK57" s="981"/>
      <c r="BL57" s="1726"/>
      <c r="BM57" s="1726"/>
      <c r="BN57" s="1726"/>
      <c r="BO57" s="1726"/>
      <c r="BP57" s="1726"/>
      <c r="BQ57" s="1726"/>
      <c r="BR57" s="790"/>
    </row>
    <row r="58" spans="1:73" s="875" customFormat="1" ht="30" hidden="1" customHeight="1" thickBot="1">
      <c r="A58" s="862"/>
      <c r="B58" s="863" t="s">
        <v>3</v>
      </c>
      <c r="C58" s="864">
        <v>832</v>
      </c>
      <c r="D58" s="865">
        <v>215</v>
      </c>
      <c r="E58" s="866">
        <v>36</v>
      </c>
      <c r="F58" s="867">
        <v>96</v>
      </c>
      <c r="G58" s="868">
        <v>150</v>
      </c>
      <c r="H58" s="869">
        <v>108980</v>
      </c>
      <c r="I58" s="870">
        <v>87</v>
      </c>
      <c r="J58" s="868">
        <v>109067</v>
      </c>
      <c r="K58" s="869">
        <v>1523.1999999999998</v>
      </c>
      <c r="L58" s="871">
        <v>351.3</v>
      </c>
      <c r="M58" s="871">
        <v>1131.2</v>
      </c>
      <c r="N58" s="871">
        <v>85</v>
      </c>
      <c r="O58" s="871">
        <v>2430.9</v>
      </c>
      <c r="P58" s="871">
        <v>164.4</v>
      </c>
      <c r="Q58" s="871">
        <v>353</v>
      </c>
      <c r="R58" s="871">
        <v>99.2</v>
      </c>
      <c r="S58" s="871">
        <v>392.7</v>
      </c>
      <c r="T58" s="871">
        <v>791.09999999999991</v>
      </c>
      <c r="U58" s="871">
        <v>780</v>
      </c>
      <c r="V58" s="872">
        <v>8102</v>
      </c>
      <c r="W58" s="873">
        <v>165</v>
      </c>
      <c r="X58" s="871">
        <v>100</v>
      </c>
      <c r="Y58" s="871">
        <v>40</v>
      </c>
      <c r="Z58" s="871">
        <v>60.9</v>
      </c>
      <c r="AA58" s="871">
        <v>7951</v>
      </c>
      <c r="AB58" s="871">
        <v>40</v>
      </c>
      <c r="AC58" s="871">
        <v>781</v>
      </c>
      <c r="AD58" s="867">
        <v>931</v>
      </c>
      <c r="AE58" s="874">
        <v>135</v>
      </c>
      <c r="AF58" s="871">
        <v>71</v>
      </c>
      <c r="AG58" s="872">
        <v>10274.9</v>
      </c>
      <c r="AH58" s="1607">
        <v>4046</v>
      </c>
      <c r="AI58" s="1608">
        <v>665</v>
      </c>
      <c r="AJ58" s="1609">
        <v>3713</v>
      </c>
      <c r="AK58" s="1609">
        <v>2370</v>
      </c>
      <c r="AL58" s="1610">
        <v>8994</v>
      </c>
      <c r="AM58" s="1611">
        <v>97302</v>
      </c>
      <c r="BE58" s="981"/>
      <c r="BF58" s="981"/>
      <c r="BG58" s="981"/>
      <c r="BH58" s="981"/>
      <c r="BI58" s="981"/>
      <c r="BJ58" s="981"/>
      <c r="BK58" s="981"/>
      <c r="BL58" s="1726"/>
      <c r="BM58" s="1726"/>
      <c r="BN58" s="1726"/>
      <c r="BO58" s="1726"/>
      <c r="BP58" s="1726"/>
      <c r="BQ58" s="1726"/>
      <c r="BR58" s="790"/>
    </row>
    <row r="59" spans="1:73" s="779" customFormat="1" hidden="1">
      <c r="G59" s="780"/>
      <c r="H59" s="780"/>
      <c r="I59" s="780"/>
    </row>
    <row r="60" spans="1:73" s="779" customFormat="1" hidden="1"/>
    <row r="61" spans="1:73" s="877" customFormat="1" ht="20.100000000000001" hidden="1" customHeight="1">
      <c r="A61" s="876" t="s">
        <v>156</v>
      </c>
    </row>
    <row r="62" spans="1:73" s="779" customFormat="1" ht="9.9499999999999993" hidden="1" customHeight="1" thickBot="1"/>
    <row r="63" spans="1:73" s="779" customFormat="1" ht="39.950000000000003" hidden="1" customHeight="1">
      <c r="A63" s="878"/>
      <c r="B63" s="879"/>
      <c r="C63" s="1934" t="s">
        <v>46</v>
      </c>
      <c r="D63" s="1934"/>
      <c r="E63" s="1934"/>
      <c r="F63" s="1934"/>
      <c r="G63" s="1934"/>
      <c r="H63" s="1934"/>
      <c r="I63" s="1934"/>
      <c r="J63" s="1934"/>
      <c r="K63" s="1934"/>
      <c r="L63" s="1934"/>
      <c r="M63" s="1934"/>
      <c r="N63" s="1934"/>
      <c r="O63" s="1934"/>
      <c r="P63" s="1934"/>
      <c r="Q63" s="1934"/>
      <c r="R63" s="1934"/>
      <c r="S63" s="1934"/>
      <c r="T63" s="1934"/>
      <c r="U63" s="1934"/>
      <c r="V63" s="1934"/>
      <c r="W63" s="1934"/>
      <c r="X63" s="1934"/>
      <c r="Y63" s="1934"/>
      <c r="Z63" s="1934"/>
      <c r="AA63" s="1934"/>
      <c r="AB63" s="1934"/>
      <c r="AC63" s="1934"/>
      <c r="AD63" s="1934"/>
      <c r="AE63" s="1934"/>
      <c r="AF63" s="1934"/>
      <c r="AG63" s="1934"/>
      <c r="AH63" s="1934"/>
      <c r="AI63" s="1934"/>
      <c r="AJ63" s="1934"/>
      <c r="AK63" s="1934"/>
      <c r="AL63" s="1934"/>
      <c r="AM63" s="1934"/>
      <c r="AN63" s="1934"/>
      <c r="AO63" s="1934"/>
      <c r="AP63" s="1934"/>
      <c r="AQ63" s="1934"/>
      <c r="AR63" s="1935"/>
      <c r="AS63" s="880" t="s">
        <v>258</v>
      </c>
      <c r="AT63" s="881"/>
      <c r="AU63" s="881"/>
      <c r="AV63" s="881"/>
      <c r="AW63" s="881"/>
      <c r="AX63" s="881"/>
      <c r="AY63" s="881"/>
      <c r="AZ63" s="881"/>
      <c r="BA63" s="881"/>
      <c r="BB63" s="881"/>
      <c r="BC63" s="881"/>
      <c r="BD63" s="881"/>
      <c r="BE63" s="881"/>
      <c r="BF63" s="881"/>
      <c r="BG63" s="881"/>
      <c r="BH63" s="881"/>
      <c r="BI63" s="881"/>
      <c r="BJ63" s="881"/>
      <c r="BK63" s="881"/>
      <c r="BL63" s="881"/>
      <c r="BM63" s="882"/>
      <c r="BN63" s="883"/>
      <c r="BO63" s="883"/>
      <c r="BP63" s="883"/>
      <c r="BQ63" s="883"/>
      <c r="BR63" s="883"/>
      <c r="BS63" s="883"/>
      <c r="BT63" s="883"/>
      <c r="BU63" s="883"/>
    </row>
    <row r="64" spans="1:73" s="779" customFormat="1" ht="60" hidden="1" customHeight="1">
      <c r="A64" s="884"/>
      <c r="B64" s="885"/>
      <c r="C64" s="1948" t="s">
        <v>259</v>
      </c>
      <c r="D64" s="1949"/>
      <c r="E64" s="1940" t="s">
        <v>260</v>
      </c>
      <c r="F64" s="1950"/>
      <c r="G64" s="1948" t="s">
        <v>261</v>
      </c>
      <c r="H64" s="1949"/>
      <c r="I64" s="1951" t="s">
        <v>262</v>
      </c>
      <c r="J64" s="1950"/>
      <c r="K64" s="1948" t="s">
        <v>263</v>
      </c>
      <c r="L64" s="1949"/>
      <c r="M64" s="1940" t="s">
        <v>264</v>
      </c>
      <c r="N64" s="1949"/>
      <c r="O64" s="1961" t="s">
        <v>249</v>
      </c>
      <c r="P64" s="1950"/>
      <c r="Q64" s="1962" t="s">
        <v>62</v>
      </c>
      <c r="R64" s="1950"/>
      <c r="S64" s="1948" t="s">
        <v>265</v>
      </c>
      <c r="T64" s="1949"/>
      <c r="U64" s="1940" t="s">
        <v>266</v>
      </c>
      <c r="V64" s="1948"/>
      <c r="W64" s="1940" t="s">
        <v>267</v>
      </c>
      <c r="X64" s="1949"/>
      <c r="Y64" s="1940" t="s">
        <v>268</v>
      </c>
      <c r="Z64" s="1941"/>
      <c r="AA64" s="1940" t="s">
        <v>269</v>
      </c>
      <c r="AB64" s="1941"/>
      <c r="AC64" s="1942" t="s">
        <v>270</v>
      </c>
      <c r="AD64" s="1943"/>
      <c r="AE64" s="1940" t="s">
        <v>255</v>
      </c>
      <c r="AF64" s="1941"/>
      <c r="AG64" s="1940" t="s">
        <v>271</v>
      </c>
      <c r="AH64" s="1941"/>
      <c r="AI64" s="1940" t="s">
        <v>272</v>
      </c>
      <c r="AJ64" s="1941"/>
      <c r="AK64" s="1940" t="s">
        <v>273</v>
      </c>
      <c r="AL64" s="1941"/>
      <c r="AM64" s="1940" t="s">
        <v>274</v>
      </c>
      <c r="AN64" s="1941"/>
      <c r="AO64" s="1961" t="s">
        <v>3</v>
      </c>
      <c r="AP64" s="1949"/>
      <c r="AQ64" s="1969" t="s">
        <v>275</v>
      </c>
      <c r="AR64" s="1962"/>
      <c r="AS64" s="886" t="s">
        <v>259</v>
      </c>
      <c r="AT64" s="887" t="s">
        <v>276</v>
      </c>
      <c r="AU64" s="887" t="s">
        <v>261</v>
      </c>
      <c r="AV64" s="887" t="s">
        <v>277</v>
      </c>
      <c r="AW64" s="887" t="s">
        <v>263</v>
      </c>
      <c r="AX64" s="887" t="s">
        <v>278</v>
      </c>
      <c r="AY64" s="887" t="s">
        <v>279</v>
      </c>
      <c r="AZ64" s="887" t="s">
        <v>280</v>
      </c>
      <c r="BA64" s="887" t="s">
        <v>265</v>
      </c>
      <c r="BB64" s="887" t="s">
        <v>281</v>
      </c>
      <c r="BC64" s="887" t="s">
        <v>282</v>
      </c>
      <c r="BD64" s="887" t="s">
        <v>283</v>
      </c>
      <c r="BE64" s="887" t="s">
        <v>284</v>
      </c>
      <c r="BF64" s="888" t="s">
        <v>285</v>
      </c>
      <c r="BG64" s="887" t="s">
        <v>255</v>
      </c>
      <c r="BH64" s="887" t="s">
        <v>271</v>
      </c>
      <c r="BI64" s="887" t="s">
        <v>272</v>
      </c>
      <c r="BJ64" s="887" t="s">
        <v>273</v>
      </c>
      <c r="BK64" s="889" t="s">
        <v>286</v>
      </c>
      <c r="BL64" s="890" t="s">
        <v>3</v>
      </c>
      <c r="BM64" s="1939" t="s">
        <v>275</v>
      </c>
      <c r="BN64" s="891"/>
      <c r="BO64" s="891"/>
      <c r="BP64" s="891"/>
      <c r="BQ64" s="891"/>
      <c r="BR64" s="891"/>
      <c r="BS64" s="891"/>
      <c r="BT64" s="891"/>
      <c r="BU64" s="891"/>
    </row>
    <row r="65" spans="1:73" s="779" customFormat="1" ht="24.95" hidden="1" customHeight="1">
      <c r="A65" s="884"/>
      <c r="B65" s="892" t="s">
        <v>41</v>
      </c>
      <c r="C65" s="893" t="s">
        <v>22</v>
      </c>
      <c r="D65" s="894" t="s">
        <v>2</v>
      </c>
      <c r="E65" s="894" t="s">
        <v>22</v>
      </c>
      <c r="F65" s="894" t="s">
        <v>2</v>
      </c>
      <c r="G65" s="894" t="s">
        <v>22</v>
      </c>
      <c r="H65" s="894" t="s">
        <v>2</v>
      </c>
      <c r="I65" s="894" t="s">
        <v>22</v>
      </c>
      <c r="J65" s="894" t="s">
        <v>2</v>
      </c>
      <c r="K65" s="894" t="s">
        <v>22</v>
      </c>
      <c r="L65" s="894" t="s">
        <v>2</v>
      </c>
      <c r="M65" s="894" t="s">
        <v>22</v>
      </c>
      <c r="N65" s="894" t="s">
        <v>2</v>
      </c>
      <c r="O65" s="894" t="s">
        <v>22</v>
      </c>
      <c r="P65" s="894" t="s">
        <v>2</v>
      </c>
      <c r="Q65" s="894" t="s">
        <v>22</v>
      </c>
      <c r="R65" s="894" t="s">
        <v>2</v>
      </c>
      <c r="S65" s="894" t="s">
        <v>22</v>
      </c>
      <c r="T65" s="894" t="s">
        <v>2</v>
      </c>
      <c r="U65" s="894" t="s">
        <v>22</v>
      </c>
      <c r="V65" s="894" t="s">
        <v>2</v>
      </c>
      <c r="W65" s="894" t="s">
        <v>22</v>
      </c>
      <c r="X65" s="894" t="s">
        <v>2</v>
      </c>
      <c r="Y65" s="894" t="s">
        <v>22</v>
      </c>
      <c r="Z65" s="894" t="s">
        <v>2</v>
      </c>
      <c r="AA65" s="894" t="s">
        <v>22</v>
      </c>
      <c r="AB65" s="894" t="s">
        <v>2</v>
      </c>
      <c r="AC65" s="894" t="s">
        <v>22</v>
      </c>
      <c r="AD65" s="894" t="s">
        <v>2</v>
      </c>
      <c r="AE65" s="894" t="s">
        <v>22</v>
      </c>
      <c r="AF65" s="894" t="s">
        <v>2</v>
      </c>
      <c r="AG65" s="894" t="s">
        <v>22</v>
      </c>
      <c r="AH65" s="894" t="s">
        <v>2</v>
      </c>
      <c r="AI65" s="894" t="s">
        <v>22</v>
      </c>
      <c r="AJ65" s="894" t="s">
        <v>2</v>
      </c>
      <c r="AK65" s="894" t="s">
        <v>22</v>
      </c>
      <c r="AL65" s="894" t="s">
        <v>2</v>
      </c>
      <c r="AM65" s="894" t="s">
        <v>22</v>
      </c>
      <c r="AN65" s="894" t="s">
        <v>2</v>
      </c>
      <c r="AO65" s="894" t="s">
        <v>22</v>
      </c>
      <c r="AP65" s="895" t="s">
        <v>2</v>
      </c>
      <c r="AQ65" s="896" t="s">
        <v>22</v>
      </c>
      <c r="AR65" s="897" t="s">
        <v>2</v>
      </c>
      <c r="AS65" s="898"/>
      <c r="AT65" s="899"/>
      <c r="AU65" s="899"/>
      <c r="AV65" s="899"/>
      <c r="AW65" s="899"/>
      <c r="AX65" s="899"/>
      <c r="AY65" s="899"/>
      <c r="AZ65" s="899"/>
      <c r="BA65" s="899"/>
      <c r="BB65" s="899"/>
      <c r="BC65" s="899"/>
      <c r="BD65" s="899"/>
      <c r="BE65" s="899"/>
      <c r="BF65" s="899"/>
      <c r="BG65" s="899"/>
      <c r="BH65" s="899"/>
      <c r="BI65" s="899"/>
      <c r="BJ65" s="899"/>
      <c r="BK65" s="900"/>
      <c r="BL65" s="901"/>
      <c r="BM65" s="1939"/>
      <c r="BN65" s="902"/>
      <c r="BO65" s="902"/>
      <c r="BP65" s="902"/>
      <c r="BQ65" s="902"/>
      <c r="BR65" s="902"/>
      <c r="BS65" s="902"/>
      <c r="BT65" s="902"/>
      <c r="BU65" s="902"/>
    </row>
    <row r="66" spans="1:73" s="779" customFormat="1" ht="24.95" hidden="1" customHeight="1">
      <c r="A66" s="903"/>
      <c r="B66" s="904"/>
      <c r="C66" s="893" t="s">
        <v>26</v>
      </c>
      <c r="D66" s="905" t="s">
        <v>26</v>
      </c>
      <c r="E66" s="906" t="s">
        <v>26</v>
      </c>
      <c r="F66" s="905" t="s">
        <v>26</v>
      </c>
      <c r="G66" s="906" t="s">
        <v>26</v>
      </c>
      <c r="H66" s="907" t="s">
        <v>26</v>
      </c>
      <c r="I66" s="907" t="s">
        <v>26</v>
      </c>
      <c r="J66" s="907" t="s">
        <v>26</v>
      </c>
      <c r="K66" s="907" t="s">
        <v>26</v>
      </c>
      <c r="L66" s="907" t="s">
        <v>26</v>
      </c>
      <c r="M66" s="907" t="s">
        <v>26</v>
      </c>
      <c r="N66" s="907" t="s">
        <v>26</v>
      </c>
      <c r="O66" s="907" t="s">
        <v>26</v>
      </c>
      <c r="P66" s="906" t="s">
        <v>26</v>
      </c>
      <c r="Q66" s="907" t="s">
        <v>26</v>
      </c>
      <c r="R66" s="907" t="s">
        <v>26</v>
      </c>
      <c r="S66" s="907" t="s">
        <v>26</v>
      </c>
      <c r="T66" s="907" t="s">
        <v>26</v>
      </c>
      <c r="U66" s="907" t="s">
        <v>26</v>
      </c>
      <c r="V66" s="907" t="s">
        <v>26</v>
      </c>
      <c r="W66" s="906" t="s">
        <v>26</v>
      </c>
      <c r="X66" s="905" t="s">
        <v>26</v>
      </c>
      <c r="Y66" s="906" t="s">
        <v>26</v>
      </c>
      <c r="Z66" s="906" t="s">
        <v>26</v>
      </c>
      <c r="AA66" s="906" t="s">
        <v>26</v>
      </c>
      <c r="AB66" s="906" t="s">
        <v>26</v>
      </c>
      <c r="AC66" s="906" t="s">
        <v>26</v>
      </c>
      <c r="AD66" s="906" t="s">
        <v>26</v>
      </c>
      <c r="AE66" s="906" t="s">
        <v>26</v>
      </c>
      <c r="AF66" s="906" t="s">
        <v>26</v>
      </c>
      <c r="AG66" s="907" t="s">
        <v>26</v>
      </c>
      <c r="AH66" s="906" t="s">
        <v>26</v>
      </c>
      <c r="AI66" s="906" t="s">
        <v>26</v>
      </c>
      <c r="AJ66" s="906" t="s">
        <v>26</v>
      </c>
      <c r="AK66" s="906" t="s">
        <v>26</v>
      </c>
      <c r="AL66" s="906" t="s">
        <v>26</v>
      </c>
      <c r="AM66" s="893" t="s">
        <v>26</v>
      </c>
      <c r="AN66" s="906" t="s">
        <v>26</v>
      </c>
      <c r="AO66" s="893" t="s">
        <v>26</v>
      </c>
      <c r="AP66" s="905" t="s">
        <v>26</v>
      </c>
      <c r="AQ66" s="908" t="s">
        <v>26</v>
      </c>
      <c r="AR66" s="909" t="s">
        <v>26</v>
      </c>
      <c r="AS66" s="908" t="s">
        <v>26</v>
      </c>
      <c r="AT66" s="906" t="s">
        <v>26</v>
      </c>
      <c r="AU66" s="906" t="s">
        <v>26</v>
      </c>
      <c r="AV66" s="906" t="s">
        <v>26</v>
      </c>
      <c r="AW66" s="906" t="s">
        <v>26</v>
      </c>
      <c r="AX66" s="906" t="s">
        <v>26</v>
      </c>
      <c r="AY66" s="906" t="s">
        <v>26</v>
      </c>
      <c r="AZ66" s="906" t="s">
        <v>26</v>
      </c>
      <c r="BA66" s="906" t="s">
        <v>26</v>
      </c>
      <c r="BB66" s="906" t="s">
        <v>26</v>
      </c>
      <c r="BC66" s="906" t="s">
        <v>26</v>
      </c>
      <c r="BD66" s="906" t="s">
        <v>26</v>
      </c>
      <c r="BE66" s="906" t="s">
        <v>26</v>
      </c>
      <c r="BF66" s="906" t="s">
        <v>26</v>
      </c>
      <c r="BG66" s="906" t="s">
        <v>26</v>
      </c>
      <c r="BH66" s="906" t="s">
        <v>26</v>
      </c>
      <c r="BI66" s="906" t="s">
        <v>26</v>
      </c>
      <c r="BJ66" s="906" t="s">
        <v>26</v>
      </c>
      <c r="BK66" s="905" t="s">
        <v>26</v>
      </c>
      <c r="BL66" s="910" t="s">
        <v>26</v>
      </c>
      <c r="BM66" s="910" t="s">
        <v>26</v>
      </c>
      <c r="BN66" s="893"/>
      <c r="BO66" s="893"/>
      <c r="BP66" s="893"/>
      <c r="BQ66" s="893"/>
      <c r="BR66" s="893"/>
      <c r="BS66" s="893"/>
      <c r="BT66" s="893"/>
      <c r="BU66" s="893"/>
    </row>
    <row r="67" spans="1:73" s="779" customFormat="1" ht="24.95" hidden="1" customHeight="1">
      <c r="A67" s="1502">
        <v>1</v>
      </c>
      <c r="B67" s="1503">
        <v>2</v>
      </c>
      <c r="C67" s="911">
        <v>3</v>
      </c>
      <c r="D67" s="912">
        <v>4</v>
      </c>
      <c r="E67" s="829">
        <v>5</v>
      </c>
      <c r="F67" s="826">
        <v>6</v>
      </c>
      <c r="G67" s="911">
        <v>7</v>
      </c>
      <c r="H67" s="912">
        <v>8</v>
      </c>
      <c r="I67" s="829">
        <v>9</v>
      </c>
      <c r="J67" s="826">
        <v>10</v>
      </c>
      <c r="K67" s="911">
        <v>11</v>
      </c>
      <c r="L67" s="912">
        <v>12</v>
      </c>
      <c r="M67" s="829">
        <v>13</v>
      </c>
      <c r="N67" s="826">
        <v>14</v>
      </c>
      <c r="O67" s="911">
        <v>15</v>
      </c>
      <c r="P67" s="912">
        <v>16</v>
      </c>
      <c r="Q67" s="829">
        <v>17</v>
      </c>
      <c r="R67" s="826">
        <v>18</v>
      </c>
      <c r="S67" s="911">
        <v>19</v>
      </c>
      <c r="T67" s="912">
        <v>20</v>
      </c>
      <c r="U67" s="829">
        <v>21</v>
      </c>
      <c r="V67" s="826">
        <v>22</v>
      </c>
      <c r="W67" s="911">
        <v>23</v>
      </c>
      <c r="X67" s="912">
        <v>24</v>
      </c>
      <c r="Y67" s="829">
        <v>25</v>
      </c>
      <c r="Z67" s="826">
        <v>26</v>
      </c>
      <c r="AA67" s="911">
        <v>27</v>
      </c>
      <c r="AB67" s="912">
        <v>28</v>
      </c>
      <c r="AC67" s="829">
        <v>29</v>
      </c>
      <c r="AD67" s="826">
        <v>30</v>
      </c>
      <c r="AE67" s="911">
        <v>31</v>
      </c>
      <c r="AF67" s="912">
        <v>32</v>
      </c>
      <c r="AG67" s="829">
        <v>33</v>
      </c>
      <c r="AH67" s="826">
        <v>34</v>
      </c>
      <c r="AI67" s="911">
        <v>35</v>
      </c>
      <c r="AJ67" s="912">
        <v>36</v>
      </c>
      <c r="AK67" s="829">
        <v>37</v>
      </c>
      <c r="AL67" s="826">
        <v>38</v>
      </c>
      <c r="AM67" s="911">
        <v>39</v>
      </c>
      <c r="AN67" s="912">
        <v>40</v>
      </c>
      <c r="AO67" s="829">
        <v>41</v>
      </c>
      <c r="AP67" s="827">
        <v>42</v>
      </c>
      <c r="AQ67" s="911">
        <v>43</v>
      </c>
      <c r="AR67" s="912">
        <v>44</v>
      </c>
      <c r="AS67" s="913">
        <v>45</v>
      </c>
      <c r="AT67" s="826">
        <v>46</v>
      </c>
      <c r="AU67" s="914">
        <v>47</v>
      </c>
      <c r="AV67" s="826">
        <v>48</v>
      </c>
      <c r="AW67" s="826">
        <v>49</v>
      </c>
      <c r="AX67" s="826">
        <v>50</v>
      </c>
      <c r="AY67" s="914">
        <v>51</v>
      </c>
      <c r="AZ67" s="826">
        <v>52</v>
      </c>
      <c r="BA67" s="826">
        <v>53</v>
      </c>
      <c r="BB67" s="826">
        <v>54</v>
      </c>
      <c r="BC67" s="914">
        <v>55</v>
      </c>
      <c r="BD67" s="826">
        <v>56</v>
      </c>
      <c r="BE67" s="826">
        <v>57</v>
      </c>
      <c r="BF67" s="826">
        <v>58</v>
      </c>
      <c r="BG67" s="914">
        <v>59</v>
      </c>
      <c r="BH67" s="826">
        <v>60</v>
      </c>
      <c r="BI67" s="826">
        <v>61</v>
      </c>
      <c r="BJ67" s="826">
        <v>62</v>
      </c>
      <c r="BK67" s="915">
        <v>63</v>
      </c>
      <c r="BL67" s="916">
        <v>64</v>
      </c>
      <c r="BM67" s="916">
        <v>65</v>
      </c>
      <c r="BN67" s="917"/>
      <c r="BO67" s="917"/>
      <c r="BP67" s="917"/>
      <c r="BQ67" s="917"/>
      <c r="BR67" s="917"/>
      <c r="BS67" s="917"/>
      <c r="BT67" s="917"/>
      <c r="BU67" s="917"/>
    </row>
    <row r="68" spans="1:73" s="779" customFormat="1" ht="24.95" hidden="1" customHeight="1">
      <c r="A68" s="918">
        <v>1</v>
      </c>
      <c r="B68" s="919" t="s">
        <v>11</v>
      </c>
      <c r="C68" s="920">
        <v>401.4</v>
      </c>
      <c r="D68" s="921">
        <v>69.900000000000006</v>
      </c>
      <c r="E68" s="844">
        <v>42</v>
      </c>
      <c r="F68" s="844">
        <v>18.5</v>
      </c>
      <c r="G68" s="844">
        <v>238.03</v>
      </c>
      <c r="H68" s="844">
        <v>84.208719310994525</v>
      </c>
      <c r="I68" s="844">
        <v>84.7</v>
      </c>
      <c r="J68" s="844">
        <v>35</v>
      </c>
      <c r="K68" s="844">
        <v>1886</v>
      </c>
      <c r="L68" s="844">
        <v>288.2</v>
      </c>
      <c r="M68" s="844">
        <v>111.5</v>
      </c>
      <c r="N68" s="844">
        <v>82.36</v>
      </c>
      <c r="O68" s="844">
        <v>20</v>
      </c>
      <c r="P68" s="844">
        <v>8.4</v>
      </c>
      <c r="Q68" s="844">
        <v>1416</v>
      </c>
      <c r="R68" s="844">
        <v>221</v>
      </c>
      <c r="S68" s="844">
        <v>371.65</v>
      </c>
      <c r="T68" s="844">
        <v>20.3</v>
      </c>
      <c r="U68" s="844">
        <v>53</v>
      </c>
      <c r="V68" s="844">
        <v>13</v>
      </c>
      <c r="W68" s="844">
        <v>0</v>
      </c>
      <c r="X68" s="844">
        <v>0</v>
      </c>
      <c r="Y68" s="844">
        <v>37</v>
      </c>
      <c r="Z68" s="844">
        <v>32</v>
      </c>
      <c r="AA68" s="844">
        <v>34</v>
      </c>
      <c r="AB68" s="844">
        <v>39.6</v>
      </c>
      <c r="AC68" s="844">
        <v>4</v>
      </c>
      <c r="AD68" s="844">
        <v>16</v>
      </c>
      <c r="AE68" s="844">
        <v>43.02</v>
      </c>
      <c r="AF68" s="844">
        <v>0</v>
      </c>
      <c r="AG68" s="844">
        <v>569.5</v>
      </c>
      <c r="AH68" s="844">
        <v>38</v>
      </c>
      <c r="AI68" s="844">
        <v>209.63</v>
      </c>
      <c r="AJ68" s="844">
        <v>92.06</v>
      </c>
      <c r="AK68" s="844">
        <v>794.96</v>
      </c>
      <c r="AL68" s="844">
        <v>109.71</v>
      </c>
      <c r="AM68" s="844">
        <v>154</v>
      </c>
      <c r="AN68" s="844">
        <v>63</v>
      </c>
      <c r="AO68" s="922">
        <v>6470.39</v>
      </c>
      <c r="AP68" s="923">
        <v>1231.2387193109946</v>
      </c>
      <c r="AQ68" s="920">
        <v>0</v>
      </c>
      <c r="AR68" s="924">
        <v>0</v>
      </c>
      <c r="AS68" s="925"/>
      <c r="AT68" s="925"/>
      <c r="AU68" s="925"/>
      <c r="AV68" s="925"/>
      <c r="AW68" s="925"/>
      <c r="AX68" s="925"/>
      <c r="AY68" s="925"/>
      <c r="AZ68" s="925"/>
      <c r="BA68" s="925"/>
      <c r="BB68" s="925"/>
      <c r="BC68" s="925"/>
      <c r="BD68" s="925"/>
      <c r="BE68" s="925"/>
      <c r="BF68" s="925"/>
      <c r="BG68" s="925"/>
      <c r="BH68" s="925"/>
      <c r="BI68" s="925"/>
      <c r="BJ68" s="925"/>
      <c r="BK68" s="847"/>
      <c r="BL68" s="926"/>
      <c r="BM68" s="927"/>
    </row>
    <row r="69" spans="1:73" s="779" customFormat="1" ht="30" hidden="1" customHeight="1">
      <c r="A69" s="918"/>
      <c r="B69" s="928" t="s">
        <v>13</v>
      </c>
      <c r="C69" s="929"/>
      <c r="D69" s="930"/>
      <c r="E69" s="931"/>
      <c r="F69" s="931"/>
      <c r="G69" s="931"/>
      <c r="H69" s="931"/>
      <c r="I69" s="931"/>
      <c r="J69" s="931"/>
      <c r="K69" s="931"/>
      <c r="L69" s="931"/>
      <c r="M69" s="931"/>
      <c r="N69" s="931"/>
      <c r="O69" s="931"/>
      <c r="P69" s="931"/>
      <c r="Q69" s="931"/>
      <c r="R69" s="931"/>
      <c r="S69" s="931"/>
      <c r="T69" s="931"/>
      <c r="U69" s="931"/>
      <c r="V69" s="931"/>
      <c r="W69" s="931"/>
      <c r="X69" s="931"/>
      <c r="Y69" s="931"/>
      <c r="Z69" s="931"/>
      <c r="AA69" s="931"/>
      <c r="AB69" s="931"/>
      <c r="AC69" s="931"/>
      <c r="AD69" s="931"/>
      <c r="AE69" s="931"/>
      <c r="AF69" s="931"/>
      <c r="AG69" s="931"/>
      <c r="AH69" s="931"/>
      <c r="AI69" s="931"/>
      <c r="AJ69" s="931"/>
      <c r="AK69" s="931"/>
      <c r="AL69" s="931"/>
      <c r="AM69" s="931"/>
      <c r="AN69" s="931"/>
      <c r="AO69" s="854"/>
      <c r="AP69" s="932"/>
      <c r="AQ69" s="929"/>
      <c r="AR69" s="933"/>
      <c r="AS69" s="925"/>
      <c r="AT69" s="925"/>
      <c r="AU69" s="925"/>
      <c r="AV69" s="925"/>
      <c r="AW69" s="925"/>
      <c r="AX69" s="925"/>
      <c r="AY69" s="925"/>
      <c r="AZ69" s="925"/>
      <c r="BA69" s="925"/>
      <c r="BB69" s="925"/>
      <c r="BC69" s="925"/>
      <c r="BD69" s="925"/>
      <c r="BE69" s="925"/>
      <c r="BF69" s="925"/>
      <c r="BG69" s="925"/>
      <c r="BH69" s="925"/>
      <c r="BI69" s="925"/>
      <c r="BJ69" s="925"/>
      <c r="BK69" s="847"/>
      <c r="BL69" s="934"/>
      <c r="BM69" s="935"/>
    </row>
    <row r="70" spans="1:73" s="779" customFormat="1" ht="24.95" hidden="1" customHeight="1">
      <c r="A70" s="918"/>
      <c r="B70" s="936" t="s">
        <v>27</v>
      </c>
      <c r="C70" s="937"/>
      <c r="D70" s="938"/>
      <c r="E70" s="939"/>
      <c r="F70" s="939"/>
      <c r="G70" s="939"/>
      <c r="H70" s="939"/>
      <c r="I70" s="939"/>
      <c r="J70" s="939"/>
      <c r="K70" s="939"/>
      <c r="L70" s="939"/>
      <c r="M70" s="939"/>
      <c r="N70" s="939"/>
      <c r="O70" s="939"/>
      <c r="P70" s="939"/>
      <c r="Q70" s="939"/>
      <c r="R70" s="939"/>
      <c r="S70" s="939"/>
      <c r="T70" s="939"/>
      <c r="U70" s="939"/>
      <c r="V70" s="939"/>
      <c r="W70" s="939"/>
      <c r="X70" s="939"/>
      <c r="Y70" s="939"/>
      <c r="Z70" s="939"/>
      <c r="AA70" s="939"/>
      <c r="AB70" s="939"/>
      <c r="AC70" s="939"/>
      <c r="AD70" s="939"/>
      <c r="AE70" s="939"/>
      <c r="AF70" s="939"/>
      <c r="AG70" s="939"/>
      <c r="AH70" s="939"/>
      <c r="AI70" s="939"/>
      <c r="AJ70" s="939"/>
      <c r="AK70" s="939"/>
      <c r="AL70" s="939"/>
      <c r="AM70" s="939"/>
      <c r="AN70" s="939"/>
      <c r="AO70" s="854"/>
      <c r="AP70" s="932"/>
      <c r="AQ70" s="937"/>
      <c r="AR70" s="940"/>
      <c r="AS70" s="925"/>
      <c r="AT70" s="925"/>
      <c r="AU70" s="925"/>
      <c r="AV70" s="925"/>
      <c r="AW70" s="925"/>
      <c r="AX70" s="925"/>
      <c r="AY70" s="925"/>
      <c r="AZ70" s="925"/>
      <c r="BA70" s="925"/>
      <c r="BB70" s="925"/>
      <c r="BC70" s="925"/>
      <c r="BD70" s="925"/>
      <c r="BE70" s="925"/>
      <c r="BF70" s="925"/>
      <c r="BG70" s="925"/>
      <c r="BH70" s="925"/>
      <c r="BI70" s="925"/>
      <c r="BJ70" s="925"/>
      <c r="BK70" s="847"/>
      <c r="BL70" s="934"/>
      <c r="BM70" s="935"/>
    </row>
    <row r="71" spans="1:73" s="779" customFormat="1" ht="24.95" hidden="1" customHeight="1">
      <c r="A71" s="941">
        <v>2</v>
      </c>
      <c r="B71" s="942" t="s">
        <v>28</v>
      </c>
      <c r="C71" s="943">
        <v>0</v>
      </c>
      <c r="D71" s="944">
        <v>0</v>
      </c>
      <c r="E71" s="945">
        <v>0</v>
      </c>
      <c r="F71" s="945">
        <v>0</v>
      </c>
      <c r="G71" s="945">
        <v>21</v>
      </c>
      <c r="H71" s="945">
        <v>0</v>
      </c>
      <c r="I71" s="945">
        <v>56</v>
      </c>
      <c r="J71" s="945">
        <v>0</v>
      </c>
      <c r="K71" s="945">
        <v>0</v>
      </c>
      <c r="L71" s="945">
        <v>0</v>
      </c>
      <c r="M71" s="945">
        <v>10</v>
      </c>
      <c r="N71" s="945">
        <v>0</v>
      </c>
      <c r="O71" s="945">
        <v>0</v>
      </c>
      <c r="P71" s="945">
        <v>0</v>
      </c>
      <c r="Q71" s="945">
        <v>0</v>
      </c>
      <c r="R71" s="945">
        <v>0</v>
      </c>
      <c r="S71" s="945">
        <v>0</v>
      </c>
      <c r="T71" s="945">
        <v>0</v>
      </c>
      <c r="U71" s="945">
        <v>0</v>
      </c>
      <c r="V71" s="945">
        <v>0</v>
      </c>
      <c r="W71" s="945">
        <v>0</v>
      </c>
      <c r="X71" s="945">
        <v>0</v>
      </c>
      <c r="Y71" s="945">
        <v>0</v>
      </c>
      <c r="Z71" s="945">
        <v>0</v>
      </c>
      <c r="AA71" s="945">
        <v>0</v>
      </c>
      <c r="AB71" s="945">
        <v>0</v>
      </c>
      <c r="AC71" s="945">
        <v>0</v>
      </c>
      <c r="AD71" s="945">
        <v>0</v>
      </c>
      <c r="AE71" s="945">
        <v>0</v>
      </c>
      <c r="AF71" s="945">
        <v>0</v>
      </c>
      <c r="AG71" s="945">
        <v>0</v>
      </c>
      <c r="AH71" s="945">
        <v>0</v>
      </c>
      <c r="AI71" s="945">
        <v>0</v>
      </c>
      <c r="AJ71" s="945">
        <v>0</v>
      </c>
      <c r="AK71" s="945">
        <v>0</v>
      </c>
      <c r="AL71" s="945">
        <v>0</v>
      </c>
      <c r="AM71" s="945">
        <v>106</v>
      </c>
      <c r="AN71" s="945">
        <v>0</v>
      </c>
      <c r="AO71" s="946">
        <v>193</v>
      </c>
      <c r="AP71" s="947">
        <v>0</v>
      </c>
      <c r="AQ71" s="943">
        <v>0</v>
      </c>
      <c r="AR71" s="948">
        <v>0</v>
      </c>
      <c r="AS71" s="949">
        <v>0</v>
      </c>
      <c r="AT71" s="949">
        <v>0</v>
      </c>
      <c r="AU71" s="949">
        <v>2</v>
      </c>
      <c r="AV71" s="949">
        <v>2</v>
      </c>
      <c r="AW71" s="949">
        <v>0</v>
      </c>
      <c r="AX71" s="949">
        <v>0</v>
      </c>
      <c r="AY71" s="949">
        <v>0</v>
      </c>
      <c r="AZ71" s="949">
        <v>0</v>
      </c>
      <c r="BA71" s="949">
        <v>0</v>
      </c>
      <c r="BB71" s="949">
        <v>0</v>
      </c>
      <c r="BC71" s="949">
        <v>0</v>
      </c>
      <c r="BD71" s="949">
        <v>0</v>
      </c>
      <c r="BE71" s="949">
        <v>0</v>
      </c>
      <c r="BF71" s="949">
        <v>0</v>
      </c>
      <c r="BG71" s="949">
        <v>0</v>
      </c>
      <c r="BH71" s="949">
        <v>0</v>
      </c>
      <c r="BI71" s="949">
        <v>0</v>
      </c>
      <c r="BJ71" s="949">
        <v>0</v>
      </c>
      <c r="BK71" s="950">
        <v>0</v>
      </c>
      <c r="BL71" s="951">
        <v>4</v>
      </c>
      <c r="BM71" s="935"/>
    </row>
    <row r="72" spans="1:73" s="779" customFormat="1" ht="24.95" hidden="1" customHeight="1">
      <c r="A72" s="941">
        <v>3</v>
      </c>
      <c r="B72" s="936" t="s">
        <v>29</v>
      </c>
      <c r="C72" s="943">
        <v>444.90000000000003</v>
      </c>
      <c r="D72" s="944">
        <v>67.400000000000006</v>
      </c>
      <c r="E72" s="945">
        <v>79</v>
      </c>
      <c r="F72" s="945">
        <v>85.8</v>
      </c>
      <c r="G72" s="945">
        <v>441.07401562322701</v>
      </c>
      <c r="H72" s="945">
        <v>660.49495474267678</v>
      </c>
      <c r="I72" s="945">
        <v>588.29999999999995</v>
      </c>
      <c r="J72" s="945">
        <v>178.6</v>
      </c>
      <c r="K72" s="945">
        <v>165</v>
      </c>
      <c r="L72" s="945">
        <v>20.8</v>
      </c>
      <c r="M72" s="945">
        <v>397</v>
      </c>
      <c r="N72" s="945">
        <v>130.59</v>
      </c>
      <c r="O72" s="945">
        <v>187.5</v>
      </c>
      <c r="P72" s="945">
        <v>7</v>
      </c>
      <c r="Q72" s="945">
        <v>1095</v>
      </c>
      <c r="R72" s="945">
        <v>275.45999999999998</v>
      </c>
      <c r="S72" s="945">
        <v>549.70000000000005</v>
      </c>
      <c r="T72" s="945">
        <v>104.7</v>
      </c>
      <c r="U72" s="945">
        <v>23</v>
      </c>
      <c r="V72" s="945">
        <v>111.8</v>
      </c>
      <c r="W72" s="945">
        <v>0</v>
      </c>
      <c r="X72" s="945">
        <v>162</v>
      </c>
      <c r="Y72" s="945">
        <v>204</v>
      </c>
      <c r="Z72" s="945">
        <v>160.31</v>
      </c>
      <c r="AA72" s="945">
        <v>148.83000000000001</v>
      </c>
      <c r="AB72" s="945">
        <v>188.07</v>
      </c>
      <c r="AC72" s="945">
        <v>107.33333333333333</v>
      </c>
      <c r="AD72" s="945">
        <v>0</v>
      </c>
      <c r="AE72" s="945">
        <v>42</v>
      </c>
      <c r="AF72" s="945">
        <v>25.7</v>
      </c>
      <c r="AG72" s="945">
        <v>386.5</v>
      </c>
      <c r="AH72" s="945">
        <v>25.67</v>
      </c>
      <c r="AI72" s="945">
        <v>473.95</v>
      </c>
      <c r="AJ72" s="945">
        <v>206.5</v>
      </c>
      <c r="AK72" s="945">
        <v>614.28</v>
      </c>
      <c r="AL72" s="945">
        <v>252.5</v>
      </c>
      <c r="AM72" s="945">
        <v>511</v>
      </c>
      <c r="AN72" s="945">
        <v>231.50000000000006</v>
      </c>
      <c r="AO72" s="946">
        <v>6458.3673489565599</v>
      </c>
      <c r="AP72" s="947">
        <v>2894.8949547426769</v>
      </c>
      <c r="AQ72" s="943">
        <v>0</v>
      </c>
      <c r="AR72" s="948">
        <v>126</v>
      </c>
      <c r="AS72" s="925"/>
      <c r="AT72" s="925"/>
      <c r="AU72" s="925"/>
      <c r="AV72" s="925"/>
      <c r="AW72" s="925"/>
      <c r="AX72" s="925"/>
      <c r="AY72" s="925"/>
      <c r="AZ72" s="925"/>
      <c r="BA72" s="925"/>
      <c r="BB72" s="925"/>
      <c r="BC72" s="925"/>
      <c r="BD72" s="925"/>
      <c r="BE72" s="925"/>
      <c r="BF72" s="925"/>
      <c r="BG72" s="925"/>
      <c r="BH72" s="925"/>
      <c r="BI72" s="925"/>
      <c r="BJ72" s="925"/>
      <c r="BK72" s="847"/>
      <c r="BL72" s="934"/>
      <c r="BM72" s="935"/>
    </row>
    <row r="73" spans="1:73" s="779" customFormat="1" ht="24.95" hidden="1" customHeight="1">
      <c r="A73" s="941"/>
      <c r="B73" s="936" t="s">
        <v>3</v>
      </c>
      <c r="C73" s="970">
        <v>444.90000000000003</v>
      </c>
      <c r="D73" s="971">
        <v>67.400000000000006</v>
      </c>
      <c r="E73" s="972">
        <v>79</v>
      </c>
      <c r="F73" s="972">
        <v>85.8</v>
      </c>
      <c r="G73" s="972">
        <v>462.07401562322701</v>
      </c>
      <c r="H73" s="972">
        <v>660.49495474267678</v>
      </c>
      <c r="I73" s="972">
        <v>644.29999999999995</v>
      </c>
      <c r="J73" s="972">
        <v>178.6</v>
      </c>
      <c r="K73" s="972">
        <v>165</v>
      </c>
      <c r="L73" s="972">
        <v>20.8</v>
      </c>
      <c r="M73" s="972">
        <v>407</v>
      </c>
      <c r="N73" s="972">
        <v>130.59</v>
      </c>
      <c r="O73" s="972">
        <v>187.5</v>
      </c>
      <c r="P73" s="972">
        <v>7</v>
      </c>
      <c r="Q73" s="972">
        <v>1095</v>
      </c>
      <c r="R73" s="972">
        <v>275.45999999999998</v>
      </c>
      <c r="S73" s="972">
        <v>549.70000000000005</v>
      </c>
      <c r="T73" s="972">
        <v>104.7</v>
      </c>
      <c r="U73" s="972">
        <v>23</v>
      </c>
      <c r="V73" s="972">
        <v>111.8</v>
      </c>
      <c r="W73" s="972">
        <v>0</v>
      </c>
      <c r="X73" s="972">
        <v>162</v>
      </c>
      <c r="Y73" s="972">
        <v>204</v>
      </c>
      <c r="Z73" s="972">
        <v>160.31</v>
      </c>
      <c r="AA73" s="972">
        <v>148.83000000000001</v>
      </c>
      <c r="AB73" s="972">
        <v>188.07</v>
      </c>
      <c r="AC73" s="972">
        <v>107.33333333333333</v>
      </c>
      <c r="AD73" s="972">
        <v>0</v>
      </c>
      <c r="AE73" s="972">
        <v>42</v>
      </c>
      <c r="AF73" s="972">
        <v>25.7</v>
      </c>
      <c r="AG73" s="972">
        <v>386.5</v>
      </c>
      <c r="AH73" s="972">
        <v>25.67</v>
      </c>
      <c r="AI73" s="972">
        <v>473.95</v>
      </c>
      <c r="AJ73" s="972">
        <v>206.5</v>
      </c>
      <c r="AK73" s="972">
        <v>614.28</v>
      </c>
      <c r="AL73" s="972">
        <v>252.5</v>
      </c>
      <c r="AM73" s="972">
        <v>617</v>
      </c>
      <c r="AN73" s="972">
        <v>231.50000000000006</v>
      </c>
      <c r="AO73" s="946">
        <v>6651.3673489565599</v>
      </c>
      <c r="AP73" s="947">
        <v>2894.8949547426769</v>
      </c>
      <c r="AQ73" s="970">
        <v>0</v>
      </c>
      <c r="AR73" s="973">
        <v>126</v>
      </c>
      <c r="AS73" s="925"/>
      <c r="AT73" s="925"/>
      <c r="AU73" s="925"/>
      <c r="AV73" s="925"/>
      <c r="AW73" s="925"/>
      <c r="AX73" s="925"/>
      <c r="AY73" s="925"/>
      <c r="AZ73" s="925"/>
      <c r="BA73" s="925"/>
      <c r="BB73" s="925"/>
      <c r="BC73" s="925"/>
      <c r="BD73" s="925"/>
      <c r="BE73" s="925"/>
      <c r="BF73" s="925"/>
      <c r="BG73" s="925"/>
      <c r="BH73" s="925"/>
      <c r="BI73" s="925"/>
      <c r="BJ73" s="925"/>
      <c r="BK73" s="847"/>
      <c r="BL73" s="934"/>
      <c r="BM73" s="935"/>
    </row>
    <row r="74" spans="1:73" s="779" customFormat="1" ht="24.95" hidden="1" customHeight="1">
      <c r="A74" s="918"/>
      <c r="B74" s="928" t="s">
        <v>15</v>
      </c>
      <c r="C74" s="929"/>
      <c r="D74" s="930"/>
      <c r="E74" s="931"/>
      <c r="F74" s="931"/>
      <c r="G74" s="931"/>
      <c r="H74" s="931"/>
      <c r="I74" s="931"/>
      <c r="J74" s="931"/>
      <c r="K74" s="931"/>
      <c r="L74" s="931"/>
      <c r="M74" s="931"/>
      <c r="N74" s="931"/>
      <c r="O74" s="931"/>
      <c r="P74" s="931"/>
      <c r="Q74" s="931"/>
      <c r="R74" s="931"/>
      <c r="S74" s="931"/>
      <c r="T74" s="931"/>
      <c r="U74" s="931"/>
      <c r="V74" s="931"/>
      <c r="W74" s="931"/>
      <c r="X74" s="931"/>
      <c r="Y74" s="931"/>
      <c r="Z74" s="931"/>
      <c r="AA74" s="931"/>
      <c r="AB74" s="931"/>
      <c r="AC74" s="931"/>
      <c r="AD74" s="931"/>
      <c r="AE74" s="931"/>
      <c r="AF74" s="931"/>
      <c r="AG74" s="931"/>
      <c r="AH74" s="931"/>
      <c r="AI74" s="931"/>
      <c r="AJ74" s="931"/>
      <c r="AK74" s="931"/>
      <c r="AL74" s="931"/>
      <c r="AM74" s="931"/>
      <c r="AN74" s="931"/>
      <c r="AO74" s="931"/>
      <c r="AP74" s="930"/>
      <c r="AQ74" s="929"/>
      <c r="AR74" s="933"/>
      <c r="AS74" s="925"/>
      <c r="AT74" s="925"/>
      <c r="AU74" s="925"/>
      <c r="AV74" s="925"/>
      <c r="AW74" s="925"/>
      <c r="AX74" s="925"/>
      <c r="AY74" s="925"/>
      <c r="AZ74" s="925"/>
      <c r="BA74" s="925"/>
      <c r="BB74" s="925"/>
      <c r="BC74" s="925"/>
      <c r="BD74" s="925"/>
      <c r="BE74" s="925"/>
      <c r="BF74" s="925"/>
      <c r="BG74" s="925"/>
      <c r="BH74" s="925"/>
      <c r="BI74" s="925"/>
      <c r="BJ74" s="925"/>
      <c r="BK74" s="847"/>
      <c r="BL74" s="934"/>
      <c r="BM74" s="935"/>
    </row>
    <row r="75" spans="1:73" s="953" customFormat="1" ht="24.95" hidden="1" customHeight="1">
      <c r="A75" s="952"/>
      <c r="B75" s="936" t="s">
        <v>27</v>
      </c>
      <c r="C75" s="929"/>
      <c r="D75" s="930"/>
      <c r="E75" s="931"/>
      <c r="F75" s="931"/>
      <c r="G75" s="931"/>
      <c r="H75" s="931"/>
      <c r="I75" s="931"/>
      <c r="J75" s="931"/>
      <c r="K75" s="931"/>
      <c r="L75" s="931"/>
      <c r="M75" s="931"/>
      <c r="N75" s="931"/>
      <c r="O75" s="931"/>
      <c r="P75" s="931"/>
      <c r="Q75" s="931"/>
      <c r="R75" s="931"/>
      <c r="S75" s="931"/>
      <c r="T75" s="931"/>
      <c r="U75" s="931"/>
      <c r="V75" s="931"/>
      <c r="W75" s="931"/>
      <c r="X75" s="931"/>
      <c r="Y75" s="931"/>
      <c r="Z75" s="931"/>
      <c r="AA75" s="931"/>
      <c r="AB75" s="931"/>
      <c r="AC75" s="931"/>
      <c r="AD75" s="931"/>
      <c r="AE75" s="931"/>
      <c r="AF75" s="931"/>
      <c r="AG75" s="931"/>
      <c r="AH75" s="931"/>
      <c r="AI75" s="931"/>
      <c r="AJ75" s="931"/>
      <c r="AK75" s="931"/>
      <c r="AL75" s="931"/>
      <c r="AM75" s="931"/>
      <c r="AN75" s="931"/>
      <c r="AO75" s="931"/>
      <c r="AP75" s="930"/>
      <c r="AQ75" s="929"/>
      <c r="AR75" s="933"/>
      <c r="AS75" s="925"/>
      <c r="AT75" s="925"/>
      <c r="AU75" s="925"/>
      <c r="AV75" s="925"/>
      <c r="AW75" s="925"/>
      <c r="AX75" s="925"/>
      <c r="AY75" s="925"/>
      <c r="AZ75" s="925"/>
      <c r="BA75" s="925"/>
      <c r="BB75" s="925"/>
      <c r="BC75" s="925"/>
      <c r="BD75" s="925"/>
      <c r="BE75" s="925"/>
      <c r="BF75" s="925"/>
      <c r="BG75" s="925"/>
      <c r="BH75" s="925"/>
      <c r="BI75" s="925"/>
      <c r="BJ75" s="925"/>
      <c r="BK75" s="847"/>
      <c r="BL75" s="934"/>
      <c r="BM75" s="935"/>
    </row>
    <row r="76" spans="1:73" s="779" customFormat="1" ht="24.95" hidden="1" customHeight="1">
      <c r="A76" s="941">
        <v>4</v>
      </c>
      <c r="B76" s="942" t="s">
        <v>30</v>
      </c>
      <c r="C76" s="943">
        <v>166.9</v>
      </c>
      <c r="D76" s="944">
        <v>0</v>
      </c>
      <c r="E76" s="945">
        <v>0</v>
      </c>
      <c r="F76" s="945">
        <v>0</v>
      </c>
      <c r="G76" s="945">
        <v>150</v>
      </c>
      <c r="H76" s="945">
        <v>15.190000000000001</v>
      </c>
      <c r="I76" s="945">
        <v>0</v>
      </c>
      <c r="J76" s="945">
        <v>0</v>
      </c>
      <c r="K76" s="945">
        <v>120</v>
      </c>
      <c r="L76" s="945">
        <v>0</v>
      </c>
      <c r="M76" s="945">
        <v>0</v>
      </c>
      <c r="N76" s="945">
        <v>0</v>
      </c>
      <c r="O76" s="945">
        <v>0</v>
      </c>
      <c r="P76" s="945">
        <v>0</v>
      </c>
      <c r="Q76" s="945">
        <v>194</v>
      </c>
      <c r="R76" s="945">
        <v>0</v>
      </c>
      <c r="S76" s="945">
        <v>0</v>
      </c>
      <c r="T76" s="945">
        <v>0</v>
      </c>
      <c r="U76" s="945">
        <v>81</v>
      </c>
      <c r="V76" s="945">
        <v>0</v>
      </c>
      <c r="W76" s="945">
        <v>0</v>
      </c>
      <c r="X76" s="945">
        <v>0</v>
      </c>
      <c r="Y76" s="945">
        <v>0</v>
      </c>
      <c r="Z76" s="945">
        <v>0</v>
      </c>
      <c r="AA76" s="945">
        <v>0</v>
      </c>
      <c r="AB76" s="945">
        <v>0</v>
      </c>
      <c r="AC76" s="945">
        <v>0</v>
      </c>
      <c r="AD76" s="945">
        <v>0</v>
      </c>
      <c r="AE76" s="945">
        <v>0</v>
      </c>
      <c r="AF76" s="945">
        <v>0</v>
      </c>
      <c r="AG76" s="945">
        <v>0</v>
      </c>
      <c r="AH76" s="945">
        <v>0</v>
      </c>
      <c r="AI76" s="945">
        <v>0</v>
      </c>
      <c r="AJ76" s="945">
        <v>0</v>
      </c>
      <c r="AK76" s="945">
        <v>303</v>
      </c>
      <c r="AL76" s="945">
        <v>0</v>
      </c>
      <c r="AM76" s="945">
        <v>166</v>
      </c>
      <c r="AN76" s="945">
        <v>3.833333333333333</v>
      </c>
      <c r="AO76" s="946">
        <v>1180.9000000000001</v>
      </c>
      <c r="AP76" s="947">
        <v>19.023333333333333</v>
      </c>
      <c r="AQ76" s="943">
        <v>0</v>
      </c>
      <c r="AR76" s="948">
        <v>0</v>
      </c>
      <c r="AS76" s="949">
        <v>1</v>
      </c>
      <c r="AT76" s="949">
        <v>0</v>
      </c>
      <c r="AU76" s="949">
        <v>0</v>
      </c>
      <c r="AV76" s="949">
        <v>0</v>
      </c>
      <c r="AW76" s="949">
        <v>4</v>
      </c>
      <c r="AX76" s="949">
        <v>0</v>
      </c>
      <c r="AY76" s="949">
        <v>0</v>
      </c>
      <c r="AZ76" s="949">
        <v>2</v>
      </c>
      <c r="BA76" s="949">
        <v>0</v>
      </c>
      <c r="BB76" s="949">
        <v>0</v>
      </c>
      <c r="BC76" s="949">
        <v>0</v>
      </c>
      <c r="BD76" s="949">
        <v>0</v>
      </c>
      <c r="BE76" s="949">
        <v>0</v>
      </c>
      <c r="BF76" s="949">
        <v>0</v>
      </c>
      <c r="BG76" s="949">
        <v>0</v>
      </c>
      <c r="BH76" s="949">
        <v>0</v>
      </c>
      <c r="BI76" s="949">
        <v>0</v>
      </c>
      <c r="BJ76" s="949">
        <v>12</v>
      </c>
      <c r="BK76" s="950">
        <v>0</v>
      </c>
      <c r="BL76" s="951">
        <v>19</v>
      </c>
      <c r="BM76" s="935"/>
    </row>
    <row r="77" spans="1:73" s="779" customFormat="1" ht="24.95" hidden="1" customHeight="1">
      <c r="A77" s="941">
        <v>5</v>
      </c>
      <c r="B77" s="942" t="s">
        <v>31</v>
      </c>
      <c r="C77" s="943">
        <v>146.19999999999999</v>
      </c>
      <c r="D77" s="944">
        <v>4.0999999999999996</v>
      </c>
      <c r="E77" s="945">
        <v>0</v>
      </c>
      <c r="F77" s="945">
        <v>0</v>
      </c>
      <c r="G77" s="945">
        <v>42</v>
      </c>
      <c r="H77" s="945">
        <v>0</v>
      </c>
      <c r="I77" s="945">
        <v>0</v>
      </c>
      <c r="J77" s="945">
        <v>0</v>
      </c>
      <c r="K77" s="945">
        <v>183</v>
      </c>
      <c r="L77" s="945">
        <v>0</v>
      </c>
      <c r="M77" s="945">
        <v>0</v>
      </c>
      <c r="N77" s="945">
        <v>0</v>
      </c>
      <c r="O77" s="945">
        <v>0</v>
      </c>
      <c r="P77" s="945">
        <v>0</v>
      </c>
      <c r="Q77" s="945">
        <v>204</v>
      </c>
      <c r="R77" s="945">
        <v>0.5</v>
      </c>
      <c r="S77" s="945">
        <v>0</v>
      </c>
      <c r="T77" s="945">
        <v>0</v>
      </c>
      <c r="U77" s="945">
        <v>24</v>
      </c>
      <c r="V77" s="945">
        <v>0</v>
      </c>
      <c r="W77" s="945">
        <v>0</v>
      </c>
      <c r="X77" s="945">
        <v>0</v>
      </c>
      <c r="Y77" s="945">
        <v>0</v>
      </c>
      <c r="Z77" s="945">
        <v>0</v>
      </c>
      <c r="AA77" s="945">
        <v>0</v>
      </c>
      <c r="AB77" s="945">
        <v>0</v>
      </c>
      <c r="AC77" s="945">
        <v>0</v>
      </c>
      <c r="AD77" s="945">
        <v>0</v>
      </c>
      <c r="AE77" s="945">
        <v>0</v>
      </c>
      <c r="AF77" s="945">
        <v>0</v>
      </c>
      <c r="AG77" s="945">
        <v>0</v>
      </c>
      <c r="AH77" s="945">
        <v>0</v>
      </c>
      <c r="AI77" s="945">
        <v>0</v>
      </c>
      <c r="AJ77" s="945">
        <v>0</v>
      </c>
      <c r="AK77" s="945">
        <v>532</v>
      </c>
      <c r="AL77" s="945">
        <v>8.8000000000000007</v>
      </c>
      <c r="AM77" s="945">
        <v>79</v>
      </c>
      <c r="AN77" s="945">
        <v>0</v>
      </c>
      <c r="AO77" s="946">
        <v>1210.2</v>
      </c>
      <c r="AP77" s="947">
        <v>13.4</v>
      </c>
      <c r="AQ77" s="943">
        <v>0</v>
      </c>
      <c r="AR77" s="948">
        <v>0</v>
      </c>
      <c r="AS77" s="949">
        <v>0</v>
      </c>
      <c r="AT77" s="949">
        <v>0</v>
      </c>
      <c r="AU77" s="949">
        <v>0</v>
      </c>
      <c r="AV77" s="949">
        <v>0</v>
      </c>
      <c r="AW77" s="949">
        <v>9</v>
      </c>
      <c r="AX77" s="949">
        <v>0</v>
      </c>
      <c r="AY77" s="949">
        <v>0</v>
      </c>
      <c r="AZ77" s="949">
        <v>6</v>
      </c>
      <c r="BA77" s="949">
        <v>0</v>
      </c>
      <c r="BB77" s="949">
        <v>0</v>
      </c>
      <c r="BC77" s="949">
        <v>0</v>
      </c>
      <c r="BD77" s="949">
        <v>0</v>
      </c>
      <c r="BE77" s="949">
        <v>0</v>
      </c>
      <c r="BF77" s="949">
        <v>0</v>
      </c>
      <c r="BG77" s="949">
        <v>0</v>
      </c>
      <c r="BH77" s="949">
        <v>0</v>
      </c>
      <c r="BI77" s="949">
        <v>0</v>
      </c>
      <c r="BJ77" s="949">
        <v>11</v>
      </c>
      <c r="BK77" s="950">
        <v>1</v>
      </c>
      <c r="BL77" s="951">
        <v>27</v>
      </c>
      <c r="BM77" s="935"/>
    </row>
    <row r="78" spans="1:73" s="779" customFormat="1" ht="24.95" hidden="1" customHeight="1">
      <c r="A78" s="941">
        <v>6</v>
      </c>
      <c r="B78" s="942" t="s">
        <v>159</v>
      </c>
      <c r="C78" s="943">
        <v>0</v>
      </c>
      <c r="D78" s="944">
        <v>43.2</v>
      </c>
      <c r="E78" s="945">
        <v>0</v>
      </c>
      <c r="F78" s="945">
        <v>0</v>
      </c>
      <c r="G78" s="945">
        <v>0</v>
      </c>
      <c r="H78" s="945">
        <v>30</v>
      </c>
      <c r="I78" s="945">
        <v>0</v>
      </c>
      <c r="J78" s="945">
        <v>0</v>
      </c>
      <c r="K78" s="945">
        <v>26</v>
      </c>
      <c r="L78" s="945">
        <v>0</v>
      </c>
      <c r="M78" s="945">
        <v>0</v>
      </c>
      <c r="N78" s="945">
        <v>0</v>
      </c>
      <c r="O78" s="945">
        <v>0</v>
      </c>
      <c r="P78" s="945">
        <v>0</v>
      </c>
      <c r="Q78" s="945">
        <v>17</v>
      </c>
      <c r="R78" s="945">
        <v>0</v>
      </c>
      <c r="S78" s="945">
        <v>0</v>
      </c>
      <c r="T78" s="945">
        <v>0</v>
      </c>
      <c r="U78" s="945">
        <v>0</v>
      </c>
      <c r="V78" s="945">
        <v>0</v>
      </c>
      <c r="W78" s="945">
        <v>0</v>
      </c>
      <c r="X78" s="945">
        <v>0</v>
      </c>
      <c r="Y78" s="945">
        <v>0</v>
      </c>
      <c r="Z78" s="945">
        <v>0</v>
      </c>
      <c r="AA78" s="945">
        <v>0</v>
      </c>
      <c r="AB78" s="945">
        <v>0</v>
      </c>
      <c r="AC78" s="945">
        <v>0</v>
      </c>
      <c r="AD78" s="945">
        <v>0</v>
      </c>
      <c r="AE78" s="945">
        <v>0</v>
      </c>
      <c r="AF78" s="945">
        <v>0</v>
      </c>
      <c r="AG78" s="945">
        <v>0</v>
      </c>
      <c r="AH78" s="945">
        <v>0</v>
      </c>
      <c r="AI78" s="945">
        <v>0</v>
      </c>
      <c r="AJ78" s="945">
        <v>0</v>
      </c>
      <c r="AK78" s="945">
        <v>0</v>
      </c>
      <c r="AL78" s="945">
        <v>0</v>
      </c>
      <c r="AM78" s="945">
        <v>0</v>
      </c>
      <c r="AN78" s="945">
        <v>0</v>
      </c>
      <c r="AO78" s="946">
        <v>43</v>
      </c>
      <c r="AP78" s="947">
        <v>73.2</v>
      </c>
      <c r="AQ78" s="943">
        <v>0</v>
      </c>
      <c r="AR78" s="948">
        <v>0</v>
      </c>
      <c r="AS78" s="949">
        <v>0</v>
      </c>
      <c r="AT78" s="949">
        <v>0</v>
      </c>
      <c r="AU78" s="949">
        <v>0</v>
      </c>
      <c r="AV78" s="949">
        <v>0</v>
      </c>
      <c r="AW78" s="949">
        <v>0</v>
      </c>
      <c r="AX78" s="949">
        <v>0</v>
      </c>
      <c r="AY78" s="949">
        <v>0</v>
      </c>
      <c r="AZ78" s="949">
        <v>0</v>
      </c>
      <c r="BA78" s="949">
        <v>0</v>
      </c>
      <c r="BB78" s="949">
        <v>0</v>
      </c>
      <c r="BC78" s="949">
        <v>0</v>
      </c>
      <c r="BD78" s="949">
        <v>0</v>
      </c>
      <c r="BE78" s="949">
        <v>0</v>
      </c>
      <c r="BF78" s="949">
        <v>0</v>
      </c>
      <c r="BG78" s="949">
        <v>0</v>
      </c>
      <c r="BH78" s="949">
        <v>0</v>
      </c>
      <c r="BI78" s="949">
        <v>0</v>
      </c>
      <c r="BJ78" s="949">
        <v>0</v>
      </c>
      <c r="BK78" s="950">
        <v>0</v>
      </c>
      <c r="BL78" s="951">
        <v>0</v>
      </c>
      <c r="BM78" s="935"/>
    </row>
    <row r="79" spans="1:73" s="779" customFormat="1" ht="24.95" hidden="1" customHeight="1">
      <c r="A79" s="941">
        <v>7</v>
      </c>
      <c r="B79" s="942" t="s">
        <v>207</v>
      </c>
      <c r="C79" s="943">
        <v>0</v>
      </c>
      <c r="D79" s="944">
        <v>0</v>
      </c>
      <c r="E79" s="945">
        <v>0</v>
      </c>
      <c r="F79" s="945">
        <v>0</v>
      </c>
      <c r="G79" s="945">
        <v>15</v>
      </c>
      <c r="H79" s="945">
        <v>0</v>
      </c>
      <c r="I79" s="945">
        <v>0</v>
      </c>
      <c r="J79" s="945">
        <v>0</v>
      </c>
      <c r="K79" s="945">
        <v>2</v>
      </c>
      <c r="L79" s="945">
        <v>0</v>
      </c>
      <c r="M79" s="945">
        <v>0</v>
      </c>
      <c r="N79" s="945">
        <v>0</v>
      </c>
      <c r="O79" s="945">
        <v>0</v>
      </c>
      <c r="P79" s="945">
        <v>0</v>
      </c>
      <c r="Q79" s="945">
        <v>0</v>
      </c>
      <c r="R79" s="945">
        <v>0</v>
      </c>
      <c r="S79" s="945">
        <v>0</v>
      </c>
      <c r="T79" s="945">
        <v>0</v>
      </c>
      <c r="U79" s="945">
        <v>0</v>
      </c>
      <c r="V79" s="945">
        <v>0</v>
      </c>
      <c r="W79" s="945">
        <v>0</v>
      </c>
      <c r="X79" s="945">
        <v>0</v>
      </c>
      <c r="Y79" s="945">
        <v>0</v>
      </c>
      <c r="Z79" s="945">
        <v>0</v>
      </c>
      <c r="AA79" s="945">
        <v>0</v>
      </c>
      <c r="AB79" s="945">
        <v>0</v>
      </c>
      <c r="AC79" s="945">
        <v>0</v>
      </c>
      <c r="AD79" s="945">
        <v>0</v>
      </c>
      <c r="AE79" s="945">
        <v>0</v>
      </c>
      <c r="AF79" s="945">
        <v>0</v>
      </c>
      <c r="AG79" s="945">
        <v>0</v>
      </c>
      <c r="AH79" s="945">
        <v>0</v>
      </c>
      <c r="AI79" s="945">
        <v>0</v>
      </c>
      <c r="AJ79" s="945">
        <v>0</v>
      </c>
      <c r="AK79" s="945">
        <v>20</v>
      </c>
      <c r="AL79" s="945">
        <v>0</v>
      </c>
      <c r="AM79" s="945">
        <v>0</v>
      </c>
      <c r="AN79" s="945">
        <v>0</v>
      </c>
      <c r="AO79" s="946">
        <v>37</v>
      </c>
      <c r="AP79" s="947">
        <v>0</v>
      </c>
      <c r="AQ79" s="943">
        <v>0</v>
      </c>
      <c r="AR79" s="948">
        <v>0</v>
      </c>
      <c r="AS79" s="949">
        <v>0</v>
      </c>
      <c r="AT79" s="949">
        <v>0</v>
      </c>
      <c r="AU79" s="949">
        <v>0</v>
      </c>
      <c r="AV79" s="949">
        <v>0</v>
      </c>
      <c r="AW79" s="949">
        <v>0</v>
      </c>
      <c r="AX79" s="949">
        <v>0</v>
      </c>
      <c r="AY79" s="949">
        <v>0</v>
      </c>
      <c r="AZ79" s="949">
        <v>0</v>
      </c>
      <c r="BA79" s="949">
        <v>0</v>
      </c>
      <c r="BB79" s="949">
        <v>0</v>
      </c>
      <c r="BC79" s="949">
        <v>0</v>
      </c>
      <c r="BD79" s="949">
        <v>0</v>
      </c>
      <c r="BE79" s="949">
        <v>0</v>
      </c>
      <c r="BF79" s="949">
        <v>0</v>
      </c>
      <c r="BG79" s="949">
        <v>0</v>
      </c>
      <c r="BH79" s="949">
        <v>0</v>
      </c>
      <c r="BI79" s="949">
        <v>0</v>
      </c>
      <c r="BJ79" s="949">
        <v>0</v>
      </c>
      <c r="BK79" s="950">
        <v>0</v>
      </c>
      <c r="BL79" s="951">
        <v>0</v>
      </c>
      <c r="BM79" s="935"/>
    </row>
    <row r="80" spans="1:73" s="779" customFormat="1" ht="25.15" hidden="1" customHeight="1">
      <c r="A80" s="941">
        <v>8</v>
      </c>
      <c r="B80" s="936" t="s">
        <v>29</v>
      </c>
      <c r="C80" s="943">
        <v>0</v>
      </c>
      <c r="D80" s="944">
        <v>114.8</v>
      </c>
      <c r="E80" s="945">
        <v>0</v>
      </c>
      <c r="F80" s="945">
        <v>0</v>
      </c>
      <c r="G80" s="945">
        <v>60</v>
      </c>
      <c r="H80" s="945">
        <v>95.990998393435348</v>
      </c>
      <c r="I80" s="945">
        <v>0</v>
      </c>
      <c r="J80" s="945">
        <v>0</v>
      </c>
      <c r="K80" s="945">
        <v>78</v>
      </c>
      <c r="L80" s="945">
        <v>0</v>
      </c>
      <c r="M80" s="945">
        <v>0</v>
      </c>
      <c r="N80" s="945">
        <v>0</v>
      </c>
      <c r="O80" s="945">
        <v>66</v>
      </c>
      <c r="P80" s="945">
        <v>7.4</v>
      </c>
      <c r="Q80" s="945">
        <v>8</v>
      </c>
      <c r="R80" s="945">
        <v>184.99</v>
      </c>
      <c r="S80" s="945">
        <v>0</v>
      </c>
      <c r="T80" s="945">
        <v>0</v>
      </c>
      <c r="U80" s="945">
        <v>0</v>
      </c>
      <c r="V80" s="945">
        <v>0</v>
      </c>
      <c r="W80" s="945">
        <v>0</v>
      </c>
      <c r="X80" s="945">
        <v>0</v>
      </c>
      <c r="Y80" s="945">
        <v>0</v>
      </c>
      <c r="Z80" s="945">
        <v>0</v>
      </c>
      <c r="AA80" s="945">
        <v>33</v>
      </c>
      <c r="AB80" s="945">
        <v>0</v>
      </c>
      <c r="AC80" s="945">
        <v>0</v>
      </c>
      <c r="AD80" s="945">
        <v>0</v>
      </c>
      <c r="AE80" s="945">
        <v>0</v>
      </c>
      <c r="AF80" s="945">
        <v>0</v>
      </c>
      <c r="AG80" s="945">
        <v>0</v>
      </c>
      <c r="AH80" s="945">
        <v>0</v>
      </c>
      <c r="AI80" s="945">
        <v>14.25</v>
      </c>
      <c r="AJ80" s="945">
        <v>15</v>
      </c>
      <c r="AK80" s="945">
        <v>80</v>
      </c>
      <c r="AL80" s="945">
        <v>5.2</v>
      </c>
      <c r="AM80" s="945">
        <v>0</v>
      </c>
      <c r="AN80" s="945">
        <v>78.333333333333314</v>
      </c>
      <c r="AO80" s="946">
        <v>339.25</v>
      </c>
      <c r="AP80" s="947">
        <v>501.71433172676871</v>
      </c>
      <c r="AQ80" s="943">
        <v>0</v>
      </c>
      <c r="AR80" s="948">
        <v>0</v>
      </c>
      <c r="AS80" s="925"/>
      <c r="AT80" s="925"/>
      <c r="AU80" s="925"/>
      <c r="AV80" s="925"/>
      <c r="AW80" s="925"/>
      <c r="AX80" s="925"/>
      <c r="AY80" s="925"/>
      <c r="AZ80" s="925"/>
      <c r="BA80" s="925"/>
      <c r="BB80" s="925"/>
      <c r="BC80" s="925"/>
      <c r="BD80" s="925"/>
      <c r="BE80" s="925"/>
      <c r="BF80" s="925"/>
      <c r="BG80" s="925"/>
      <c r="BH80" s="925"/>
      <c r="BI80" s="925"/>
      <c r="BJ80" s="925"/>
      <c r="BK80" s="847"/>
      <c r="BL80" s="934"/>
      <c r="BM80" s="935"/>
      <c r="BN80" s="884"/>
    </row>
    <row r="81" spans="1:65" s="779" customFormat="1" ht="24.95" hidden="1" customHeight="1">
      <c r="A81" s="941"/>
      <c r="B81" s="936" t="s">
        <v>3</v>
      </c>
      <c r="C81" s="970">
        <v>313.10000000000002</v>
      </c>
      <c r="D81" s="971">
        <v>162.1</v>
      </c>
      <c r="E81" s="972">
        <v>0</v>
      </c>
      <c r="F81" s="972">
        <v>0</v>
      </c>
      <c r="G81" s="972">
        <v>267</v>
      </c>
      <c r="H81" s="972">
        <v>141.18099839343535</v>
      </c>
      <c r="I81" s="972">
        <v>0</v>
      </c>
      <c r="J81" s="972">
        <v>0</v>
      </c>
      <c r="K81" s="972">
        <v>409</v>
      </c>
      <c r="L81" s="972">
        <v>0</v>
      </c>
      <c r="M81" s="972">
        <v>0</v>
      </c>
      <c r="N81" s="972">
        <v>0</v>
      </c>
      <c r="O81" s="972">
        <v>66</v>
      </c>
      <c r="P81" s="972">
        <v>7.4</v>
      </c>
      <c r="Q81" s="972">
        <v>423</v>
      </c>
      <c r="R81" s="972">
        <v>185.49</v>
      </c>
      <c r="S81" s="972">
        <v>0</v>
      </c>
      <c r="T81" s="972">
        <v>0</v>
      </c>
      <c r="U81" s="972">
        <v>105</v>
      </c>
      <c r="V81" s="972">
        <v>0</v>
      </c>
      <c r="W81" s="972">
        <v>0</v>
      </c>
      <c r="X81" s="972">
        <v>0</v>
      </c>
      <c r="Y81" s="972">
        <v>0</v>
      </c>
      <c r="Z81" s="972">
        <v>0</v>
      </c>
      <c r="AA81" s="972">
        <v>33</v>
      </c>
      <c r="AB81" s="972">
        <v>0</v>
      </c>
      <c r="AC81" s="972">
        <v>0</v>
      </c>
      <c r="AD81" s="972">
        <v>0</v>
      </c>
      <c r="AE81" s="972">
        <v>0</v>
      </c>
      <c r="AF81" s="972">
        <v>0</v>
      </c>
      <c r="AG81" s="972">
        <v>0</v>
      </c>
      <c r="AH81" s="972">
        <v>0</v>
      </c>
      <c r="AI81" s="972">
        <v>14.25</v>
      </c>
      <c r="AJ81" s="972">
        <v>15</v>
      </c>
      <c r="AK81" s="972">
        <v>935</v>
      </c>
      <c r="AL81" s="972">
        <v>14</v>
      </c>
      <c r="AM81" s="972">
        <v>245</v>
      </c>
      <c r="AN81" s="972">
        <v>82.166666666666643</v>
      </c>
      <c r="AO81" s="946">
        <v>2810.3500000000004</v>
      </c>
      <c r="AP81" s="947">
        <v>607.33766506010204</v>
      </c>
      <c r="AQ81" s="970">
        <v>0</v>
      </c>
      <c r="AR81" s="973">
        <v>0</v>
      </c>
      <c r="AS81" s="925"/>
      <c r="AT81" s="925"/>
      <c r="AU81" s="925"/>
      <c r="AV81" s="925"/>
      <c r="AW81" s="925"/>
      <c r="AX81" s="925"/>
      <c r="AY81" s="925"/>
      <c r="AZ81" s="925"/>
      <c r="BA81" s="925"/>
      <c r="BB81" s="925"/>
      <c r="BC81" s="925"/>
      <c r="BD81" s="925"/>
      <c r="BE81" s="925"/>
      <c r="BF81" s="925"/>
      <c r="BG81" s="925"/>
      <c r="BH81" s="925"/>
      <c r="BI81" s="925"/>
      <c r="BJ81" s="925"/>
      <c r="BK81" s="847"/>
      <c r="BL81" s="934"/>
      <c r="BM81" s="935"/>
    </row>
    <row r="82" spans="1:65" s="779" customFormat="1" ht="24.95" hidden="1" customHeight="1">
      <c r="A82" s="918"/>
      <c r="B82" s="928" t="s">
        <v>17</v>
      </c>
      <c r="C82" s="929"/>
      <c r="D82" s="930"/>
      <c r="E82" s="931"/>
      <c r="F82" s="931"/>
      <c r="G82" s="931"/>
      <c r="H82" s="931"/>
      <c r="I82" s="931"/>
      <c r="J82" s="931"/>
      <c r="K82" s="931"/>
      <c r="L82" s="931"/>
      <c r="M82" s="931"/>
      <c r="N82" s="931"/>
      <c r="O82" s="931"/>
      <c r="P82" s="931"/>
      <c r="Q82" s="931"/>
      <c r="R82" s="931"/>
      <c r="S82" s="931"/>
      <c r="T82" s="931"/>
      <c r="U82" s="931"/>
      <c r="V82" s="931"/>
      <c r="W82" s="931"/>
      <c r="X82" s="931"/>
      <c r="Y82" s="931"/>
      <c r="Z82" s="931"/>
      <c r="AA82" s="931"/>
      <c r="AB82" s="931"/>
      <c r="AC82" s="931"/>
      <c r="AD82" s="931"/>
      <c r="AE82" s="931"/>
      <c r="AF82" s="931"/>
      <c r="AG82" s="931"/>
      <c r="AH82" s="931"/>
      <c r="AI82" s="931"/>
      <c r="AJ82" s="931"/>
      <c r="AK82" s="931"/>
      <c r="AL82" s="931"/>
      <c r="AM82" s="931"/>
      <c r="AN82" s="931"/>
      <c r="AO82" s="931"/>
      <c r="AP82" s="930"/>
      <c r="AQ82" s="929"/>
      <c r="AR82" s="933"/>
      <c r="AS82" s="925"/>
      <c r="AT82" s="925"/>
      <c r="AU82" s="925"/>
      <c r="AV82" s="925"/>
      <c r="AW82" s="925"/>
      <c r="AX82" s="925"/>
      <c r="AY82" s="925"/>
      <c r="AZ82" s="925"/>
      <c r="BA82" s="925"/>
      <c r="BB82" s="925"/>
      <c r="BC82" s="925"/>
      <c r="BD82" s="925"/>
      <c r="BE82" s="925"/>
      <c r="BF82" s="925"/>
      <c r="BG82" s="925"/>
      <c r="BH82" s="925"/>
      <c r="BI82" s="925"/>
      <c r="BJ82" s="925"/>
      <c r="BK82" s="847"/>
      <c r="BL82" s="934"/>
      <c r="BM82" s="935"/>
    </row>
    <row r="83" spans="1:65" s="779" customFormat="1" ht="24.95" hidden="1" customHeight="1">
      <c r="A83" s="918"/>
      <c r="B83" s="936" t="s">
        <v>27</v>
      </c>
      <c r="C83" s="937"/>
      <c r="D83" s="938"/>
      <c r="E83" s="939"/>
      <c r="F83" s="939"/>
      <c r="G83" s="939"/>
      <c r="H83" s="939"/>
      <c r="I83" s="939"/>
      <c r="J83" s="939"/>
      <c r="K83" s="939"/>
      <c r="L83" s="939"/>
      <c r="M83" s="939"/>
      <c r="N83" s="939"/>
      <c r="O83" s="939"/>
      <c r="P83" s="939"/>
      <c r="Q83" s="939"/>
      <c r="R83" s="939"/>
      <c r="S83" s="939"/>
      <c r="T83" s="939"/>
      <c r="U83" s="939"/>
      <c r="V83" s="939"/>
      <c r="W83" s="939"/>
      <c r="X83" s="939"/>
      <c r="Y83" s="939"/>
      <c r="Z83" s="939"/>
      <c r="AA83" s="939"/>
      <c r="AB83" s="939"/>
      <c r="AC83" s="939"/>
      <c r="AD83" s="939"/>
      <c r="AE83" s="939"/>
      <c r="AF83" s="939"/>
      <c r="AG83" s="939"/>
      <c r="AH83" s="939"/>
      <c r="AI83" s="939"/>
      <c r="AJ83" s="939"/>
      <c r="AK83" s="939"/>
      <c r="AL83" s="939"/>
      <c r="AM83" s="939"/>
      <c r="AN83" s="939"/>
      <c r="AO83" s="939"/>
      <c r="AP83" s="938"/>
      <c r="AQ83" s="937"/>
      <c r="AR83" s="940"/>
      <c r="AS83" s="925"/>
      <c r="AT83" s="925"/>
      <c r="AU83" s="925"/>
      <c r="AV83" s="925"/>
      <c r="AW83" s="925"/>
      <c r="AX83" s="925"/>
      <c r="AY83" s="925"/>
      <c r="AZ83" s="925"/>
      <c r="BA83" s="925"/>
      <c r="BB83" s="925"/>
      <c r="BC83" s="925"/>
      <c r="BD83" s="925"/>
      <c r="BE83" s="925"/>
      <c r="BF83" s="925"/>
      <c r="BG83" s="925"/>
      <c r="BH83" s="925"/>
      <c r="BI83" s="925"/>
      <c r="BJ83" s="925"/>
      <c r="BK83" s="847"/>
      <c r="BL83" s="934"/>
      <c r="BM83" s="935"/>
    </row>
    <row r="84" spans="1:65" s="953" customFormat="1" ht="24.95" hidden="1" customHeight="1">
      <c r="A84" s="952"/>
      <c r="B84" s="954" t="s">
        <v>32</v>
      </c>
      <c r="C84" s="955"/>
      <c r="D84" s="956"/>
      <c r="E84" s="957"/>
      <c r="F84" s="957"/>
      <c r="G84" s="957"/>
      <c r="H84" s="957"/>
      <c r="I84" s="957"/>
      <c r="J84" s="957"/>
      <c r="K84" s="957"/>
      <c r="L84" s="957"/>
      <c r="M84" s="957"/>
      <c r="N84" s="957"/>
      <c r="O84" s="957"/>
      <c r="P84" s="957"/>
      <c r="Q84" s="957"/>
      <c r="R84" s="957"/>
      <c r="S84" s="957"/>
      <c r="T84" s="957"/>
      <c r="U84" s="957"/>
      <c r="V84" s="957"/>
      <c r="W84" s="957"/>
      <c r="X84" s="957"/>
      <c r="Y84" s="957"/>
      <c r="Z84" s="957"/>
      <c r="AA84" s="957"/>
      <c r="AB84" s="957"/>
      <c r="AC84" s="957"/>
      <c r="AD84" s="957"/>
      <c r="AE84" s="957"/>
      <c r="AF84" s="957"/>
      <c r="AG84" s="957"/>
      <c r="AH84" s="957"/>
      <c r="AI84" s="957"/>
      <c r="AJ84" s="957"/>
      <c r="AK84" s="957"/>
      <c r="AL84" s="957"/>
      <c r="AM84" s="957"/>
      <c r="AN84" s="957"/>
      <c r="AO84" s="957"/>
      <c r="AP84" s="956"/>
      <c r="AQ84" s="955"/>
      <c r="AR84" s="958"/>
      <c r="AS84" s="857"/>
      <c r="AT84" s="857"/>
      <c r="AU84" s="857"/>
      <c r="AV84" s="857"/>
      <c r="AW84" s="857"/>
      <c r="AX84" s="857"/>
      <c r="AY84" s="857"/>
      <c r="AZ84" s="857"/>
      <c r="BA84" s="857"/>
      <c r="BB84" s="857"/>
      <c r="BC84" s="857"/>
      <c r="BD84" s="857"/>
      <c r="BE84" s="857"/>
      <c r="BF84" s="857"/>
      <c r="BG84" s="857"/>
      <c r="BH84" s="857"/>
      <c r="BI84" s="857"/>
      <c r="BJ84" s="857"/>
      <c r="BK84" s="959"/>
      <c r="BL84" s="934"/>
      <c r="BM84" s="960"/>
    </row>
    <row r="85" spans="1:65" s="779" customFormat="1" ht="24.95" hidden="1" customHeight="1">
      <c r="A85" s="941">
        <v>9</v>
      </c>
      <c r="B85" s="961" t="s">
        <v>23</v>
      </c>
      <c r="C85" s="943">
        <v>367</v>
      </c>
      <c r="D85" s="944">
        <v>0</v>
      </c>
      <c r="E85" s="945">
        <v>0</v>
      </c>
      <c r="F85" s="945">
        <v>0</v>
      </c>
      <c r="G85" s="945">
        <v>303</v>
      </c>
      <c r="H85" s="945">
        <v>0</v>
      </c>
      <c r="I85" s="945">
        <v>0</v>
      </c>
      <c r="J85" s="945">
        <v>0</v>
      </c>
      <c r="K85" s="945">
        <v>327</v>
      </c>
      <c r="L85" s="945">
        <v>0</v>
      </c>
      <c r="M85" s="945">
        <v>0</v>
      </c>
      <c r="N85" s="945">
        <v>0</v>
      </c>
      <c r="O85" s="945">
        <v>0</v>
      </c>
      <c r="P85" s="945">
        <v>0</v>
      </c>
      <c r="Q85" s="945">
        <v>530</v>
      </c>
      <c r="R85" s="945">
        <v>0</v>
      </c>
      <c r="S85" s="945">
        <v>0</v>
      </c>
      <c r="T85" s="945">
        <v>0</v>
      </c>
      <c r="U85" s="945">
        <v>0</v>
      </c>
      <c r="V85" s="945">
        <v>0</v>
      </c>
      <c r="W85" s="945">
        <v>0</v>
      </c>
      <c r="X85" s="945">
        <v>0</v>
      </c>
      <c r="Y85" s="945">
        <v>0</v>
      </c>
      <c r="Z85" s="945">
        <v>0</v>
      </c>
      <c r="AA85" s="945">
        <v>0</v>
      </c>
      <c r="AB85" s="945">
        <v>0</v>
      </c>
      <c r="AC85" s="945">
        <v>0</v>
      </c>
      <c r="AD85" s="945">
        <v>0</v>
      </c>
      <c r="AE85" s="945">
        <v>0</v>
      </c>
      <c r="AF85" s="945">
        <v>0</v>
      </c>
      <c r="AG85" s="945">
        <v>0</v>
      </c>
      <c r="AH85" s="945">
        <v>0</v>
      </c>
      <c r="AI85" s="945">
        <v>0</v>
      </c>
      <c r="AJ85" s="945">
        <v>0</v>
      </c>
      <c r="AK85" s="945">
        <v>0</v>
      </c>
      <c r="AL85" s="945">
        <v>0</v>
      </c>
      <c r="AM85" s="945">
        <v>0</v>
      </c>
      <c r="AN85" s="945">
        <v>0</v>
      </c>
      <c r="AO85" s="946">
        <v>1527</v>
      </c>
      <c r="AP85" s="947">
        <v>0</v>
      </c>
      <c r="AQ85" s="943">
        <v>0</v>
      </c>
      <c r="AR85" s="948">
        <v>0</v>
      </c>
      <c r="AS85" s="949">
        <v>99</v>
      </c>
      <c r="AT85" s="949">
        <v>0</v>
      </c>
      <c r="AU85" s="949">
        <v>87</v>
      </c>
      <c r="AV85" s="949">
        <v>0</v>
      </c>
      <c r="AW85" s="949">
        <v>235</v>
      </c>
      <c r="AX85" s="949">
        <v>0</v>
      </c>
      <c r="AY85" s="949">
        <v>0</v>
      </c>
      <c r="AZ85" s="949">
        <v>173</v>
      </c>
      <c r="BA85" s="949">
        <v>0</v>
      </c>
      <c r="BB85" s="949">
        <v>0</v>
      </c>
      <c r="BC85" s="949">
        <v>0</v>
      </c>
      <c r="BD85" s="949">
        <v>0</v>
      </c>
      <c r="BE85" s="949">
        <v>0</v>
      </c>
      <c r="BF85" s="949">
        <v>0</v>
      </c>
      <c r="BG85" s="949">
        <v>0</v>
      </c>
      <c r="BH85" s="949">
        <v>0</v>
      </c>
      <c r="BI85" s="949">
        <v>0</v>
      </c>
      <c r="BJ85" s="949">
        <v>0</v>
      </c>
      <c r="BK85" s="950">
        <v>0</v>
      </c>
      <c r="BL85" s="951">
        <v>594</v>
      </c>
      <c r="BM85" s="935"/>
    </row>
    <row r="86" spans="1:65" s="779" customFormat="1" ht="24.95" hidden="1" customHeight="1">
      <c r="A86" s="962">
        <v>10</v>
      </c>
      <c r="B86" s="961" t="s">
        <v>24</v>
      </c>
      <c r="C86" s="943">
        <v>62</v>
      </c>
      <c r="D86" s="944">
        <v>0</v>
      </c>
      <c r="E86" s="945">
        <v>0</v>
      </c>
      <c r="F86" s="945">
        <v>0</v>
      </c>
      <c r="G86" s="945">
        <v>135</v>
      </c>
      <c r="H86" s="945">
        <v>0</v>
      </c>
      <c r="I86" s="945">
        <v>0</v>
      </c>
      <c r="J86" s="945">
        <v>0</v>
      </c>
      <c r="K86" s="945">
        <v>0</v>
      </c>
      <c r="L86" s="945">
        <v>0</v>
      </c>
      <c r="M86" s="945">
        <v>0</v>
      </c>
      <c r="N86" s="945">
        <v>0</v>
      </c>
      <c r="O86" s="945">
        <v>0</v>
      </c>
      <c r="P86" s="945">
        <v>0</v>
      </c>
      <c r="Q86" s="945">
        <v>227</v>
      </c>
      <c r="R86" s="945">
        <v>0</v>
      </c>
      <c r="S86" s="945">
        <v>0</v>
      </c>
      <c r="T86" s="945">
        <v>0</v>
      </c>
      <c r="U86" s="945">
        <v>0</v>
      </c>
      <c r="V86" s="945">
        <v>0</v>
      </c>
      <c r="W86" s="945">
        <v>0</v>
      </c>
      <c r="X86" s="945">
        <v>0</v>
      </c>
      <c r="Y86" s="945">
        <v>0</v>
      </c>
      <c r="Z86" s="945">
        <v>0</v>
      </c>
      <c r="AA86" s="945">
        <v>0</v>
      </c>
      <c r="AB86" s="945">
        <v>0</v>
      </c>
      <c r="AC86" s="945">
        <v>0</v>
      </c>
      <c r="AD86" s="945">
        <v>0</v>
      </c>
      <c r="AE86" s="945">
        <v>0</v>
      </c>
      <c r="AF86" s="945">
        <v>0</v>
      </c>
      <c r="AG86" s="945">
        <v>0</v>
      </c>
      <c r="AH86" s="945">
        <v>0</v>
      </c>
      <c r="AI86" s="945">
        <v>0</v>
      </c>
      <c r="AJ86" s="945">
        <v>0</v>
      </c>
      <c r="AK86" s="945">
        <v>0</v>
      </c>
      <c r="AL86" s="945">
        <v>0</v>
      </c>
      <c r="AM86" s="945">
        <v>0</v>
      </c>
      <c r="AN86" s="945">
        <v>0</v>
      </c>
      <c r="AO86" s="946">
        <v>424</v>
      </c>
      <c r="AP86" s="947">
        <v>0</v>
      </c>
      <c r="AQ86" s="943">
        <v>0</v>
      </c>
      <c r="AR86" s="948">
        <v>0</v>
      </c>
      <c r="AS86" s="949">
        <v>17</v>
      </c>
      <c r="AT86" s="949">
        <v>0</v>
      </c>
      <c r="AU86" s="949">
        <v>67</v>
      </c>
      <c r="AV86" s="949">
        <v>0</v>
      </c>
      <c r="AW86" s="949">
        <v>0</v>
      </c>
      <c r="AX86" s="949">
        <v>0</v>
      </c>
      <c r="AY86" s="949">
        <v>0</v>
      </c>
      <c r="AZ86" s="949">
        <v>58</v>
      </c>
      <c r="BA86" s="949">
        <v>0</v>
      </c>
      <c r="BB86" s="949">
        <v>0</v>
      </c>
      <c r="BC86" s="949">
        <v>0</v>
      </c>
      <c r="BD86" s="949">
        <v>0</v>
      </c>
      <c r="BE86" s="949">
        <v>0</v>
      </c>
      <c r="BF86" s="949">
        <v>0</v>
      </c>
      <c r="BG86" s="949">
        <v>0</v>
      </c>
      <c r="BH86" s="949">
        <v>0</v>
      </c>
      <c r="BI86" s="949">
        <v>0</v>
      </c>
      <c r="BJ86" s="949">
        <v>0</v>
      </c>
      <c r="BK86" s="950">
        <v>0</v>
      </c>
      <c r="BL86" s="951">
        <v>142</v>
      </c>
      <c r="BM86" s="935"/>
    </row>
    <row r="87" spans="1:65" s="779" customFormat="1" ht="24.95" hidden="1" customHeight="1">
      <c r="A87" s="941">
        <v>11</v>
      </c>
      <c r="B87" s="961" t="s">
        <v>8</v>
      </c>
      <c r="C87" s="943">
        <v>269</v>
      </c>
      <c r="D87" s="944">
        <v>0</v>
      </c>
      <c r="E87" s="945">
        <v>0</v>
      </c>
      <c r="F87" s="945">
        <v>0</v>
      </c>
      <c r="G87" s="945">
        <v>258</v>
      </c>
      <c r="H87" s="945">
        <v>0</v>
      </c>
      <c r="I87" s="945">
        <v>0</v>
      </c>
      <c r="J87" s="945">
        <v>0</v>
      </c>
      <c r="K87" s="945">
        <v>225</v>
      </c>
      <c r="L87" s="945">
        <v>0</v>
      </c>
      <c r="M87" s="945">
        <v>0</v>
      </c>
      <c r="N87" s="945">
        <v>0</v>
      </c>
      <c r="O87" s="945">
        <v>0</v>
      </c>
      <c r="P87" s="945">
        <v>0</v>
      </c>
      <c r="Q87" s="945">
        <v>330</v>
      </c>
      <c r="R87" s="945">
        <v>0</v>
      </c>
      <c r="S87" s="945">
        <v>0</v>
      </c>
      <c r="T87" s="945">
        <v>0</v>
      </c>
      <c r="U87" s="945">
        <v>0</v>
      </c>
      <c r="V87" s="945">
        <v>0</v>
      </c>
      <c r="W87" s="945">
        <v>0</v>
      </c>
      <c r="X87" s="945">
        <v>0</v>
      </c>
      <c r="Y87" s="945">
        <v>0</v>
      </c>
      <c r="Z87" s="945">
        <v>0</v>
      </c>
      <c r="AA87" s="945">
        <v>0</v>
      </c>
      <c r="AB87" s="945">
        <v>0</v>
      </c>
      <c r="AC87" s="945">
        <v>0</v>
      </c>
      <c r="AD87" s="945">
        <v>0</v>
      </c>
      <c r="AE87" s="945">
        <v>0</v>
      </c>
      <c r="AF87" s="945">
        <v>0</v>
      </c>
      <c r="AG87" s="945">
        <v>183</v>
      </c>
      <c r="AH87" s="945">
        <v>0</v>
      </c>
      <c r="AI87" s="945">
        <v>0</v>
      </c>
      <c r="AJ87" s="945">
        <v>0</v>
      </c>
      <c r="AK87" s="945">
        <v>0</v>
      </c>
      <c r="AL87" s="945">
        <v>0</v>
      </c>
      <c r="AM87" s="945">
        <v>0</v>
      </c>
      <c r="AN87" s="945">
        <v>0</v>
      </c>
      <c r="AO87" s="946">
        <v>1265</v>
      </c>
      <c r="AP87" s="947">
        <v>0</v>
      </c>
      <c r="AQ87" s="943">
        <v>0</v>
      </c>
      <c r="AR87" s="948">
        <v>0</v>
      </c>
      <c r="AS87" s="949">
        <v>65</v>
      </c>
      <c r="AT87" s="949">
        <v>0</v>
      </c>
      <c r="AU87" s="949">
        <v>46</v>
      </c>
      <c r="AV87" s="949">
        <v>0</v>
      </c>
      <c r="AW87" s="949">
        <v>162.5</v>
      </c>
      <c r="AX87" s="949">
        <v>0</v>
      </c>
      <c r="AY87" s="949">
        <v>0</v>
      </c>
      <c r="AZ87" s="949">
        <v>120</v>
      </c>
      <c r="BA87" s="949">
        <v>0</v>
      </c>
      <c r="BB87" s="949">
        <v>0</v>
      </c>
      <c r="BC87" s="949">
        <v>0</v>
      </c>
      <c r="BD87" s="949">
        <v>0</v>
      </c>
      <c r="BE87" s="949">
        <v>0</v>
      </c>
      <c r="BF87" s="949">
        <v>0</v>
      </c>
      <c r="BG87" s="949">
        <v>0</v>
      </c>
      <c r="BH87" s="949">
        <v>151</v>
      </c>
      <c r="BI87" s="949">
        <v>0</v>
      </c>
      <c r="BJ87" s="949">
        <v>0</v>
      </c>
      <c r="BK87" s="950">
        <v>0</v>
      </c>
      <c r="BL87" s="951">
        <v>544.5</v>
      </c>
      <c r="BM87" s="935"/>
    </row>
    <row r="88" spans="1:65" s="779" customFormat="1" ht="24.95" hidden="1" customHeight="1">
      <c r="A88" s="962">
        <v>12</v>
      </c>
      <c r="B88" s="961" t="s">
        <v>9</v>
      </c>
      <c r="C88" s="943">
        <v>0</v>
      </c>
      <c r="D88" s="944">
        <v>0</v>
      </c>
      <c r="E88" s="945">
        <v>0</v>
      </c>
      <c r="F88" s="945">
        <v>0</v>
      </c>
      <c r="G88" s="945">
        <v>35.625152923905063</v>
      </c>
      <c r="H88" s="945">
        <v>0</v>
      </c>
      <c r="I88" s="945">
        <v>0</v>
      </c>
      <c r="J88" s="945">
        <v>0</v>
      </c>
      <c r="K88" s="945">
        <v>0</v>
      </c>
      <c r="L88" s="945">
        <v>0</v>
      </c>
      <c r="M88" s="945">
        <v>0</v>
      </c>
      <c r="N88" s="945">
        <v>0</v>
      </c>
      <c r="O88" s="945">
        <v>0</v>
      </c>
      <c r="P88" s="945">
        <v>0</v>
      </c>
      <c r="Q88" s="945">
        <v>53</v>
      </c>
      <c r="R88" s="945">
        <v>0</v>
      </c>
      <c r="S88" s="945">
        <v>0</v>
      </c>
      <c r="T88" s="945">
        <v>0</v>
      </c>
      <c r="U88" s="945">
        <v>0</v>
      </c>
      <c r="V88" s="945">
        <v>0</v>
      </c>
      <c r="W88" s="945">
        <v>0</v>
      </c>
      <c r="X88" s="945">
        <v>0</v>
      </c>
      <c r="Y88" s="945">
        <v>0</v>
      </c>
      <c r="Z88" s="945">
        <v>0</v>
      </c>
      <c r="AA88" s="945">
        <v>0</v>
      </c>
      <c r="AB88" s="945">
        <v>0</v>
      </c>
      <c r="AC88" s="945">
        <v>0</v>
      </c>
      <c r="AD88" s="945">
        <v>0</v>
      </c>
      <c r="AE88" s="945">
        <v>0</v>
      </c>
      <c r="AF88" s="945">
        <v>0</v>
      </c>
      <c r="AG88" s="945">
        <v>0</v>
      </c>
      <c r="AH88" s="945">
        <v>0</v>
      </c>
      <c r="AI88" s="945">
        <v>0</v>
      </c>
      <c r="AJ88" s="945">
        <v>0</v>
      </c>
      <c r="AK88" s="945">
        <v>0</v>
      </c>
      <c r="AL88" s="945">
        <v>0</v>
      </c>
      <c r="AM88" s="945">
        <v>0</v>
      </c>
      <c r="AN88" s="945">
        <v>0</v>
      </c>
      <c r="AO88" s="946">
        <v>88.625152923905063</v>
      </c>
      <c r="AP88" s="947">
        <v>0</v>
      </c>
      <c r="AQ88" s="943">
        <v>0</v>
      </c>
      <c r="AR88" s="948">
        <v>0</v>
      </c>
      <c r="AS88" s="949">
        <v>0</v>
      </c>
      <c r="AT88" s="949">
        <v>0</v>
      </c>
      <c r="AU88" s="949">
        <v>13</v>
      </c>
      <c r="AV88" s="949">
        <v>0</v>
      </c>
      <c r="AW88" s="949">
        <v>0</v>
      </c>
      <c r="AX88" s="949">
        <v>0</v>
      </c>
      <c r="AY88" s="949">
        <v>0</v>
      </c>
      <c r="AZ88" s="949">
        <v>14</v>
      </c>
      <c r="BA88" s="949">
        <v>0</v>
      </c>
      <c r="BB88" s="949">
        <v>0</v>
      </c>
      <c r="BC88" s="949">
        <v>0</v>
      </c>
      <c r="BD88" s="949">
        <v>0</v>
      </c>
      <c r="BE88" s="949">
        <v>0</v>
      </c>
      <c r="BF88" s="949">
        <v>0</v>
      </c>
      <c r="BG88" s="949">
        <v>0</v>
      </c>
      <c r="BH88" s="949">
        <v>0</v>
      </c>
      <c r="BI88" s="949">
        <v>0</v>
      </c>
      <c r="BJ88" s="949">
        <v>0</v>
      </c>
      <c r="BK88" s="950">
        <v>0</v>
      </c>
      <c r="BL88" s="951">
        <v>27</v>
      </c>
      <c r="BM88" s="935"/>
    </row>
    <row r="89" spans="1:65" s="779" customFormat="1" ht="24.95" hidden="1" customHeight="1">
      <c r="A89" s="918"/>
      <c r="B89" s="954" t="s">
        <v>10</v>
      </c>
      <c r="C89" s="963"/>
      <c r="D89" s="964"/>
      <c r="E89" s="965"/>
      <c r="F89" s="965"/>
      <c r="G89" s="965"/>
      <c r="H89" s="965"/>
      <c r="I89" s="965"/>
      <c r="J89" s="965"/>
      <c r="K89" s="965"/>
      <c r="L89" s="965"/>
      <c r="M89" s="965"/>
      <c r="N89" s="965"/>
      <c r="O89" s="965"/>
      <c r="P89" s="965"/>
      <c r="Q89" s="965"/>
      <c r="R89" s="965"/>
      <c r="S89" s="965"/>
      <c r="T89" s="965"/>
      <c r="U89" s="965"/>
      <c r="V89" s="965"/>
      <c r="W89" s="965"/>
      <c r="X89" s="965"/>
      <c r="Y89" s="965"/>
      <c r="Z89" s="965"/>
      <c r="AA89" s="965"/>
      <c r="AB89" s="965"/>
      <c r="AC89" s="965"/>
      <c r="AD89" s="965"/>
      <c r="AE89" s="965"/>
      <c r="AF89" s="965"/>
      <c r="AG89" s="965"/>
      <c r="AH89" s="965"/>
      <c r="AI89" s="965"/>
      <c r="AJ89" s="965"/>
      <c r="AK89" s="965"/>
      <c r="AL89" s="965"/>
      <c r="AM89" s="965"/>
      <c r="AN89" s="965"/>
      <c r="AO89" s="965"/>
      <c r="AP89" s="964"/>
      <c r="AQ89" s="963"/>
      <c r="AR89" s="966"/>
      <c r="AS89" s="925"/>
      <c r="AT89" s="925"/>
      <c r="AU89" s="925"/>
      <c r="AV89" s="925"/>
      <c r="AW89" s="925"/>
      <c r="AX89" s="925"/>
      <c r="AY89" s="925"/>
      <c r="AZ89" s="925"/>
      <c r="BA89" s="925"/>
      <c r="BB89" s="925"/>
      <c r="BC89" s="925"/>
      <c r="BD89" s="925"/>
      <c r="BE89" s="925"/>
      <c r="BF89" s="925"/>
      <c r="BG89" s="925"/>
      <c r="BH89" s="925"/>
      <c r="BI89" s="925"/>
      <c r="BJ89" s="925"/>
      <c r="BK89" s="847"/>
      <c r="BL89" s="934"/>
      <c r="BM89" s="935"/>
    </row>
    <row r="90" spans="1:65" s="779" customFormat="1" ht="24.95" hidden="1" customHeight="1">
      <c r="A90" s="941">
        <v>13</v>
      </c>
      <c r="B90" s="961" t="s">
        <v>33</v>
      </c>
      <c r="C90" s="943">
        <v>404.5</v>
      </c>
      <c r="D90" s="944">
        <v>0</v>
      </c>
      <c r="E90" s="945">
        <v>0</v>
      </c>
      <c r="F90" s="945">
        <v>0</v>
      </c>
      <c r="G90" s="945">
        <v>236.17787827397777</v>
      </c>
      <c r="H90" s="945">
        <v>0.85</v>
      </c>
      <c r="I90" s="945">
        <v>0</v>
      </c>
      <c r="J90" s="945">
        <v>0</v>
      </c>
      <c r="K90" s="945">
        <v>368</v>
      </c>
      <c r="L90" s="945">
        <v>0</v>
      </c>
      <c r="M90" s="945">
        <v>0</v>
      </c>
      <c r="N90" s="945">
        <v>0</v>
      </c>
      <c r="O90" s="945">
        <v>0</v>
      </c>
      <c r="P90" s="945">
        <v>0</v>
      </c>
      <c r="Q90" s="945">
        <v>510</v>
      </c>
      <c r="R90" s="945">
        <v>3.2430000000000003</v>
      </c>
      <c r="S90" s="945">
        <v>0</v>
      </c>
      <c r="T90" s="945">
        <v>0</v>
      </c>
      <c r="U90" s="945">
        <v>0</v>
      </c>
      <c r="V90" s="945">
        <v>0</v>
      </c>
      <c r="W90" s="945">
        <v>0</v>
      </c>
      <c r="X90" s="945">
        <v>0</v>
      </c>
      <c r="Y90" s="945">
        <v>0</v>
      </c>
      <c r="Z90" s="945">
        <v>0</v>
      </c>
      <c r="AA90" s="945">
        <v>0</v>
      </c>
      <c r="AB90" s="945">
        <v>0</v>
      </c>
      <c r="AC90" s="945">
        <v>0</v>
      </c>
      <c r="AD90" s="945">
        <v>0</v>
      </c>
      <c r="AE90" s="945">
        <v>0</v>
      </c>
      <c r="AF90" s="945">
        <v>0</v>
      </c>
      <c r="AG90" s="945">
        <v>0</v>
      </c>
      <c r="AH90" s="945">
        <v>0</v>
      </c>
      <c r="AI90" s="945">
        <v>165.5</v>
      </c>
      <c r="AJ90" s="945">
        <v>0</v>
      </c>
      <c r="AK90" s="945">
        <v>565.5</v>
      </c>
      <c r="AL90" s="945">
        <v>0.6</v>
      </c>
      <c r="AM90" s="945">
        <v>279</v>
      </c>
      <c r="AN90" s="945">
        <v>0</v>
      </c>
      <c r="AO90" s="946">
        <v>2528.6778782739775</v>
      </c>
      <c r="AP90" s="947">
        <v>4.6929999999999996</v>
      </c>
      <c r="AQ90" s="943">
        <v>0</v>
      </c>
      <c r="AR90" s="948">
        <v>0</v>
      </c>
      <c r="AS90" s="949">
        <v>12</v>
      </c>
      <c r="AT90" s="949">
        <v>0</v>
      </c>
      <c r="AU90" s="949">
        <v>21</v>
      </c>
      <c r="AV90" s="949">
        <v>0</v>
      </c>
      <c r="AW90" s="949">
        <v>0</v>
      </c>
      <c r="AX90" s="949">
        <v>0</v>
      </c>
      <c r="AY90" s="949">
        <v>0</v>
      </c>
      <c r="AZ90" s="949">
        <v>8</v>
      </c>
      <c r="BA90" s="949">
        <v>0</v>
      </c>
      <c r="BB90" s="949">
        <v>0</v>
      </c>
      <c r="BC90" s="949">
        <v>0</v>
      </c>
      <c r="BD90" s="949">
        <v>0</v>
      </c>
      <c r="BE90" s="949">
        <v>0</v>
      </c>
      <c r="BF90" s="949">
        <v>0</v>
      </c>
      <c r="BG90" s="949">
        <v>0</v>
      </c>
      <c r="BH90" s="949">
        <v>0</v>
      </c>
      <c r="BI90" s="949">
        <v>18</v>
      </c>
      <c r="BJ90" s="949">
        <v>20</v>
      </c>
      <c r="BK90" s="950">
        <v>0</v>
      </c>
      <c r="BL90" s="951">
        <v>79</v>
      </c>
      <c r="BM90" s="935"/>
    </row>
    <row r="91" spans="1:65" s="779" customFormat="1" ht="24.95" hidden="1" customHeight="1">
      <c r="A91" s="941">
        <v>14</v>
      </c>
      <c r="B91" s="961" t="s">
        <v>34</v>
      </c>
      <c r="C91" s="943">
        <v>59.6</v>
      </c>
      <c r="D91" s="944">
        <v>0</v>
      </c>
      <c r="E91" s="945">
        <v>0</v>
      </c>
      <c r="F91" s="945">
        <v>0</v>
      </c>
      <c r="G91" s="945">
        <v>0</v>
      </c>
      <c r="H91" s="945">
        <v>0</v>
      </c>
      <c r="I91" s="945">
        <v>0</v>
      </c>
      <c r="J91" s="945">
        <v>0</v>
      </c>
      <c r="K91" s="945">
        <v>0</v>
      </c>
      <c r="L91" s="945">
        <v>0</v>
      </c>
      <c r="M91" s="945">
        <v>0</v>
      </c>
      <c r="N91" s="945">
        <v>0</v>
      </c>
      <c r="O91" s="945">
        <v>0</v>
      </c>
      <c r="P91" s="945">
        <v>0</v>
      </c>
      <c r="Q91" s="945">
        <v>0</v>
      </c>
      <c r="R91" s="945">
        <v>0</v>
      </c>
      <c r="S91" s="945">
        <v>0</v>
      </c>
      <c r="T91" s="945">
        <v>0</v>
      </c>
      <c r="U91" s="945">
        <v>0</v>
      </c>
      <c r="V91" s="945">
        <v>0</v>
      </c>
      <c r="W91" s="945">
        <v>0</v>
      </c>
      <c r="X91" s="945">
        <v>0</v>
      </c>
      <c r="Y91" s="945">
        <v>0</v>
      </c>
      <c r="Z91" s="945">
        <v>0</v>
      </c>
      <c r="AA91" s="945">
        <v>0</v>
      </c>
      <c r="AB91" s="945">
        <v>0</v>
      </c>
      <c r="AC91" s="945">
        <v>105</v>
      </c>
      <c r="AD91" s="945">
        <v>0</v>
      </c>
      <c r="AE91" s="945">
        <v>0</v>
      </c>
      <c r="AF91" s="945">
        <v>0</v>
      </c>
      <c r="AG91" s="945">
        <v>0</v>
      </c>
      <c r="AH91" s="945">
        <v>0</v>
      </c>
      <c r="AI91" s="945">
        <v>0</v>
      </c>
      <c r="AJ91" s="945">
        <v>0</v>
      </c>
      <c r="AK91" s="945">
        <v>0</v>
      </c>
      <c r="AL91" s="945">
        <v>0</v>
      </c>
      <c r="AM91" s="945">
        <v>0</v>
      </c>
      <c r="AN91" s="945">
        <v>0</v>
      </c>
      <c r="AO91" s="967">
        <v>164.6</v>
      </c>
      <c r="AP91" s="947">
        <v>0</v>
      </c>
      <c r="AQ91" s="943">
        <v>0</v>
      </c>
      <c r="AR91" s="948">
        <v>0</v>
      </c>
      <c r="AS91" s="949">
        <v>1</v>
      </c>
      <c r="AT91" s="949">
        <v>0</v>
      </c>
      <c r="AU91" s="949">
        <v>0</v>
      </c>
      <c r="AV91" s="949">
        <v>0</v>
      </c>
      <c r="AW91" s="949">
        <v>0</v>
      </c>
      <c r="AX91" s="949">
        <v>0</v>
      </c>
      <c r="AY91" s="949">
        <v>0</v>
      </c>
      <c r="AZ91" s="949">
        <v>0</v>
      </c>
      <c r="BA91" s="949">
        <v>0</v>
      </c>
      <c r="BB91" s="949">
        <v>0</v>
      </c>
      <c r="BC91" s="949">
        <v>0</v>
      </c>
      <c r="BD91" s="949">
        <v>0</v>
      </c>
      <c r="BE91" s="949">
        <v>0</v>
      </c>
      <c r="BF91" s="949">
        <v>2</v>
      </c>
      <c r="BG91" s="949">
        <v>0</v>
      </c>
      <c r="BH91" s="949">
        <v>0</v>
      </c>
      <c r="BI91" s="949">
        <v>0</v>
      </c>
      <c r="BJ91" s="949">
        <v>0</v>
      </c>
      <c r="BK91" s="950">
        <v>0</v>
      </c>
      <c r="BL91" s="951">
        <v>3</v>
      </c>
      <c r="BM91" s="935"/>
    </row>
    <row r="92" spans="1:65" s="779" customFormat="1" ht="24.95" hidden="1" customHeight="1">
      <c r="A92" s="941">
        <v>15</v>
      </c>
      <c r="B92" s="961" t="s">
        <v>35</v>
      </c>
      <c r="C92" s="943">
        <v>0</v>
      </c>
      <c r="D92" s="944">
        <v>0</v>
      </c>
      <c r="E92" s="945">
        <v>0</v>
      </c>
      <c r="F92" s="945">
        <v>0</v>
      </c>
      <c r="G92" s="945">
        <v>0</v>
      </c>
      <c r="H92" s="945">
        <v>0</v>
      </c>
      <c r="I92" s="945">
        <v>0</v>
      </c>
      <c r="J92" s="945">
        <v>0</v>
      </c>
      <c r="K92" s="945">
        <v>379</v>
      </c>
      <c r="L92" s="945">
        <v>0</v>
      </c>
      <c r="M92" s="945">
        <v>0</v>
      </c>
      <c r="N92" s="945">
        <v>0</v>
      </c>
      <c r="O92" s="945">
        <v>0</v>
      </c>
      <c r="P92" s="945">
        <v>0</v>
      </c>
      <c r="Q92" s="945">
        <v>0</v>
      </c>
      <c r="R92" s="945">
        <v>0</v>
      </c>
      <c r="S92" s="945">
        <v>0</v>
      </c>
      <c r="T92" s="945">
        <v>0</v>
      </c>
      <c r="U92" s="945">
        <v>0</v>
      </c>
      <c r="V92" s="945">
        <v>0</v>
      </c>
      <c r="W92" s="945">
        <v>0</v>
      </c>
      <c r="X92" s="945">
        <v>0</v>
      </c>
      <c r="Y92" s="945">
        <v>0</v>
      </c>
      <c r="Z92" s="945">
        <v>0</v>
      </c>
      <c r="AA92" s="945">
        <v>0</v>
      </c>
      <c r="AB92" s="945">
        <v>0</v>
      </c>
      <c r="AC92" s="945">
        <v>0</v>
      </c>
      <c r="AD92" s="945">
        <v>0</v>
      </c>
      <c r="AE92" s="945">
        <v>0</v>
      </c>
      <c r="AF92" s="945">
        <v>0</v>
      </c>
      <c r="AG92" s="945">
        <v>0</v>
      </c>
      <c r="AH92" s="945">
        <v>0</v>
      </c>
      <c r="AI92" s="945">
        <v>0</v>
      </c>
      <c r="AJ92" s="945">
        <v>0</v>
      </c>
      <c r="AK92" s="945">
        <v>0</v>
      </c>
      <c r="AL92" s="945">
        <v>0</v>
      </c>
      <c r="AM92" s="945">
        <v>0</v>
      </c>
      <c r="AN92" s="945">
        <v>0</v>
      </c>
      <c r="AO92" s="946">
        <v>379</v>
      </c>
      <c r="AP92" s="947">
        <v>0</v>
      </c>
      <c r="AQ92" s="943">
        <v>0</v>
      </c>
      <c r="AR92" s="948">
        <v>0</v>
      </c>
      <c r="AS92" s="949">
        <v>0</v>
      </c>
      <c r="AT92" s="949">
        <v>0</v>
      </c>
      <c r="AU92" s="949">
        <v>0</v>
      </c>
      <c r="AV92" s="949">
        <v>0</v>
      </c>
      <c r="AW92" s="949">
        <v>3</v>
      </c>
      <c r="AX92" s="949">
        <v>0</v>
      </c>
      <c r="AY92" s="949">
        <v>0</v>
      </c>
      <c r="AZ92" s="949">
        <v>0</v>
      </c>
      <c r="BA92" s="949">
        <v>0</v>
      </c>
      <c r="BB92" s="949">
        <v>0</v>
      </c>
      <c r="BC92" s="949">
        <v>0</v>
      </c>
      <c r="BD92" s="949">
        <v>0</v>
      </c>
      <c r="BE92" s="949">
        <v>0</v>
      </c>
      <c r="BF92" s="949">
        <v>0</v>
      </c>
      <c r="BG92" s="949">
        <v>0</v>
      </c>
      <c r="BH92" s="949">
        <v>0</v>
      </c>
      <c r="BI92" s="949">
        <v>0</v>
      </c>
      <c r="BJ92" s="949">
        <v>0</v>
      </c>
      <c r="BK92" s="950">
        <v>0</v>
      </c>
      <c r="BL92" s="951">
        <v>3</v>
      </c>
      <c r="BM92" s="935"/>
    </row>
    <row r="93" spans="1:65" s="779" customFormat="1" ht="24.95" hidden="1" customHeight="1">
      <c r="A93" s="941">
        <v>16</v>
      </c>
      <c r="B93" s="961" t="s">
        <v>36</v>
      </c>
      <c r="C93" s="943">
        <v>0</v>
      </c>
      <c r="D93" s="944">
        <v>0</v>
      </c>
      <c r="E93" s="945">
        <v>0</v>
      </c>
      <c r="F93" s="945">
        <v>0</v>
      </c>
      <c r="G93" s="945">
        <v>0</v>
      </c>
      <c r="H93" s="945">
        <v>0</v>
      </c>
      <c r="I93" s="945">
        <v>0</v>
      </c>
      <c r="J93" s="945">
        <v>0</v>
      </c>
      <c r="K93" s="945">
        <v>0</v>
      </c>
      <c r="L93" s="945">
        <v>0</v>
      </c>
      <c r="M93" s="945">
        <v>0</v>
      </c>
      <c r="N93" s="945">
        <v>0</v>
      </c>
      <c r="O93" s="945">
        <v>0</v>
      </c>
      <c r="P93" s="945">
        <v>0</v>
      </c>
      <c r="Q93" s="945">
        <v>87</v>
      </c>
      <c r="R93" s="945">
        <v>2.4</v>
      </c>
      <c r="S93" s="945">
        <v>0</v>
      </c>
      <c r="T93" s="945">
        <v>0</v>
      </c>
      <c r="U93" s="945">
        <v>0</v>
      </c>
      <c r="V93" s="945">
        <v>0</v>
      </c>
      <c r="W93" s="945">
        <v>0</v>
      </c>
      <c r="X93" s="945">
        <v>0</v>
      </c>
      <c r="Y93" s="945">
        <v>0</v>
      </c>
      <c r="Z93" s="945">
        <v>0</v>
      </c>
      <c r="AA93" s="945">
        <v>0</v>
      </c>
      <c r="AB93" s="945">
        <v>0</v>
      </c>
      <c r="AC93" s="945">
        <v>0</v>
      </c>
      <c r="AD93" s="945">
        <v>0</v>
      </c>
      <c r="AE93" s="945">
        <v>0</v>
      </c>
      <c r="AF93" s="945">
        <v>0</v>
      </c>
      <c r="AG93" s="945">
        <v>0</v>
      </c>
      <c r="AH93" s="945">
        <v>0</v>
      </c>
      <c r="AI93" s="945">
        <v>0</v>
      </c>
      <c r="AJ93" s="945">
        <v>0</v>
      </c>
      <c r="AK93" s="945">
        <v>0</v>
      </c>
      <c r="AL93" s="945">
        <v>0</v>
      </c>
      <c r="AM93" s="945">
        <v>0</v>
      </c>
      <c r="AN93" s="945">
        <v>0</v>
      </c>
      <c r="AO93" s="967">
        <v>87</v>
      </c>
      <c r="AP93" s="947">
        <v>2.4</v>
      </c>
      <c r="AQ93" s="943">
        <v>0</v>
      </c>
      <c r="AR93" s="948">
        <v>0</v>
      </c>
      <c r="AS93" s="949">
        <v>0</v>
      </c>
      <c r="AT93" s="949">
        <v>0</v>
      </c>
      <c r="AU93" s="949">
        <v>0</v>
      </c>
      <c r="AV93" s="949">
        <v>0</v>
      </c>
      <c r="AW93" s="949">
        <v>0</v>
      </c>
      <c r="AX93" s="949">
        <v>0</v>
      </c>
      <c r="AY93" s="949">
        <v>0</v>
      </c>
      <c r="AZ93" s="949">
        <v>0</v>
      </c>
      <c r="BA93" s="949">
        <v>0</v>
      </c>
      <c r="BB93" s="949">
        <v>0</v>
      </c>
      <c r="BC93" s="949">
        <v>0</v>
      </c>
      <c r="BD93" s="949">
        <v>0</v>
      </c>
      <c r="BE93" s="949">
        <v>0</v>
      </c>
      <c r="BF93" s="949">
        <v>0</v>
      </c>
      <c r="BG93" s="949">
        <v>0</v>
      </c>
      <c r="BH93" s="949">
        <v>0</v>
      </c>
      <c r="BI93" s="949">
        <v>0</v>
      </c>
      <c r="BJ93" s="949">
        <v>0</v>
      </c>
      <c r="BK93" s="950">
        <v>0</v>
      </c>
      <c r="BL93" s="951">
        <v>0</v>
      </c>
      <c r="BM93" s="935"/>
    </row>
    <row r="94" spans="1:65" s="779" customFormat="1" ht="24.95" hidden="1" customHeight="1">
      <c r="A94" s="941">
        <v>17</v>
      </c>
      <c r="B94" s="961" t="s">
        <v>159</v>
      </c>
      <c r="C94" s="943">
        <v>0</v>
      </c>
      <c r="D94" s="944">
        <v>0</v>
      </c>
      <c r="E94" s="945">
        <v>0</v>
      </c>
      <c r="F94" s="945">
        <v>0</v>
      </c>
      <c r="G94" s="945">
        <v>0</v>
      </c>
      <c r="H94" s="945">
        <v>0</v>
      </c>
      <c r="I94" s="945">
        <v>0</v>
      </c>
      <c r="J94" s="945">
        <v>0</v>
      </c>
      <c r="K94" s="945">
        <v>0</v>
      </c>
      <c r="L94" s="945">
        <v>0</v>
      </c>
      <c r="M94" s="945">
        <v>0</v>
      </c>
      <c r="N94" s="945">
        <v>0</v>
      </c>
      <c r="O94" s="945">
        <v>0</v>
      </c>
      <c r="P94" s="945">
        <v>0</v>
      </c>
      <c r="Q94" s="945">
        <v>0</v>
      </c>
      <c r="R94" s="945">
        <v>0</v>
      </c>
      <c r="S94" s="945">
        <v>0</v>
      </c>
      <c r="T94" s="945">
        <v>0</v>
      </c>
      <c r="U94" s="945">
        <v>0</v>
      </c>
      <c r="V94" s="945">
        <v>0</v>
      </c>
      <c r="W94" s="945">
        <v>0</v>
      </c>
      <c r="X94" s="945">
        <v>0</v>
      </c>
      <c r="Y94" s="945">
        <v>0</v>
      </c>
      <c r="Z94" s="945">
        <v>0</v>
      </c>
      <c r="AA94" s="945">
        <v>0</v>
      </c>
      <c r="AB94" s="945">
        <v>0</v>
      </c>
      <c r="AC94" s="945">
        <v>0</v>
      </c>
      <c r="AD94" s="945">
        <v>0</v>
      </c>
      <c r="AE94" s="945">
        <v>0</v>
      </c>
      <c r="AF94" s="945">
        <v>0</v>
      </c>
      <c r="AG94" s="945">
        <v>0</v>
      </c>
      <c r="AH94" s="945">
        <v>0</v>
      </c>
      <c r="AI94" s="945">
        <v>34</v>
      </c>
      <c r="AJ94" s="945">
        <v>0</v>
      </c>
      <c r="AK94" s="945">
        <v>0</v>
      </c>
      <c r="AL94" s="945">
        <v>0</v>
      </c>
      <c r="AM94" s="945">
        <v>0</v>
      </c>
      <c r="AN94" s="945">
        <v>0</v>
      </c>
      <c r="AO94" s="967">
        <v>34</v>
      </c>
      <c r="AP94" s="947">
        <v>0</v>
      </c>
      <c r="AQ94" s="943">
        <v>0</v>
      </c>
      <c r="AR94" s="948">
        <v>0</v>
      </c>
      <c r="AS94" s="949">
        <v>0</v>
      </c>
      <c r="AT94" s="949">
        <v>0</v>
      </c>
      <c r="AU94" s="949">
        <v>0</v>
      </c>
      <c r="AV94" s="949">
        <v>0</v>
      </c>
      <c r="AW94" s="949">
        <v>0</v>
      </c>
      <c r="AX94" s="949">
        <v>0</v>
      </c>
      <c r="AY94" s="949">
        <v>0</v>
      </c>
      <c r="AZ94" s="949">
        <v>0</v>
      </c>
      <c r="BA94" s="949">
        <v>0</v>
      </c>
      <c r="BB94" s="949">
        <v>0</v>
      </c>
      <c r="BC94" s="949">
        <v>0</v>
      </c>
      <c r="BD94" s="949">
        <v>0</v>
      </c>
      <c r="BE94" s="949">
        <v>0</v>
      </c>
      <c r="BF94" s="949">
        <v>0</v>
      </c>
      <c r="BG94" s="949">
        <v>0</v>
      </c>
      <c r="BH94" s="949">
        <v>0</v>
      </c>
      <c r="BI94" s="949">
        <v>0</v>
      </c>
      <c r="BJ94" s="949">
        <v>0</v>
      </c>
      <c r="BK94" s="950">
        <v>0</v>
      </c>
      <c r="BL94" s="951">
        <v>0</v>
      </c>
      <c r="BM94" s="935"/>
    </row>
    <row r="95" spans="1:65" s="779" customFormat="1" ht="24.95" hidden="1" customHeight="1">
      <c r="A95" s="941">
        <v>18</v>
      </c>
      <c r="B95" s="961" t="s">
        <v>159</v>
      </c>
      <c r="C95" s="943">
        <v>0</v>
      </c>
      <c r="D95" s="944">
        <v>0</v>
      </c>
      <c r="E95" s="945">
        <v>0</v>
      </c>
      <c r="F95" s="945">
        <v>0</v>
      </c>
      <c r="G95" s="945">
        <v>0</v>
      </c>
      <c r="H95" s="945">
        <v>0</v>
      </c>
      <c r="I95" s="945">
        <v>0</v>
      </c>
      <c r="J95" s="945">
        <v>0</v>
      </c>
      <c r="K95" s="945">
        <v>0</v>
      </c>
      <c r="L95" s="945">
        <v>0</v>
      </c>
      <c r="M95" s="945">
        <v>0</v>
      </c>
      <c r="N95" s="945">
        <v>0</v>
      </c>
      <c r="O95" s="945">
        <v>0</v>
      </c>
      <c r="P95" s="945">
        <v>0</v>
      </c>
      <c r="Q95" s="945">
        <v>0</v>
      </c>
      <c r="R95" s="945">
        <v>0</v>
      </c>
      <c r="S95" s="945">
        <v>0</v>
      </c>
      <c r="T95" s="945">
        <v>0</v>
      </c>
      <c r="U95" s="945">
        <v>0</v>
      </c>
      <c r="V95" s="945">
        <v>0</v>
      </c>
      <c r="W95" s="945">
        <v>0</v>
      </c>
      <c r="X95" s="945">
        <v>0</v>
      </c>
      <c r="Y95" s="945">
        <v>0</v>
      </c>
      <c r="Z95" s="945">
        <v>0</v>
      </c>
      <c r="AA95" s="945">
        <v>0</v>
      </c>
      <c r="AB95" s="945">
        <v>0</v>
      </c>
      <c r="AC95" s="945">
        <v>0</v>
      </c>
      <c r="AD95" s="945">
        <v>0</v>
      </c>
      <c r="AE95" s="945">
        <v>0</v>
      </c>
      <c r="AF95" s="945">
        <v>0</v>
      </c>
      <c r="AG95" s="945">
        <v>0</v>
      </c>
      <c r="AH95" s="945">
        <v>0</v>
      </c>
      <c r="AI95" s="945">
        <v>18</v>
      </c>
      <c r="AJ95" s="945">
        <v>0</v>
      </c>
      <c r="AK95" s="945">
        <v>0</v>
      </c>
      <c r="AL95" s="945">
        <v>0</v>
      </c>
      <c r="AM95" s="945">
        <v>0</v>
      </c>
      <c r="AN95" s="945">
        <v>0</v>
      </c>
      <c r="AO95" s="967">
        <v>18</v>
      </c>
      <c r="AP95" s="947">
        <v>0</v>
      </c>
      <c r="AQ95" s="943">
        <v>0</v>
      </c>
      <c r="AR95" s="948">
        <v>0</v>
      </c>
      <c r="AS95" s="949">
        <v>0</v>
      </c>
      <c r="AT95" s="949">
        <v>0</v>
      </c>
      <c r="AU95" s="949">
        <v>0</v>
      </c>
      <c r="AV95" s="949">
        <v>0</v>
      </c>
      <c r="AW95" s="949">
        <v>0</v>
      </c>
      <c r="AX95" s="949">
        <v>0</v>
      </c>
      <c r="AY95" s="949">
        <v>0</v>
      </c>
      <c r="AZ95" s="949">
        <v>0</v>
      </c>
      <c r="BA95" s="949">
        <v>0</v>
      </c>
      <c r="BB95" s="949">
        <v>0</v>
      </c>
      <c r="BC95" s="949">
        <v>0</v>
      </c>
      <c r="BD95" s="949">
        <v>0</v>
      </c>
      <c r="BE95" s="949">
        <v>0</v>
      </c>
      <c r="BF95" s="949">
        <v>0</v>
      </c>
      <c r="BG95" s="949">
        <v>0</v>
      </c>
      <c r="BH95" s="949">
        <v>0</v>
      </c>
      <c r="BI95" s="949">
        <v>0</v>
      </c>
      <c r="BJ95" s="949">
        <v>0</v>
      </c>
      <c r="BK95" s="950">
        <v>0</v>
      </c>
      <c r="BL95" s="951">
        <v>0</v>
      </c>
      <c r="BM95" s="935"/>
    </row>
    <row r="96" spans="1:65" s="779" customFormat="1" ht="24.95" hidden="1" customHeight="1">
      <c r="A96" s="968"/>
      <c r="B96" s="954" t="s">
        <v>28</v>
      </c>
      <c r="C96" s="929"/>
      <c r="D96" s="930"/>
      <c r="E96" s="931"/>
      <c r="F96" s="931"/>
      <c r="G96" s="931"/>
      <c r="H96" s="931"/>
      <c r="I96" s="931"/>
      <c r="J96" s="931"/>
      <c r="K96" s="931"/>
      <c r="L96" s="931"/>
      <c r="M96" s="931"/>
      <c r="N96" s="931"/>
      <c r="O96" s="931"/>
      <c r="P96" s="931"/>
      <c r="Q96" s="931"/>
      <c r="R96" s="931"/>
      <c r="S96" s="931"/>
      <c r="T96" s="931"/>
      <c r="U96" s="931"/>
      <c r="V96" s="931"/>
      <c r="W96" s="931"/>
      <c r="X96" s="931"/>
      <c r="Y96" s="931"/>
      <c r="Z96" s="931"/>
      <c r="AA96" s="931"/>
      <c r="AB96" s="931"/>
      <c r="AC96" s="931"/>
      <c r="AD96" s="931"/>
      <c r="AE96" s="931"/>
      <c r="AF96" s="931"/>
      <c r="AG96" s="931"/>
      <c r="AH96" s="931"/>
      <c r="AI96" s="931"/>
      <c r="AJ96" s="931"/>
      <c r="AK96" s="931"/>
      <c r="AL96" s="931"/>
      <c r="AM96" s="931"/>
      <c r="AN96" s="931"/>
      <c r="AO96" s="931"/>
      <c r="AP96" s="930"/>
      <c r="AQ96" s="929"/>
      <c r="AR96" s="933"/>
      <c r="AS96" s="857"/>
      <c r="AT96" s="857"/>
      <c r="AU96" s="857"/>
      <c r="AV96" s="857"/>
      <c r="AW96" s="857"/>
      <c r="AX96" s="857"/>
      <c r="AY96" s="857"/>
      <c r="AZ96" s="857"/>
      <c r="BA96" s="857"/>
      <c r="BB96" s="857"/>
      <c r="BC96" s="857"/>
      <c r="BD96" s="857"/>
      <c r="BE96" s="857"/>
      <c r="BF96" s="857"/>
      <c r="BG96" s="857"/>
      <c r="BH96" s="857"/>
      <c r="BI96" s="857"/>
      <c r="BJ96" s="857"/>
      <c r="BK96" s="959"/>
      <c r="BL96" s="934"/>
      <c r="BM96" s="960"/>
    </row>
    <row r="97" spans="1:258" s="779" customFormat="1" ht="24.95" hidden="1" customHeight="1">
      <c r="A97" s="941">
        <v>19</v>
      </c>
      <c r="B97" s="961" t="s">
        <v>287</v>
      </c>
      <c r="C97" s="943">
        <v>0</v>
      </c>
      <c r="D97" s="944">
        <v>0</v>
      </c>
      <c r="E97" s="945">
        <v>0</v>
      </c>
      <c r="F97" s="945">
        <v>0</v>
      </c>
      <c r="G97" s="945">
        <v>1147.8604339912938</v>
      </c>
      <c r="H97" s="945">
        <v>0</v>
      </c>
      <c r="I97" s="945">
        <v>1505</v>
      </c>
      <c r="J97" s="945">
        <v>0</v>
      </c>
      <c r="K97" s="945">
        <v>0</v>
      </c>
      <c r="L97" s="945">
        <v>0</v>
      </c>
      <c r="M97" s="945">
        <v>1533.66</v>
      </c>
      <c r="N97" s="945">
        <v>13.98</v>
      </c>
      <c r="O97" s="945">
        <v>0</v>
      </c>
      <c r="P97" s="945">
        <v>0</v>
      </c>
      <c r="Q97" s="945">
        <v>0</v>
      </c>
      <c r="R97" s="945">
        <v>0</v>
      </c>
      <c r="S97" s="945">
        <v>0</v>
      </c>
      <c r="T97" s="945">
        <v>0</v>
      </c>
      <c r="U97" s="945">
        <v>118.5</v>
      </c>
      <c r="V97" s="945">
        <v>0</v>
      </c>
      <c r="W97" s="945">
        <v>0</v>
      </c>
      <c r="X97" s="945">
        <v>0</v>
      </c>
      <c r="Y97" s="945">
        <v>0</v>
      </c>
      <c r="Z97" s="945">
        <v>0</v>
      </c>
      <c r="AA97" s="945">
        <v>913.5</v>
      </c>
      <c r="AB97" s="945">
        <v>0</v>
      </c>
      <c r="AC97" s="945">
        <v>0</v>
      </c>
      <c r="AD97" s="945">
        <v>0</v>
      </c>
      <c r="AE97" s="945">
        <v>0</v>
      </c>
      <c r="AF97" s="945">
        <v>0</v>
      </c>
      <c r="AG97" s="945">
        <v>0</v>
      </c>
      <c r="AH97" s="945">
        <v>0</v>
      </c>
      <c r="AI97" s="945">
        <v>788.32</v>
      </c>
      <c r="AJ97" s="945">
        <v>0</v>
      </c>
      <c r="AK97" s="945">
        <v>0</v>
      </c>
      <c r="AL97" s="945">
        <v>0</v>
      </c>
      <c r="AM97" s="945">
        <v>2062</v>
      </c>
      <c r="AN97" s="945">
        <v>0</v>
      </c>
      <c r="AO97" s="946">
        <v>8068.8404339912931</v>
      </c>
      <c r="AP97" s="947">
        <v>13.98</v>
      </c>
      <c r="AQ97" s="943">
        <v>0</v>
      </c>
      <c r="AR97" s="948">
        <v>0</v>
      </c>
      <c r="AS97" s="949">
        <v>0</v>
      </c>
      <c r="AT97" s="949">
        <v>0</v>
      </c>
      <c r="AU97" s="949">
        <v>55</v>
      </c>
      <c r="AV97" s="949">
        <v>67</v>
      </c>
      <c r="AW97" s="949">
        <v>0</v>
      </c>
      <c r="AX97" s="949">
        <v>12</v>
      </c>
      <c r="AY97" s="949">
        <v>0</v>
      </c>
      <c r="AZ97" s="949">
        <v>0</v>
      </c>
      <c r="BA97" s="949">
        <v>0</v>
      </c>
      <c r="BB97" s="949">
        <v>1</v>
      </c>
      <c r="BC97" s="949">
        <v>0</v>
      </c>
      <c r="BD97" s="949">
        <v>0</v>
      </c>
      <c r="BE97" s="949">
        <v>4</v>
      </c>
      <c r="BF97" s="949">
        <v>0</v>
      </c>
      <c r="BG97" s="949">
        <v>0</v>
      </c>
      <c r="BH97" s="949">
        <v>0</v>
      </c>
      <c r="BI97" s="949">
        <v>33</v>
      </c>
      <c r="BJ97" s="949">
        <v>0</v>
      </c>
      <c r="BK97" s="950">
        <v>16</v>
      </c>
      <c r="BL97" s="951">
        <v>188</v>
      </c>
      <c r="BM97" s="935"/>
    </row>
    <row r="98" spans="1:258" s="779" customFormat="1" ht="24.95" hidden="1" customHeight="1">
      <c r="A98" s="941">
        <v>20</v>
      </c>
      <c r="B98" s="961" t="s">
        <v>288</v>
      </c>
      <c r="C98" s="943">
        <v>0</v>
      </c>
      <c r="D98" s="944">
        <v>0</v>
      </c>
      <c r="E98" s="945">
        <v>117</v>
      </c>
      <c r="F98" s="945">
        <v>2.2999999999999998</v>
      </c>
      <c r="G98" s="945">
        <v>0</v>
      </c>
      <c r="H98" s="945">
        <v>0</v>
      </c>
      <c r="I98" s="945">
        <v>0</v>
      </c>
      <c r="J98" s="945">
        <v>0</v>
      </c>
      <c r="K98" s="945">
        <v>117</v>
      </c>
      <c r="L98" s="945">
        <v>0</v>
      </c>
      <c r="M98" s="945">
        <v>209.43</v>
      </c>
      <c r="N98" s="945">
        <v>0.33</v>
      </c>
      <c r="O98" s="945">
        <v>0</v>
      </c>
      <c r="P98" s="945">
        <v>0</v>
      </c>
      <c r="Q98" s="945">
        <v>162</v>
      </c>
      <c r="R98" s="945">
        <v>0.75</v>
      </c>
      <c r="S98" s="945">
        <v>0</v>
      </c>
      <c r="T98" s="945">
        <v>0</v>
      </c>
      <c r="U98" s="945">
        <v>0</v>
      </c>
      <c r="V98" s="945">
        <v>0</v>
      </c>
      <c r="W98" s="945">
        <v>0</v>
      </c>
      <c r="X98" s="945">
        <v>0</v>
      </c>
      <c r="Y98" s="945">
        <v>140</v>
      </c>
      <c r="Z98" s="945">
        <v>0.64</v>
      </c>
      <c r="AA98" s="945">
        <v>94</v>
      </c>
      <c r="AB98" s="945">
        <v>0</v>
      </c>
      <c r="AC98" s="945">
        <v>0</v>
      </c>
      <c r="AD98" s="945">
        <v>0</v>
      </c>
      <c r="AE98" s="945">
        <v>0</v>
      </c>
      <c r="AF98" s="945">
        <v>0</v>
      </c>
      <c r="AG98" s="945">
        <v>0</v>
      </c>
      <c r="AH98" s="945">
        <v>0</v>
      </c>
      <c r="AI98" s="945">
        <v>0</v>
      </c>
      <c r="AJ98" s="945">
        <v>0</v>
      </c>
      <c r="AK98" s="945">
        <v>0</v>
      </c>
      <c r="AL98" s="945">
        <v>0</v>
      </c>
      <c r="AM98" s="945">
        <v>0</v>
      </c>
      <c r="AN98" s="945">
        <v>0</v>
      </c>
      <c r="AO98" s="946">
        <v>839.43000000000006</v>
      </c>
      <c r="AP98" s="947">
        <v>4.0199999999999996</v>
      </c>
      <c r="AQ98" s="943">
        <v>0</v>
      </c>
      <c r="AR98" s="948">
        <v>0</v>
      </c>
      <c r="AS98" s="949">
        <v>0</v>
      </c>
      <c r="AT98" s="949">
        <v>1</v>
      </c>
      <c r="AU98" s="949">
        <v>0</v>
      </c>
      <c r="AV98" s="949">
        <v>0</v>
      </c>
      <c r="AW98" s="949">
        <v>10</v>
      </c>
      <c r="AX98" s="949">
        <v>5</v>
      </c>
      <c r="AY98" s="949">
        <v>0</v>
      </c>
      <c r="AZ98" s="949">
        <v>3</v>
      </c>
      <c r="BA98" s="949">
        <v>0</v>
      </c>
      <c r="BB98" s="949">
        <v>0</v>
      </c>
      <c r="BC98" s="949">
        <v>0</v>
      </c>
      <c r="BD98" s="949">
        <v>5</v>
      </c>
      <c r="BE98" s="949">
        <v>1</v>
      </c>
      <c r="BF98" s="949">
        <v>0</v>
      </c>
      <c r="BG98" s="949">
        <v>0</v>
      </c>
      <c r="BH98" s="949">
        <v>0</v>
      </c>
      <c r="BI98" s="949">
        <v>0</v>
      </c>
      <c r="BJ98" s="949">
        <v>0</v>
      </c>
      <c r="BK98" s="950">
        <v>0</v>
      </c>
      <c r="BL98" s="951">
        <v>25</v>
      </c>
      <c r="BM98" s="935"/>
    </row>
    <row r="99" spans="1:258" s="779" customFormat="1" ht="24.95" hidden="1" customHeight="1">
      <c r="A99" s="968"/>
      <c r="B99" s="936" t="s">
        <v>29</v>
      </c>
      <c r="C99" s="1729"/>
      <c r="D99" s="1730"/>
      <c r="E99" s="1731"/>
      <c r="F99" s="1731"/>
      <c r="G99" s="1731"/>
      <c r="H99" s="1731"/>
      <c r="I99" s="1731"/>
      <c r="J99" s="1731"/>
      <c r="K99" s="1731"/>
      <c r="L99" s="1731"/>
      <c r="M99" s="1731"/>
      <c r="N99" s="1731"/>
      <c r="O99" s="1731"/>
      <c r="P99" s="1731"/>
      <c r="Q99" s="1731"/>
      <c r="R99" s="1731"/>
      <c r="S99" s="1731"/>
      <c r="T99" s="1731"/>
      <c r="U99" s="1731"/>
      <c r="V99" s="1731"/>
      <c r="W99" s="1731"/>
      <c r="X99" s="1731"/>
      <c r="Y99" s="1731"/>
      <c r="Z99" s="1731"/>
      <c r="AA99" s="1731"/>
      <c r="AB99" s="1731"/>
      <c r="AC99" s="1731"/>
      <c r="AD99" s="1731"/>
      <c r="AE99" s="1731"/>
      <c r="AF99" s="1731"/>
      <c r="AG99" s="1731"/>
      <c r="AH99" s="1731"/>
      <c r="AI99" s="1731"/>
      <c r="AJ99" s="1731"/>
      <c r="AK99" s="1731"/>
      <c r="AL99" s="1731"/>
      <c r="AM99" s="1731"/>
      <c r="AN99" s="1731"/>
      <c r="AO99" s="1731"/>
      <c r="AP99" s="1730"/>
      <c r="AQ99" s="1729"/>
      <c r="AR99" s="1732"/>
      <c r="AS99" s="925"/>
      <c r="AT99" s="925"/>
      <c r="AU99" s="925"/>
      <c r="AV99" s="925"/>
      <c r="AW99" s="925"/>
      <c r="AX99" s="925"/>
      <c r="AY99" s="925"/>
      <c r="AZ99" s="925"/>
      <c r="BA99" s="925"/>
      <c r="BB99" s="925"/>
      <c r="BC99" s="925"/>
      <c r="BD99" s="925"/>
      <c r="BE99" s="925"/>
      <c r="BF99" s="925"/>
      <c r="BG99" s="925"/>
      <c r="BH99" s="925"/>
      <c r="BI99" s="925"/>
      <c r="BJ99" s="925"/>
      <c r="BK99" s="847"/>
      <c r="BL99" s="934"/>
      <c r="BM99" s="935"/>
    </row>
    <row r="100" spans="1:258" s="969" customFormat="1" ht="24.95" hidden="1" customHeight="1">
      <c r="A100" s="941">
        <v>21</v>
      </c>
      <c r="B100" s="942" t="s">
        <v>160</v>
      </c>
      <c r="C100" s="943">
        <v>21</v>
      </c>
      <c r="D100" s="944">
        <v>0</v>
      </c>
      <c r="E100" s="945">
        <v>0</v>
      </c>
      <c r="F100" s="945">
        <v>0</v>
      </c>
      <c r="G100" s="945">
        <v>10</v>
      </c>
      <c r="H100" s="945">
        <v>0</v>
      </c>
      <c r="I100" s="945">
        <v>0</v>
      </c>
      <c r="J100" s="945">
        <v>0</v>
      </c>
      <c r="K100" s="945">
        <v>0</v>
      </c>
      <c r="L100" s="945">
        <v>0</v>
      </c>
      <c r="M100" s="945">
        <v>0</v>
      </c>
      <c r="N100" s="945">
        <v>0</v>
      </c>
      <c r="O100" s="945">
        <v>0</v>
      </c>
      <c r="P100" s="945">
        <v>0</v>
      </c>
      <c r="Q100" s="945">
        <v>21</v>
      </c>
      <c r="R100" s="945">
        <v>0</v>
      </c>
      <c r="S100" s="945">
        <v>0</v>
      </c>
      <c r="T100" s="945">
        <v>0</v>
      </c>
      <c r="U100" s="945">
        <v>0</v>
      </c>
      <c r="V100" s="945">
        <v>0</v>
      </c>
      <c r="W100" s="945">
        <v>0</v>
      </c>
      <c r="X100" s="945">
        <v>0</v>
      </c>
      <c r="Y100" s="945">
        <v>0</v>
      </c>
      <c r="Z100" s="945">
        <v>0</v>
      </c>
      <c r="AA100" s="945">
        <v>0</v>
      </c>
      <c r="AB100" s="945">
        <v>0</v>
      </c>
      <c r="AC100" s="945">
        <v>0</v>
      </c>
      <c r="AD100" s="945">
        <v>0</v>
      </c>
      <c r="AE100" s="945">
        <v>0</v>
      </c>
      <c r="AF100" s="945">
        <v>0</v>
      </c>
      <c r="AG100" s="945">
        <v>0</v>
      </c>
      <c r="AH100" s="945">
        <v>0</v>
      </c>
      <c r="AI100" s="945">
        <v>0</v>
      </c>
      <c r="AJ100" s="945">
        <v>0</v>
      </c>
      <c r="AK100" s="945">
        <v>0</v>
      </c>
      <c r="AL100" s="945">
        <v>0</v>
      </c>
      <c r="AM100" s="945">
        <v>0</v>
      </c>
      <c r="AN100" s="945">
        <v>0</v>
      </c>
      <c r="AO100" s="946">
        <v>52</v>
      </c>
      <c r="AP100" s="947">
        <v>0</v>
      </c>
      <c r="AQ100" s="943">
        <v>0</v>
      </c>
      <c r="AR100" s="948">
        <v>0</v>
      </c>
      <c r="AS100" s="925"/>
      <c r="AT100" s="925"/>
      <c r="AU100" s="925"/>
      <c r="AV100" s="925"/>
      <c r="AW100" s="925"/>
      <c r="AX100" s="925"/>
      <c r="AY100" s="925"/>
      <c r="AZ100" s="925"/>
      <c r="BA100" s="925"/>
      <c r="BB100" s="925"/>
      <c r="BC100" s="925"/>
      <c r="BD100" s="925"/>
      <c r="BE100" s="925"/>
      <c r="BF100" s="925"/>
      <c r="BG100" s="925"/>
      <c r="BH100" s="925"/>
      <c r="BI100" s="925"/>
      <c r="BJ100" s="925"/>
      <c r="BK100" s="847"/>
      <c r="BL100" s="934"/>
      <c r="BM100" s="935"/>
      <c r="BP100" s="1733"/>
      <c r="BQ100" s="1733"/>
      <c r="BR100" s="1733"/>
    </row>
    <row r="101" spans="1:258" s="779" customFormat="1" ht="24.95" hidden="1" customHeight="1">
      <c r="A101" s="941">
        <v>22</v>
      </c>
      <c r="B101" s="942" t="s">
        <v>37</v>
      </c>
      <c r="C101" s="943">
        <v>2884.4</v>
      </c>
      <c r="D101" s="944">
        <v>83.5</v>
      </c>
      <c r="E101" s="945">
        <v>1816.5</v>
      </c>
      <c r="F101" s="945">
        <v>50.5</v>
      </c>
      <c r="G101" s="945">
        <v>2053.8958074712514</v>
      </c>
      <c r="H101" s="945">
        <v>11.8</v>
      </c>
      <c r="I101" s="945">
        <v>3067</v>
      </c>
      <c r="J101" s="945">
        <v>103</v>
      </c>
      <c r="K101" s="945">
        <v>3782.8399999999997</v>
      </c>
      <c r="L101" s="945">
        <v>59.5</v>
      </c>
      <c r="M101" s="945">
        <v>2984</v>
      </c>
      <c r="N101" s="945">
        <v>368.57</v>
      </c>
      <c r="O101" s="945">
        <v>129</v>
      </c>
      <c r="P101" s="945">
        <v>0</v>
      </c>
      <c r="Q101" s="945">
        <v>4942.1840000000002</v>
      </c>
      <c r="R101" s="945">
        <v>10.92</v>
      </c>
      <c r="S101" s="945">
        <v>2758.1</v>
      </c>
      <c r="T101" s="945">
        <v>29.1</v>
      </c>
      <c r="U101" s="945">
        <v>1529.5</v>
      </c>
      <c r="V101" s="945">
        <v>335.1</v>
      </c>
      <c r="W101" s="945">
        <v>0</v>
      </c>
      <c r="X101" s="945">
        <v>3098</v>
      </c>
      <c r="Y101" s="945">
        <v>357.5</v>
      </c>
      <c r="Z101" s="945">
        <v>8.2899999999999991</v>
      </c>
      <c r="AA101" s="945">
        <v>1410.75</v>
      </c>
      <c r="AB101" s="945">
        <v>89.13</v>
      </c>
      <c r="AC101" s="945">
        <v>0</v>
      </c>
      <c r="AD101" s="945">
        <v>0</v>
      </c>
      <c r="AE101" s="945">
        <v>975</v>
      </c>
      <c r="AF101" s="945">
        <v>64.2</v>
      </c>
      <c r="AG101" s="945">
        <v>1334.25</v>
      </c>
      <c r="AH101" s="945">
        <v>2.29</v>
      </c>
      <c r="AI101" s="945">
        <v>1974.8500000000001</v>
      </c>
      <c r="AJ101" s="945">
        <v>23.86</v>
      </c>
      <c r="AK101" s="945">
        <v>5585.52</v>
      </c>
      <c r="AL101" s="945">
        <v>7.55</v>
      </c>
      <c r="AM101" s="945">
        <v>3116</v>
      </c>
      <c r="AN101" s="945">
        <v>89.166666666666671</v>
      </c>
      <c r="AO101" s="946">
        <v>40701.28980747125</v>
      </c>
      <c r="AP101" s="947">
        <v>4434.4766666666665</v>
      </c>
      <c r="AQ101" s="943">
        <v>0</v>
      </c>
      <c r="AR101" s="948">
        <v>2083</v>
      </c>
      <c r="AS101" s="925"/>
      <c r="AT101" s="925"/>
      <c r="AU101" s="925"/>
      <c r="AV101" s="925"/>
      <c r="AW101" s="925"/>
      <c r="AX101" s="925"/>
      <c r="AY101" s="925"/>
      <c r="AZ101" s="925"/>
      <c r="BA101" s="925"/>
      <c r="BB101" s="925"/>
      <c r="BC101" s="925"/>
      <c r="BD101" s="925"/>
      <c r="BE101" s="925"/>
      <c r="BF101" s="925"/>
      <c r="BG101" s="925"/>
      <c r="BH101" s="925"/>
      <c r="BI101" s="925"/>
      <c r="BJ101" s="925"/>
      <c r="BK101" s="847"/>
      <c r="BL101" s="934"/>
      <c r="BM101" s="935"/>
    </row>
    <row r="102" spans="1:258" s="779" customFormat="1" ht="24.95" hidden="1" customHeight="1">
      <c r="A102" s="941">
        <v>23</v>
      </c>
      <c r="B102" s="942" t="s">
        <v>38</v>
      </c>
      <c r="C102" s="943">
        <v>3892.7</v>
      </c>
      <c r="D102" s="944">
        <v>273.39999999999998</v>
      </c>
      <c r="E102" s="945">
        <v>1255</v>
      </c>
      <c r="F102" s="945">
        <v>59.8</v>
      </c>
      <c r="G102" s="945">
        <v>3396.6309109454855</v>
      </c>
      <c r="H102" s="945">
        <v>381.62763038115804</v>
      </c>
      <c r="I102" s="945">
        <v>3728.1</v>
      </c>
      <c r="J102" s="945">
        <v>395.4</v>
      </c>
      <c r="K102" s="945">
        <v>4687.0999999999995</v>
      </c>
      <c r="L102" s="945">
        <v>237.2</v>
      </c>
      <c r="M102" s="945">
        <v>5532.9</v>
      </c>
      <c r="N102" s="945">
        <v>419.2</v>
      </c>
      <c r="O102" s="945">
        <v>919</v>
      </c>
      <c r="P102" s="945">
        <v>6</v>
      </c>
      <c r="Q102" s="945">
        <v>6290.7160000000003</v>
      </c>
      <c r="R102" s="945">
        <v>217.011</v>
      </c>
      <c r="S102" s="945">
        <v>1963.6</v>
      </c>
      <c r="T102" s="945">
        <v>7.5</v>
      </c>
      <c r="U102" s="945">
        <v>3502.6000000000004</v>
      </c>
      <c r="V102" s="945">
        <v>646</v>
      </c>
      <c r="W102" s="945">
        <v>0</v>
      </c>
      <c r="X102" s="945">
        <v>4398</v>
      </c>
      <c r="Y102" s="945">
        <v>2096.5</v>
      </c>
      <c r="Z102" s="945">
        <v>57.46</v>
      </c>
      <c r="AA102" s="945">
        <v>4800</v>
      </c>
      <c r="AB102" s="945">
        <v>116.75999999999999</v>
      </c>
      <c r="AC102" s="945">
        <v>493</v>
      </c>
      <c r="AD102" s="945">
        <v>0</v>
      </c>
      <c r="AE102" s="945">
        <v>216</v>
      </c>
      <c r="AF102" s="945">
        <v>29.2</v>
      </c>
      <c r="AG102" s="945">
        <v>1345.23</v>
      </c>
      <c r="AH102" s="945">
        <v>4.17</v>
      </c>
      <c r="AI102" s="945">
        <v>3249.55</v>
      </c>
      <c r="AJ102" s="945">
        <v>108.65</v>
      </c>
      <c r="AK102" s="945">
        <v>5338.48</v>
      </c>
      <c r="AL102" s="945">
        <v>112.77999999999999</v>
      </c>
      <c r="AM102" s="945">
        <v>5231.5</v>
      </c>
      <c r="AN102" s="945">
        <v>182.1666666666666</v>
      </c>
      <c r="AO102" s="946">
        <v>57938.606910945484</v>
      </c>
      <c r="AP102" s="947">
        <v>7652.3252970478243</v>
      </c>
      <c r="AQ102" s="943">
        <v>0</v>
      </c>
      <c r="AR102" s="948">
        <v>3031</v>
      </c>
      <c r="AS102" s="925"/>
      <c r="AT102" s="925"/>
      <c r="AU102" s="925"/>
      <c r="AV102" s="925"/>
      <c r="AW102" s="925"/>
      <c r="AX102" s="925"/>
      <c r="AY102" s="925"/>
      <c r="AZ102" s="925"/>
      <c r="BA102" s="925"/>
      <c r="BB102" s="925"/>
      <c r="BC102" s="925"/>
      <c r="BD102" s="925"/>
      <c r="BE102" s="925"/>
      <c r="BF102" s="925"/>
      <c r="BG102" s="925"/>
      <c r="BH102" s="925"/>
      <c r="BI102" s="925"/>
      <c r="BJ102" s="925"/>
      <c r="BK102" s="847"/>
      <c r="BL102" s="934"/>
      <c r="BM102" s="935"/>
    </row>
    <row r="103" spans="1:258" s="779" customFormat="1" ht="30" hidden="1" customHeight="1">
      <c r="A103" s="884"/>
      <c r="B103" s="936" t="s">
        <v>3</v>
      </c>
      <c r="C103" s="970">
        <v>7960.2</v>
      </c>
      <c r="D103" s="971">
        <v>356.9</v>
      </c>
      <c r="E103" s="972">
        <v>3188.5</v>
      </c>
      <c r="F103" s="972">
        <v>112.6</v>
      </c>
      <c r="G103" s="972">
        <v>7576.1901836059133</v>
      </c>
      <c r="H103" s="972">
        <v>394.27763038115802</v>
      </c>
      <c r="I103" s="972">
        <v>8300.1</v>
      </c>
      <c r="J103" s="972">
        <v>498.4</v>
      </c>
      <c r="K103" s="972">
        <v>9885.9399999999987</v>
      </c>
      <c r="L103" s="972">
        <v>296.7</v>
      </c>
      <c r="M103" s="972">
        <v>10259.99</v>
      </c>
      <c r="N103" s="972">
        <v>802.07999999999993</v>
      </c>
      <c r="O103" s="972">
        <v>1048</v>
      </c>
      <c r="P103" s="972">
        <v>6</v>
      </c>
      <c r="Q103" s="972">
        <v>13152.900000000001</v>
      </c>
      <c r="R103" s="972">
        <v>234.32400000000001</v>
      </c>
      <c r="S103" s="972">
        <v>4721.7</v>
      </c>
      <c r="T103" s="972">
        <v>36.6</v>
      </c>
      <c r="U103" s="972">
        <v>5150.6000000000004</v>
      </c>
      <c r="V103" s="972">
        <v>981.1</v>
      </c>
      <c r="W103" s="972">
        <v>0</v>
      </c>
      <c r="X103" s="972">
        <v>7496</v>
      </c>
      <c r="Y103" s="972">
        <v>2594</v>
      </c>
      <c r="Z103" s="972">
        <v>66.39</v>
      </c>
      <c r="AA103" s="972">
        <v>7218.25</v>
      </c>
      <c r="AB103" s="972">
        <v>205.89</v>
      </c>
      <c r="AC103" s="972">
        <v>598</v>
      </c>
      <c r="AD103" s="972">
        <v>0</v>
      </c>
      <c r="AE103" s="972">
        <v>1191</v>
      </c>
      <c r="AF103" s="972">
        <v>93.4</v>
      </c>
      <c r="AG103" s="972">
        <v>2862.48</v>
      </c>
      <c r="AH103" s="972">
        <v>6.46</v>
      </c>
      <c r="AI103" s="972">
        <v>6230.22</v>
      </c>
      <c r="AJ103" s="972">
        <v>132.51</v>
      </c>
      <c r="AK103" s="972">
        <v>11489.5</v>
      </c>
      <c r="AL103" s="972">
        <v>120.92999999999999</v>
      </c>
      <c r="AM103" s="972">
        <v>10688.5</v>
      </c>
      <c r="AN103" s="972">
        <v>271.33333333333326</v>
      </c>
      <c r="AO103" s="972">
        <v>114116.07018360592</v>
      </c>
      <c r="AP103" s="971">
        <v>12111.894963714491</v>
      </c>
      <c r="AQ103" s="970">
        <v>0</v>
      </c>
      <c r="AR103" s="973">
        <v>5114</v>
      </c>
      <c r="AS103" s="925"/>
      <c r="AT103" s="925"/>
      <c r="AU103" s="925"/>
      <c r="AV103" s="925"/>
      <c r="AW103" s="925"/>
      <c r="AX103" s="925"/>
      <c r="AY103" s="925"/>
      <c r="AZ103" s="925"/>
      <c r="BA103" s="925"/>
      <c r="BB103" s="925"/>
      <c r="BC103" s="925"/>
      <c r="BD103" s="925"/>
      <c r="BE103" s="925"/>
      <c r="BF103" s="925"/>
      <c r="BG103" s="925"/>
      <c r="BH103" s="925"/>
      <c r="BI103" s="925"/>
      <c r="BJ103" s="925"/>
      <c r="BK103" s="847"/>
      <c r="BL103" s="934"/>
      <c r="BM103" s="935"/>
    </row>
    <row r="104" spans="1:258" s="779" customFormat="1" ht="30" hidden="1" customHeight="1" thickBot="1">
      <c r="A104" s="974">
        <v>24</v>
      </c>
      <c r="B104" s="975" t="s">
        <v>39</v>
      </c>
      <c r="C104" s="976">
        <v>9119.6</v>
      </c>
      <c r="D104" s="977">
        <v>656.3</v>
      </c>
      <c r="E104" s="978">
        <v>3309.5</v>
      </c>
      <c r="F104" s="978">
        <v>216.89999999999998</v>
      </c>
      <c r="G104" s="978">
        <v>8543.2941992291398</v>
      </c>
      <c r="H104" s="978">
        <v>1280.1623028282647</v>
      </c>
      <c r="I104" s="978">
        <v>9029.1</v>
      </c>
      <c r="J104" s="978">
        <v>712</v>
      </c>
      <c r="K104" s="978">
        <v>12345.939999999999</v>
      </c>
      <c r="L104" s="978">
        <v>605.70000000000005</v>
      </c>
      <c r="M104" s="978">
        <v>10778.49</v>
      </c>
      <c r="N104" s="978">
        <v>1015.03</v>
      </c>
      <c r="O104" s="978">
        <v>1321.5</v>
      </c>
      <c r="P104" s="978">
        <v>28.8</v>
      </c>
      <c r="Q104" s="978">
        <v>16086.900000000001</v>
      </c>
      <c r="R104" s="978">
        <v>916.27400000000011</v>
      </c>
      <c r="S104" s="978">
        <v>5643.05</v>
      </c>
      <c r="T104" s="978">
        <v>161.6</v>
      </c>
      <c r="U104" s="978">
        <v>5331.6</v>
      </c>
      <c r="V104" s="978">
        <v>1105.9000000000001</v>
      </c>
      <c r="W104" s="978">
        <v>0</v>
      </c>
      <c r="X104" s="978">
        <v>7658</v>
      </c>
      <c r="Y104" s="978">
        <v>2835</v>
      </c>
      <c r="Z104" s="978">
        <v>258.7</v>
      </c>
      <c r="AA104" s="978">
        <v>7434.08</v>
      </c>
      <c r="AB104" s="978">
        <v>433.55999999999995</v>
      </c>
      <c r="AC104" s="978">
        <v>709.33333333333337</v>
      </c>
      <c r="AD104" s="978">
        <v>16</v>
      </c>
      <c r="AE104" s="978">
        <v>1276.02</v>
      </c>
      <c r="AF104" s="978">
        <v>119.10000000000001</v>
      </c>
      <c r="AG104" s="978">
        <v>3818.48</v>
      </c>
      <c r="AH104" s="978">
        <v>70.13</v>
      </c>
      <c r="AI104" s="978">
        <v>6928.05</v>
      </c>
      <c r="AJ104" s="978">
        <v>446.07</v>
      </c>
      <c r="AK104" s="978">
        <v>13833.74</v>
      </c>
      <c r="AL104" s="978">
        <v>497.14</v>
      </c>
      <c r="AM104" s="978">
        <v>11704.5</v>
      </c>
      <c r="AN104" s="978">
        <v>648</v>
      </c>
      <c r="AO104" s="978">
        <v>130048.17753256248</v>
      </c>
      <c r="AP104" s="977">
        <v>16845.366302828264</v>
      </c>
      <c r="AQ104" s="976">
        <v>0</v>
      </c>
      <c r="AR104" s="979">
        <v>5240</v>
      </c>
      <c r="AS104" s="1156">
        <f>SUM(AS71:AS98)</f>
        <v>195</v>
      </c>
      <c r="AT104" s="1156">
        <f t="shared" ref="AT104:BM104" si="38">SUM(AT71:AT98)</f>
        <v>1</v>
      </c>
      <c r="AU104" s="1156">
        <f t="shared" si="38"/>
        <v>291</v>
      </c>
      <c r="AV104" s="1156">
        <f t="shared" si="38"/>
        <v>69</v>
      </c>
      <c r="AW104" s="1156">
        <f t="shared" si="38"/>
        <v>423.5</v>
      </c>
      <c r="AX104" s="1156">
        <f t="shared" si="38"/>
        <v>17</v>
      </c>
      <c r="AY104" s="1156">
        <f t="shared" si="38"/>
        <v>0</v>
      </c>
      <c r="AZ104" s="1156">
        <f t="shared" si="38"/>
        <v>384</v>
      </c>
      <c r="BA104" s="1156">
        <f t="shared" si="38"/>
        <v>0</v>
      </c>
      <c r="BB104" s="1156">
        <f t="shared" si="38"/>
        <v>1</v>
      </c>
      <c r="BC104" s="1156">
        <f t="shared" si="38"/>
        <v>0</v>
      </c>
      <c r="BD104" s="1156">
        <f t="shared" si="38"/>
        <v>5</v>
      </c>
      <c r="BE104" s="1156">
        <f t="shared" si="38"/>
        <v>5</v>
      </c>
      <c r="BF104" s="1156">
        <f t="shared" si="38"/>
        <v>2</v>
      </c>
      <c r="BG104" s="1156">
        <f t="shared" si="38"/>
        <v>0</v>
      </c>
      <c r="BH104" s="1156">
        <f t="shared" si="38"/>
        <v>151</v>
      </c>
      <c r="BI104" s="1156">
        <f t="shared" si="38"/>
        <v>51</v>
      </c>
      <c r="BJ104" s="1156">
        <f t="shared" si="38"/>
        <v>43</v>
      </c>
      <c r="BK104" s="1157">
        <f t="shared" si="38"/>
        <v>17</v>
      </c>
      <c r="BL104" s="1158">
        <f t="shared" si="38"/>
        <v>1655.5</v>
      </c>
      <c r="BM104" s="1158">
        <f t="shared" si="38"/>
        <v>0</v>
      </c>
    </row>
    <row r="105" spans="1:258" ht="15" hidden="1" customHeight="1">
      <c r="C105" s="981"/>
      <c r="D105" s="981"/>
      <c r="E105" s="981"/>
      <c r="F105" s="981"/>
      <c r="G105" s="981"/>
      <c r="H105" s="981"/>
      <c r="I105" s="981"/>
      <c r="J105" s="981"/>
      <c r="K105" s="981"/>
      <c r="L105" s="981"/>
      <c r="M105" s="981"/>
      <c r="N105" s="981"/>
      <c r="O105" s="981"/>
      <c r="P105" s="981"/>
      <c r="Q105" s="981"/>
      <c r="R105" s="981"/>
      <c r="S105" s="981"/>
      <c r="T105" s="981"/>
      <c r="U105" s="981"/>
      <c r="V105" s="981"/>
      <c r="W105" s="981"/>
      <c r="X105" s="981"/>
      <c r="Y105" s="981"/>
      <c r="Z105" s="981"/>
      <c r="AA105" s="981"/>
      <c r="AB105" s="981"/>
      <c r="AC105" s="981"/>
      <c r="AD105" s="981"/>
      <c r="AE105" s="981"/>
      <c r="AF105" s="981"/>
      <c r="AG105" s="981"/>
      <c r="AH105" s="981"/>
      <c r="AI105" s="981"/>
      <c r="AJ105" s="981"/>
      <c r="AK105" s="981"/>
      <c r="AL105" s="981"/>
      <c r="AM105" s="981"/>
      <c r="AN105" s="981"/>
      <c r="AO105" s="981"/>
      <c r="AP105" s="981"/>
      <c r="AQ105" s="981"/>
      <c r="AR105" s="981"/>
      <c r="BN105" s="982"/>
      <c r="BO105" s="982"/>
      <c r="BP105" s="982"/>
      <c r="BQ105" s="982"/>
      <c r="BR105" s="982"/>
      <c r="BS105" s="982"/>
      <c r="BT105" s="982"/>
      <c r="BU105" s="982"/>
      <c r="BV105" s="982"/>
      <c r="BW105" s="982"/>
      <c r="BX105" s="982"/>
      <c r="BY105" s="982"/>
      <c r="BZ105" s="982"/>
      <c r="CA105" s="982"/>
      <c r="CB105" s="982"/>
      <c r="CC105" s="982"/>
      <c r="CD105" s="982"/>
      <c r="CE105" s="982"/>
      <c r="CF105" s="982"/>
      <c r="CG105" s="982"/>
      <c r="CH105" s="982"/>
      <c r="CI105" s="982"/>
      <c r="CJ105" s="982"/>
      <c r="CK105" s="982"/>
      <c r="CL105" s="982"/>
      <c r="CM105" s="982"/>
      <c r="CN105" s="982"/>
      <c r="CO105" s="982"/>
      <c r="CP105" s="982"/>
      <c r="CQ105" s="982"/>
      <c r="CR105" s="982"/>
      <c r="CS105" s="982"/>
      <c r="CT105" s="982"/>
      <c r="CU105" s="982"/>
      <c r="CV105" s="982"/>
      <c r="CW105" s="982"/>
      <c r="CX105" s="982"/>
      <c r="CY105" s="982"/>
      <c r="CZ105" s="982"/>
      <c r="DA105" s="982"/>
      <c r="DB105" s="982"/>
      <c r="DC105" s="982"/>
      <c r="DD105" s="982"/>
      <c r="DE105" s="982"/>
      <c r="DF105" s="982"/>
      <c r="DG105" s="982"/>
      <c r="DH105" s="982"/>
      <c r="DI105" s="982"/>
      <c r="DJ105" s="982"/>
      <c r="DK105" s="982"/>
      <c r="DL105" s="982"/>
      <c r="DM105" s="982"/>
      <c r="DN105" s="982"/>
      <c r="DO105" s="982"/>
      <c r="DP105" s="982"/>
      <c r="DQ105" s="982"/>
      <c r="DR105" s="982"/>
      <c r="DS105" s="982"/>
      <c r="DT105" s="982"/>
      <c r="DU105" s="982"/>
      <c r="DV105" s="982"/>
      <c r="DW105" s="982"/>
      <c r="DX105" s="982"/>
      <c r="DY105" s="982"/>
      <c r="DZ105" s="982"/>
      <c r="EA105" s="982"/>
      <c r="EB105" s="982"/>
      <c r="EC105" s="982"/>
      <c r="ED105" s="982"/>
      <c r="EE105" s="982"/>
      <c r="EF105" s="982"/>
      <c r="EG105" s="982"/>
      <c r="EH105" s="982"/>
      <c r="EI105" s="982"/>
      <c r="EJ105" s="982"/>
      <c r="EK105" s="982"/>
      <c r="EL105" s="982"/>
      <c r="EM105" s="982"/>
      <c r="EN105" s="982"/>
      <c r="EO105" s="982"/>
      <c r="EP105" s="982"/>
      <c r="EQ105" s="982"/>
      <c r="ER105" s="982"/>
      <c r="ES105" s="982"/>
      <c r="ET105" s="982"/>
      <c r="EU105" s="982"/>
      <c r="EV105" s="982"/>
      <c r="EW105" s="982"/>
      <c r="EX105" s="982"/>
      <c r="EY105" s="982"/>
      <c r="EZ105" s="982"/>
      <c r="FA105" s="982"/>
      <c r="FB105" s="982"/>
      <c r="FC105" s="982"/>
      <c r="FD105" s="982"/>
      <c r="FE105" s="982"/>
      <c r="FF105" s="982"/>
      <c r="FG105" s="982"/>
      <c r="FH105" s="982"/>
      <c r="FI105" s="982"/>
      <c r="FJ105" s="982"/>
      <c r="FK105" s="982"/>
      <c r="FL105" s="982"/>
      <c r="FM105" s="982"/>
      <c r="FN105" s="982"/>
      <c r="FO105" s="982"/>
      <c r="FP105" s="982"/>
      <c r="FQ105" s="982"/>
      <c r="FR105" s="982"/>
      <c r="FS105" s="982"/>
      <c r="FT105" s="982"/>
      <c r="FU105" s="982"/>
      <c r="FV105" s="982"/>
      <c r="FW105" s="982"/>
      <c r="FX105" s="982"/>
      <c r="FY105" s="982"/>
      <c r="FZ105" s="982"/>
      <c r="GA105" s="982"/>
      <c r="GB105" s="982"/>
      <c r="GC105" s="982"/>
      <c r="GD105" s="982"/>
      <c r="GE105" s="982"/>
      <c r="GF105" s="982"/>
      <c r="GG105" s="982"/>
      <c r="GH105" s="982"/>
      <c r="GI105" s="982"/>
      <c r="GJ105" s="982"/>
      <c r="GK105" s="982"/>
      <c r="GL105" s="982"/>
      <c r="GM105" s="982"/>
      <c r="GN105" s="982"/>
      <c r="GO105" s="982"/>
      <c r="GP105" s="982"/>
      <c r="GQ105" s="982"/>
      <c r="GR105" s="982"/>
      <c r="GS105" s="982"/>
      <c r="GT105" s="982"/>
      <c r="GU105" s="982"/>
      <c r="GV105" s="982"/>
      <c r="GW105" s="982"/>
      <c r="GX105" s="982"/>
      <c r="GY105" s="982"/>
      <c r="GZ105" s="982"/>
      <c r="HA105" s="982"/>
      <c r="HB105" s="982"/>
      <c r="HC105" s="982"/>
      <c r="HD105" s="982"/>
      <c r="HE105" s="982"/>
      <c r="HF105" s="982"/>
      <c r="HG105" s="982"/>
      <c r="HH105" s="982"/>
      <c r="HI105" s="982"/>
      <c r="HJ105" s="982"/>
      <c r="HK105" s="982"/>
      <c r="HL105" s="982"/>
      <c r="HM105" s="982"/>
      <c r="HN105" s="982"/>
      <c r="HO105" s="982"/>
      <c r="HP105" s="982"/>
      <c r="HQ105" s="982"/>
      <c r="HR105" s="982"/>
      <c r="HS105" s="982"/>
      <c r="HT105" s="982"/>
      <c r="HU105" s="982"/>
      <c r="HV105" s="982"/>
      <c r="HW105" s="982"/>
      <c r="HX105" s="982"/>
      <c r="HY105" s="982"/>
      <c r="HZ105" s="982"/>
      <c r="IA105" s="982"/>
      <c r="IB105" s="982"/>
      <c r="IC105" s="982"/>
      <c r="ID105" s="982"/>
      <c r="IE105" s="982"/>
      <c r="IF105" s="982"/>
      <c r="IG105" s="982"/>
      <c r="IH105" s="982"/>
      <c r="II105" s="982"/>
      <c r="IJ105" s="982"/>
      <c r="IK105" s="982"/>
      <c r="IL105" s="982"/>
      <c r="IM105" s="982"/>
      <c r="IN105" s="982"/>
      <c r="IO105" s="982"/>
      <c r="IP105" s="982"/>
      <c r="IQ105" s="982"/>
      <c r="IR105" s="982"/>
      <c r="IS105" s="982"/>
      <c r="IT105" s="982"/>
      <c r="IU105" s="982"/>
      <c r="IV105" s="982"/>
      <c r="IW105" s="982"/>
      <c r="IX105" s="982"/>
    </row>
    <row r="106" spans="1:258" ht="20.100000000000001" hidden="1" customHeight="1">
      <c r="C106" s="981"/>
      <c r="D106" s="981"/>
      <c r="E106" s="981"/>
      <c r="F106" s="981"/>
      <c r="G106" s="981"/>
      <c r="H106" s="981"/>
      <c r="I106" s="981"/>
      <c r="J106" s="981"/>
      <c r="K106" s="981"/>
      <c r="L106" s="981"/>
      <c r="M106" s="981"/>
      <c r="N106" s="981"/>
      <c r="O106" s="981"/>
      <c r="P106" s="981"/>
      <c r="Q106" s="981"/>
      <c r="R106" s="981"/>
      <c r="S106" s="981"/>
      <c r="T106" s="981"/>
      <c r="U106" s="981"/>
      <c r="V106" s="981"/>
      <c r="W106" s="981"/>
      <c r="X106" s="981"/>
      <c r="Y106" s="981"/>
      <c r="Z106" s="981"/>
      <c r="AA106" s="981"/>
      <c r="AB106" s="981"/>
      <c r="AC106" s="981"/>
      <c r="AD106" s="981"/>
      <c r="AE106" s="981"/>
      <c r="AF106" s="981"/>
      <c r="AG106" s="981"/>
      <c r="AH106" s="981"/>
      <c r="AI106" s="981"/>
      <c r="AJ106" s="981"/>
      <c r="AK106" s="981"/>
      <c r="AL106" s="981"/>
      <c r="AM106" s="981"/>
      <c r="AN106" s="981"/>
      <c r="AO106" s="981"/>
      <c r="AP106" s="981"/>
      <c r="AQ106" s="981"/>
      <c r="AR106" s="981"/>
      <c r="BN106" s="982"/>
      <c r="BO106" s="983" t="s">
        <v>289</v>
      </c>
      <c r="BP106" s="982"/>
      <c r="BQ106" s="982"/>
      <c r="BR106" s="982"/>
      <c r="BS106" s="982"/>
      <c r="BT106" s="982"/>
      <c r="BU106" s="982"/>
      <c r="BV106" s="982"/>
      <c r="BW106" s="982"/>
      <c r="BX106" s="982"/>
      <c r="BY106" s="982"/>
      <c r="BZ106" s="982"/>
      <c r="CA106" s="982"/>
      <c r="CB106" s="982"/>
      <c r="CC106" s="982"/>
      <c r="CD106" s="982"/>
      <c r="CE106" s="982"/>
      <c r="CF106" s="982"/>
      <c r="CG106" s="982"/>
      <c r="CH106" s="982"/>
      <c r="CI106" s="982"/>
      <c r="CJ106" s="982"/>
      <c r="CK106" s="982"/>
      <c r="CL106" s="982"/>
      <c r="CM106" s="982"/>
      <c r="CN106" s="982"/>
      <c r="CO106" s="982"/>
      <c r="CP106" s="982"/>
      <c r="CQ106" s="982"/>
      <c r="CR106" s="982"/>
      <c r="CS106" s="982"/>
      <c r="CT106" s="982"/>
      <c r="CU106" s="982"/>
      <c r="CV106" s="982"/>
      <c r="CW106" s="982"/>
      <c r="CX106" s="982"/>
      <c r="CY106" s="982"/>
      <c r="CZ106" s="982"/>
      <c r="DA106" s="982"/>
      <c r="DB106" s="982"/>
      <c r="DC106" s="982"/>
      <c r="DD106" s="982"/>
      <c r="DE106" s="982"/>
      <c r="DF106" s="982"/>
      <c r="DG106" s="982"/>
      <c r="DH106" s="982"/>
      <c r="DI106" s="982"/>
      <c r="DJ106" s="982"/>
      <c r="DK106" s="982"/>
      <c r="DL106" s="982"/>
      <c r="DM106" s="982"/>
      <c r="DN106" s="982"/>
      <c r="DO106" s="982"/>
      <c r="DP106" s="982"/>
      <c r="DQ106" s="982"/>
      <c r="DR106" s="982"/>
      <c r="DS106" s="982"/>
      <c r="DT106" s="982"/>
      <c r="DU106" s="982"/>
      <c r="DV106" s="982"/>
      <c r="DW106" s="982"/>
      <c r="DX106" s="982"/>
      <c r="DY106" s="982"/>
      <c r="DZ106" s="982"/>
      <c r="EA106" s="982"/>
      <c r="EB106" s="982"/>
      <c r="EC106" s="982"/>
      <c r="ED106" s="982"/>
      <c r="EE106" s="982"/>
      <c r="EF106" s="982"/>
      <c r="EG106" s="982"/>
      <c r="EH106" s="982"/>
      <c r="EI106" s="982"/>
      <c r="EJ106" s="982"/>
      <c r="EK106" s="982"/>
      <c r="EL106" s="982"/>
      <c r="EM106" s="982"/>
      <c r="EN106" s="982"/>
      <c r="EO106" s="982"/>
      <c r="EP106" s="982"/>
      <c r="EQ106" s="982"/>
      <c r="ER106" s="982"/>
      <c r="ES106" s="982"/>
      <c r="ET106" s="982"/>
      <c r="EU106" s="982"/>
      <c r="EV106" s="982"/>
      <c r="EW106" s="982"/>
      <c r="EX106" s="982"/>
      <c r="EY106" s="982"/>
      <c r="EZ106" s="982"/>
      <c r="FA106" s="982"/>
      <c r="FB106" s="982"/>
      <c r="FC106" s="982"/>
      <c r="FD106" s="982"/>
      <c r="FE106" s="982"/>
      <c r="FF106" s="982"/>
      <c r="FG106" s="982"/>
      <c r="FH106" s="982"/>
      <c r="FI106" s="982"/>
      <c r="FJ106" s="982"/>
      <c r="FK106" s="982"/>
      <c r="FL106" s="982"/>
      <c r="FM106" s="982"/>
      <c r="FN106" s="982"/>
      <c r="FO106" s="982"/>
      <c r="FP106" s="982"/>
      <c r="FQ106" s="982"/>
      <c r="FR106" s="982"/>
      <c r="FS106" s="982"/>
      <c r="FT106" s="982"/>
      <c r="FU106" s="982"/>
      <c r="FV106" s="982"/>
      <c r="FW106" s="982"/>
      <c r="FX106" s="982"/>
      <c r="FY106" s="982"/>
      <c r="FZ106" s="982"/>
      <c r="GA106" s="982"/>
      <c r="GB106" s="982"/>
      <c r="GC106" s="982"/>
      <c r="GD106" s="982"/>
      <c r="GE106" s="982"/>
      <c r="GF106" s="982"/>
      <c r="GG106" s="982"/>
      <c r="GH106" s="982"/>
      <c r="GI106" s="982"/>
      <c r="GJ106" s="982"/>
      <c r="GK106" s="982"/>
      <c r="GL106" s="982"/>
      <c r="GM106" s="982"/>
      <c r="GN106" s="982"/>
      <c r="GO106" s="982"/>
      <c r="GP106" s="982"/>
      <c r="GQ106" s="982"/>
      <c r="GR106" s="982"/>
      <c r="GS106" s="982"/>
      <c r="GT106" s="982"/>
      <c r="GU106" s="982"/>
      <c r="GV106" s="982"/>
      <c r="GW106" s="982"/>
      <c r="GX106" s="982"/>
      <c r="GY106" s="982"/>
      <c r="GZ106" s="982"/>
      <c r="HA106" s="982"/>
      <c r="HB106" s="982"/>
      <c r="HC106" s="982"/>
      <c r="HD106" s="982"/>
      <c r="HE106" s="982"/>
      <c r="HF106" s="982"/>
      <c r="HG106" s="982"/>
      <c r="HH106" s="982"/>
      <c r="HI106" s="982"/>
      <c r="HJ106" s="982"/>
      <c r="HK106" s="982"/>
      <c r="HL106" s="982"/>
      <c r="HM106" s="982"/>
      <c r="HN106" s="982"/>
      <c r="HO106" s="982"/>
      <c r="HP106" s="982"/>
      <c r="HQ106" s="982"/>
      <c r="HR106" s="982"/>
      <c r="HS106" s="982"/>
      <c r="HT106" s="982"/>
      <c r="HU106" s="982"/>
      <c r="HV106" s="982"/>
      <c r="HW106" s="982"/>
      <c r="HX106" s="982"/>
      <c r="HY106" s="982"/>
      <c r="HZ106" s="982"/>
      <c r="IA106" s="982"/>
      <c r="IB106" s="982"/>
      <c r="IC106" s="982"/>
      <c r="ID106" s="982"/>
      <c r="IE106" s="982"/>
      <c r="IF106" s="982"/>
      <c r="IG106" s="982"/>
      <c r="IH106" s="982"/>
      <c r="II106" s="982"/>
      <c r="IJ106" s="982"/>
      <c r="IK106" s="982"/>
      <c r="IL106" s="982"/>
      <c r="IM106" s="982"/>
      <c r="IN106" s="982"/>
      <c r="IO106" s="982"/>
      <c r="IP106" s="982"/>
      <c r="IQ106" s="982"/>
      <c r="IR106" s="982"/>
      <c r="IS106" s="982"/>
      <c r="IT106" s="982"/>
      <c r="IU106" s="982"/>
      <c r="IV106" s="982"/>
      <c r="IW106" s="982"/>
      <c r="IX106" s="982"/>
    </row>
    <row r="107" spans="1:258" ht="9.9499999999999993" hidden="1" customHeight="1" thickBot="1">
      <c r="C107" s="981"/>
      <c r="D107" s="981"/>
      <c r="E107" s="981"/>
      <c r="F107" s="981"/>
      <c r="G107" s="981"/>
      <c r="H107" s="981"/>
      <c r="I107" s="981"/>
      <c r="J107" s="981"/>
      <c r="K107" s="981"/>
      <c r="L107" s="981"/>
      <c r="M107" s="981"/>
      <c r="N107" s="981"/>
      <c r="O107" s="981"/>
      <c r="P107" s="981"/>
      <c r="Q107" s="981"/>
      <c r="R107" s="981"/>
      <c r="S107" s="981"/>
      <c r="T107" s="981"/>
      <c r="U107" s="981"/>
      <c r="V107" s="981"/>
      <c r="W107" s="981"/>
      <c r="X107" s="981"/>
      <c r="Y107" s="981"/>
      <c r="Z107" s="981"/>
      <c r="AA107" s="981"/>
      <c r="AB107" s="981"/>
      <c r="AC107" s="981"/>
      <c r="AD107" s="981"/>
      <c r="AE107" s="981"/>
      <c r="AF107" s="981"/>
      <c r="AG107" s="981"/>
      <c r="AH107" s="981"/>
      <c r="AI107" s="981"/>
      <c r="AJ107" s="981"/>
      <c r="AK107" s="981"/>
      <c r="AL107" s="981"/>
      <c r="AM107" s="981"/>
      <c r="AN107" s="981"/>
      <c r="AO107" s="981"/>
      <c r="AP107" s="981"/>
      <c r="AQ107" s="981"/>
      <c r="AR107" s="981"/>
      <c r="BN107" s="982"/>
      <c r="BO107" s="982"/>
      <c r="BP107" s="982"/>
      <c r="BQ107" s="982"/>
      <c r="BR107" s="982"/>
      <c r="BS107" s="982"/>
      <c r="BT107" s="982"/>
      <c r="BU107" s="982"/>
      <c r="BV107" s="982"/>
      <c r="BW107" s="982"/>
      <c r="BX107" s="982"/>
      <c r="BY107" s="982"/>
      <c r="BZ107" s="982"/>
      <c r="CA107" s="982"/>
      <c r="CB107" s="982"/>
      <c r="CC107" s="982"/>
      <c r="CD107" s="982"/>
      <c r="CE107" s="982"/>
      <c r="CF107" s="982"/>
      <c r="CG107" s="982"/>
      <c r="CH107" s="982"/>
      <c r="CI107" s="982"/>
      <c r="CJ107" s="982"/>
      <c r="CK107" s="982"/>
      <c r="CL107" s="982"/>
      <c r="CM107" s="982"/>
      <c r="CN107" s="982"/>
      <c r="CO107" s="982"/>
      <c r="CP107" s="982"/>
      <c r="CQ107" s="982"/>
      <c r="CR107" s="982"/>
      <c r="CS107" s="982"/>
      <c r="CT107" s="982"/>
      <c r="CU107" s="982"/>
      <c r="CV107" s="982"/>
      <c r="CW107" s="982"/>
      <c r="CX107" s="982"/>
      <c r="CY107" s="982"/>
      <c r="CZ107" s="982"/>
      <c r="DA107" s="982"/>
      <c r="DB107" s="982"/>
      <c r="DC107" s="982"/>
      <c r="DD107" s="982"/>
      <c r="DE107" s="982"/>
      <c r="DF107" s="982"/>
      <c r="DG107" s="982"/>
      <c r="DH107" s="982"/>
      <c r="DI107" s="982"/>
      <c r="DJ107" s="982"/>
      <c r="DK107" s="982"/>
      <c r="DL107" s="982"/>
      <c r="DM107" s="982"/>
      <c r="DN107" s="982"/>
      <c r="DO107" s="982"/>
      <c r="DP107" s="982"/>
      <c r="DQ107" s="982"/>
      <c r="DR107" s="982"/>
      <c r="DS107" s="982"/>
      <c r="DT107" s="982"/>
      <c r="DU107" s="982"/>
      <c r="DV107" s="982"/>
      <c r="DW107" s="982"/>
      <c r="DX107" s="982"/>
      <c r="DY107" s="982"/>
      <c r="DZ107" s="982"/>
      <c r="EA107" s="982"/>
      <c r="EB107" s="982"/>
      <c r="EC107" s="982"/>
      <c r="ED107" s="982"/>
      <c r="EE107" s="982"/>
      <c r="EF107" s="982"/>
      <c r="EG107" s="982"/>
      <c r="EH107" s="982"/>
      <c r="EI107" s="982"/>
      <c r="EJ107" s="982"/>
      <c r="EK107" s="982"/>
      <c r="EL107" s="982"/>
      <c r="EM107" s="982"/>
      <c r="EN107" s="982"/>
      <c r="EO107" s="982"/>
      <c r="EP107" s="982"/>
      <c r="EQ107" s="982"/>
      <c r="ER107" s="982"/>
      <c r="ES107" s="982"/>
      <c r="ET107" s="982"/>
      <c r="EU107" s="982"/>
      <c r="EV107" s="982"/>
      <c r="EW107" s="982"/>
      <c r="EX107" s="982"/>
      <c r="EY107" s="982"/>
      <c r="EZ107" s="982"/>
      <c r="FA107" s="982"/>
      <c r="FB107" s="982"/>
      <c r="FC107" s="982"/>
      <c r="FD107" s="982"/>
      <c r="FE107" s="982"/>
      <c r="FF107" s="982"/>
      <c r="FG107" s="982"/>
      <c r="FH107" s="982"/>
      <c r="FI107" s="982"/>
      <c r="FJ107" s="982"/>
      <c r="FK107" s="982"/>
      <c r="FL107" s="982"/>
      <c r="FM107" s="982"/>
      <c r="FN107" s="982"/>
      <c r="FO107" s="982"/>
      <c r="FP107" s="982"/>
      <c r="FQ107" s="982"/>
      <c r="FR107" s="982"/>
      <c r="FS107" s="982"/>
      <c r="FT107" s="982"/>
      <c r="FU107" s="982"/>
      <c r="FV107" s="982"/>
      <c r="FW107" s="982"/>
      <c r="FX107" s="982"/>
      <c r="FY107" s="982"/>
      <c r="FZ107" s="982"/>
      <c r="GA107" s="982"/>
      <c r="GB107" s="982"/>
      <c r="GC107" s="982"/>
      <c r="GD107" s="982"/>
      <c r="GE107" s="982"/>
      <c r="GF107" s="982"/>
      <c r="GG107" s="982"/>
      <c r="GH107" s="982"/>
      <c r="GI107" s="982"/>
      <c r="GJ107" s="982"/>
      <c r="GK107" s="982"/>
      <c r="GL107" s="982"/>
      <c r="GM107" s="982"/>
      <c r="GN107" s="982"/>
      <c r="GO107" s="982"/>
      <c r="GP107" s="982"/>
      <c r="GQ107" s="982"/>
      <c r="GR107" s="982"/>
      <c r="GS107" s="982"/>
      <c r="GT107" s="982"/>
      <c r="GU107" s="982"/>
      <c r="GV107" s="982"/>
      <c r="GW107" s="982"/>
      <c r="GX107" s="982"/>
      <c r="GY107" s="982"/>
      <c r="GZ107" s="982"/>
      <c r="HA107" s="982"/>
      <c r="HB107" s="982"/>
      <c r="HC107" s="982"/>
      <c r="HD107" s="982"/>
      <c r="HE107" s="982"/>
      <c r="HF107" s="982"/>
      <c r="HG107" s="982"/>
      <c r="HH107" s="982"/>
      <c r="HI107" s="982"/>
      <c r="HJ107" s="982"/>
      <c r="HK107" s="982"/>
      <c r="HL107" s="982"/>
      <c r="HM107" s="982"/>
      <c r="HN107" s="982"/>
      <c r="HO107" s="982"/>
      <c r="HP107" s="982"/>
      <c r="HQ107" s="982"/>
      <c r="HR107" s="982"/>
      <c r="HS107" s="982"/>
      <c r="HT107" s="982"/>
      <c r="HU107" s="982"/>
      <c r="HV107" s="982"/>
      <c r="HW107" s="982"/>
      <c r="HX107" s="982"/>
      <c r="HY107" s="982"/>
      <c r="HZ107" s="982"/>
      <c r="IA107" s="982"/>
      <c r="IB107" s="982"/>
      <c r="IC107" s="982"/>
      <c r="ID107" s="982"/>
      <c r="IE107" s="982"/>
      <c r="IF107" s="982"/>
      <c r="IG107" s="982"/>
      <c r="IH107" s="982"/>
      <c r="II107" s="982"/>
      <c r="IJ107" s="982"/>
      <c r="IK107" s="982"/>
      <c r="IL107" s="982"/>
      <c r="IM107" s="982"/>
      <c r="IN107" s="982"/>
      <c r="IO107" s="982"/>
      <c r="IP107" s="982"/>
      <c r="IQ107" s="982"/>
      <c r="IR107" s="982"/>
      <c r="IS107" s="982"/>
      <c r="IT107" s="982"/>
      <c r="IU107" s="982"/>
      <c r="IV107" s="982"/>
      <c r="IW107" s="982"/>
      <c r="IX107" s="982"/>
    </row>
    <row r="108" spans="1:258" ht="60" hidden="1" customHeight="1">
      <c r="BN108" s="982"/>
      <c r="BO108" s="984" t="s">
        <v>121</v>
      </c>
      <c r="BP108" s="985" t="s">
        <v>259</v>
      </c>
      <c r="BQ108" s="986" t="s">
        <v>276</v>
      </c>
      <c r="BR108" s="986" t="s">
        <v>261</v>
      </c>
      <c r="BS108" s="986" t="s">
        <v>277</v>
      </c>
      <c r="BT108" s="986" t="s">
        <v>263</v>
      </c>
      <c r="BU108" s="986" t="s">
        <v>278</v>
      </c>
      <c r="BV108" s="986" t="s">
        <v>279</v>
      </c>
      <c r="BW108" s="986" t="s">
        <v>280</v>
      </c>
      <c r="BX108" s="986" t="s">
        <v>265</v>
      </c>
      <c r="BY108" s="986" t="s">
        <v>281</v>
      </c>
      <c r="BZ108" s="986" t="s">
        <v>290</v>
      </c>
      <c r="CA108" s="986" t="s">
        <v>283</v>
      </c>
      <c r="CB108" s="986" t="s">
        <v>284</v>
      </c>
      <c r="CC108" s="987" t="s">
        <v>291</v>
      </c>
      <c r="CD108" s="986" t="s">
        <v>255</v>
      </c>
      <c r="CE108" s="986" t="s">
        <v>271</v>
      </c>
      <c r="CF108" s="986" t="s">
        <v>272</v>
      </c>
      <c r="CG108" s="986" t="s">
        <v>273</v>
      </c>
      <c r="CH108" s="988" t="s">
        <v>286</v>
      </c>
      <c r="CI108" s="989" t="s">
        <v>3</v>
      </c>
      <c r="CJ108" s="982"/>
      <c r="CK108" s="982"/>
      <c r="CL108" s="982"/>
      <c r="CM108" s="982"/>
      <c r="CN108" s="982"/>
      <c r="CO108" s="982"/>
      <c r="CP108" s="982"/>
      <c r="CQ108" s="982"/>
      <c r="CR108" s="982"/>
      <c r="CS108" s="982"/>
      <c r="CT108" s="982"/>
      <c r="CU108" s="982"/>
      <c r="CV108" s="982"/>
      <c r="CW108" s="982"/>
      <c r="CX108" s="982"/>
      <c r="CY108" s="982"/>
      <c r="CZ108" s="982"/>
      <c r="DA108" s="982"/>
      <c r="DB108" s="982"/>
      <c r="DC108" s="982"/>
      <c r="DD108" s="982"/>
      <c r="DE108" s="982"/>
      <c r="DF108" s="982"/>
      <c r="DG108" s="982"/>
      <c r="DH108" s="982"/>
      <c r="DI108" s="982"/>
      <c r="DJ108" s="982"/>
      <c r="DK108" s="982"/>
      <c r="DL108" s="982"/>
      <c r="DM108" s="982"/>
      <c r="DN108" s="982"/>
      <c r="DO108" s="982"/>
      <c r="DP108" s="982"/>
      <c r="DQ108" s="982"/>
      <c r="DR108" s="982"/>
      <c r="DS108" s="982"/>
      <c r="DT108" s="982"/>
      <c r="DU108" s="982"/>
      <c r="DV108" s="982"/>
      <c r="DW108" s="982"/>
      <c r="DX108" s="982"/>
      <c r="DY108" s="982"/>
      <c r="DZ108" s="982"/>
      <c r="EA108" s="982"/>
      <c r="EB108" s="982"/>
      <c r="EC108" s="982"/>
      <c r="ED108" s="982"/>
      <c r="EE108" s="982"/>
      <c r="EF108" s="982"/>
      <c r="EG108" s="982"/>
      <c r="EH108" s="982"/>
      <c r="EI108" s="982"/>
      <c r="EJ108" s="982"/>
      <c r="EK108" s="982"/>
      <c r="EL108" s="982"/>
      <c r="EM108" s="982"/>
      <c r="EN108" s="982"/>
      <c r="EO108" s="982"/>
      <c r="EP108" s="982"/>
      <c r="EQ108" s="982"/>
      <c r="ER108" s="982"/>
      <c r="ES108" s="982"/>
      <c r="ET108" s="982"/>
      <c r="EU108" s="982"/>
      <c r="EV108" s="982"/>
      <c r="EW108" s="982"/>
      <c r="EX108" s="982"/>
      <c r="EY108" s="982"/>
      <c r="EZ108" s="982"/>
      <c r="FA108" s="982"/>
      <c r="FB108" s="982"/>
      <c r="FC108" s="982"/>
      <c r="FD108" s="982"/>
      <c r="FE108" s="982"/>
      <c r="FF108" s="982"/>
      <c r="FG108" s="982"/>
      <c r="FH108" s="982"/>
      <c r="FI108" s="982"/>
      <c r="FJ108" s="982"/>
      <c r="FK108" s="982"/>
      <c r="FL108" s="982"/>
      <c r="FM108" s="982"/>
      <c r="FN108" s="982"/>
      <c r="FO108" s="982"/>
      <c r="FP108" s="982"/>
      <c r="FQ108" s="982"/>
      <c r="FR108" s="982"/>
      <c r="FS108" s="982"/>
      <c r="FT108" s="982"/>
      <c r="FU108" s="982"/>
      <c r="FV108" s="982"/>
      <c r="FW108" s="982"/>
      <c r="FX108" s="982"/>
      <c r="FY108" s="982"/>
      <c r="FZ108" s="982"/>
      <c r="GA108" s="982"/>
      <c r="GB108" s="982"/>
      <c r="GC108" s="982"/>
      <c r="GD108" s="982"/>
      <c r="GE108" s="982"/>
      <c r="GF108" s="982"/>
      <c r="GG108" s="982"/>
      <c r="GH108" s="982"/>
      <c r="GI108" s="982"/>
      <c r="GJ108" s="982"/>
      <c r="GK108" s="982"/>
      <c r="GL108" s="982"/>
      <c r="GM108" s="982"/>
      <c r="GN108" s="982"/>
      <c r="GO108" s="982"/>
      <c r="GP108" s="982"/>
      <c r="GQ108" s="982"/>
      <c r="GR108" s="982"/>
      <c r="GS108" s="982"/>
      <c r="GT108" s="982"/>
      <c r="GU108" s="982"/>
      <c r="GV108" s="982"/>
      <c r="GW108" s="982"/>
      <c r="GX108" s="982"/>
      <c r="GY108" s="982"/>
      <c r="GZ108" s="982"/>
      <c r="HA108" s="982"/>
      <c r="HB108" s="982"/>
      <c r="HC108" s="982"/>
      <c r="HD108" s="982"/>
      <c r="HE108" s="982"/>
      <c r="HF108" s="982"/>
      <c r="HG108" s="982"/>
      <c r="HH108" s="982"/>
      <c r="HI108" s="982"/>
      <c r="HJ108" s="982"/>
      <c r="HK108" s="982"/>
      <c r="HL108" s="982"/>
      <c r="HM108" s="982"/>
      <c r="HN108" s="982"/>
      <c r="HO108" s="982"/>
      <c r="HP108" s="982"/>
      <c r="HQ108" s="982"/>
      <c r="HR108" s="982"/>
      <c r="HS108" s="982"/>
      <c r="HT108" s="982"/>
      <c r="HU108" s="982"/>
      <c r="HV108" s="982"/>
      <c r="HW108" s="982"/>
      <c r="HX108" s="982"/>
      <c r="HY108" s="982"/>
      <c r="HZ108" s="982"/>
      <c r="IA108" s="982"/>
      <c r="IB108" s="982"/>
      <c r="IC108" s="982"/>
      <c r="ID108" s="982"/>
      <c r="IE108" s="982"/>
      <c r="IF108" s="982"/>
      <c r="IG108" s="982"/>
      <c r="IH108" s="982"/>
      <c r="II108" s="982"/>
      <c r="IJ108" s="982"/>
      <c r="IK108" s="982"/>
      <c r="IL108" s="982"/>
      <c r="IM108" s="982"/>
      <c r="IN108" s="982"/>
      <c r="IO108" s="982"/>
      <c r="IP108" s="982"/>
      <c r="IQ108" s="982"/>
      <c r="IR108" s="982"/>
      <c r="IS108" s="982"/>
      <c r="IT108" s="982"/>
      <c r="IU108" s="982"/>
      <c r="IV108" s="982"/>
      <c r="IW108" s="982"/>
      <c r="IX108" s="982"/>
    </row>
    <row r="109" spans="1:258" ht="24.95" hidden="1" customHeight="1">
      <c r="BN109" s="982"/>
      <c r="BO109" s="990"/>
      <c r="BP109" s="907" t="s">
        <v>26</v>
      </c>
      <c r="BQ109" s="906" t="s">
        <v>26</v>
      </c>
      <c r="BR109" s="906" t="s">
        <v>26</v>
      </c>
      <c r="BS109" s="906" t="s">
        <v>26</v>
      </c>
      <c r="BT109" s="906" t="s">
        <v>26</v>
      </c>
      <c r="BU109" s="906" t="s">
        <v>26</v>
      </c>
      <c r="BV109" s="906" t="s">
        <v>26</v>
      </c>
      <c r="BW109" s="906" t="s">
        <v>26</v>
      </c>
      <c r="BX109" s="906" t="s">
        <v>26</v>
      </c>
      <c r="BY109" s="906" t="s">
        <v>26</v>
      </c>
      <c r="BZ109" s="906" t="s">
        <v>26</v>
      </c>
      <c r="CA109" s="906" t="s">
        <v>26</v>
      </c>
      <c r="CB109" s="906" t="s">
        <v>26</v>
      </c>
      <c r="CC109" s="906" t="s">
        <v>26</v>
      </c>
      <c r="CD109" s="906" t="s">
        <v>26</v>
      </c>
      <c r="CE109" s="906" t="s">
        <v>26</v>
      </c>
      <c r="CF109" s="906" t="s">
        <v>26</v>
      </c>
      <c r="CG109" s="906" t="s">
        <v>26</v>
      </c>
      <c r="CH109" s="909" t="s">
        <v>26</v>
      </c>
      <c r="CI109" s="991" t="s">
        <v>26</v>
      </c>
      <c r="CJ109" s="982"/>
      <c r="CK109" s="982"/>
      <c r="CL109" s="982"/>
      <c r="CM109" s="982"/>
      <c r="CN109" s="982"/>
      <c r="CO109" s="982"/>
      <c r="CP109" s="982"/>
      <c r="CQ109" s="982"/>
      <c r="CR109" s="982"/>
      <c r="CS109" s="982"/>
      <c r="CT109" s="982"/>
      <c r="CU109" s="982"/>
      <c r="CV109" s="982"/>
      <c r="CW109" s="982"/>
      <c r="CX109" s="982"/>
      <c r="CY109" s="982"/>
      <c r="CZ109" s="982"/>
      <c r="DA109" s="982"/>
      <c r="DB109" s="982"/>
      <c r="DC109" s="982"/>
      <c r="DD109" s="982"/>
      <c r="DE109" s="982"/>
      <c r="DF109" s="982"/>
      <c r="DG109" s="982"/>
      <c r="DH109" s="982"/>
      <c r="DI109" s="982"/>
      <c r="DJ109" s="982"/>
      <c r="DK109" s="982"/>
      <c r="DL109" s="982"/>
      <c r="DM109" s="982"/>
      <c r="DN109" s="982"/>
      <c r="DO109" s="982"/>
      <c r="DP109" s="982"/>
      <c r="DQ109" s="982"/>
      <c r="DR109" s="982"/>
      <c r="DS109" s="982"/>
      <c r="DT109" s="982"/>
      <c r="DU109" s="982"/>
      <c r="DV109" s="982"/>
      <c r="DW109" s="982"/>
      <c r="DX109" s="982"/>
      <c r="DY109" s="982"/>
      <c r="DZ109" s="982"/>
      <c r="EA109" s="982"/>
      <c r="EB109" s="982"/>
      <c r="EC109" s="982"/>
      <c r="ED109" s="982"/>
      <c r="EE109" s="982"/>
      <c r="EF109" s="982"/>
      <c r="EG109" s="982"/>
      <c r="EH109" s="982"/>
      <c r="EI109" s="982"/>
      <c r="EJ109" s="982"/>
      <c r="EK109" s="982"/>
      <c r="EL109" s="982"/>
      <c r="EM109" s="982"/>
      <c r="EN109" s="982"/>
      <c r="EO109" s="982"/>
      <c r="EP109" s="982"/>
      <c r="EQ109" s="982"/>
      <c r="ER109" s="982"/>
      <c r="ES109" s="982"/>
      <c r="ET109" s="982"/>
      <c r="EU109" s="982"/>
      <c r="EV109" s="982"/>
      <c r="EW109" s="982"/>
      <c r="EX109" s="982"/>
      <c r="EY109" s="982"/>
      <c r="EZ109" s="982"/>
      <c r="FA109" s="982"/>
      <c r="FB109" s="982"/>
      <c r="FC109" s="982"/>
      <c r="FD109" s="982"/>
      <c r="FE109" s="982"/>
      <c r="FF109" s="982"/>
      <c r="FG109" s="982"/>
      <c r="FH109" s="982"/>
      <c r="FI109" s="982"/>
      <c r="FJ109" s="982"/>
      <c r="FK109" s="982"/>
      <c r="FL109" s="982"/>
      <c r="FM109" s="982"/>
      <c r="FN109" s="982"/>
      <c r="FO109" s="982"/>
      <c r="FP109" s="982"/>
      <c r="FQ109" s="982"/>
      <c r="FR109" s="982"/>
      <c r="FS109" s="982"/>
      <c r="FT109" s="982"/>
      <c r="FU109" s="982"/>
      <c r="FV109" s="982"/>
      <c r="FW109" s="982"/>
      <c r="FX109" s="982"/>
      <c r="FY109" s="982"/>
      <c r="FZ109" s="982"/>
      <c r="GA109" s="982"/>
      <c r="GB109" s="982"/>
      <c r="GC109" s="982"/>
      <c r="GD109" s="982"/>
      <c r="GE109" s="982"/>
      <c r="GF109" s="982"/>
      <c r="GG109" s="982"/>
      <c r="GH109" s="982"/>
      <c r="GI109" s="982"/>
      <c r="GJ109" s="982"/>
      <c r="GK109" s="982"/>
      <c r="GL109" s="982"/>
      <c r="GM109" s="982"/>
      <c r="GN109" s="982"/>
      <c r="GO109" s="982"/>
      <c r="GP109" s="982"/>
      <c r="GQ109" s="982"/>
      <c r="GR109" s="982"/>
      <c r="GS109" s="982"/>
      <c r="GT109" s="982"/>
      <c r="GU109" s="982"/>
      <c r="GV109" s="982"/>
      <c r="GW109" s="982"/>
      <c r="GX109" s="982"/>
      <c r="GY109" s="982"/>
      <c r="GZ109" s="982"/>
      <c r="HA109" s="982"/>
      <c r="HB109" s="982"/>
      <c r="HC109" s="982"/>
      <c r="HD109" s="982"/>
      <c r="HE109" s="982"/>
      <c r="HF109" s="982"/>
      <c r="HG109" s="982"/>
      <c r="HH109" s="982"/>
      <c r="HI109" s="982"/>
      <c r="HJ109" s="982"/>
      <c r="HK109" s="982"/>
      <c r="HL109" s="982"/>
      <c r="HM109" s="982"/>
      <c r="HN109" s="982"/>
      <c r="HO109" s="982"/>
      <c r="HP109" s="982"/>
      <c r="HQ109" s="982"/>
      <c r="HR109" s="982"/>
      <c r="HS109" s="982"/>
      <c r="HT109" s="982"/>
      <c r="HU109" s="982"/>
      <c r="HV109" s="982"/>
      <c r="HW109" s="982"/>
      <c r="HX109" s="982"/>
      <c r="HY109" s="982"/>
      <c r="HZ109" s="982"/>
      <c r="IA109" s="982"/>
      <c r="IB109" s="982"/>
      <c r="IC109" s="982"/>
      <c r="ID109" s="982"/>
      <c r="IE109" s="982"/>
      <c r="IF109" s="982"/>
      <c r="IG109" s="982"/>
      <c r="IH109" s="982"/>
      <c r="II109" s="982"/>
      <c r="IJ109" s="982"/>
      <c r="IK109" s="982"/>
      <c r="IL109" s="982"/>
      <c r="IM109" s="982"/>
      <c r="IN109" s="982"/>
      <c r="IO109" s="982"/>
      <c r="IP109" s="982"/>
      <c r="IQ109" s="982"/>
      <c r="IR109" s="982"/>
      <c r="IS109" s="982"/>
      <c r="IT109" s="982"/>
      <c r="IU109" s="982"/>
      <c r="IV109" s="982"/>
      <c r="IW109" s="982"/>
      <c r="IX109" s="982"/>
    </row>
    <row r="110" spans="1:258" ht="24.95" hidden="1" customHeight="1">
      <c r="BN110" s="982"/>
      <c r="BO110" s="831">
        <v>1</v>
      </c>
      <c r="BP110" s="826">
        <v>2</v>
      </c>
      <c r="BQ110" s="914">
        <v>3</v>
      </c>
      <c r="BR110" s="826">
        <v>4</v>
      </c>
      <c r="BS110" s="826">
        <v>5</v>
      </c>
      <c r="BT110" s="826">
        <v>6</v>
      </c>
      <c r="BU110" s="914">
        <v>7</v>
      </c>
      <c r="BV110" s="826">
        <v>8</v>
      </c>
      <c r="BW110" s="826">
        <v>9</v>
      </c>
      <c r="BX110" s="826">
        <v>10</v>
      </c>
      <c r="BY110" s="914">
        <v>11</v>
      </c>
      <c r="BZ110" s="826">
        <v>12</v>
      </c>
      <c r="CA110" s="826">
        <v>13</v>
      </c>
      <c r="CB110" s="826">
        <v>14</v>
      </c>
      <c r="CC110" s="914">
        <v>15</v>
      </c>
      <c r="CD110" s="826">
        <v>16</v>
      </c>
      <c r="CE110" s="826">
        <v>17</v>
      </c>
      <c r="CF110" s="826">
        <v>18</v>
      </c>
      <c r="CG110" s="914">
        <v>19</v>
      </c>
      <c r="CH110" s="827">
        <v>20</v>
      </c>
      <c r="CI110" s="992">
        <v>21</v>
      </c>
      <c r="CJ110" s="982"/>
      <c r="CK110" s="982"/>
      <c r="CL110" s="982"/>
      <c r="CM110" s="982"/>
      <c r="CN110" s="982"/>
      <c r="CO110" s="982"/>
      <c r="CP110" s="982"/>
      <c r="CQ110" s="982"/>
      <c r="CR110" s="982"/>
      <c r="CS110" s="982"/>
      <c r="CT110" s="982"/>
      <c r="CU110" s="982"/>
      <c r="CV110" s="982"/>
      <c r="CW110" s="982"/>
      <c r="CX110" s="982"/>
      <c r="CY110" s="982"/>
      <c r="CZ110" s="982"/>
      <c r="DA110" s="982"/>
      <c r="DB110" s="982"/>
      <c r="DC110" s="982"/>
      <c r="DD110" s="982"/>
      <c r="DE110" s="982"/>
      <c r="DF110" s="982"/>
      <c r="DG110" s="982"/>
      <c r="DH110" s="982"/>
      <c r="DI110" s="982"/>
      <c r="DJ110" s="982"/>
      <c r="DK110" s="982"/>
      <c r="DL110" s="982"/>
      <c r="DM110" s="982"/>
      <c r="DN110" s="982"/>
      <c r="DO110" s="982"/>
      <c r="DP110" s="982"/>
      <c r="DQ110" s="982"/>
      <c r="DR110" s="982"/>
      <c r="DS110" s="982"/>
      <c r="DT110" s="982"/>
      <c r="DU110" s="982"/>
      <c r="DV110" s="982"/>
      <c r="DW110" s="982"/>
      <c r="DX110" s="982"/>
      <c r="DY110" s="982"/>
      <c r="DZ110" s="982"/>
      <c r="EA110" s="982"/>
      <c r="EB110" s="982"/>
      <c r="EC110" s="982"/>
      <c r="ED110" s="982"/>
      <c r="EE110" s="982"/>
      <c r="EF110" s="982"/>
      <c r="EG110" s="982"/>
      <c r="EH110" s="982"/>
      <c r="EI110" s="982"/>
      <c r="EJ110" s="982"/>
      <c r="EK110" s="982"/>
      <c r="EL110" s="982"/>
      <c r="EM110" s="982"/>
      <c r="EN110" s="982"/>
      <c r="EO110" s="982"/>
      <c r="EP110" s="982"/>
      <c r="EQ110" s="982"/>
      <c r="ER110" s="982"/>
      <c r="ES110" s="982"/>
      <c r="ET110" s="982"/>
      <c r="EU110" s="982"/>
      <c r="EV110" s="982"/>
      <c r="EW110" s="982"/>
      <c r="EX110" s="982"/>
      <c r="EY110" s="982"/>
      <c r="EZ110" s="982"/>
      <c r="FA110" s="982"/>
      <c r="FB110" s="982"/>
      <c r="FC110" s="982"/>
      <c r="FD110" s="982"/>
      <c r="FE110" s="982"/>
      <c r="FF110" s="982"/>
      <c r="FG110" s="982"/>
      <c r="FH110" s="982"/>
      <c r="FI110" s="982"/>
      <c r="FJ110" s="982"/>
      <c r="FK110" s="982"/>
      <c r="FL110" s="982"/>
      <c r="FM110" s="982"/>
      <c r="FN110" s="982"/>
      <c r="FO110" s="982"/>
      <c r="FP110" s="982"/>
      <c r="FQ110" s="982"/>
      <c r="FR110" s="982"/>
      <c r="FS110" s="982"/>
      <c r="FT110" s="982"/>
      <c r="FU110" s="982"/>
      <c r="FV110" s="982"/>
      <c r="FW110" s="982"/>
      <c r="FX110" s="982"/>
      <c r="FY110" s="982"/>
      <c r="FZ110" s="982"/>
      <c r="GA110" s="982"/>
      <c r="GB110" s="982"/>
      <c r="GC110" s="982"/>
      <c r="GD110" s="982"/>
      <c r="GE110" s="982"/>
      <c r="GF110" s="982"/>
      <c r="GG110" s="982"/>
      <c r="GH110" s="982"/>
      <c r="GI110" s="982"/>
      <c r="GJ110" s="982"/>
      <c r="GK110" s="982"/>
      <c r="GL110" s="982"/>
      <c r="GM110" s="982"/>
      <c r="GN110" s="982"/>
      <c r="GO110" s="982"/>
      <c r="GP110" s="982"/>
      <c r="GQ110" s="982"/>
      <c r="GR110" s="982"/>
      <c r="GS110" s="982"/>
      <c r="GT110" s="982"/>
      <c r="GU110" s="982"/>
      <c r="GV110" s="982"/>
      <c r="GW110" s="982"/>
      <c r="GX110" s="982"/>
      <c r="GY110" s="982"/>
      <c r="GZ110" s="982"/>
      <c r="HA110" s="982"/>
      <c r="HB110" s="982"/>
      <c r="HC110" s="982"/>
      <c r="HD110" s="982"/>
      <c r="HE110" s="982"/>
      <c r="HF110" s="982"/>
      <c r="HG110" s="982"/>
      <c r="HH110" s="982"/>
      <c r="HI110" s="982"/>
      <c r="HJ110" s="982"/>
      <c r="HK110" s="982"/>
      <c r="HL110" s="982"/>
      <c r="HM110" s="982"/>
      <c r="HN110" s="982"/>
      <c r="HO110" s="982"/>
      <c r="HP110" s="982"/>
      <c r="HQ110" s="982"/>
      <c r="HR110" s="982"/>
      <c r="HS110" s="982"/>
      <c r="HT110" s="982"/>
      <c r="HU110" s="982"/>
      <c r="HV110" s="982"/>
      <c r="HW110" s="982"/>
      <c r="HX110" s="982"/>
      <c r="HY110" s="982"/>
      <c r="HZ110" s="982"/>
      <c r="IA110" s="982"/>
      <c r="IB110" s="982"/>
      <c r="IC110" s="982"/>
      <c r="ID110" s="982"/>
      <c r="IE110" s="982"/>
      <c r="IF110" s="982"/>
      <c r="IG110" s="982"/>
      <c r="IH110" s="982"/>
      <c r="II110" s="982"/>
      <c r="IJ110" s="982"/>
      <c r="IK110" s="982"/>
      <c r="IL110" s="982"/>
      <c r="IM110" s="982"/>
      <c r="IN110" s="982"/>
      <c r="IO110" s="982"/>
      <c r="IP110" s="982"/>
      <c r="IQ110" s="982"/>
      <c r="IR110" s="982"/>
      <c r="IS110" s="982"/>
      <c r="IT110" s="982"/>
      <c r="IU110" s="982"/>
      <c r="IV110" s="982"/>
      <c r="IW110" s="982"/>
      <c r="IX110" s="982"/>
    </row>
    <row r="111" spans="1:258" ht="24.95" hidden="1" customHeight="1">
      <c r="BN111" s="982"/>
      <c r="BO111" s="1734" t="s">
        <v>124</v>
      </c>
      <c r="BP111" s="993">
        <v>0</v>
      </c>
      <c r="BQ111" s="993">
        <v>0</v>
      </c>
      <c r="BR111" s="993">
        <v>0</v>
      </c>
      <c r="BS111" s="993">
        <v>15</v>
      </c>
      <c r="BT111" s="993">
        <v>0</v>
      </c>
      <c r="BU111" s="993">
        <v>0</v>
      </c>
      <c r="BV111" s="993">
        <v>0</v>
      </c>
      <c r="BW111" s="993">
        <v>0</v>
      </c>
      <c r="BX111" s="993">
        <v>0</v>
      </c>
      <c r="BY111" s="993">
        <v>0</v>
      </c>
      <c r="BZ111" s="993">
        <v>0</v>
      </c>
      <c r="CA111" s="993">
        <v>0</v>
      </c>
      <c r="CB111" s="993">
        <v>0</v>
      </c>
      <c r="CC111" s="993">
        <v>0</v>
      </c>
      <c r="CD111" s="993">
        <v>0</v>
      </c>
      <c r="CE111" s="993">
        <v>0</v>
      </c>
      <c r="CF111" s="993">
        <v>0</v>
      </c>
      <c r="CG111" s="993">
        <v>0</v>
      </c>
      <c r="CH111" s="994">
        <v>0</v>
      </c>
      <c r="CI111" s="995">
        <v>15</v>
      </c>
      <c r="CJ111" s="982"/>
      <c r="CK111" s="982"/>
      <c r="CL111" s="982"/>
      <c r="CM111" s="982"/>
      <c r="CN111" s="982"/>
      <c r="CO111" s="982"/>
      <c r="CP111" s="982"/>
      <c r="CQ111" s="982"/>
      <c r="CR111" s="982"/>
      <c r="CS111" s="982"/>
      <c r="CT111" s="982"/>
      <c r="CU111" s="982"/>
      <c r="CV111" s="982"/>
      <c r="CW111" s="982"/>
      <c r="CX111" s="982"/>
      <c r="CY111" s="982"/>
      <c r="CZ111" s="982"/>
      <c r="DA111" s="982"/>
      <c r="DB111" s="982"/>
      <c r="DC111" s="982"/>
      <c r="DD111" s="982"/>
      <c r="DE111" s="982"/>
      <c r="DF111" s="982"/>
      <c r="DG111" s="982"/>
      <c r="DH111" s="982"/>
      <c r="DI111" s="982"/>
      <c r="DJ111" s="982"/>
      <c r="DK111" s="982"/>
      <c r="DL111" s="982"/>
      <c r="DM111" s="982"/>
      <c r="DN111" s="982"/>
      <c r="DO111" s="982"/>
      <c r="DP111" s="982"/>
      <c r="DQ111" s="982"/>
      <c r="DR111" s="982"/>
      <c r="DS111" s="982"/>
      <c r="DT111" s="982"/>
      <c r="DU111" s="982"/>
      <c r="DV111" s="982"/>
      <c r="DW111" s="982"/>
      <c r="DX111" s="982"/>
      <c r="DY111" s="982"/>
      <c r="DZ111" s="982"/>
      <c r="EA111" s="982"/>
      <c r="EB111" s="982"/>
      <c r="EC111" s="982"/>
      <c r="ED111" s="982"/>
      <c r="EE111" s="982"/>
      <c r="EF111" s="982"/>
      <c r="EG111" s="982"/>
      <c r="EH111" s="982"/>
      <c r="EI111" s="982"/>
      <c r="EJ111" s="982"/>
      <c r="EK111" s="982"/>
      <c r="EL111" s="982"/>
      <c r="EM111" s="982"/>
      <c r="EN111" s="982"/>
      <c r="EO111" s="982"/>
      <c r="EP111" s="982"/>
      <c r="EQ111" s="982"/>
      <c r="ER111" s="982"/>
      <c r="ES111" s="982"/>
      <c r="ET111" s="982"/>
      <c r="EU111" s="982"/>
      <c r="EV111" s="982"/>
      <c r="EW111" s="982"/>
      <c r="EX111" s="982"/>
      <c r="EY111" s="982"/>
      <c r="EZ111" s="982"/>
      <c r="FA111" s="982"/>
      <c r="FB111" s="982"/>
      <c r="FC111" s="982"/>
      <c r="FD111" s="982"/>
      <c r="FE111" s="982"/>
      <c r="FF111" s="982"/>
      <c r="FG111" s="982"/>
      <c r="FH111" s="982"/>
      <c r="FI111" s="982"/>
      <c r="FJ111" s="982"/>
      <c r="FK111" s="982"/>
      <c r="FL111" s="982"/>
      <c r="FM111" s="982"/>
      <c r="FN111" s="982"/>
      <c r="FO111" s="982"/>
      <c r="FP111" s="982"/>
      <c r="FQ111" s="982"/>
      <c r="FR111" s="982"/>
      <c r="FS111" s="982"/>
      <c r="FT111" s="982"/>
      <c r="FU111" s="982"/>
      <c r="FV111" s="982"/>
      <c r="FW111" s="982"/>
      <c r="FX111" s="982"/>
      <c r="FY111" s="982"/>
      <c r="FZ111" s="982"/>
      <c r="GA111" s="982"/>
      <c r="GB111" s="982"/>
      <c r="GC111" s="982"/>
      <c r="GD111" s="982"/>
      <c r="GE111" s="982"/>
      <c r="GF111" s="982"/>
      <c r="GG111" s="982"/>
      <c r="GH111" s="982"/>
      <c r="GI111" s="982"/>
      <c r="GJ111" s="982"/>
      <c r="GK111" s="982"/>
      <c r="GL111" s="982"/>
      <c r="GM111" s="982"/>
      <c r="GN111" s="982"/>
      <c r="GO111" s="982"/>
      <c r="GP111" s="982"/>
      <c r="GQ111" s="982"/>
      <c r="GR111" s="982"/>
      <c r="GS111" s="982"/>
      <c r="GT111" s="982"/>
      <c r="GU111" s="982"/>
      <c r="GV111" s="982"/>
      <c r="GW111" s="982"/>
      <c r="GX111" s="982"/>
      <c r="GY111" s="982"/>
      <c r="GZ111" s="982"/>
      <c r="HA111" s="982"/>
      <c r="HB111" s="982"/>
      <c r="HC111" s="982"/>
      <c r="HD111" s="982"/>
      <c r="HE111" s="982"/>
      <c r="HF111" s="982"/>
      <c r="HG111" s="982"/>
      <c r="HH111" s="982"/>
      <c r="HI111" s="982"/>
      <c r="HJ111" s="982"/>
      <c r="HK111" s="982"/>
      <c r="HL111" s="982"/>
      <c r="HM111" s="982"/>
      <c r="HN111" s="982"/>
      <c r="HO111" s="982"/>
      <c r="HP111" s="982"/>
      <c r="HQ111" s="982"/>
      <c r="HR111" s="982"/>
      <c r="HS111" s="982"/>
      <c r="HT111" s="982"/>
      <c r="HU111" s="982"/>
      <c r="HV111" s="982"/>
      <c r="HW111" s="982"/>
      <c r="HX111" s="982"/>
      <c r="HY111" s="982"/>
      <c r="HZ111" s="982"/>
      <c r="IA111" s="982"/>
      <c r="IB111" s="982"/>
      <c r="IC111" s="982"/>
      <c r="ID111" s="982"/>
      <c r="IE111" s="982"/>
      <c r="IF111" s="982"/>
      <c r="IG111" s="982"/>
      <c r="IH111" s="982"/>
      <c r="II111" s="982"/>
      <c r="IJ111" s="982"/>
      <c r="IK111" s="982"/>
      <c r="IL111" s="982"/>
      <c r="IM111" s="982"/>
      <c r="IN111" s="982"/>
      <c r="IO111" s="982"/>
      <c r="IP111" s="982"/>
      <c r="IQ111" s="982"/>
      <c r="IR111" s="982"/>
      <c r="IS111" s="982"/>
      <c r="IT111" s="982"/>
      <c r="IU111" s="982"/>
      <c r="IV111" s="982"/>
      <c r="IW111" s="982"/>
      <c r="IX111" s="982"/>
    </row>
    <row r="112" spans="1:258" ht="20.100000000000001" hidden="1" customHeight="1">
      <c r="BN112" s="982"/>
      <c r="BO112" s="1734" t="s">
        <v>125</v>
      </c>
      <c r="BP112" s="996">
        <v>0</v>
      </c>
      <c r="BQ112" s="996">
        <v>0</v>
      </c>
      <c r="BR112" s="996">
        <v>8</v>
      </c>
      <c r="BS112" s="996">
        <v>0</v>
      </c>
      <c r="BT112" s="996">
        <v>50</v>
      </c>
      <c r="BU112" s="996">
        <v>0</v>
      </c>
      <c r="BV112" s="996">
        <v>0</v>
      </c>
      <c r="BW112" s="996">
        <v>24</v>
      </c>
      <c r="BX112" s="996">
        <v>0</v>
      </c>
      <c r="BY112" s="996">
        <v>0</v>
      </c>
      <c r="BZ112" s="996">
        <v>0</v>
      </c>
      <c r="CA112" s="996">
        <v>0</v>
      </c>
      <c r="CB112" s="996">
        <v>0</v>
      </c>
      <c r="CC112" s="996">
        <v>50</v>
      </c>
      <c r="CD112" s="996">
        <v>0</v>
      </c>
      <c r="CE112" s="996">
        <v>0</v>
      </c>
      <c r="CF112" s="996">
        <v>0</v>
      </c>
      <c r="CG112" s="996">
        <v>0</v>
      </c>
      <c r="CH112" s="997">
        <v>0</v>
      </c>
      <c r="CI112" s="998">
        <v>132</v>
      </c>
      <c r="CJ112" s="982"/>
      <c r="CK112" s="982"/>
      <c r="CL112" s="982"/>
      <c r="CM112" s="982"/>
      <c r="CN112" s="982"/>
      <c r="CO112" s="982"/>
      <c r="CP112" s="982"/>
      <c r="CQ112" s="982"/>
      <c r="CR112" s="982"/>
      <c r="CS112" s="982"/>
      <c r="CT112" s="982"/>
      <c r="CU112" s="982"/>
      <c r="CV112" s="982"/>
      <c r="CW112" s="982"/>
      <c r="CX112" s="982"/>
      <c r="CY112" s="982"/>
      <c r="CZ112" s="982"/>
      <c r="DA112" s="982"/>
      <c r="DB112" s="982"/>
      <c r="DC112" s="982"/>
      <c r="DD112" s="982"/>
      <c r="DE112" s="982"/>
      <c r="DF112" s="982"/>
      <c r="DG112" s="982"/>
      <c r="DH112" s="982"/>
      <c r="DI112" s="982"/>
      <c r="DJ112" s="982"/>
      <c r="DK112" s="982"/>
      <c r="DL112" s="982"/>
      <c r="DM112" s="982"/>
      <c r="DN112" s="982"/>
      <c r="DO112" s="982"/>
      <c r="DP112" s="982"/>
      <c r="DQ112" s="982"/>
      <c r="DR112" s="982"/>
      <c r="DS112" s="982"/>
      <c r="DT112" s="982"/>
      <c r="DU112" s="982"/>
      <c r="DV112" s="982"/>
      <c r="DW112" s="982"/>
      <c r="DX112" s="982"/>
      <c r="DY112" s="982"/>
      <c r="DZ112" s="982"/>
      <c r="EA112" s="982"/>
      <c r="EB112" s="982"/>
      <c r="EC112" s="982"/>
      <c r="ED112" s="982"/>
      <c r="EE112" s="982"/>
      <c r="EF112" s="982"/>
      <c r="EG112" s="982"/>
      <c r="EH112" s="982"/>
      <c r="EI112" s="982"/>
      <c r="EJ112" s="982"/>
      <c r="EK112" s="982"/>
      <c r="EL112" s="982"/>
      <c r="EM112" s="982"/>
      <c r="EN112" s="982"/>
      <c r="EO112" s="982"/>
      <c r="EP112" s="982"/>
      <c r="EQ112" s="982"/>
      <c r="ER112" s="982"/>
      <c r="ES112" s="982"/>
      <c r="ET112" s="982"/>
      <c r="EU112" s="982"/>
      <c r="EV112" s="982"/>
      <c r="EW112" s="982"/>
      <c r="EX112" s="982"/>
      <c r="EY112" s="982"/>
      <c r="EZ112" s="982"/>
      <c r="FA112" s="982"/>
      <c r="FB112" s="982"/>
      <c r="FC112" s="982"/>
      <c r="FD112" s="982"/>
      <c r="FE112" s="982"/>
      <c r="FF112" s="982"/>
      <c r="FG112" s="982"/>
      <c r="FH112" s="982"/>
      <c r="FI112" s="982"/>
      <c r="FJ112" s="982"/>
      <c r="FK112" s="982"/>
      <c r="FL112" s="982"/>
      <c r="FM112" s="982"/>
      <c r="FN112" s="982"/>
      <c r="FO112" s="982"/>
      <c r="FP112" s="982"/>
      <c r="FQ112" s="982"/>
      <c r="FR112" s="982"/>
      <c r="FS112" s="982"/>
      <c r="FT112" s="982"/>
      <c r="FU112" s="982"/>
      <c r="FV112" s="982"/>
      <c r="FW112" s="982"/>
      <c r="FX112" s="982"/>
      <c r="FY112" s="982"/>
      <c r="FZ112" s="982"/>
      <c r="GA112" s="982"/>
      <c r="GB112" s="982"/>
      <c r="GC112" s="982"/>
      <c r="GD112" s="982"/>
      <c r="GE112" s="982"/>
      <c r="GF112" s="982"/>
      <c r="GG112" s="982"/>
      <c r="GH112" s="982"/>
      <c r="GI112" s="982"/>
      <c r="GJ112" s="982"/>
      <c r="GK112" s="982"/>
      <c r="GL112" s="982"/>
      <c r="GM112" s="982"/>
      <c r="GN112" s="982"/>
      <c r="GO112" s="982"/>
      <c r="GP112" s="982"/>
      <c r="GQ112" s="982"/>
      <c r="GR112" s="982"/>
      <c r="GS112" s="982"/>
      <c r="GT112" s="982"/>
      <c r="GU112" s="982"/>
      <c r="GV112" s="982"/>
      <c r="GW112" s="982"/>
      <c r="GX112" s="982"/>
      <c r="GY112" s="982"/>
      <c r="GZ112" s="982"/>
      <c r="HA112" s="982"/>
      <c r="HB112" s="982"/>
      <c r="HC112" s="982"/>
      <c r="HD112" s="982"/>
      <c r="HE112" s="982"/>
      <c r="HF112" s="982"/>
      <c r="HG112" s="982"/>
      <c r="HH112" s="982"/>
      <c r="HI112" s="982"/>
      <c r="HJ112" s="982"/>
      <c r="HK112" s="982"/>
      <c r="HL112" s="982"/>
      <c r="HM112" s="982"/>
      <c r="HN112" s="982"/>
      <c r="HO112" s="982"/>
      <c r="HP112" s="982"/>
      <c r="HQ112" s="982"/>
      <c r="HR112" s="982"/>
      <c r="HS112" s="982"/>
      <c r="HT112" s="982"/>
      <c r="HU112" s="982"/>
      <c r="HV112" s="982"/>
      <c r="HW112" s="982"/>
      <c r="HX112" s="982"/>
      <c r="HY112" s="982"/>
      <c r="HZ112" s="982"/>
      <c r="IA112" s="982"/>
      <c r="IB112" s="982"/>
      <c r="IC112" s="982"/>
      <c r="ID112" s="982"/>
      <c r="IE112" s="982"/>
      <c r="IF112" s="982"/>
      <c r="IG112" s="982"/>
      <c r="IH112" s="982"/>
      <c r="II112" s="982"/>
      <c r="IJ112" s="982"/>
      <c r="IK112" s="982"/>
      <c r="IL112" s="982"/>
      <c r="IM112" s="982"/>
      <c r="IN112" s="982"/>
      <c r="IO112" s="982"/>
      <c r="IP112" s="982"/>
      <c r="IQ112" s="982"/>
      <c r="IR112" s="982"/>
      <c r="IS112" s="982"/>
      <c r="IT112" s="982"/>
      <c r="IU112" s="982"/>
      <c r="IV112" s="982"/>
      <c r="IW112" s="982"/>
      <c r="IX112" s="982"/>
    </row>
    <row r="113" spans="66:258" ht="20.100000000000001" hidden="1" customHeight="1">
      <c r="BN113" s="982"/>
      <c r="BO113" s="1734" t="s">
        <v>126</v>
      </c>
      <c r="BP113" s="996">
        <v>0</v>
      </c>
      <c r="BQ113" s="996">
        <v>0</v>
      </c>
      <c r="BR113" s="996">
        <v>0</v>
      </c>
      <c r="BS113" s="996">
        <v>0</v>
      </c>
      <c r="BT113" s="996">
        <v>0</v>
      </c>
      <c r="BU113" s="996">
        <v>0</v>
      </c>
      <c r="BV113" s="996">
        <v>0</v>
      </c>
      <c r="BW113" s="996">
        <v>0</v>
      </c>
      <c r="BX113" s="996">
        <v>0</v>
      </c>
      <c r="BY113" s="996">
        <v>0</v>
      </c>
      <c r="BZ113" s="996">
        <v>0</v>
      </c>
      <c r="CA113" s="996">
        <v>0</v>
      </c>
      <c r="CB113" s="996">
        <v>0</v>
      </c>
      <c r="CC113" s="996">
        <v>0</v>
      </c>
      <c r="CD113" s="996">
        <v>0</v>
      </c>
      <c r="CE113" s="996">
        <v>0</v>
      </c>
      <c r="CF113" s="996">
        <v>0</v>
      </c>
      <c r="CG113" s="996">
        <v>12</v>
      </c>
      <c r="CH113" s="997">
        <v>0</v>
      </c>
      <c r="CI113" s="998">
        <v>12</v>
      </c>
      <c r="CJ113" s="982"/>
      <c r="CK113" s="982"/>
      <c r="CL113" s="982"/>
      <c r="CM113" s="982"/>
      <c r="CN113" s="982"/>
      <c r="CO113" s="982"/>
      <c r="CP113" s="982"/>
      <c r="CQ113" s="982"/>
      <c r="CR113" s="982"/>
      <c r="CS113" s="982"/>
      <c r="CT113" s="982"/>
      <c r="CU113" s="982"/>
      <c r="CV113" s="982"/>
      <c r="CW113" s="982"/>
      <c r="CX113" s="982"/>
      <c r="CY113" s="982"/>
      <c r="CZ113" s="982"/>
      <c r="DA113" s="982"/>
      <c r="DB113" s="982"/>
      <c r="DC113" s="982"/>
      <c r="DD113" s="982"/>
      <c r="DE113" s="982"/>
      <c r="DF113" s="982"/>
      <c r="DG113" s="982"/>
      <c r="DH113" s="982"/>
      <c r="DI113" s="982"/>
      <c r="DJ113" s="982"/>
      <c r="DK113" s="982"/>
      <c r="DL113" s="982"/>
      <c r="DM113" s="982"/>
      <c r="DN113" s="982"/>
      <c r="DO113" s="982"/>
      <c r="DP113" s="982"/>
      <c r="DQ113" s="982"/>
      <c r="DR113" s="982"/>
      <c r="DS113" s="982"/>
      <c r="DT113" s="982"/>
      <c r="DU113" s="982"/>
      <c r="DV113" s="982"/>
      <c r="DW113" s="982"/>
      <c r="DX113" s="982"/>
      <c r="DY113" s="982"/>
      <c r="DZ113" s="982"/>
      <c r="EA113" s="982"/>
      <c r="EB113" s="982"/>
      <c r="EC113" s="982"/>
      <c r="ED113" s="982"/>
      <c r="EE113" s="982"/>
      <c r="EF113" s="982"/>
      <c r="EG113" s="982"/>
      <c r="EH113" s="982"/>
      <c r="EI113" s="982"/>
      <c r="EJ113" s="982"/>
      <c r="EK113" s="982"/>
      <c r="EL113" s="982"/>
      <c r="EM113" s="982"/>
      <c r="EN113" s="982"/>
      <c r="EO113" s="982"/>
      <c r="EP113" s="982"/>
      <c r="EQ113" s="982"/>
      <c r="ER113" s="982"/>
      <c r="ES113" s="982"/>
      <c r="ET113" s="982"/>
      <c r="EU113" s="982"/>
      <c r="EV113" s="982"/>
      <c r="EW113" s="982"/>
      <c r="EX113" s="982"/>
      <c r="EY113" s="982"/>
      <c r="EZ113" s="982"/>
      <c r="FA113" s="982"/>
      <c r="FB113" s="982"/>
      <c r="FC113" s="982"/>
      <c r="FD113" s="982"/>
      <c r="FE113" s="982"/>
      <c r="FF113" s="982"/>
      <c r="FG113" s="982"/>
      <c r="FH113" s="982"/>
      <c r="FI113" s="982"/>
      <c r="FJ113" s="982"/>
      <c r="FK113" s="982"/>
      <c r="FL113" s="982"/>
      <c r="FM113" s="982"/>
      <c r="FN113" s="982"/>
      <c r="FO113" s="982"/>
      <c r="FP113" s="982"/>
      <c r="FQ113" s="982"/>
      <c r="FR113" s="982"/>
      <c r="FS113" s="982"/>
      <c r="FT113" s="982"/>
      <c r="FU113" s="982"/>
      <c r="FV113" s="982"/>
      <c r="FW113" s="982"/>
      <c r="FX113" s="982"/>
      <c r="FY113" s="982"/>
      <c r="FZ113" s="982"/>
      <c r="GA113" s="982"/>
      <c r="GB113" s="982"/>
      <c r="GC113" s="982"/>
      <c r="GD113" s="982"/>
      <c r="GE113" s="982"/>
      <c r="GF113" s="982"/>
      <c r="GG113" s="982"/>
      <c r="GH113" s="982"/>
      <c r="GI113" s="982"/>
      <c r="GJ113" s="982"/>
      <c r="GK113" s="982"/>
      <c r="GL113" s="982"/>
      <c r="GM113" s="982"/>
      <c r="GN113" s="982"/>
      <c r="GO113" s="982"/>
      <c r="GP113" s="982"/>
      <c r="GQ113" s="982"/>
      <c r="GR113" s="982"/>
      <c r="GS113" s="982"/>
      <c r="GT113" s="982"/>
      <c r="GU113" s="982"/>
      <c r="GV113" s="982"/>
      <c r="GW113" s="982"/>
      <c r="GX113" s="982"/>
      <c r="GY113" s="982"/>
      <c r="GZ113" s="982"/>
      <c r="HA113" s="982"/>
      <c r="HB113" s="982"/>
      <c r="HC113" s="982"/>
      <c r="HD113" s="982"/>
      <c r="HE113" s="982"/>
      <c r="HF113" s="982"/>
      <c r="HG113" s="982"/>
      <c r="HH113" s="982"/>
      <c r="HI113" s="982"/>
      <c r="HJ113" s="982"/>
      <c r="HK113" s="982"/>
      <c r="HL113" s="982"/>
      <c r="HM113" s="982"/>
      <c r="HN113" s="982"/>
      <c r="HO113" s="982"/>
      <c r="HP113" s="982"/>
      <c r="HQ113" s="982"/>
      <c r="HR113" s="982"/>
      <c r="HS113" s="982"/>
      <c r="HT113" s="982"/>
      <c r="HU113" s="982"/>
      <c r="HV113" s="982"/>
      <c r="HW113" s="982"/>
      <c r="HX113" s="982"/>
      <c r="HY113" s="982"/>
      <c r="HZ113" s="982"/>
      <c r="IA113" s="982"/>
      <c r="IB113" s="982"/>
      <c r="IC113" s="982"/>
      <c r="ID113" s="982"/>
      <c r="IE113" s="982"/>
      <c r="IF113" s="982"/>
      <c r="IG113" s="982"/>
      <c r="IH113" s="982"/>
      <c r="II113" s="982"/>
      <c r="IJ113" s="982"/>
      <c r="IK113" s="982"/>
      <c r="IL113" s="982"/>
      <c r="IM113" s="982"/>
      <c r="IN113" s="982"/>
      <c r="IO113" s="982"/>
      <c r="IP113" s="982"/>
      <c r="IQ113" s="982"/>
      <c r="IR113" s="982"/>
      <c r="IS113" s="982"/>
      <c r="IT113" s="982"/>
      <c r="IU113" s="982"/>
      <c r="IV113" s="982"/>
      <c r="IW113" s="982"/>
      <c r="IX113" s="982"/>
    </row>
    <row r="114" spans="66:258" ht="20.100000000000001" hidden="1" customHeight="1">
      <c r="BN114" s="982"/>
      <c r="BO114" s="1734" t="s">
        <v>127</v>
      </c>
      <c r="BP114" s="996">
        <v>0</v>
      </c>
      <c r="BQ114" s="996">
        <v>0</v>
      </c>
      <c r="BR114" s="996">
        <v>0</v>
      </c>
      <c r="BS114" s="996">
        <v>0</v>
      </c>
      <c r="BT114" s="996">
        <v>0</v>
      </c>
      <c r="BU114" s="996">
        <v>0</v>
      </c>
      <c r="BV114" s="996">
        <v>0</v>
      </c>
      <c r="BW114" s="996">
        <v>7</v>
      </c>
      <c r="BX114" s="996">
        <v>0</v>
      </c>
      <c r="BY114" s="996">
        <v>0</v>
      </c>
      <c r="BZ114" s="996">
        <v>0</v>
      </c>
      <c r="CA114" s="996">
        <v>0</v>
      </c>
      <c r="CB114" s="996">
        <v>0</v>
      </c>
      <c r="CC114" s="996">
        <v>0</v>
      </c>
      <c r="CD114" s="996">
        <v>0</v>
      </c>
      <c r="CE114" s="996">
        <v>0</v>
      </c>
      <c r="CF114" s="996">
        <v>0</v>
      </c>
      <c r="CG114" s="996">
        <v>0</v>
      </c>
      <c r="CH114" s="997">
        <v>0</v>
      </c>
      <c r="CI114" s="998">
        <v>7</v>
      </c>
      <c r="CJ114" s="982"/>
      <c r="CK114" s="982"/>
      <c r="CL114" s="982"/>
      <c r="CM114" s="982"/>
      <c r="CN114" s="982"/>
      <c r="CO114" s="982"/>
      <c r="CP114" s="982"/>
      <c r="CQ114" s="982"/>
      <c r="CR114" s="982"/>
      <c r="CS114" s="982"/>
      <c r="CT114" s="982"/>
      <c r="CU114" s="982"/>
      <c r="CV114" s="982"/>
      <c r="CW114" s="982"/>
      <c r="CX114" s="982"/>
      <c r="CY114" s="982"/>
      <c r="CZ114" s="982"/>
      <c r="DA114" s="982"/>
      <c r="DB114" s="982"/>
      <c r="DC114" s="982"/>
      <c r="DD114" s="982"/>
      <c r="DE114" s="982"/>
      <c r="DF114" s="982"/>
      <c r="DG114" s="982"/>
      <c r="DH114" s="982"/>
      <c r="DI114" s="982"/>
      <c r="DJ114" s="982"/>
      <c r="DK114" s="982"/>
      <c r="DL114" s="982"/>
      <c r="DM114" s="982"/>
      <c r="DN114" s="982"/>
      <c r="DO114" s="982"/>
      <c r="DP114" s="982"/>
      <c r="DQ114" s="982"/>
      <c r="DR114" s="982"/>
      <c r="DS114" s="982"/>
      <c r="DT114" s="982"/>
      <c r="DU114" s="982"/>
      <c r="DV114" s="982"/>
      <c r="DW114" s="982"/>
      <c r="DX114" s="982"/>
      <c r="DY114" s="982"/>
      <c r="DZ114" s="982"/>
      <c r="EA114" s="982"/>
      <c r="EB114" s="982"/>
      <c r="EC114" s="982"/>
      <c r="ED114" s="982"/>
      <c r="EE114" s="982"/>
      <c r="EF114" s="982"/>
      <c r="EG114" s="982"/>
      <c r="EH114" s="982"/>
      <c r="EI114" s="982"/>
      <c r="EJ114" s="982"/>
      <c r="EK114" s="982"/>
      <c r="EL114" s="982"/>
      <c r="EM114" s="982"/>
      <c r="EN114" s="982"/>
      <c r="EO114" s="982"/>
      <c r="EP114" s="982"/>
      <c r="EQ114" s="982"/>
      <c r="ER114" s="982"/>
      <c r="ES114" s="982"/>
      <c r="ET114" s="982"/>
      <c r="EU114" s="982"/>
      <c r="EV114" s="982"/>
      <c r="EW114" s="982"/>
      <c r="EX114" s="982"/>
      <c r="EY114" s="982"/>
      <c r="EZ114" s="982"/>
      <c r="FA114" s="982"/>
      <c r="FB114" s="982"/>
      <c r="FC114" s="982"/>
      <c r="FD114" s="982"/>
      <c r="FE114" s="982"/>
      <c r="FF114" s="982"/>
      <c r="FG114" s="982"/>
      <c r="FH114" s="982"/>
      <c r="FI114" s="982"/>
      <c r="FJ114" s="982"/>
      <c r="FK114" s="982"/>
      <c r="FL114" s="982"/>
      <c r="FM114" s="982"/>
      <c r="FN114" s="982"/>
      <c r="FO114" s="982"/>
      <c r="FP114" s="982"/>
      <c r="FQ114" s="982"/>
      <c r="FR114" s="982"/>
      <c r="FS114" s="982"/>
      <c r="FT114" s="982"/>
      <c r="FU114" s="982"/>
      <c r="FV114" s="982"/>
      <c r="FW114" s="982"/>
      <c r="FX114" s="982"/>
      <c r="FY114" s="982"/>
      <c r="FZ114" s="982"/>
      <c r="GA114" s="982"/>
      <c r="GB114" s="982"/>
      <c r="GC114" s="982"/>
      <c r="GD114" s="982"/>
      <c r="GE114" s="982"/>
      <c r="GF114" s="982"/>
      <c r="GG114" s="982"/>
      <c r="GH114" s="982"/>
      <c r="GI114" s="982"/>
      <c r="GJ114" s="982"/>
      <c r="GK114" s="982"/>
      <c r="GL114" s="982"/>
      <c r="GM114" s="982"/>
      <c r="GN114" s="982"/>
      <c r="GO114" s="982"/>
      <c r="GP114" s="982"/>
      <c r="GQ114" s="982"/>
      <c r="GR114" s="982"/>
      <c r="GS114" s="982"/>
      <c r="GT114" s="982"/>
      <c r="GU114" s="982"/>
      <c r="GV114" s="982"/>
      <c r="GW114" s="982"/>
      <c r="GX114" s="982"/>
      <c r="GY114" s="982"/>
      <c r="GZ114" s="982"/>
      <c r="HA114" s="982"/>
      <c r="HB114" s="982"/>
      <c r="HC114" s="982"/>
      <c r="HD114" s="982"/>
      <c r="HE114" s="982"/>
      <c r="HF114" s="982"/>
      <c r="HG114" s="982"/>
      <c r="HH114" s="982"/>
      <c r="HI114" s="982"/>
      <c r="HJ114" s="982"/>
      <c r="HK114" s="982"/>
      <c r="HL114" s="982"/>
      <c r="HM114" s="982"/>
      <c r="HN114" s="982"/>
      <c r="HO114" s="982"/>
      <c r="HP114" s="982"/>
      <c r="HQ114" s="982"/>
      <c r="HR114" s="982"/>
      <c r="HS114" s="982"/>
      <c r="HT114" s="982"/>
      <c r="HU114" s="982"/>
      <c r="HV114" s="982"/>
      <c r="HW114" s="982"/>
      <c r="HX114" s="982"/>
      <c r="HY114" s="982"/>
      <c r="HZ114" s="982"/>
      <c r="IA114" s="982"/>
      <c r="IB114" s="982"/>
      <c r="IC114" s="982"/>
      <c r="ID114" s="982"/>
      <c r="IE114" s="982"/>
      <c r="IF114" s="982"/>
      <c r="IG114" s="982"/>
      <c r="IH114" s="982"/>
      <c r="II114" s="982"/>
      <c r="IJ114" s="982"/>
      <c r="IK114" s="982"/>
      <c r="IL114" s="982"/>
      <c r="IM114" s="982"/>
      <c r="IN114" s="982"/>
      <c r="IO114" s="982"/>
      <c r="IP114" s="982"/>
      <c r="IQ114" s="982"/>
      <c r="IR114" s="982"/>
      <c r="IS114" s="982"/>
      <c r="IT114" s="982"/>
      <c r="IU114" s="982"/>
      <c r="IV114" s="982"/>
      <c r="IW114" s="982"/>
      <c r="IX114" s="982"/>
    </row>
    <row r="115" spans="66:258" ht="20.100000000000001" hidden="1" customHeight="1">
      <c r="BN115" s="982"/>
      <c r="BO115" s="1734" t="s">
        <v>128</v>
      </c>
      <c r="BP115" s="996">
        <v>0</v>
      </c>
      <c r="BQ115" s="996">
        <v>0</v>
      </c>
      <c r="BR115" s="996">
        <v>0</v>
      </c>
      <c r="BS115" s="996">
        <v>0</v>
      </c>
      <c r="BT115" s="996">
        <v>0</v>
      </c>
      <c r="BU115" s="996">
        <v>0</v>
      </c>
      <c r="BV115" s="996">
        <v>0</v>
      </c>
      <c r="BW115" s="996">
        <v>30</v>
      </c>
      <c r="BX115" s="996">
        <v>0</v>
      </c>
      <c r="BY115" s="996">
        <v>0</v>
      </c>
      <c r="BZ115" s="996">
        <v>0</v>
      </c>
      <c r="CA115" s="996">
        <v>0</v>
      </c>
      <c r="CB115" s="996">
        <v>0</v>
      </c>
      <c r="CC115" s="996">
        <v>0</v>
      </c>
      <c r="CD115" s="996">
        <v>0</v>
      </c>
      <c r="CE115" s="996">
        <v>0</v>
      </c>
      <c r="CF115" s="996">
        <v>0</v>
      </c>
      <c r="CG115" s="996">
        <v>0</v>
      </c>
      <c r="CH115" s="997">
        <v>0</v>
      </c>
      <c r="CI115" s="998">
        <v>30</v>
      </c>
      <c r="CJ115" s="982"/>
      <c r="CK115" s="982"/>
      <c r="CL115" s="982"/>
      <c r="CM115" s="982"/>
      <c r="CN115" s="982"/>
      <c r="CO115" s="982"/>
      <c r="CP115" s="982"/>
      <c r="CQ115" s="982"/>
      <c r="CR115" s="982"/>
      <c r="CS115" s="982"/>
      <c r="CT115" s="982"/>
      <c r="CU115" s="982"/>
      <c r="CV115" s="982"/>
      <c r="CW115" s="982"/>
      <c r="CX115" s="982"/>
      <c r="CY115" s="982"/>
      <c r="CZ115" s="982"/>
      <c r="DA115" s="982"/>
      <c r="DB115" s="982"/>
      <c r="DC115" s="982"/>
      <c r="DD115" s="982"/>
      <c r="DE115" s="982"/>
      <c r="DF115" s="982"/>
      <c r="DG115" s="982"/>
      <c r="DH115" s="982"/>
      <c r="DI115" s="982"/>
      <c r="DJ115" s="982"/>
      <c r="DK115" s="982"/>
      <c r="DL115" s="982"/>
      <c r="DM115" s="982"/>
      <c r="DN115" s="982"/>
      <c r="DO115" s="982"/>
      <c r="DP115" s="982"/>
      <c r="DQ115" s="982"/>
      <c r="DR115" s="982"/>
      <c r="DS115" s="982"/>
      <c r="DT115" s="982"/>
      <c r="DU115" s="982"/>
      <c r="DV115" s="982"/>
      <c r="DW115" s="982"/>
      <c r="DX115" s="982"/>
      <c r="DY115" s="982"/>
      <c r="DZ115" s="982"/>
      <c r="EA115" s="982"/>
      <c r="EB115" s="982"/>
      <c r="EC115" s="982"/>
      <c r="ED115" s="982"/>
      <c r="EE115" s="982"/>
      <c r="EF115" s="982"/>
      <c r="EG115" s="982"/>
      <c r="EH115" s="982"/>
      <c r="EI115" s="982"/>
      <c r="EJ115" s="982"/>
      <c r="EK115" s="982"/>
      <c r="EL115" s="982"/>
      <c r="EM115" s="982"/>
      <c r="EN115" s="982"/>
      <c r="EO115" s="982"/>
      <c r="EP115" s="982"/>
      <c r="EQ115" s="982"/>
      <c r="ER115" s="982"/>
      <c r="ES115" s="982"/>
      <c r="ET115" s="982"/>
      <c r="EU115" s="982"/>
      <c r="EV115" s="982"/>
      <c r="EW115" s="982"/>
      <c r="EX115" s="982"/>
      <c r="EY115" s="982"/>
      <c r="EZ115" s="982"/>
      <c r="FA115" s="982"/>
      <c r="FB115" s="982"/>
      <c r="FC115" s="982"/>
      <c r="FD115" s="982"/>
      <c r="FE115" s="982"/>
      <c r="FF115" s="982"/>
      <c r="FG115" s="982"/>
      <c r="FH115" s="982"/>
      <c r="FI115" s="982"/>
      <c r="FJ115" s="982"/>
      <c r="FK115" s="982"/>
      <c r="FL115" s="982"/>
      <c r="FM115" s="982"/>
      <c r="FN115" s="982"/>
      <c r="FO115" s="982"/>
      <c r="FP115" s="982"/>
      <c r="FQ115" s="982"/>
      <c r="FR115" s="982"/>
      <c r="FS115" s="982"/>
      <c r="FT115" s="982"/>
      <c r="FU115" s="982"/>
      <c r="FV115" s="982"/>
      <c r="FW115" s="982"/>
      <c r="FX115" s="982"/>
      <c r="FY115" s="982"/>
      <c r="FZ115" s="982"/>
      <c r="GA115" s="982"/>
      <c r="GB115" s="982"/>
      <c r="GC115" s="982"/>
      <c r="GD115" s="982"/>
      <c r="GE115" s="982"/>
      <c r="GF115" s="982"/>
      <c r="GG115" s="982"/>
      <c r="GH115" s="982"/>
      <c r="GI115" s="982"/>
      <c r="GJ115" s="982"/>
      <c r="GK115" s="982"/>
      <c r="GL115" s="982"/>
      <c r="GM115" s="982"/>
      <c r="GN115" s="982"/>
      <c r="GO115" s="982"/>
      <c r="GP115" s="982"/>
      <c r="GQ115" s="982"/>
      <c r="GR115" s="982"/>
      <c r="GS115" s="982"/>
      <c r="GT115" s="982"/>
      <c r="GU115" s="982"/>
      <c r="GV115" s="982"/>
      <c r="GW115" s="982"/>
      <c r="GX115" s="982"/>
      <c r="GY115" s="982"/>
      <c r="GZ115" s="982"/>
      <c r="HA115" s="982"/>
      <c r="HB115" s="982"/>
      <c r="HC115" s="982"/>
      <c r="HD115" s="982"/>
      <c r="HE115" s="982"/>
      <c r="HF115" s="982"/>
      <c r="HG115" s="982"/>
      <c r="HH115" s="982"/>
      <c r="HI115" s="982"/>
      <c r="HJ115" s="982"/>
      <c r="HK115" s="982"/>
      <c r="HL115" s="982"/>
      <c r="HM115" s="982"/>
      <c r="HN115" s="982"/>
      <c r="HO115" s="982"/>
      <c r="HP115" s="982"/>
      <c r="HQ115" s="982"/>
      <c r="HR115" s="982"/>
      <c r="HS115" s="982"/>
      <c r="HT115" s="982"/>
      <c r="HU115" s="982"/>
      <c r="HV115" s="982"/>
      <c r="HW115" s="982"/>
      <c r="HX115" s="982"/>
      <c r="HY115" s="982"/>
      <c r="HZ115" s="982"/>
      <c r="IA115" s="982"/>
      <c r="IB115" s="982"/>
      <c r="IC115" s="982"/>
      <c r="ID115" s="982"/>
      <c r="IE115" s="982"/>
      <c r="IF115" s="982"/>
      <c r="IG115" s="982"/>
      <c r="IH115" s="982"/>
      <c r="II115" s="982"/>
      <c r="IJ115" s="982"/>
      <c r="IK115" s="982"/>
      <c r="IL115" s="982"/>
      <c r="IM115" s="982"/>
      <c r="IN115" s="982"/>
      <c r="IO115" s="982"/>
      <c r="IP115" s="982"/>
      <c r="IQ115" s="982"/>
      <c r="IR115" s="982"/>
      <c r="IS115" s="982"/>
      <c r="IT115" s="982"/>
      <c r="IU115" s="982"/>
      <c r="IV115" s="982"/>
      <c r="IW115" s="982"/>
      <c r="IX115" s="982"/>
    </row>
    <row r="116" spans="66:258" ht="20.100000000000001" hidden="1" customHeight="1">
      <c r="BN116" s="982"/>
      <c r="BO116" s="1734" t="s">
        <v>129</v>
      </c>
      <c r="BP116" s="996">
        <v>0</v>
      </c>
      <c r="BQ116" s="996">
        <v>0</v>
      </c>
      <c r="BR116" s="996">
        <v>0</v>
      </c>
      <c r="BS116" s="996">
        <v>0</v>
      </c>
      <c r="BT116" s="996">
        <v>0</v>
      </c>
      <c r="BU116" s="996">
        <v>0</v>
      </c>
      <c r="BV116" s="996">
        <v>0</v>
      </c>
      <c r="BW116" s="996">
        <v>0</v>
      </c>
      <c r="BX116" s="996">
        <v>14</v>
      </c>
      <c r="BY116" s="996">
        <v>0</v>
      </c>
      <c r="BZ116" s="996">
        <v>0</v>
      </c>
      <c r="CA116" s="996">
        <v>0</v>
      </c>
      <c r="CB116" s="996">
        <v>0</v>
      </c>
      <c r="CC116" s="996">
        <v>0</v>
      </c>
      <c r="CD116" s="996">
        <v>0</v>
      </c>
      <c r="CE116" s="996">
        <v>0</v>
      </c>
      <c r="CF116" s="996">
        <v>0</v>
      </c>
      <c r="CG116" s="996">
        <v>0</v>
      </c>
      <c r="CH116" s="997">
        <v>0</v>
      </c>
      <c r="CI116" s="998">
        <v>14</v>
      </c>
      <c r="CJ116" s="982"/>
      <c r="CK116" s="982"/>
      <c r="CL116" s="982"/>
      <c r="CM116" s="982"/>
      <c r="CN116" s="982"/>
      <c r="CO116" s="982"/>
      <c r="CP116" s="982"/>
      <c r="CQ116" s="982"/>
      <c r="CR116" s="982"/>
      <c r="CS116" s="982"/>
      <c r="CT116" s="982"/>
      <c r="CU116" s="982"/>
      <c r="CV116" s="982"/>
      <c r="CW116" s="982"/>
      <c r="CX116" s="982"/>
      <c r="CY116" s="982"/>
      <c r="CZ116" s="982"/>
      <c r="DA116" s="982"/>
      <c r="DB116" s="982"/>
      <c r="DC116" s="982"/>
      <c r="DD116" s="982"/>
      <c r="DE116" s="982"/>
      <c r="DF116" s="982"/>
      <c r="DG116" s="982"/>
      <c r="DH116" s="982"/>
      <c r="DI116" s="982"/>
      <c r="DJ116" s="982"/>
      <c r="DK116" s="982"/>
      <c r="DL116" s="982"/>
      <c r="DM116" s="982"/>
      <c r="DN116" s="982"/>
      <c r="DO116" s="982"/>
      <c r="DP116" s="982"/>
      <c r="DQ116" s="982"/>
      <c r="DR116" s="982"/>
      <c r="DS116" s="982"/>
      <c r="DT116" s="982"/>
      <c r="DU116" s="982"/>
      <c r="DV116" s="982"/>
      <c r="DW116" s="982"/>
      <c r="DX116" s="982"/>
      <c r="DY116" s="982"/>
      <c r="DZ116" s="982"/>
      <c r="EA116" s="982"/>
      <c r="EB116" s="982"/>
      <c r="EC116" s="982"/>
      <c r="ED116" s="982"/>
      <c r="EE116" s="982"/>
      <c r="EF116" s="982"/>
      <c r="EG116" s="982"/>
      <c r="EH116" s="982"/>
      <c r="EI116" s="982"/>
      <c r="EJ116" s="982"/>
      <c r="EK116" s="982"/>
      <c r="EL116" s="982"/>
      <c r="EM116" s="982"/>
      <c r="EN116" s="982"/>
      <c r="EO116" s="982"/>
      <c r="EP116" s="982"/>
      <c r="EQ116" s="982"/>
      <c r="ER116" s="982"/>
      <c r="ES116" s="982"/>
      <c r="ET116" s="982"/>
      <c r="EU116" s="982"/>
      <c r="EV116" s="982"/>
      <c r="EW116" s="982"/>
      <c r="EX116" s="982"/>
      <c r="EY116" s="982"/>
      <c r="EZ116" s="982"/>
      <c r="FA116" s="982"/>
      <c r="FB116" s="982"/>
      <c r="FC116" s="982"/>
      <c r="FD116" s="982"/>
      <c r="FE116" s="982"/>
      <c r="FF116" s="982"/>
      <c r="FG116" s="982"/>
      <c r="FH116" s="982"/>
      <c r="FI116" s="982"/>
      <c r="FJ116" s="982"/>
      <c r="FK116" s="982"/>
      <c r="FL116" s="982"/>
      <c r="FM116" s="982"/>
      <c r="FN116" s="982"/>
      <c r="FO116" s="982"/>
      <c r="FP116" s="982"/>
      <c r="FQ116" s="982"/>
      <c r="FR116" s="982"/>
      <c r="FS116" s="982"/>
      <c r="FT116" s="982"/>
      <c r="FU116" s="982"/>
      <c r="FV116" s="982"/>
      <c r="FW116" s="982"/>
      <c r="FX116" s="982"/>
      <c r="FY116" s="982"/>
      <c r="FZ116" s="982"/>
      <c r="GA116" s="982"/>
      <c r="GB116" s="982"/>
      <c r="GC116" s="982"/>
      <c r="GD116" s="982"/>
      <c r="GE116" s="982"/>
      <c r="GF116" s="982"/>
      <c r="GG116" s="982"/>
      <c r="GH116" s="982"/>
      <c r="GI116" s="982"/>
      <c r="GJ116" s="982"/>
      <c r="GK116" s="982"/>
      <c r="GL116" s="982"/>
      <c r="GM116" s="982"/>
      <c r="GN116" s="982"/>
      <c r="GO116" s="982"/>
      <c r="GP116" s="982"/>
      <c r="GQ116" s="982"/>
      <c r="GR116" s="982"/>
      <c r="GS116" s="982"/>
      <c r="GT116" s="982"/>
      <c r="GU116" s="982"/>
      <c r="GV116" s="982"/>
      <c r="GW116" s="982"/>
      <c r="GX116" s="982"/>
      <c r="GY116" s="982"/>
      <c r="GZ116" s="982"/>
      <c r="HA116" s="982"/>
      <c r="HB116" s="982"/>
      <c r="HC116" s="982"/>
      <c r="HD116" s="982"/>
      <c r="HE116" s="982"/>
      <c r="HF116" s="982"/>
      <c r="HG116" s="982"/>
      <c r="HH116" s="982"/>
      <c r="HI116" s="982"/>
      <c r="HJ116" s="982"/>
      <c r="HK116" s="982"/>
      <c r="HL116" s="982"/>
      <c r="HM116" s="982"/>
      <c r="HN116" s="982"/>
      <c r="HO116" s="982"/>
      <c r="HP116" s="982"/>
      <c r="HQ116" s="982"/>
      <c r="HR116" s="982"/>
      <c r="HS116" s="982"/>
      <c r="HT116" s="982"/>
      <c r="HU116" s="982"/>
      <c r="HV116" s="982"/>
      <c r="HW116" s="982"/>
      <c r="HX116" s="982"/>
      <c r="HY116" s="982"/>
      <c r="HZ116" s="982"/>
      <c r="IA116" s="982"/>
      <c r="IB116" s="982"/>
      <c r="IC116" s="982"/>
      <c r="ID116" s="982"/>
      <c r="IE116" s="982"/>
      <c r="IF116" s="982"/>
      <c r="IG116" s="982"/>
      <c r="IH116" s="982"/>
      <c r="II116" s="982"/>
      <c r="IJ116" s="982"/>
      <c r="IK116" s="982"/>
      <c r="IL116" s="982"/>
      <c r="IM116" s="982"/>
      <c r="IN116" s="982"/>
      <c r="IO116" s="982"/>
      <c r="IP116" s="982"/>
      <c r="IQ116" s="982"/>
      <c r="IR116" s="982"/>
      <c r="IS116" s="982"/>
      <c r="IT116" s="982"/>
      <c r="IU116" s="982"/>
      <c r="IV116" s="982"/>
      <c r="IW116" s="982"/>
      <c r="IX116" s="982"/>
    </row>
    <row r="117" spans="66:258" ht="20.100000000000001" hidden="1" customHeight="1">
      <c r="BN117" s="982"/>
      <c r="BO117" s="1734" t="s">
        <v>130</v>
      </c>
      <c r="BP117" s="996">
        <v>0</v>
      </c>
      <c r="BQ117" s="996">
        <v>0</v>
      </c>
      <c r="BR117" s="996">
        <v>0</v>
      </c>
      <c r="BS117" s="996">
        <v>0</v>
      </c>
      <c r="BT117" s="996">
        <v>0</v>
      </c>
      <c r="BU117" s="996">
        <v>0</v>
      </c>
      <c r="BV117" s="996">
        <v>0</v>
      </c>
      <c r="BW117" s="996">
        <v>0</v>
      </c>
      <c r="BX117" s="996">
        <v>0</v>
      </c>
      <c r="BY117" s="996">
        <v>0</v>
      </c>
      <c r="BZ117" s="996">
        <v>0</v>
      </c>
      <c r="CA117" s="996">
        <v>0</v>
      </c>
      <c r="CB117" s="996">
        <v>0</v>
      </c>
      <c r="CC117" s="996">
        <v>0</v>
      </c>
      <c r="CD117" s="996">
        <v>0</v>
      </c>
      <c r="CE117" s="996">
        <v>0</v>
      </c>
      <c r="CF117" s="996">
        <v>19</v>
      </c>
      <c r="CG117" s="996">
        <v>0</v>
      </c>
      <c r="CH117" s="997">
        <v>0</v>
      </c>
      <c r="CI117" s="998">
        <v>19</v>
      </c>
      <c r="CJ117" s="982"/>
      <c r="CK117" s="982"/>
      <c r="CL117" s="982"/>
      <c r="CM117" s="982"/>
      <c r="CN117" s="982"/>
      <c r="CO117" s="982"/>
      <c r="CP117" s="982"/>
      <c r="CQ117" s="982"/>
      <c r="CR117" s="982"/>
      <c r="CS117" s="982"/>
      <c r="CT117" s="982"/>
      <c r="CU117" s="982"/>
      <c r="CV117" s="982"/>
      <c r="CW117" s="982"/>
      <c r="CX117" s="982"/>
      <c r="CY117" s="982"/>
      <c r="CZ117" s="982"/>
      <c r="DA117" s="982"/>
      <c r="DB117" s="982"/>
      <c r="DC117" s="982"/>
      <c r="DD117" s="982"/>
      <c r="DE117" s="982"/>
      <c r="DF117" s="982"/>
      <c r="DG117" s="982"/>
      <c r="DH117" s="982"/>
      <c r="DI117" s="982"/>
      <c r="DJ117" s="982"/>
      <c r="DK117" s="982"/>
      <c r="DL117" s="982"/>
      <c r="DM117" s="982"/>
      <c r="DN117" s="982"/>
      <c r="DO117" s="982"/>
      <c r="DP117" s="982"/>
      <c r="DQ117" s="982"/>
      <c r="DR117" s="982"/>
      <c r="DS117" s="982"/>
      <c r="DT117" s="982"/>
      <c r="DU117" s="982"/>
      <c r="DV117" s="982"/>
      <c r="DW117" s="982"/>
      <c r="DX117" s="982"/>
      <c r="DY117" s="982"/>
      <c r="DZ117" s="982"/>
      <c r="EA117" s="982"/>
      <c r="EB117" s="982"/>
      <c r="EC117" s="982"/>
      <c r="ED117" s="982"/>
      <c r="EE117" s="982"/>
      <c r="EF117" s="982"/>
      <c r="EG117" s="982"/>
      <c r="EH117" s="982"/>
      <c r="EI117" s="982"/>
      <c r="EJ117" s="982"/>
      <c r="EK117" s="982"/>
      <c r="EL117" s="982"/>
      <c r="EM117" s="982"/>
      <c r="EN117" s="982"/>
      <c r="EO117" s="982"/>
      <c r="EP117" s="982"/>
      <c r="EQ117" s="982"/>
      <c r="ER117" s="982"/>
      <c r="ES117" s="982"/>
      <c r="ET117" s="982"/>
      <c r="EU117" s="982"/>
      <c r="EV117" s="982"/>
      <c r="EW117" s="982"/>
      <c r="EX117" s="982"/>
      <c r="EY117" s="982"/>
      <c r="EZ117" s="982"/>
      <c r="FA117" s="982"/>
      <c r="FB117" s="982"/>
      <c r="FC117" s="982"/>
      <c r="FD117" s="982"/>
      <c r="FE117" s="982"/>
      <c r="FF117" s="982"/>
      <c r="FG117" s="982"/>
      <c r="FH117" s="982"/>
      <c r="FI117" s="982"/>
      <c r="FJ117" s="982"/>
      <c r="FK117" s="982"/>
      <c r="FL117" s="982"/>
      <c r="FM117" s="982"/>
      <c r="FN117" s="982"/>
      <c r="FO117" s="982"/>
      <c r="FP117" s="982"/>
      <c r="FQ117" s="982"/>
      <c r="FR117" s="982"/>
      <c r="FS117" s="982"/>
      <c r="FT117" s="982"/>
      <c r="FU117" s="982"/>
      <c r="FV117" s="982"/>
      <c r="FW117" s="982"/>
      <c r="FX117" s="982"/>
      <c r="FY117" s="982"/>
      <c r="FZ117" s="982"/>
      <c r="GA117" s="982"/>
      <c r="GB117" s="982"/>
      <c r="GC117" s="982"/>
      <c r="GD117" s="982"/>
      <c r="GE117" s="982"/>
      <c r="GF117" s="982"/>
      <c r="GG117" s="982"/>
      <c r="GH117" s="982"/>
      <c r="GI117" s="982"/>
      <c r="GJ117" s="982"/>
      <c r="GK117" s="982"/>
      <c r="GL117" s="982"/>
      <c r="GM117" s="982"/>
      <c r="GN117" s="982"/>
      <c r="GO117" s="982"/>
      <c r="GP117" s="982"/>
      <c r="GQ117" s="982"/>
      <c r="GR117" s="982"/>
      <c r="GS117" s="982"/>
      <c r="GT117" s="982"/>
      <c r="GU117" s="982"/>
      <c r="GV117" s="982"/>
      <c r="GW117" s="982"/>
      <c r="GX117" s="982"/>
      <c r="GY117" s="982"/>
      <c r="GZ117" s="982"/>
      <c r="HA117" s="982"/>
      <c r="HB117" s="982"/>
      <c r="HC117" s="982"/>
      <c r="HD117" s="982"/>
      <c r="HE117" s="982"/>
      <c r="HF117" s="982"/>
      <c r="HG117" s="982"/>
      <c r="HH117" s="982"/>
      <c r="HI117" s="982"/>
      <c r="HJ117" s="982"/>
      <c r="HK117" s="982"/>
      <c r="HL117" s="982"/>
      <c r="HM117" s="982"/>
      <c r="HN117" s="982"/>
      <c r="HO117" s="982"/>
      <c r="HP117" s="982"/>
      <c r="HQ117" s="982"/>
      <c r="HR117" s="982"/>
      <c r="HS117" s="982"/>
      <c r="HT117" s="982"/>
      <c r="HU117" s="982"/>
      <c r="HV117" s="982"/>
      <c r="HW117" s="982"/>
      <c r="HX117" s="982"/>
      <c r="HY117" s="982"/>
      <c r="HZ117" s="982"/>
      <c r="IA117" s="982"/>
      <c r="IB117" s="982"/>
      <c r="IC117" s="982"/>
      <c r="ID117" s="982"/>
      <c r="IE117" s="982"/>
      <c r="IF117" s="982"/>
      <c r="IG117" s="982"/>
      <c r="IH117" s="982"/>
      <c r="II117" s="982"/>
      <c r="IJ117" s="982"/>
      <c r="IK117" s="982"/>
      <c r="IL117" s="982"/>
      <c r="IM117" s="982"/>
      <c r="IN117" s="982"/>
      <c r="IO117" s="982"/>
      <c r="IP117" s="982"/>
      <c r="IQ117" s="982"/>
      <c r="IR117" s="982"/>
      <c r="IS117" s="982"/>
      <c r="IT117" s="982"/>
      <c r="IU117" s="982"/>
      <c r="IV117" s="982"/>
      <c r="IW117" s="982"/>
      <c r="IX117" s="982"/>
    </row>
    <row r="118" spans="66:258" ht="20.100000000000001" hidden="1" customHeight="1">
      <c r="BN118" s="982"/>
      <c r="BO118" s="1734" t="s">
        <v>131</v>
      </c>
      <c r="BP118" s="996">
        <v>0</v>
      </c>
      <c r="BQ118" s="996">
        <v>0</v>
      </c>
      <c r="BR118" s="996">
        <v>0</v>
      </c>
      <c r="BS118" s="996">
        <v>0</v>
      </c>
      <c r="BT118" s="996">
        <v>0</v>
      </c>
      <c r="BU118" s="996">
        <v>0</v>
      </c>
      <c r="BV118" s="996">
        <v>0</v>
      </c>
      <c r="BW118" s="996">
        <v>0</v>
      </c>
      <c r="BX118" s="996">
        <v>0</v>
      </c>
      <c r="BY118" s="996">
        <v>0</v>
      </c>
      <c r="BZ118" s="996">
        <v>0</v>
      </c>
      <c r="CA118" s="996">
        <v>0</v>
      </c>
      <c r="CB118" s="996">
        <v>0</v>
      </c>
      <c r="CC118" s="996">
        <v>0</v>
      </c>
      <c r="CD118" s="996">
        <v>0</v>
      </c>
      <c r="CE118" s="996">
        <v>0</v>
      </c>
      <c r="CF118" s="996">
        <v>0</v>
      </c>
      <c r="CG118" s="996">
        <v>25</v>
      </c>
      <c r="CH118" s="997">
        <v>0</v>
      </c>
      <c r="CI118" s="998">
        <v>25</v>
      </c>
      <c r="CJ118" s="982"/>
      <c r="CK118" s="982"/>
      <c r="CL118" s="982"/>
      <c r="CM118" s="982"/>
      <c r="CN118" s="982"/>
      <c r="CO118" s="982"/>
      <c r="CP118" s="982"/>
      <c r="CQ118" s="982"/>
      <c r="CR118" s="982"/>
      <c r="CS118" s="982"/>
      <c r="CT118" s="982"/>
      <c r="CU118" s="982"/>
      <c r="CV118" s="982"/>
      <c r="CW118" s="982"/>
      <c r="CX118" s="982"/>
      <c r="CY118" s="982"/>
      <c r="CZ118" s="982"/>
      <c r="DA118" s="982"/>
      <c r="DB118" s="982"/>
      <c r="DC118" s="982"/>
      <c r="DD118" s="982"/>
      <c r="DE118" s="982"/>
      <c r="DF118" s="982"/>
      <c r="DG118" s="982"/>
      <c r="DH118" s="982"/>
      <c r="DI118" s="982"/>
      <c r="DJ118" s="982"/>
      <c r="DK118" s="982"/>
      <c r="DL118" s="982"/>
      <c r="DM118" s="982"/>
      <c r="DN118" s="982"/>
      <c r="DO118" s="982"/>
      <c r="DP118" s="982"/>
      <c r="DQ118" s="982"/>
      <c r="DR118" s="982"/>
      <c r="DS118" s="982"/>
      <c r="DT118" s="982"/>
      <c r="DU118" s="982"/>
      <c r="DV118" s="982"/>
      <c r="DW118" s="982"/>
      <c r="DX118" s="982"/>
      <c r="DY118" s="982"/>
      <c r="DZ118" s="982"/>
      <c r="EA118" s="982"/>
      <c r="EB118" s="982"/>
      <c r="EC118" s="982"/>
      <c r="ED118" s="982"/>
      <c r="EE118" s="982"/>
      <c r="EF118" s="982"/>
      <c r="EG118" s="982"/>
      <c r="EH118" s="982"/>
      <c r="EI118" s="982"/>
      <c r="EJ118" s="982"/>
      <c r="EK118" s="982"/>
      <c r="EL118" s="982"/>
      <c r="EM118" s="982"/>
      <c r="EN118" s="982"/>
      <c r="EO118" s="982"/>
      <c r="EP118" s="982"/>
      <c r="EQ118" s="982"/>
      <c r="ER118" s="982"/>
      <c r="ES118" s="982"/>
      <c r="ET118" s="982"/>
      <c r="EU118" s="982"/>
      <c r="EV118" s="982"/>
      <c r="EW118" s="982"/>
      <c r="EX118" s="982"/>
      <c r="EY118" s="982"/>
      <c r="EZ118" s="982"/>
      <c r="FA118" s="982"/>
      <c r="FB118" s="982"/>
      <c r="FC118" s="982"/>
      <c r="FD118" s="982"/>
      <c r="FE118" s="982"/>
      <c r="FF118" s="982"/>
      <c r="FG118" s="982"/>
      <c r="FH118" s="982"/>
      <c r="FI118" s="982"/>
      <c r="FJ118" s="982"/>
      <c r="FK118" s="982"/>
      <c r="FL118" s="982"/>
      <c r="FM118" s="982"/>
      <c r="FN118" s="982"/>
      <c r="FO118" s="982"/>
      <c r="FP118" s="982"/>
      <c r="FQ118" s="982"/>
      <c r="FR118" s="982"/>
      <c r="FS118" s="982"/>
      <c r="FT118" s="982"/>
      <c r="FU118" s="982"/>
      <c r="FV118" s="982"/>
      <c r="FW118" s="982"/>
      <c r="FX118" s="982"/>
      <c r="FY118" s="982"/>
      <c r="FZ118" s="982"/>
      <c r="GA118" s="982"/>
      <c r="GB118" s="982"/>
      <c r="GC118" s="982"/>
      <c r="GD118" s="982"/>
      <c r="GE118" s="982"/>
      <c r="GF118" s="982"/>
      <c r="GG118" s="982"/>
      <c r="GH118" s="982"/>
      <c r="GI118" s="982"/>
      <c r="GJ118" s="982"/>
      <c r="GK118" s="982"/>
      <c r="GL118" s="982"/>
      <c r="GM118" s="982"/>
      <c r="GN118" s="982"/>
      <c r="GO118" s="982"/>
      <c r="GP118" s="982"/>
      <c r="GQ118" s="982"/>
      <c r="GR118" s="982"/>
      <c r="GS118" s="982"/>
      <c r="GT118" s="982"/>
      <c r="GU118" s="982"/>
      <c r="GV118" s="982"/>
      <c r="GW118" s="982"/>
      <c r="GX118" s="982"/>
      <c r="GY118" s="982"/>
      <c r="GZ118" s="982"/>
      <c r="HA118" s="982"/>
      <c r="HB118" s="982"/>
      <c r="HC118" s="982"/>
      <c r="HD118" s="982"/>
      <c r="HE118" s="982"/>
      <c r="HF118" s="982"/>
      <c r="HG118" s="982"/>
      <c r="HH118" s="982"/>
      <c r="HI118" s="982"/>
      <c r="HJ118" s="982"/>
      <c r="HK118" s="982"/>
      <c r="HL118" s="982"/>
      <c r="HM118" s="982"/>
      <c r="HN118" s="982"/>
      <c r="HO118" s="982"/>
      <c r="HP118" s="982"/>
      <c r="HQ118" s="982"/>
      <c r="HR118" s="982"/>
      <c r="HS118" s="982"/>
      <c r="HT118" s="982"/>
      <c r="HU118" s="982"/>
      <c r="HV118" s="982"/>
      <c r="HW118" s="982"/>
      <c r="HX118" s="982"/>
      <c r="HY118" s="982"/>
      <c r="HZ118" s="982"/>
      <c r="IA118" s="982"/>
      <c r="IB118" s="982"/>
      <c r="IC118" s="982"/>
      <c r="ID118" s="982"/>
      <c r="IE118" s="982"/>
      <c r="IF118" s="982"/>
      <c r="IG118" s="982"/>
      <c r="IH118" s="982"/>
      <c r="II118" s="982"/>
      <c r="IJ118" s="982"/>
      <c r="IK118" s="982"/>
      <c r="IL118" s="982"/>
      <c r="IM118" s="982"/>
      <c r="IN118" s="982"/>
      <c r="IO118" s="982"/>
      <c r="IP118" s="982"/>
      <c r="IQ118" s="982"/>
      <c r="IR118" s="982"/>
      <c r="IS118" s="982"/>
      <c r="IT118" s="982"/>
      <c r="IU118" s="982"/>
      <c r="IV118" s="982"/>
      <c r="IW118" s="982"/>
      <c r="IX118" s="982"/>
    </row>
    <row r="119" spans="66:258" ht="30" hidden="1" customHeight="1" thickBot="1">
      <c r="BN119" s="982"/>
      <c r="BO119" s="1735" t="s">
        <v>3</v>
      </c>
      <c r="BP119" s="999">
        <v>0</v>
      </c>
      <c r="BQ119" s="999">
        <v>0</v>
      </c>
      <c r="BR119" s="999">
        <v>8</v>
      </c>
      <c r="BS119" s="999">
        <v>15</v>
      </c>
      <c r="BT119" s="999">
        <v>50</v>
      </c>
      <c r="BU119" s="999">
        <v>0</v>
      </c>
      <c r="BV119" s="999">
        <v>0</v>
      </c>
      <c r="BW119" s="999">
        <v>61</v>
      </c>
      <c r="BX119" s="999">
        <v>14</v>
      </c>
      <c r="BY119" s="999">
        <v>0</v>
      </c>
      <c r="BZ119" s="999">
        <v>0</v>
      </c>
      <c r="CA119" s="999">
        <v>0</v>
      </c>
      <c r="CB119" s="999">
        <v>0</v>
      </c>
      <c r="CC119" s="999">
        <v>50</v>
      </c>
      <c r="CD119" s="999">
        <v>0</v>
      </c>
      <c r="CE119" s="999">
        <v>0</v>
      </c>
      <c r="CF119" s="999">
        <v>19</v>
      </c>
      <c r="CG119" s="999">
        <v>37</v>
      </c>
      <c r="CH119" s="1000">
        <v>0</v>
      </c>
      <c r="CI119" s="1001">
        <v>254</v>
      </c>
      <c r="CJ119" s="982"/>
      <c r="CK119" s="982"/>
      <c r="CL119" s="982"/>
      <c r="CM119" s="982"/>
      <c r="CN119" s="982"/>
      <c r="CO119" s="982"/>
      <c r="CP119" s="982"/>
      <c r="CQ119" s="982"/>
      <c r="CR119" s="982"/>
      <c r="CS119" s="982"/>
      <c r="CT119" s="982"/>
      <c r="CU119" s="982"/>
      <c r="CV119" s="982"/>
      <c r="CW119" s="982"/>
      <c r="CX119" s="982"/>
      <c r="CY119" s="982"/>
      <c r="CZ119" s="982"/>
      <c r="DA119" s="982"/>
      <c r="DB119" s="982"/>
      <c r="DC119" s="982"/>
      <c r="DD119" s="982"/>
      <c r="DE119" s="982"/>
      <c r="DF119" s="982"/>
      <c r="DG119" s="982"/>
      <c r="DH119" s="982"/>
      <c r="DI119" s="982"/>
      <c r="DJ119" s="982"/>
      <c r="DK119" s="982"/>
      <c r="DL119" s="982"/>
      <c r="DM119" s="982"/>
      <c r="DN119" s="982"/>
      <c r="DO119" s="982"/>
      <c r="DP119" s="982"/>
      <c r="DQ119" s="982"/>
      <c r="DR119" s="982"/>
      <c r="DS119" s="982"/>
      <c r="DT119" s="982"/>
      <c r="DU119" s="982"/>
      <c r="DV119" s="982"/>
      <c r="DW119" s="982"/>
      <c r="DX119" s="982"/>
      <c r="DY119" s="982"/>
      <c r="DZ119" s="982"/>
      <c r="EA119" s="982"/>
      <c r="EB119" s="982"/>
      <c r="EC119" s="982"/>
      <c r="ED119" s="982"/>
      <c r="EE119" s="982"/>
      <c r="EF119" s="982"/>
      <c r="EG119" s="982"/>
      <c r="EH119" s="982"/>
      <c r="EI119" s="982"/>
      <c r="EJ119" s="982"/>
      <c r="EK119" s="982"/>
      <c r="EL119" s="982"/>
      <c r="EM119" s="982"/>
      <c r="EN119" s="982"/>
      <c r="EO119" s="982"/>
      <c r="EP119" s="982"/>
      <c r="EQ119" s="982"/>
      <c r="ER119" s="982"/>
      <c r="ES119" s="982"/>
      <c r="ET119" s="982"/>
      <c r="EU119" s="982"/>
      <c r="EV119" s="982"/>
      <c r="EW119" s="982"/>
      <c r="EX119" s="982"/>
      <c r="EY119" s="982"/>
      <c r="EZ119" s="982"/>
      <c r="FA119" s="982"/>
      <c r="FB119" s="982"/>
      <c r="FC119" s="982"/>
      <c r="FD119" s="982"/>
      <c r="FE119" s="982"/>
      <c r="FF119" s="982"/>
      <c r="FG119" s="982"/>
      <c r="FH119" s="982"/>
      <c r="FI119" s="982"/>
      <c r="FJ119" s="982"/>
      <c r="FK119" s="982"/>
      <c r="FL119" s="982"/>
      <c r="FM119" s="982"/>
      <c r="FN119" s="982"/>
      <c r="FO119" s="982"/>
      <c r="FP119" s="982"/>
      <c r="FQ119" s="982"/>
      <c r="FR119" s="982"/>
      <c r="FS119" s="982"/>
      <c r="FT119" s="982"/>
      <c r="FU119" s="982"/>
      <c r="FV119" s="982"/>
      <c r="FW119" s="982"/>
      <c r="FX119" s="982"/>
      <c r="FY119" s="982"/>
      <c r="FZ119" s="982"/>
      <c r="GA119" s="982"/>
      <c r="GB119" s="982"/>
      <c r="GC119" s="982"/>
      <c r="GD119" s="982"/>
      <c r="GE119" s="982"/>
      <c r="GF119" s="982"/>
      <c r="GG119" s="982"/>
      <c r="GH119" s="982"/>
      <c r="GI119" s="982"/>
      <c r="GJ119" s="982"/>
      <c r="GK119" s="982"/>
      <c r="GL119" s="982"/>
      <c r="GM119" s="982"/>
      <c r="GN119" s="982"/>
      <c r="GO119" s="982"/>
      <c r="GP119" s="982"/>
      <c r="GQ119" s="982"/>
      <c r="GR119" s="982"/>
      <c r="GS119" s="982"/>
      <c r="GT119" s="982"/>
      <c r="GU119" s="982"/>
      <c r="GV119" s="982"/>
      <c r="GW119" s="982"/>
      <c r="GX119" s="982"/>
      <c r="GY119" s="982"/>
      <c r="GZ119" s="982"/>
      <c r="HA119" s="982"/>
      <c r="HB119" s="982"/>
      <c r="HC119" s="982"/>
      <c r="HD119" s="982"/>
      <c r="HE119" s="982"/>
      <c r="HF119" s="982"/>
      <c r="HG119" s="982"/>
      <c r="HH119" s="982"/>
      <c r="HI119" s="982"/>
      <c r="HJ119" s="982"/>
      <c r="HK119" s="982"/>
      <c r="HL119" s="982"/>
      <c r="HM119" s="982"/>
      <c r="HN119" s="982"/>
      <c r="HO119" s="982"/>
      <c r="HP119" s="982"/>
      <c r="HQ119" s="982"/>
      <c r="HR119" s="982"/>
      <c r="HS119" s="982"/>
      <c r="HT119" s="982"/>
      <c r="HU119" s="982"/>
      <c r="HV119" s="982"/>
      <c r="HW119" s="982"/>
      <c r="HX119" s="982"/>
      <c r="HY119" s="982"/>
      <c r="HZ119" s="982"/>
      <c r="IA119" s="982"/>
      <c r="IB119" s="982"/>
      <c r="IC119" s="982"/>
      <c r="ID119" s="982"/>
      <c r="IE119" s="982"/>
      <c r="IF119" s="982"/>
      <c r="IG119" s="982"/>
      <c r="IH119" s="982"/>
      <c r="II119" s="982"/>
      <c r="IJ119" s="982"/>
      <c r="IK119" s="982"/>
      <c r="IL119" s="982"/>
      <c r="IM119" s="982"/>
      <c r="IN119" s="982"/>
      <c r="IO119" s="982"/>
      <c r="IP119" s="982"/>
      <c r="IQ119" s="982"/>
      <c r="IR119" s="982"/>
      <c r="IS119" s="982"/>
      <c r="IT119" s="982"/>
      <c r="IU119" s="982"/>
      <c r="IV119" s="982"/>
      <c r="IW119" s="982"/>
      <c r="IX119" s="982"/>
    </row>
    <row r="120" spans="66:258" ht="15" hidden="1" customHeight="1">
      <c r="BN120" s="982"/>
      <c r="BO120" s="982"/>
      <c r="BP120" s="982"/>
      <c r="BQ120" s="982"/>
      <c r="BR120" s="982"/>
      <c r="BS120" s="982"/>
      <c r="BT120" s="982"/>
      <c r="BU120" s="982"/>
      <c r="BV120" s="982"/>
      <c r="BW120" s="982"/>
      <c r="BX120" s="982"/>
      <c r="BY120" s="982"/>
      <c r="BZ120" s="982"/>
      <c r="CA120" s="982"/>
      <c r="CB120" s="982"/>
      <c r="CC120" s="982"/>
      <c r="CD120" s="982"/>
      <c r="CE120" s="982"/>
      <c r="CF120" s="982"/>
      <c r="CG120" s="982"/>
      <c r="CH120" s="982"/>
      <c r="CI120" s="982"/>
      <c r="CJ120" s="982"/>
      <c r="CK120" s="982"/>
      <c r="CL120" s="982"/>
      <c r="CN120" s="982"/>
      <c r="CO120" s="982"/>
      <c r="CP120" s="982"/>
      <c r="CQ120" s="982"/>
      <c r="CR120" s="982"/>
      <c r="CS120" s="982"/>
      <c r="CT120" s="982"/>
      <c r="CU120" s="982"/>
      <c r="CV120" s="982"/>
      <c r="CW120" s="982"/>
      <c r="CX120" s="982"/>
      <c r="CY120" s="982"/>
      <c r="CZ120" s="982"/>
      <c r="DA120" s="982"/>
      <c r="DB120" s="982"/>
      <c r="DC120" s="982"/>
      <c r="DD120" s="982"/>
      <c r="DE120" s="982"/>
      <c r="DF120" s="982"/>
      <c r="DG120" s="982"/>
      <c r="DH120" s="982"/>
      <c r="DI120" s="982"/>
      <c r="DJ120" s="982"/>
      <c r="DK120" s="982"/>
      <c r="DL120" s="982"/>
      <c r="DM120" s="982"/>
      <c r="DN120" s="982"/>
      <c r="DO120" s="982"/>
      <c r="DP120" s="982"/>
      <c r="DQ120" s="982"/>
      <c r="DR120" s="982"/>
      <c r="DS120" s="982"/>
      <c r="DT120" s="982"/>
      <c r="DU120" s="982"/>
      <c r="DV120" s="982"/>
      <c r="DW120" s="982"/>
      <c r="DX120" s="982"/>
      <c r="DY120" s="982"/>
      <c r="DZ120" s="982"/>
      <c r="EA120" s="982"/>
      <c r="EB120" s="982"/>
      <c r="EC120" s="982"/>
      <c r="ED120" s="982"/>
      <c r="EE120" s="982"/>
      <c r="EF120" s="982"/>
      <c r="EG120" s="982"/>
      <c r="EH120" s="982"/>
      <c r="EI120" s="982"/>
      <c r="EJ120" s="982"/>
      <c r="EK120" s="982"/>
      <c r="EL120" s="982"/>
      <c r="EM120" s="982"/>
      <c r="EN120" s="982"/>
      <c r="EO120" s="982"/>
      <c r="EP120" s="982"/>
      <c r="EQ120" s="982"/>
      <c r="ER120" s="982"/>
      <c r="ES120" s="982"/>
      <c r="ET120" s="982"/>
      <c r="EU120" s="982"/>
      <c r="EV120" s="982"/>
      <c r="EW120" s="982"/>
      <c r="EX120" s="982"/>
      <c r="EY120" s="982"/>
      <c r="EZ120" s="982"/>
      <c r="FA120" s="982"/>
      <c r="FB120" s="982"/>
      <c r="FC120" s="982"/>
      <c r="FD120" s="982"/>
      <c r="FE120" s="982"/>
      <c r="FF120" s="982"/>
      <c r="FG120" s="982"/>
      <c r="FH120" s="982"/>
      <c r="FI120" s="982"/>
      <c r="FJ120" s="982"/>
      <c r="FK120" s="982"/>
      <c r="FL120" s="982"/>
      <c r="FM120" s="982"/>
      <c r="FN120" s="982"/>
      <c r="FO120" s="982"/>
      <c r="FP120" s="982"/>
      <c r="FQ120" s="982"/>
      <c r="FR120" s="982"/>
      <c r="FS120" s="982"/>
      <c r="FT120" s="982"/>
      <c r="FU120" s="982"/>
      <c r="FV120" s="982"/>
      <c r="FW120" s="982"/>
      <c r="FX120" s="982"/>
      <c r="FY120" s="982"/>
      <c r="FZ120" s="982"/>
      <c r="GA120" s="982"/>
      <c r="GB120" s="982"/>
      <c r="GC120" s="982"/>
      <c r="GD120" s="982"/>
      <c r="GE120" s="982"/>
      <c r="GF120" s="982"/>
      <c r="GG120" s="982"/>
      <c r="GH120" s="982"/>
      <c r="GI120" s="982"/>
      <c r="GJ120" s="982"/>
      <c r="GK120" s="982"/>
      <c r="GL120" s="982"/>
      <c r="GM120" s="982"/>
      <c r="GN120" s="982"/>
      <c r="GO120" s="982"/>
      <c r="GP120" s="982"/>
      <c r="GQ120" s="982"/>
      <c r="GR120" s="982"/>
      <c r="GS120" s="982"/>
      <c r="GT120" s="982"/>
      <c r="GU120" s="982"/>
      <c r="GV120" s="982"/>
      <c r="GW120" s="982"/>
      <c r="GX120" s="982"/>
      <c r="GY120" s="982"/>
      <c r="GZ120" s="982"/>
      <c r="HA120" s="982"/>
      <c r="HB120" s="982"/>
      <c r="HC120" s="982"/>
      <c r="HD120" s="982"/>
      <c r="HE120" s="982"/>
      <c r="HF120" s="982"/>
      <c r="HG120" s="982"/>
      <c r="HH120" s="982"/>
      <c r="HI120" s="982"/>
      <c r="HJ120" s="982"/>
      <c r="HK120" s="982"/>
      <c r="HL120" s="982"/>
      <c r="HM120" s="982"/>
      <c r="HN120" s="982"/>
      <c r="HO120" s="982"/>
      <c r="HP120" s="982"/>
      <c r="HQ120" s="982"/>
      <c r="HR120" s="982"/>
      <c r="HS120" s="982"/>
      <c r="HT120" s="982"/>
      <c r="HU120" s="982"/>
      <c r="HV120" s="982"/>
      <c r="HW120" s="982"/>
      <c r="HX120" s="982"/>
      <c r="HY120" s="982"/>
      <c r="HZ120" s="982"/>
      <c r="IA120" s="982"/>
      <c r="IB120" s="982"/>
      <c r="IC120" s="982"/>
      <c r="ID120" s="982"/>
      <c r="IE120" s="982"/>
      <c r="IF120" s="982"/>
      <c r="IG120" s="982"/>
      <c r="IH120" s="982"/>
      <c r="II120" s="982"/>
      <c r="IJ120" s="982"/>
      <c r="IK120" s="982"/>
      <c r="IL120" s="982"/>
      <c r="IM120" s="982"/>
      <c r="IN120" s="982"/>
      <c r="IO120" s="982"/>
      <c r="IP120" s="982"/>
      <c r="IQ120" s="982"/>
      <c r="IR120" s="982"/>
      <c r="IS120" s="982"/>
      <c r="IT120" s="982"/>
      <c r="IU120" s="982"/>
      <c r="IV120" s="982"/>
      <c r="IW120" s="982"/>
      <c r="IX120" s="982"/>
    </row>
    <row r="121" spans="66:258" ht="20.100000000000001" hidden="1" customHeight="1">
      <c r="BN121" s="982"/>
      <c r="BO121" s="982"/>
      <c r="BP121" s="982"/>
      <c r="BQ121" s="982"/>
      <c r="BR121" s="982"/>
      <c r="BS121" s="982"/>
      <c r="BT121" s="982"/>
      <c r="BU121" s="982"/>
      <c r="BV121" s="982"/>
      <c r="BW121" s="982"/>
      <c r="BX121" s="982"/>
      <c r="BY121" s="982"/>
      <c r="BZ121" s="982"/>
      <c r="CA121" s="982"/>
      <c r="CB121" s="982"/>
      <c r="CC121" s="982"/>
      <c r="CD121" s="982"/>
      <c r="CE121" s="982"/>
      <c r="CF121" s="982"/>
      <c r="CG121" s="982"/>
      <c r="CH121" s="982"/>
      <c r="CI121" s="982"/>
      <c r="CJ121" s="982"/>
      <c r="CK121" s="983" t="s">
        <v>292</v>
      </c>
      <c r="CL121" s="982"/>
      <c r="CM121" s="982"/>
      <c r="CN121" s="982"/>
      <c r="CO121" s="982"/>
      <c r="CP121" s="982"/>
      <c r="CQ121" s="982"/>
      <c r="CR121" s="982"/>
      <c r="CS121" s="982"/>
      <c r="CT121" s="982"/>
      <c r="CU121" s="982"/>
      <c r="CV121" s="982"/>
      <c r="CW121" s="982"/>
      <c r="CX121" s="982"/>
      <c r="CY121" s="982"/>
      <c r="CZ121" s="982"/>
      <c r="DA121" s="982"/>
      <c r="DB121" s="982"/>
      <c r="DC121" s="982"/>
      <c r="DD121" s="982"/>
      <c r="DE121" s="982"/>
      <c r="DF121" s="982"/>
      <c r="DG121" s="982"/>
      <c r="DH121" s="982"/>
      <c r="DI121" s="982"/>
      <c r="DJ121" s="982"/>
      <c r="DK121" s="982"/>
      <c r="DL121" s="982"/>
      <c r="DM121" s="982"/>
      <c r="DN121" s="982"/>
      <c r="DO121" s="982"/>
      <c r="DP121" s="982"/>
      <c r="DQ121" s="982"/>
      <c r="DR121" s="982"/>
      <c r="DS121" s="982"/>
      <c r="DT121" s="982"/>
      <c r="DU121" s="982"/>
      <c r="DV121" s="982"/>
      <c r="DW121" s="982"/>
      <c r="DX121" s="982"/>
      <c r="DY121" s="982"/>
      <c r="DZ121" s="982"/>
      <c r="EA121" s="982"/>
      <c r="EB121" s="982"/>
      <c r="EC121" s="982"/>
      <c r="ED121" s="982"/>
      <c r="EE121" s="982"/>
      <c r="EF121" s="982"/>
      <c r="EG121" s="982"/>
      <c r="EH121" s="982"/>
      <c r="EI121" s="982"/>
      <c r="EJ121" s="982"/>
      <c r="EK121" s="982"/>
      <c r="EL121" s="982"/>
      <c r="EM121" s="982"/>
      <c r="EN121" s="982"/>
      <c r="EO121" s="982"/>
      <c r="EP121" s="982"/>
      <c r="EQ121" s="982"/>
      <c r="ER121" s="982"/>
      <c r="ES121" s="982"/>
      <c r="ET121" s="982"/>
      <c r="EU121" s="982"/>
      <c r="EV121" s="982"/>
      <c r="EW121" s="982"/>
      <c r="EX121" s="982"/>
      <c r="EY121" s="982"/>
      <c r="EZ121" s="982"/>
      <c r="FA121" s="982"/>
      <c r="FB121" s="982"/>
      <c r="FC121" s="982"/>
      <c r="FD121" s="982"/>
      <c r="FE121" s="982"/>
      <c r="FF121" s="982"/>
      <c r="FG121" s="982"/>
      <c r="FH121" s="982"/>
      <c r="FI121" s="982"/>
      <c r="FJ121" s="982"/>
      <c r="FK121" s="982"/>
      <c r="FL121" s="982"/>
      <c r="FM121" s="982"/>
      <c r="FN121" s="982"/>
      <c r="FO121" s="982"/>
      <c r="FP121" s="982"/>
      <c r="FQ121" s="982"/>
      <c r="FR121" s="982"/>
      <c r="FS121" s="982"/>
      <c r="FT121" s="982"/>
      <c r="FU121" s="982"/>
      <c r="FV121" s="982"/>
      <c r="FW121" s="982"/>
      <c r="FX121" s="982"/>
      <c r="FY121" s="982"/>
      <c r="FZ121" s="982"/>
      <c r="GA121" s="982"/>
      <c r="GB121" s="982"/>
      <c r="GC121" s="982"/>
      <c r="GD121" s="982"/>
      <c r="GE121" s="982"/>
      <c r="GF121" s="982"/>
      <c r="GG121" s="982"/>
      <c r="GH121" s="982"/>
      <c r="GI121" s="982"/>
      <c r="GJ121" s="982"/>
      <c r="GK121" s="982"/>
      <c r="GL121" s="982"/>
      <c r="GM121" s="982"/>
      <c r="GN121" s="982"/>
      <c r="GO121" s="982"/>
      <c r="GP121" s="982"/>
      <c r="GQ121" s="982"/>
      <c r="GR121" s="982"/>
      <c r="GS121" s="982"/>
      <c r="GT121" s="982"/>
      <c r="GU121" s="982"/>
      <c r="GV121" s="982"/>
      <c r="GW121" s="982"/>
      <c r="GX121" s="982"/>
      <c r="GY121" s="982"/>
      <c r="GZ121" s="982"/>
      <c r="HA121" s="982"/>
      <c r="HB121" s="982"/>
      <c r="HC121" s="982"/>
      <c r="HD121" s="982"/>
      <c r="HE121" s="982"/>
      <c r="HF121" s="982"/>
      <c r="HG121" s="982"/>
      <c r="HH121" s="982"/>
      <c r="HI121" s="982"/>
      <c r="HJ121" s="982"/>
      <c r="HK121" s="982"/>
      <c r="HL121" s="982"/>
      <c r="HM121" s="982"/>
      <c r="HN121" s="982"/>
      <c r="HO121" s="982"/>
      <c r="HP121" s="982"/>
      <c r="HQ121" s="982"/>
      <c r="HR121" s="982"/>
      <c r="HS121" s="982"/>
      <c r="HT121" s="982"/>
      <c r="HU121" s="982"/>
      <c r="HV121" s="982"/>
      <c r="HW121" s="982"/>
      <c r="HX121" s="982"/>
      <c r="HY121" s="982"/>
      <c r="HZ121" s="982"/>
      <c r="IA121" s="982"/>
      <c r="IB121" s="982"/>
      <c r="IC121" s="982"/>
      <c r="ID121" s="982"/>
      <c r="IE121" s="982"/>
      <c r="IF121" s="982"/>
      <c r="IG121" s="982"/>
      <c r="IH121" s="982"/>
      <c r="II121" s="982"/>
      <c r="IJ121" s="982"/>
      <c r="IK121" s="982"/>
      <c r="IL121" s="982"/>
      <c r="IM121" s="982"/>
      <c r="IN121" s="982"/>
      <c r="IO121" s="982"/>
      <c r="IP121" s="982"/>
      <c r="IQ121" s="982"/>
      <c r="IR121" s="982"/>
      <c r="IS121" s="982"/>
      <c r="IT121" s="982"/>
      <c r="IU121" s="982"/>
      <c r="IV121" s="982"/>
      <c r="IW121" s="982"/>
      <c r="IX121" s="982"/>
    </row>
    <row r="122" spans="66:258" ht="9.9499999999999993" hidden="1" customHeight="1" thickBot="1">
      <c r="BN122" s="982"/>
      <c r="BO122" s="982"/>
      <c r="BP122" s="982"/>
      <c r="BQ122" s="982"/>
      <c r="BR122" s="982"/>
      <c r="BS122" s="982"/>
      <c r="BT122" s="982"/>
      <c r="BU122" s="982"/>
      <c r="BV122" s="982"/>
      <c r="BW122" s="982"/>
      <c r="BX122" s="982"/>
      <c r="BY122" s="982"/>
      <c r="BZ122" s="982"/>
      <c r="CA122" s="982"/>
      <c r="CB122" s="982"/>
      <c r="CC122" s="982"/>
      <c r="CD122" s="982"/>
      <c r="CE122" s="982"/>
      <c r="CF122" s="982"/>
      <c r="CG122" s="982"/>
      <c r="CH122" s="982"/>
      <c r="CI122" s="982"/>
      <c r="CJ122" s="982"/>
      <c r="CK122" s="982"/>
      <c r="CL122" s="982"/>
      <c r="CM122" s="982"/>
      <c r="CN122" s="982"/>
      <c r="CO122" s="982"/>
      <c r="CP122" s="982"/>
      <c r="CQ122" s="982"/>
      <c r="CR122" s="982"/>
      <c r="CS122" s="982"/>
      <c r="CT122" s="982"/>
      <c r="CU122" s="982"/>
      <c r="CV122" s="982"/>
      <c r="CW122" s="982"/>
      <c r="CX122" s="982"/>
      <c r="CY122" s="982"/>
      <c r="CZ122" s="982"/>
      <c r="DA122" s="982"/>
      <c r="DB122" s="982"/>
      <c r="DC122" s="982"/>
      <c r="DD122" s="982"/>
      <c r="DE122" s="982"/>
      <c r="DF122" s="982"/>
      <c r="DG122" s="982"/>
      <c r="DH122" s="982"/>
      <c r="DI122" s="982"/>
      <c r="DJ122" s="982"/>
      <c r="DK122" s="982"/>
      <c r="DL122" s="982"/>
      <c r="DM122" s="982"/>
      <c r="DN122" s="982"/>
      <c r="DO122" s="982"/>
      <c r="DP122" s="982"/>
      <c r="DQ122" s="982"/>
      <c r="DR122" s="982"/>
      <c r="DS122" s="982"/>
      <c r="DT122" s="982"/>
      <c r="DU122" s="982"/>
      <c r="DV122" s="982"/>
      <c r="DW122" s="982"/>
      <c r="DX122" s="982"/>
      <c r="DY122" s="982"/>
      <c r="DZ122" s="982"/>
      <c r="EA122" s="982"/>
      <c r="EB122" s="982"/>
      <c r="EC122" s="982"/>
      <c r="ED122" s="982"/>
      <c r="EE122" s="982"/>
      <c r="EF122" s="982"/>
      <c r="EG122" s="982"/>
      <c r="EH122" s="982"/>
      <c r="EI122" s="982"/>
      <c r="EJ122" s="982"/>
      <c r="EK122" s="982"/>
      <c r="EL122" s="982"/>
      <c r="EM122" s="982"/>
      <c r="EN122" s="982"/>
      <c r="EO122" s="982"/>
      <c r="EP122" s="982"/>
      <c r="EQ122" s="982"/>
      <c r="ER122" s="982"/>
      <c r="ES122" s="982"/>
      <c r="ET122" s="982"/>
      <c r="EU122" s="982"/>
      <c r="EV122" s="982"/>
      <c r="EW122" s="982"/>
      <c r="EX122" s="982"/>
      <c r="EY122" s="982"/>
      <c r="EZ122" s="982"/>
      <c r="FA122" s="982"/>
      <c r="FB122" s="982"/>
      <c r="FC122" s="982"/>
      <c r="FD122" s="982"/>
      <c r="FE122" s="982"/>
      <c r="FF122" s="982"/>
      <c r="FG122" s="982"/>
      <c r="FH122" s="982"/>
      <c r="FI122" s="982"/>
      <c r="FJ122" s="982"/>
      <c r="FK122" s="982"/>
      <c r="FL122" s="982"/>
      <c r="FM122" s="982"/>
      <c r="FN122" s="982"/>
      <c r="FO122" s="982"/>
      <c r="FP122" s="982"/>
      <c r="FQ122" s="982"/>
      <c r="FR122" s="982"/>
      <c r="FS122" s="982"/>
      <c r="FT122" s="982"/>
      <c r="FU122" s="982"/>
      <c r="FV122" s="982"/>
      <c r="FW122" s="982"/>
      <c r="FX122" s="982"/>
      <c r="FY122" s="982"/>
      <c r="FZ122" s="982"/>
      <c r="GA122" s="982"/>
      <c r="GB122" s="982"/>
      <c r="GC122" s="982"/>
      <c r="GD122" s="982"/>
      <c r="GE122" s="982"/>
      <c r="GF122" s="982"/>
      <c r="GG122" s="982"/>
      <c r="GH122" s="982"/>
      <c r="GI122" s="982"/>
      <c r="GJ122" s="982"/>
      <c r="GK122" s="982"/>
      <c r="GL122" s="982"/>
      <c r="GM122" s="982"/>
      <c r="GN122" s="982"/>
      <c r="GO122" s="982"/>
      <c r="GP122" s="982"/>
      <c r="GQ122" s="982"/>
      <c r="GR122" s="982"/>
      <c r="GS122" s="982"/>
      <c r="GT122" s="982"/>
      <c r="GU122" s="982"/>
      <c r="GV122" s="982"/>
      <c r="GW122" s="982"/>
      <c r="GX122" s="982"/>
      <c r="GY122" s="982"/>
      <c r="GZ122" s="982"/>
      <c r="HA122" s="982"/>
      <c r="HB122" s="982"/>
      <c r="HC122" s="982"/>
      <c r="HD122" s="982"/>
      <c r="HE122" s="982"/>
      <c r="HF122" s="982"/>
      <c r="HG122" s="982"/>
      <c r="HH122" s="982"/>
      <c r="HI122" s="982"/>
      <c r="HJ122" s="982"/>
      <c r="HK122" s="982"/>
      <c r="HL122" s="982"/>
      <c r="HM122" s="982"/>
      <c r="HN122" s="982"/>
      <c r="HO122" s="982"/>
      <c r="HP122" s="982"/>
      <c r="HQ122" s="982"/>
      <c r="HR122" s="982"/>
      <c r="HS122" s="982"/>
      <c r="HT122" s="982"/>
      <c r="HU122" s="982"/>
      <c r="HV122" s="982"/>
      <c r="HW122" s="982"/>
      <c r="HX122" s="982"/>
      <c r="HY122" s="982"/>
      <c r="HZ122" s="982"/>
      <c r="IA122" s="982"/>
      <c r="IB122" s="982"/>
      <c r="IC122" s="982"/>
      <c r="ID122" s="982"/>
      <c r="IE122" s="982"/>
      <c r="IF122" s="982"/>
      <c r="IG122" s="982"/>
      <c r="IH122" s="982"/>
      <c r="II122" s="982"/>
      <c r="IJ122" s="982"/>
      <c r="IK122" s="982"/>
      <c r="IL122" s="982"/>
      <c r="IM122" s="982"/>
      <c r="IN122" s="982"/>
      <c r="IO122" s="982"/>
      <c r="IP122" s="982"/>
      <c r="IQ122" s="982"/>
      <c r="IR122" s="982"/>
      <c r="IS122" s="982"/>
      <c r="IT122" s="982"/>
      <c r="IU122" s="982"/>
      <c r="IV122" s="982"/>
      <c r="IW122" s="982"/>
      <c r="IX122" s="982"/>
    </row>
    <row r="123" spans="66:258" ht="50.1" hidden="1" customHeight="1">
      <c r="BN123" s="982"/>
      <c r="BO123" s="982"/>
      <c r="BP123" s="982"/>
      <c r="BQ123" s="982"/>
      <c r="BR123" s="982"/>
      <c r="BS123" s="982"/>
      <c r="BT123" s="982"/>
      <c r="BU123" s="982"/>
      <c r="BV123" s="982"/>
      <c r="BW123" s="982"/>
      <c r="BX123" s="982"/>
      <c r="BY123" s="982"/>
      <c r="BZ123" s="982"/>
      <c r="CA123" s="982"/>
      <c r="CB123" s="982"/>
      <c r="CC123" s="982"/>
      <c r="CD123" s="982"/>
      <c r="CE123" s="982"/>
      <c r="CF123" s="982"/>
      <c r="CG123" s="982"/>
      <c r="CH123" s="982"/>
      <c r="CI123" s="982"/>
      <c r="CJ123" s="982"/>
      <c r="CK123" s="1944" t="s">
        <v>218</v>
      </c>
      <c r="CL123" s="1945"/>
      <c r="CM123" s="1002" t="s">
        <v>238</v>
      </c>
      <c r="CN123" s="1003" t="s">
        <v>239</v>
      </c>
      <c r="CO123" s="982"/>
      <c r="CP123" s="982"/>
      <c r="CQ123" s="982"/>
      <c r="CR123" s="982"/>
      <c r="CS123" s="982"/>
      <c r="CT123" s="982"/>
      <c r="CU123" s="982"/>
      <c r="CV123" s="982"/>
      <c r="CW123" s="982"/>
      <c r="CX123" s="982"/>
      <c r="CY123" s="982"/>
      <c r="CZ123" s="982"/>
      <c r="DA123" s="982"/>
      <c r="DB123" s="982"/>
      <c r="DC123" s="982"/>
      <c r="DD123" s="982"/>
      <c r="DE123" s="982"/>
      <c r="DF123" s="982"/>
      <c r="DG123" s="982"/>
      <c r="DH123" s="982"/>
      <c r="DI123" s="982"/>
      <c r="DJ123" s="982"/>
      <c r="DK123" s="982"/>
      <c r="DL123" s="982"/>
      <c r="DM123" s="982"/>
      <c r="DN123" s="982"/>
      <c r="DO123" s="982"/>
      <c r="DP123" s="982"/>
      <c r="DQ123" s="982"/>
      <c r="DR123" s="982"/>
      <c r="DS123" s="982"/>
      <c r="DT123" s="982"/>
      <c r="DU123" s="982"/>
      <c r="DV123" s="982"/>
      <c r="DW123" s="982"/>
      <c r="DX123" s="982"/>
      <c r="DY123" s="982"/>
      <c r="DZ123" s="982"/>
      <c r="EA123" s="982"/>
      <c r="EB123" s="982"/>
      <c r="EC123" s="982"/>
      <c r="ED123" s="982"/>
      <c r="EE123" s="982"/>
      <c r="EF123" s="982"/>
      <c r="EG123" s="982"/>
      <c r="EH123" s="982"/>
      <c r="EI123" s="982"/>
      <c r="EJ123" s="982"/>
      <c r="EK123" s="982"/>
      <c r="EL123" s="982"/>
      <c r="EM123" s="982"/>
      <c r="EN123" s="982"/>
      <c r="EO123" s="982"/>
      <c r="EP123" s="982"/>
      <c r="EQ123" s="982"/>
      <c r="ER123" s="982"/>
      <c r="ES123" s="982"/>
      <c r="ET123" s="982"/>
      <c r="EU123" s="982"/>
      <c r="EV123" s="982"/>
      <c r="EW123" s="982"/>
      <c r="EX123" s="982"/>
      <c r="EY123" s="982"/>
      <c r="EZ123" s="982"/>
      <c r="FA123" s="982"/>
      <c r="FB123" s="982"/>
      <c r="FC123" s="982"/>
      <c r="FD123" s="982"/>
      <c r="FE123" s="982"/>
      <c r="FF123" s="982"/>
      <c r="FG123" s="982"/>
      <c r="FH123" s="982"/>
      <c r="FI123" s="982"/>
      <c r="FJ123" s="982"/>
      <c r="FK123" s="982"/>
      <c r="FL123" s="982"/>
      <c r="FM123" s="982"/>
      <c r="FN123" s="982"/>
      <c r="FO123" s="982"/>
      <c r="FP123" s="982"/>
      <c r="FQ123" s="982"/>
      <c r="FR123" s="982"/>
      <c r="FS123" s="982"/>
      <c r="FT123" s="982"/>
      <c r="FU123" s="982"/>
      <c r="FV123" s="982"/>
      <c r="FW123" s="982"/>
      <c r="FX123" s="982"/>
      <c r="FY123" s="982"/>
      <c r="FZ123" s="982"/>
      <c r="GA123" s="982"/>
      <c r="GB123" s="982"/>
      <c r="GC123" s="982"/>
      <c r="GD123" s="982"/>
      <c r="GE123" s="982"/>
      <c r="GF123" s="982"/>
      <c r="GG123" s="982"/>
      <c r="GH123" s="982"/>
      <c r="GI123" s="982"/>
      <c r="GJ123" s="982"/>
      <c r="GK123" s="982"/>
      <c r="GL123" s="982"/>
      <c r="GM123" s="982"/>
      <c r="GN123" s="982"/>
      <c r="GO123" s="982"/>
      <c r="GP123" s="982"/>
      <c r="GQ123" s="982"/>
      <c r="GR123" s="982"/>
      <c r="GS123" s="982"/>
      <c r="GT123" s="982"/>
      <c r="GU123" s="982"/>
      <c r="GV123" s="982"/>
      <c r="GW123" s="982"/>
      <c r="GX123" s="982"/>
      <c r="GY123" s="982"/>
      <c r="GZ123" s="982"/>
      <c r="HA123" s="982"/>
      <c r="HB123" s="982"/>
      <c r="HC123" s="982"/>
      <c r="HD123" s="982"/>
      <c r="HE123" s="982"/>
      <c r="HF123" s="982"/>
      <c r="HG123" s="982"/>
      <c r="HH123" s="982"/>
      <c r="HI123" s="982"/>
      <c r="HJ123" s="982"/>
      <c r="HK123" s="982"/>
      <c r="HL123" s="982"/>
      <c r="HM123" s="982"/>
      <c r="HN123" s="982"/>
      <c r="HO123" s="982"/>
      <c r="HP123" s="982"/>
      <c r="HQ123" s="982"/>
      <c r="HR123" s="982"/>
      <c r="HS123" s="982"/>
      <c r="HT123" s="982"/>
      <c r="HU123" s="982"/>
      <c r="HV123" s="982"/>
      <c r="HW123" s="982"/>
      <c r="HX123" s="982"/>
      <c r="HY123" s="982"/>
      <c r="HZ123" s="982"/>
      <c r="IA123" s="982"/>
      <c r="IB123" s="982"/>
      <c r="IC123" s="982"/>
      <c r="ID123" s="982"/>
      <c r="IE123" s="982"/>
      <c r="IF123" s="982"/>
      <c r="IG123" s="982"/>
      <c r="IH123" s="982"/>
      <c r="II123" s="982"/>
      <c r="IJ123" s="982"/>
      <c r="IK123" s="982"/>
      <c r="IL123" s="982"/>
      <c r="IM123" s="982"/>
      <c r="IN123" s="982"/>
      <c r="IO123" s="982"/>
      <c r="IP123" s="982"/>
      <c r="IQ123" s="982"/>
      <c r="IR123" s="982"/>
      <c r="IS123" s="982"/>
      <c r="IT123" s="982"/>
      <c r="IU123" s="982"/>
      <c r="IV123" s="982"/>
      <c r="IW123" s="982"/>
      <c r="IX123" s="982"/>
    </row>
    <row r="124" spans="66:258" ht="24.95" hidden="1" customHeight="1">
      <c r="BN124" s="982"/>
      <c r="BO124" s="982"/>
      <c r="BP124" s="982"/>
      <c r="BQ124" s="982"/>
      <c r="BR124" s="982"/>
      <c r="BS124" s="982"/>
      <c r="BT124" s="982"/>
      <c r="BU124" s="982"/>
      <c r="BV124" s="982"/>
      <c r="BW124" s="982"/>
      <c r="BX124" s="982"/>
      <c r="BY124" s="982"/>
      <c r="BZ124" s="982"/>
      <c r="CA124" s="982"/>
      <c r="CB124" s="982"/>
      <c r="CC124" s="982"/>
      <c r="CD124" s="982"/>
      <c r="CE124" s="982"/>
      <c r="CF124" s="982"/>
      <c r="CG124" s="982"/>
      <c r="CH124" s="982"/>
      <c r="CI124" s="982"/>
      <c r="CJ124" s="982"/>
      <c r="CK124" s="1612" t="s">
        <v>358</v>
      </c>
      <c r="CL124" s="1613" t="s">
        <v>84</v>
      </c>
      <c r="CM124" s="908" t="s">
        <v>26</v>
      </c>
      <c r="CN124" s="991" t="s">
        <v>26</v>
      </c>
      <c r="CO124" s="982"/>
      <c r="CP124" s="982"/>
      <c r="CQ124" s="982"/>
      <c r="CR124" s="982"/>
      <c r="CS124" s="982"/>
      <c r="CT124" s="982"/>
      <c r="CU124" s="982"/>
      <c r="CV124" s="982"/>
      <c r="CW124" s="982"/>
      <c r="CX124" s="982"/>
      <c r="CY124" s="982"/>
      <c r="CZ124" s="982"/>
      <c r="DA124" s="982"/>
      <c r="DB124" s="982"/>
      <c r="DC124" s="982"/>
      <c r="DD124" s="982"/>
      <c r="DE124" s="982"/>
      <c r="DF124" s="982"/>
      <c r="DG124" s="982"/>
      <c r="DH124" s="982"/>
      <c r="DI124" s="982"/>
      <c r="DJ124" s="982"/>
      <c r="DK124" s="982"/>
      <c r="DL124" s="982"/>
      <c r="DM124" s="982"/>
      <c r="DN124" s="982"/>
      <c r="DO124" s="982"/>
      <c r="DP124" s="982"/>
      <c r="DQ124" s="982"/>
      <c r="DR124" s="982"/>
      <c r="DS124" s="982"/>
      <c r="DT124" s="982"/>
      <c r="DU124" s="982"/>
      <c r="DV124" s="982"/>
      <c r="DW124" s="982"/>
      <c r="DX124" s="982"/>
      <c r="DY124" s="982"/>
      <c r="DZ124" s="982"/>
      <c r="EA124" s="982"/>
      <c r="EB124" s="982"/>
      <c r="EC124" s="982"/>
      <c r="ED124" s="982"/>
      <c r="EE124" s="982"/>
      <c r="EF124" s="982"/>
      <c r="EG124" s="982"/>
      <c r="EH124" s="982"/>
      <c r="EI124" s="982"/>
      <c r="EJ124" s="982"/>
      <c r="EK124" s="982"/>
      <c r="EL124" s="982"/>
      <c r="EM124" s="982"/>
      <c r="EN124" s="982"/>
      <c r="EO124" s="982"/>
      <c r="EP124" s="982"/>
      <c r="EQ124" s="982"/>
      <c r="ER124" s="982"/>
      <c r="ES124" s="982"/>
      <c r="ET124" s="982"/>
      <c r="EU124" s="982"/>
      <c r="EV124" s="982"/>
      <c r="EW124" s="982"/>
      <c r="EX124" s="982"/>
      <c r="EY124" s="982"/>
      <c r="EZ124" s="982"/>
      <c r="FA124" s="982"/>
      <c r="FB124" s="982"/>
      <c r="FC124" s="982"/>
      <c r="FD124" s="982"/>
      <c r="FE124" s="982"/>
      <c r="FF124" s="982"/>
      <c r="FG124" s="982"/>
      <c r="FH124" s="982"/>
      <c r="FI124" s="982"/>
      <c r="FJ124" s="982"/>
      <c r="FK124" s="982"/>
      <c r="FL124" s="982"/>
      <c r="FM124" s="982"/>
      <c r="FN124" s="982"/>
      <c r="FO124" s="982"/>
      <c r="FP124" s="982"/>
      <c r="FQ124" s="982"/>
      <c r="FR124" s="982"/>
      <c r="FS124" s="982"/>
      <c r="FT124" s="982"/>
      <c r="FU124" s="982"/>
      <c r="FV124" s="982"/>
      <c r="FW124" s="982"/>
      <c r="FX124" s="982"/>
      <c r="FY124" s="982"/>
      <c r="FZ124" s="982"/>
      <c r="GA124" s="982"/>
      <c r="GB124" s="982"/>
      <c r="GC124" s="982"/>
      <c r="GD124" s="982"/>
      <c r="GE124" s="982"/>
      <c r="GF124" s="982"/>
      <c r="GG124" s="982"/>
      <c r="GH124" s="982"/>
      <c r="GI124" s="982"/>
      <c r="GJ124" s="982"/>
      <c r="GK124" s="982"/>
      <c r="GL124" s="982"/>
      <c r="GM124" s="982"/>
      <c r="GN124" s="982"/>
      <c r="GO124" s="982"/>
      <c r="GP124" s="982"/>
      <c r="GQ124" s="982"/>
      <c r="GR124" s="982"/>
      <c r="GS124" s="982"/>
      <c r="GT124" s="982"/>
      <c r="GU124" s="982"/>
      <c r="GV124" s="982"/>
      <c r="GW124" s="982"/>
      <c r="GX124" s="982"/>
      <c r="GY124" s="982"/>
      <c r="GZ124" s="982"/>
      <c r="HA124" s="982"/>
      <c r="HB124" s="982"/>
      <c r="HC124" s="982"/>
      <c r="HD124" s="982"/>
      <c r="HE124" s="982"/>
      <c r="HF124" s="982"/>
      <c r="HG124" s="982"/>
      <c r="HH124" s="982"/>
      <c r="HI124" s="982"/>
      <c r="HJ124" s="982"/>
      <c r="HK124" s="982"/>
      <c r="HL124" s="982"/>
      <c r="HM124" s="982"/>
      <c r="HN124" s="982"/>
      <c r="HO124" s="982"/>
      <c r="HP124" s="982"/>
      <c r="HQ124" s="982"/>
      <c r="HR124" s="982"/>
      <c r="HS124" s="982"/>
      <c r="HT124" s="982"/>
      <c r="HU124" s="982"/>
      <c r="HV124" s="982"/>
      <c r="HW124" s="982"/>
      <c r="HX124" s="982"/>
      <c r="HY124" s="982"/>
      <c r="HZ124" s="982"/>
      <c r="IA124" s="982"/>
      <c r="IB124" s="982"/>
      <c r="IC124" s="982"/>
      <c r="ID124" s="982"/>
      <c r="IE124" s="982"/>
      <c r="IF124" s="982"/>
      <c r="IG124" s="982"/>
      <c r="IH124" s="982"/>
      <c r="II124" s="982"/>
      <c r="IJ124" s="982"/>
      <c r="IK124" s="982"/>
      <c r="IL124" s="982"/>
      <c r="IM124" s="982"/>
      <c r="IN124" s="982"/>
      <c r="IO124" s="982"/>
      <c r="IP124" s="982"/>
      <c r="IQ124" s="982"/>
      <c r="IR124" s="982"/>
      <c r="IS124" s="982"/>
      <c r="IT124" s="982"/>
      <c r="IU124" s="982"/>
      <c r="IV124" s="982"/>
      <c r="IW124" s="982"/>
      <c r="IX124" s="982"/>
    </row>
    <row r="125" spans="66:258" ht="24.95" hidden="1" customHeight="1">
      <c r="BN125" s="982"/>
      <c r="BO125" s="982"/>
      <c r="BP125" s="982"/>
      <c r="BQ125" s="982"/>
      <c r="BR125" s="982"/>
      <c r="BS125" s="982"/>
      <c r="BT125" s="982"/>
      <c r="BU125" s="982"/>
      <c r="BV125" s="1004"/>
      <c r="BW125" s="1004"/>
      <c r="BX125" s="1004"/>
      <c r="BY125" s="1004"/>
      <c r="BZ125" s="1004"/>
      <c r="CA125" s="1004"/>
      <c r="CB125" s="1004"/>
      <c r="CC125" s="1004"/>
      <c r="CD125" s="1004"/>
      <c r="CE125" s="1004"/>
      <c r="CF125" s="1004"/>
      <c r="CG125" s="1004"/>
      <c r="CH125" s="1004"/>
      <c r="CI125" s="1004"/>
      <c r="CJ125" s="1004"/>
      <c r="CK125" s="1489">
        <v>1</v>
      </c>
      <c r="CL125" s="1490">
        <v>2</v>
      </c>
      <c r="CM125" s="831">
        <v>3</v>
      </c>
      <c r="CN125" s="992">
        <v>4</v>
      </c>
      <c r="CO125" s="1004"/>
      <c r="CP125" s="1004"/>
      <c r="CQ125" s="1004"/>
      <c r="CR125" s="1004"/>
      <c r="CS125" s="1004"/>
      <c r="CT125" s="1004"/>
      <c r="CU125" s="1004"/>
      <c r="CV125" s="1004"/>
      <c r="CW125" s="1004"/>
      <c r="CX125" s="1004"/>
      <c r="CY125" s="1004"/>
      <c r="CZ125" s="1004"/>
      <c r="DA125" s="1004"/>
      <c r="DB125" s="1004"/>
      <c r="DC125" s="1004"/>
      <c r="DD125" s="1004"/>
      <c r="DE125" s="1004"/>
      <c r="DF125" s="982"/>
      <c r="DG125" s="982"/>
      <c r="DH125" s="982"/>
      <c r="DI125" s="982"/>
      <c r="DJ125" s="982"/>
      <c r="DK125" s="982"/>
      <c r="DL125" s="982"/>
      <c r="DM125" s="982"/>
      <c r="DN125" s="982"/>
      <c r="DO125" s="982"/>
      <c r="DP125" s="982"/>
      <c r="DQ125" s="982"/>
      <c r="DR125" s="982"/>
      <c r="DS125" s="982"/>
      <c r="DT125" s="982"/>
      <c r="DU125" s="982"/>
      <c r="DV125" s="982"/>
      <c r="DW125" s="982"/>
      <c r="DX125" s="982"/>
      <c r="DY125" s="982"/>
      <c r="DZ125" s="982"/>
      <c r="EA125" s="982"/>
      <c r="EB125" s="982"/>
      <c r="EC125" s="982"/>
      <c r="ED125" s="982"/>
      <c r="EE125" s="982"/>
      <c r="EF125" s="982"/>
      <c r="EG125" s="982"/>
      <c r="EH125" s="982"/>
      <c r="EI125" s="982"/>
      <c r="EJ125" s="982"/>
      <c r="EK125" s="982"/>
      <c r="EL125" s="982"/>
      <c r="EM125" s="982"/>
      <c r="EN125" s="982"/>
      <c r="EO125" s="982"/>
      <c r="EP125" s="982"/>
      <c r="EQ125" s="982"/>
      <c r="ER125" s="982"/>
      <c r="ES125" s="982"/>
      <c r="ET125" s="982"/>
      <c r="EU125" s="982"/>
      <c r="EV125" s="982"/>
      <c r="EW125" s="982"/>
      <c r="EX125" s="982"/>
      <c r="EY125" s="982"/>
      <c r="EZ125" s="982"/>
      <c r="FA125" s="982"/>
      <c r="FB125" s="982"/>
      <c r="FC125" s="982"/>
      <c r="FD125" s="982"/>
      <c r="FE125" s="982"/>
      <c r="FF125" s="982"/>
      <c r="FG125" s="982"/>
      <c r="FH125" s="982"/>
      <c r="FI125" s="982"/>
      <c r="FJ125" s="982"/>
      <c r="FK125" s="982"/>
      <c r="FL125" s="982"/>
      <c r="FM125" s="982"/>
      <c r="FN125" s="982"/>
      <c r="FO125" s="982"/>
      <c r="FP125" s="982"/>
      <c r="FQ125" s="982"/>
      <c r="FR125" s="982"/>
      <c r="FS125" s="982"/>
      <c r="FT125" s="982"/>
      <c r="FU125" s="982"/>
      <c r="FV125" s="982"/>
      <c r="FW125" s="982"/>
      <c r="FX125" s="982"/>
      <c r="FY125" s="982"/>
      <c r="FZ125" s="982"/>
      <c r="GA125" s="982"/>
      <c r="GB125" s="982"/>
      <c r="GC125" s="982"/>
      <c r="GD125" s="982"/>
      <c r="GE125" s="982"/>
      <c r="GF125" s="982"/>
      <c r="GG125" s="982"/>
      <c r="GH125" s="982"/>
      <c r="GI125" s="982"/>
      <c r="GJ125" s="982"/>
      <c r="GK125" s="982"/>
      <c r="GL125" s="982"/>
      <c r="GM125" s="982"/>
      <c r="GN125" s="982"/>
      <c r="GO125" s="982"/>
      <c r="GP125" s="982"/>
      <c r="GQ125" s="982"/>
      <c r="GR125" s="982"/>
      <c r="GS125" s="982"/>
      <c r="GT125" s="982"/>
      <c r="GU125" s="982"/>
      <c r="GV125" s="982"/>
      <c r="GW125" s="982"/>
      <c r="GX125" s="982"/>
      <c r="GY125" s="982"/>
      <c r="GZ125" s="982"/>
      <c r="HA125" s="982"/>
      <c r="HB125" s="982"/>
      <c r="HC125" s="982"/>
      <c r="HD125" s="982"/>
      <c r="HE125" s="982"/>
      <c r="HF125" s="982"/>
      <c r="HG125" s="982"/>
      <c r="HH125" s="982"/>
      <c r="HI125" s="982"/>
      <c r="HJ125" s="982"/>
      <c r="HK125" s="982"/>
      <c r="HL125" s="982"/>
      <c r="HM125" s="982"/>
      <c r="HN125" s="982"/>
      <c r="HO125" s="982"/>
      <c r="HP125" s="982"/>
      <c r="HQ125" s="982"/>
      <c r="HR125" s="982"/>
      <c r="HS125" s="982"/>
      <c r="HT125" s="982"/>
      <c r="HU125" s="982"/>
      <c r="HV125" s="982"/>
      <c r="HW125" s="982"/>
      <c r="HX125" s="982"/>
      <c r="HY125" s="982"/>
      <c r="HZ125" s="982"/>
      <c r="IA125" s="982"/>
      <c r="IB125" s="982"/>
      <c r="IC125" s="982"/>
      <c r="ID125" s="982"/>
      <c r="IE125" s="982"/>
      <c r="IF125" s="982"/>
      <c r="IG125" s="982"/>
      <c r="IH125" s="982"/>
      <c r="II125" s="982"/>
      <c r="IJ125" s="982"/>
      <c r="IK125" s="982"/>
      <c r="IL125" s="982"/>
      <c r="IM125" s="982"/>
      <c r="IN125" s="982"/>
      <c r="IO125" s="982"/>
      <c r="IP125" s="982"/>
      <c r="IQ125" s="982"/>
      <c r="IR125" s="982"/>
      <c r="IS125" s="982"/>
      <c r="IT125" s="982"/>
      <c r="IU125" s="982"/>
      <c r="IV125" s="982"/>
      <c r="IW125" s="982"/>
      <c r="IX125" s="982"/>
    </row>
    <row r="126" spans="66:258" ht="24.95" hidden="1" customHeight="1">
      <c r="BN126" s="982"/>
      <c r="BO126" s="982"/>
      <c r="BP126" s="982"/>
      <c r="BQ126" s="982"/>
      <c r="BR126" s="982"/>
      <c r="BS126" s="982"/>
      <c r="BT126" s="982"/>
      <c r="BU126" s="982"/>
      <c r="BV126" s="1004"/>
      <c r="BW126" s="1004"/>
      <c r="BX126" s="1004"/>
      <c r="BY126" s="1004"/>
      <c r="BZ126" s="1004"/>
      <c r="CA126" s="1004"/>
      <c r="CB126" s="1004"/>
      <c r="CC126" s="1004"/>
      <c r="CD126" s="1004"/>
      <c r="CE126" s="1004"/>
      <c r="CF126" s="1004"/>
      <c r="CG126" s="1004"/>
      <c r="CH126" s="1004"/>
      <c r="CI126" s="1004"/>
      <c r="CJ126" s="1004"/>
      <c r="CK126" s="833">
        <v>1</v>
      </c>
      <c r="CL126" s="834" t="s">
        <v>245</v>
      </c>
      <c r="CM126" s="1005">
        <v>28</v>
      </c>
      <c r="CN126" s="1006">
        <v>0</v>
      </c>
      <c r="CO126" s="1004"/>
      <c r="CP126" s="1004"/>
      <c r="CQ126" s="1004"/>
      <c r="CR126" s="1004"/>
      <c r="CS126" s="1004"/>
      <c r="CT126" s="1004"/>
      <c r="CU126" s="1004"/>
      <c r="CV126" s="1004"/>
      <c r="CW126" s="1004"/>
      <c r="CX126" s="1004"/>
      <c r="CY126" s="1004"/>
      <c r="CZ126" s="1004"/>
      <c r="DA126" s="1004"/>
      <c r="DB126" s="1004"/>
      <c r="DC126" s="1004"/>
      <c r="DD126" s="1004"/>
      <c r="DE126" s="1004"/>
      <c r="DF126" s="982"/>
      <c r="DG126" s="982"/>
      <c r="DH126" s="982"/>
      <c r="DI126" s="982"/>
      <c r="DJ126" s="982"/>
      <c r="DK126" s="982"/>
      <c r="DL126" s="982"/>
      <c r="DM126" s="982"/>
      <c r="DN126" s="982"/>
      <c r="DO126" s="982"/>
      <c r="DP126" s="982"/>
      <c r="DQ126" s="982"/>
      <c r="DR126" s="982"/>
      <c r="DS126" s="982"/>
      <c r="DT126" s="982"/>
      <c r="DU126" s="982"/>
      <c r="DV126" s="982"/>
      <c r="DW126" s="982"/>
      <c r="DX126" s="982"/>
      <c r="DY126" s="982"/>
      <c r="DZ126" s="982"/>
      <c r="EA126" s="982"/>
      <c r="EB126" s="982"/>
      <c r="EC126" s="982"/>
      <c r="ED126" s="982"/>
      <c r="EE126" s="982"/>
      <c r="EF126" s="982"/>
      <c r="EG126" s="982"/>
      <c r="EH126" s="982"/>
      <c r="EI126" s="982"/>
      <c r="EJ126" s="982"/>
      <c r="EK126" s="982"/>
      <c r="EL126" s="982"/>
      <c r="EM126" s="982"/>
      <c r="EN126" s="982"/>
      <c r="EO126" s="982"/>
      <c r="EP126" s="982"/>
      <c r="EQ126" s="982"/>
      <c r="ER126" s="982"/>
      <c r="ES126" s="982"/>
      <c r="ET126" s="982"/>
      <c r="EU126" s="982"/>
      <c r="EV126" s="982"/>
      <c r="EW126" s="982"/>
      <c r="EX126" s="982"/>
      <c r="EY126" s="982"/>
      <c r="EZ126" s="982"/>
      <c r="FA126" s="982"/>
      <c r="FB126" s="982"/>
      <c r="FC126" s="982"/>
      <c r="FD126" s="982"/>
      <c r="FE126" s="982"/>
      <c r="FF126" s="982"/>
      <c r="FG126" s="982"/>
      <c r="FH126" s="982"/>
      <c r="FI126" s="982"/>
      <c r="FJ126" s="982"/>
      <c r="FK126" s="982"/>
      <c r="FL126" s="982"/>
      <c r="FM126" s="982"/>
      <c r="FN126" s="982"/>
      <c r="FO126" s="982"/>
      <c r="FP126" s="982"/>
      <c r="FQ126" s="982"/>
      <c r="FR126" s="982"/>
      <c r="FS126" s="982"/>
      <c r="FT126" s="982"/>
      <c r="FU126" s="982"/>
      <c r="FV126" s="982"/>
      <c r="FW126" s="982"/>
      <c r="FX126" s="982"/>
      <c r="FY126" s="982"/>
      <c r="FZ126" s="982"/>
      <c r="GA126" s="982"/>
      <c r="GB126" s="982"/>
      <c r="GC126" s="982"/>
      <c r="GD126" s="982"/>
      <c r="GE126" s="982"/>
      <c r="GF126" s="982"/>
      <c r="GG126" s="982"/>
      <c r="GH126" s="982"/>
      <c r="GI126" s="982"/>
      <c r="GJ126" s="982"/>
      <c r="GK126" s="982"/>
      <c r="GL126" s="982"/>
      <c r="GM126" s="982"/>
      <c r="GN126" s="982"/>
      <c r="GO126" s="982"/>
      <c r="GP126" s="982"/>
      <c r="GQ126" s="982"/>
      <c r="GR126" s="982"/>
      <c r="GS126" s="982"/>
      <c r="GT126" s="982"/>
      <c r="GU126" s="982"/>
      <c r="GV126" s="982"/>
      <c r="GW126" s="982"/>
      <c r="GX126" s="982"/>
      <c r="GY126" s="982"/>
      <c r="GZ126" s="982"/>
      <c r="HA126" s="982"/>
      <c r="HB126" s="982"/>
      <c r="HC126" s="982"/>
      <c r="HD126" s="982"/>
      <c r="HE126" s="982"/>
      <c r="HF126" s="982"/>
      <c r="HG126" s="982"/>
      <c r="HH126" s="982"/>
      <c r="HI126" s="982"/>
      <c r="HJ126" s="982"/>
      <c r="HK126" s="982"/>
      <c r="HL126" s="982"/>
      <c r="HM126" s="982"/>
      <c r="HN126" s="982"/>
      <c r="HO126" s="982"/>
      <c r="HP126" s="982"/>
      <c r="HQ126" s="982"/>
      <c r="HR126" s="982"/>
      <c r="HS126" s="982"/>
      <c r="HT126" s="982"/>
      <c r="HU126" s="982"/>
      <c r="HV126" s="982"/>
      <c r="HW126" s="982"/>
      <c r="HX126" s="982"/>
      <c r="HY126" s="982"/>
      <c r="HZ126" s="982"/>
      <c r="IA126" s="982"/>
      <c r="IB126" s="982"/>
      <c r="IC126" s="982"/>
      <c r="ID126" s="982"/>
      <c r="IE126" s="982"/>
      <c r="IF126" s="982"/>
      <c r="IG126" s="982"/>
      <c r="IH126" s="982"/>
      <c r="II126" s="982"/>
      <c r="IJ126" s="982"/>
      <c r="IK126" s="982"/>
      <c r="IL126" s="982"/>
      <c r="IM126" s="982"/>
      <c r="IN126" s="982"/>
      <c r="IO126" s="982"/>
      <c r="IP126" s="982"/>
      <c r="IQ126" s="982"/>
      <c r="IR126" s="982"/>
      <c r="IS126" s="982"/>
      <c r="IT126" s="982"/>
      <c r="IU126" s="982"/>
      <c r="IV126" s="982"/>
      <c r="IW126" s="982"/>
      <c r="IX126" s="982"/>
    </row>
    <row r="127" spans="66:258" ht="20.100000000000001" hidden="1" customHeight="1">
      <c r="BN127" s="982"/>
      <c r="BO127" s="982"/>
      <c r="BP127" s="982"/>
      <c r="BQ127" s="982"/>
      <c r="BR127" s="982"/>
      <c r="BS127" s="982"/>
      <c r="BT127" s="982"/>
      <c r="BU127" s="982"/>
      <c r="BV127" s="1004"/>
      <c r="BW127" s="1007"/>
      <c r="BX127" s="1004"/>
      <c r="BY127" s="1007"/>
      <c r="BZ127" s="1004"/>
      <c r="CA127" s="1007"/>
      <c r="CB127" s="1004"/>
      <c r="CC127" s="1007"/>
      <c r="CD127" s="1004"/>
      <c r="CE127" s="1007"/>
      <c r="CF127" s="1004"/>
      <c r="CG127" s="1007"/>
      <c r="CH127" s="1004"/>
      <c r="CI127" s="1007"/>
      <c r="CJ127" s="1007"/>
      <c r="CK127" s="849">
        <v>2</v>
      </c>
      <c r="CL127" s="850" t="s">
        <v>246</v>
      </c>
      <c r="CM127" s="1005"/>
      <c r="CN127" s="1008"/>
      <c r="CO127" s="1004"/>
      <c r="CP127" s="1004"/>
      <c r="CQ127" s="1007"/>
      <c r="CR127" s="1004"/>
      <c r="CS127" s="1007"/>
      <c r="CT127" s="1007"/>
      <c r="CU127" s="1004"/>
      <c r="CV127" s="1007"/>
      <c r="CW127" s="1004"/>
      <c r="CX127" s="1007"/>
      <c r="CY127" s="1007"/>
      <c r="CZ127" s="1004"/>
      <c r="DA127" s="1007"/>
      <c r="DB127" s="1004"/>
      <c r="DC127" s="1007"/>
      <c r="DD127" s="1007"/>
      <c r="DE127" s="1004"/>
      <c r="DF127" s="982"/>
      <c r="DG127" s="982"/>
      <c r="DH127" s="982"/>
      <c r="DI127" s="982"/>
      <c r="DJ127" s="982"/>
      <c r="DK127" s="982"/>
      <c r="DL127" s="982"/>
      <c r="DM127" s="982"/>
      <c r="DN127" s="982"/>
      <c r="DO127" s="982"/>
      <c r="DP127" s="982"/>
      <c r="DQ127" s="982"/>
      <c r="DR127" s="982"/>
      <c r="DS127" s="982"/>
      <c r="DT127" s="982"/>
      <c r="DU127" s="982"/>
      <c r="DV127" s="982"/>
      <c r="DW127" s="982"/>
      <c r="DX127" s="982"/>
      <c r="DY127" s="982"/>
      <c r="DZ127" s="982"/>
      <c r="EA127" s="982"/>
      <c r="EB127" s="982"/>
      <c r="EC127" s="982"/>
      <c r="ED127" s="982"/>
      <c r="EE127" s="982"/>
      <c r="EF127" s="982"/>
      <c r="EG127" s="982"/>
      <c r="EH127" s="982"/>
      <c r="EI127" s="982"/>
      <c r="EJ127" s="982"/>
      <c r="EK127" s="982"/>
      <c r="EL127" s="982"/>
      <c r="EM127" s="982"/>
      <c r="EN127" s="982"/>
      <c r="EO127" s="982"/>
      <c r="EP127" s="982"/>
      <c r="EQ127" s="982"/>
      <c r="ER127" s="982"/>
      <c r="ES127" s="982"/>
      <c r="ET127" s="982"/>
      <c r="EU127" s="982"/>
      <c r="EV127" s="982"/>
      <c r="EW127" s="982"/>
      <c r="EX127" s="982"/>
      <c r="EY127" s="982"/>
      <c r="EZ127" s="982"/>
      <c r="FA127" s="982"/>
      <c r="FB127" s="982"/>
      <c r="FC127" s="982"/>
      <c r="FD127" s="982"/>
      <c r="FE127" s="982"/>
      <c r="FF127" s="982"/>
      <c r="FG127" s="982"/>
      <c r="FH127" s="982"/>
      <c r="FI127" s="982"/>
      <c r="FJ127" s="982"/>
      <c r="FK127" s="982"/>
      <c r="FL127" s="982"/>
      <c r="FM127" s="982"/>
      <c r="FN127" s="982"/>
      <c r="FO127" s="982"/>
      <c r="FP127" s="982"/>
      <c r="FQ127" s="982"/>
      <c r="FR127" s="982"/>
      <c r="FS127" s="982"/>
      <c r="FT127" s="982"/>
      <c r="FU127" s="982"/>
      <c r="FV127" s="982"/>
      <c r="FW127" s="982"/>
      <c r="FX127" s="982"/>
      <c r="FY127" s="982"/>
      <c r="FZ127" s="982"/>
      <c r="GA127" s="982"/>
      <c r="GB127" s="982"/>
      <c r="GC127" s="982"/>
      <c r="GD127" s="982"/>
      <c r="GE127" s="982"/>
      <c r="GF127" s="982"/>
      <c r="GG127" s="982"/>
      <c r="GH127" s="982"/>
      <c r="GI127" s="982"/>
      <c r="GJ127" s="982"/>
      <c r="GK127" s="982"/>
      <c r="GL127" s="982"/>
      <c r="GM127" s="982"/>
      <c r="GN127" s="982"/>
      <c r="GO127" s="982"/>
      <c r="GP127" s="982"/>
      <c r="GQ127" s="982"/>
      <c r="GR127" s="982"/>
      <c r="GS127" s="982"/>
      <c r="GT127" s="982"/>
      <c r="GU127" s="982"/>
      <c r="GV127" s="982"/>
      <c r="GW127" s="982"/>
      <c r="GX127" s="982"/>
      <c r="GY127" s="982"/>
      <c r="GZ127" s="982"/>
      <c r="HA127" s="982"/>
      <c r="HB127" s="982"/>
      <c r="HC127" s="982"/>
      <c r="HD127" s="982"/>
      <c r="HE127" s="982"/>
      <c r="HF127" s="982"/>
      <c r="HG127" s="982"/>
      <c r="HH127" s="982"/>
      <c r="HI127" s="982"/>
      <c r="HJ127" s="982"/>
      <c r="HK127" s="982"/>
      <c r="HL127" s="982"/>
      <c r="HM127" s="982"/>
      <c r="HN127" s="982"/>
      <c r="HO127" s="982"/>
      <c r="HP127" s="982"/>
      <c r="HQ127" s="982"/>
      <c r="HR127" s="982"/>
      <c r="HS127" s="982"/>
      <c r="HT127" s="982"/>
      <c r="HU127" s="982"/>
      <c r="HV127" s="982"/>
      <c r="HW127" s="982"/>
      <c r="HX127" s="982"/>
      <c r="HY127" s="982"/>
      <c r="HZ127" s="982"/>
      <c r="IA127" s="982"/>
      <c r="IB127" s="982"/>
      <c r="IC127" s="982"/>
      <c r="ID127" s="982"/>
      <c r="IE127" s="982"/>
      <c r="IF127" s="982"/>
      <c r="IG127" s="982"/>
      <c r="IH127" s="982"/>
      <c r="II127" s="982"/>
      <c r="IJ127" s="982"/>
      <c r="IK127" s="982"/>
      <c r="IL127" s="982"/>
      <c r="IM127" s="982"/>
      <c r="IN127" s="982"/>
      <c r="IO127" s="982"/>
      <c r="IP127" s="982"/>
      <c r="IQ127" s="982"/>
      <c r="IR127" s="982"/>
      <c r="IS127" s="982"/>
      <c r="IT127" s="982"/>
      <c r="IU127" s="982"/>
      <c r="IV127" s="982"/>
      <c r="IW127" s="982"/>
      <c r="IX127" s="982"/>
    </row>
    <row r="128" spans="66:258" ht="20.100000000000001" hidden="1" customHeight="1">
      <c r="BN128" s="982"/>
      <c r="BO128" s="982"/>
      <c r="BP128" s="982"/>
      <c r="BQ128" s="982"/>
      <c r="BR128" s="982"/>
      <c r="BS128" s="982"/>
      <c r="BT128" s="982"/>
      <c r="BU128" s="982"/>
      <c r="BV128" s="1004"/>
      <c r="BW128" s="1004"/>
      <c r="BX128" s="1004"/>
      <c r="BY128" s="1004"/>
      <c r="BZ128" s="1004"/>
      <c r="CA128" s="1004"/>
      <c r="CB128" s="1004"/>
      <c r="CC128" s="1004"/>
      <c r="CD128" s="1004"/>
      <c r="CE128" s="1004"/>
      <c r="CF128" s="1004"/>
      <c r="CG128" s="1004"/>
      <c r="CH128" s="1004"/>
      <c r="CI128" s="1004"/>
      <c r="CJ128" s="1004"/>
      <c r="CK128" s="849">
        <v>3</v>
      </c>
      <c r="CL128" s="850" t="s">
        <v>247</v>
      </c>
      <c r="CM128" s="1005">
        <v>48.5</v>
      </c>
      <c r="CN128" s="1009">
        <v>0</v>
      </c>
      <c r="CO128" s="1004"/>
      <c r="CP128" s="1004"/>
      <c r="CQ128" s="1004"/>
      <c r="CR128" s="1004"/>
      <c r="CS128" s="1004"/>
      <c r="CT128" s="1004"/>
      <c r="CU128" s="1004"/>
      <c r="CV128" s="1004"/>
      <c r="CW128" s="1004"/>
      <c r="CX128" s="1004"/>
      <c r="CY128" s="1004"/>
      <c r="CZ128" s="1004"/>
      <c r="DA128" s="1004"/>
      <c r="DB128" s="1004"/>
      <c r="DC128" s="1004"/>
      <c r="DD128" s="1004"/>
      <c r="DE128" s="1004"/>
      <c r="DF128" s="982"/>
      <c r="DG128" s="982"/>
      <c r="DH128" s="982"/>
      <c r="DI128" s="982"/>
      <c r="DJ128" s="982"/>
      <c r="DK128" s="982"/>
      <c r="DL128" s="982"/>
      <c r="DM128" s="982"/>
      <c r="DN128" s="982"/>
      <c r="DO128" s="982"/>
      <c r="DP128" s="982"/>
      <c r="DQ128" s="982"/>
      <c r="DR128" s="982"/>
      <c r="DS128" s="982"/>
      <c r="DT128" s="982"/>
      <c r="DU128" s="982"/>
      <c r="DV128" s="982"/>
      <c r="DW128" s="982"/>
      <c r="DX128" s="982"/>
      <c r="DY128" s="982"/>
      <c r="DZ128" s="982"/>
      <c r="EA128" s="982"/>
      <c r="EB128" s="982"/>
      <c r="EC128" s="982"/>
      <c r="ED128" s="982"/>
      <c r="EE128" s="982"/>
      <c r="EF128" s="982"/>
      <c r="EG128" s="982"/>
      <c r="EH128" s="982"/>
      <c r="EI128" s="982"/>
      <c r="EJ128" s="982"/>
      <c r="EK128" s="982"/>
      <c r="EL128" s="982"/>
      <c r="EM128" s="982"/>
      <c r="EN128" s="982"/>
      <c r="EO128" s="982"/>
      <c r="EP128" s="982"/>
      <c r="EQ128" s="982"/>
      <c r="ER128" s="982"/>
      <c r="ES128" s="982"/>
      <c r="ET128" s="982"/>
      <c r="EU128" s="982"/>
      <c r="EV128" s="982"/>
      <c r="EW128" s="982"/>
      <c r="EX128" s="982"/>
      <c r="EY128" s="982"/>
      <c r="EZ128" s="982"/>
      <c r="FA128" s="982"/>
      <c r="FB128" s="982"/>
      <c r="FC128" s="982"/>
      <c r="FD128" s="982"/>
      <c r="FE128" s="982"/>
      <c r="FF128" s="982"/>
      <c r="FG128" s="982"/>
      <c r="FH128" s="982"/>
      <c r="FI128" s="982"/>
      <c r="FJ128" s="982"/>
      <c r="FK128" s="982"/>
      <c r="FL128" s="982"/>
      <c r="FM128" s="982"/>
      <c r="FN128" s="982"/>
      <c r="FO128" s="982"/>
      <c r="FP128" s="982"/>
      <c r="FQ128" s="982"/>
      <c r="FR128" s="982"/>
      <c r="FS128" s="982"/>
      <c r="FT128" s="982"/>
      <c r="FU128" s="982"/>
      <c r="FV128" s="982"/>
      <c r="FW128" s="982"/>
      <c r="FX128" s="982"/>
      <c r="FY128" s="982"/>
      <c r="FZ128" s="982"/>
      <c r="GA128" s="982"/>
      <c r="GB128" s="982"/>
      <c r="GC128" s="982"/>
      <c r="GD128" s="982"/>
      <c r="GE128" s="982"/>
      <c r="GF128" s="982"/>
      <c r="GG128" s="982"/>
      <c r="GH128" s="982"/>
      <c r="GI128" s="982"/>
      <c r="GJ128" s="982"/>
      <c r="GK128" s="982"/>
      <c r="GL128" s="982"/>
      <c r="GM128" s="982"/>
      <c r="GN128" s="982"/>
      <c r="GO128" s="982"/>
      <c r="GP128" s="982"/>
      <c r="GQ128" s="982"/>
      <c r="GR128" s="982"/>
      <c r="GS128" s="982"/>
      <c r="GT128" s="982"/>
      <c r="GU128" s="982"/>
      <c r="GV128" s="982"/>
      <c r="GW128" s="982"/>
      <c r="GX128" s="982"/>
      <c r="GY128" s="982"/>
      <c r="GZ128" s="982"/>
      <c r="HA128" s="982"/>
      <c r="HB128" s="982"/>
      <c r="HC128" s="982"/>
      <c r="HD128" s="982"/>
      <c r="HE128" s="982"/>
      <c r="HF128" s="982"/>
      <c r="HG128" s="982"/>
      <c r="HH128" s="982"/>
      <c r="HI128" s="982"/>
      <c r="HJ128" s="982"/>
      <c r="HK128" s="982"/>
      <c r="HL128" s="982"/>
      <c r="HM128" s="982"/>
      <c r="HN128" s="982"/>
      <c r="HO128" s="982"/>
      <c r="HP128" s="982"/>
      <c r="HQ128" s="982"/>
      <c r="HR128" s="982"/>
      <c r="HS128" s="982"/>
      <c r="HT128" s="982"/>
      <c r="HU128" s="982"/>
      <c r="HV128" s="982"/>
      <c r="HW128" s="982"/>
      <c r="HX128" s="982"/>
      <c r="HY128" s="982"/>
      <c r="HZ128" s="982"/>
      <c r="IA128" s="982"/>
      <c r="IB128" s="982"/>
      <c r="IC128" s="982"/>
      <c r="ID128" s="982"/>
      <c r="IE128" s="982"/>
      <c r="IF128" s="982"/>
      <c r="IG128" s="982"/>
      <c r="IH128" s="982"/>
      <c r="II128" s="982"/>
      <c r="IJ128" s="982"/>
      <c r="IK128" s="982"/>
      <c r="IL128" s="982"/>
      <c r="IM128" s="982"/>
      <c r="IN128" s="982"/>
      <c r="IO128" s="982"/>
      <c r="IP128" s="982"/>
      <c r="IQ128" s="982"/>
      <c r="IR128" s="982"/>
      <c r="IS128" s="982"/>
      <c r="IT128" s="982"/>
      <c r="IU128" s="982"/>
      <c r="IV128" s="982"/>
      <c r="IW128" s="982"/>
      <c r="IX128" s="982"/>
    </row>
    <row r="129" spans="66:258" ht="20.100000000000001" hidden="1" customHeight="1">
      <c r="BN129" s="982"/>
      <c r="BO129" s="982"/>
      <c r="BP129" s="982"/>
      <c r="BQ129" s="982"/>
      <c r="BR129" s="982"/>
      <c r="BS129" s="982"/>
      <c r="BT129" s="982"/>
      <c r="BU129" s="982"/>
      <c r="BV129" s="1004"/>
      <c r="BW129" s="1004"/>
      <c r="BX129" s="1004"/>
      <c r="BY129" s="1004"/>
      <c r="BZ129" s="1004"/>
      <c r="CA129" s="1004"/>
      <c r="CB129" s="1004"/>
      <c r="CC129" s="1004"/>
      <c r="CD129" s="1004"/>
      <c r="CE129" s="1004"/>
      <c r="CF129" s="1004"/>
      <c r="CG129" s="1004"/>
      <c r="CH129" s="1004"/>
      <c r="CI129" s="1004"/>
      <c r="CJ129" s="1004"/>
      <c r="CK129" s="849">
        <v>4</v>
      </c>
      <c r="CL129" s="850" t="s">
        <v>60</v>
      </c>
      <c r="CM129" s="1005"/>
      <c r="CN129" s="1009"/>
      <c r="CO129" s="1004"/>
      <c r="CP129" s="1004"/>
      <c r="CQ129" s="1004"/>
      <c r="CR129" s="1004"/>
      <c r="CS129" s="1004"/>
      <c r="CT129" s="1004"/>
      <c r="CU129" s="1004"/>
      <c r="CV129" s="1004"/>
      <c r="CW129" s="1004"/>
      <c r="CX129" s="1004"/>
      <c r="CY129" s="1004"/>
      <c r="CZ129" s="1004"/>
      <c r="DA129" s="1004"/>
      <c r="DB129" s="1004"/>
      <c r="DC129" s="1004"/>
      <c r="DD129" s="1004"/>
      <c r="DE129" s="1004"/>
      <c r="DF129" s="982"/>
      <c r="DG129" s="982"/>
      <c r="DH129" s="982"/>
      <c r="DI129" s="982"/>
      <c r="DJ129" s="982"/>
      <c r="DK129" s="982"/>
      <c r="DL129" s="982"/>
      <c r="DM129" s="982"/>
      <c r="DN129" s="982"/>
      <c r="DO129" s="982"/>
      <c r="DP129" s="982"/>
      <c r="DQ129" s="982"/>
      <c r="DR129" s="982"/>
      <c r="DS129" s="982"/>
      <c r="DT129" s="982"/>
      <c r="DU129" s="982"/>
      <c r="DV129" s="982"/>
      <c r="DW129" s="982"/>
      <c r="DX129" s="982"/>
      <c r="DY129" s="982"/>
      <c r="DZ129" s="982"/>
      <c r="EA129" s="982"/>
      <c r="EB129" s="982"/>
      <c r="EC129" s="982"/>
      <c r="ED129" s="982"/>
      <c r="EE129" s="982"/>
      <c r="EF129" s="982"/>
      <c r="EG129" s="982"/>
      <c r="EH129" s="982"/>
      <c r="EI129" s="982"/>
      <c r="EJ129" s="982"/>
      <c r="EK129" s="982"/>
      <c r="EL129" s="982"/>
      <c r="EM129" s="982"/>
      <c r="EN129" s="982"/>
      <c r="EO129" s="982"/>
      <c r="EP129" s="982"/>
      <c r="EQ129" s="982"/>
      <c r="ER129" s="982"/>
      <c r="ES129" s="982"/>
      <c r="ET129" s="982"/>
      <c r="EU129" s="982"/>
      <c r="EV129" s="982"/>
      <c r="EW129" s="982"/>
      <c r="EX129" s="982"/>
      <c r="EY129" s="982"/>
      <c r="EZ129" s="982"/>
      <c r="FA129" s="982"/>
      <c r="FB129" s="982"/>
      <c r="FC129" s="982"/>
      <c r="FD129" s="982"/>
      <c r="FE129" s="982"/>
      <c r="FF129" s="982"/>
      <c r="FG129" s="982"/>
      <c r="FH129" s="982"/>
      <c r="FI129" s="982"/>
      <c r="FJ129" s="982"/>
      <c r="FK129" s="982"/>
      <c r="FL129" s="982"/>
      <c r="FM129" s="982"/>
      <c r="FN129" s="982"/>
      <c r="FO129" s="982"/>
      <c r="FP129" s="982"/>
      <c r="FQ129" s="982"/>
      <c r="FR129" s="982"/>
      <c r="FS129" s="982"/>
      <c r="FT129" s="982"/>
      <c r="FU129" s="982"/>
      <c r="FV129" s="982"/>
      <c r="FW129" s="982"/>
      <c r="FX129" s="982"/>
      <c r="FY129" s="982"/>
      <c r="FZ129" s="982"/>
      <c r="GA129" s="982"/>
      <c r="GB129" s="982"/>
      <c r="GC129" s="982"/>
      <c r="GD129" s="982"/>
      <c r="GE129" s="982"/>
      <c r="GF129" s="982"/>
      <c r="GG129" s="982"/>
      <c r="GH129" s="982"/>
      <c r="GI129" s="982"/>
      <c r="GJ129" s="982"/>
      <c r="GK129" s="982"/>
      <c r="GL129" s="982"/>
      <c r="GM129" s="982"/>
      <c r="GN129" s="982"/>
      <c r="GO129" s="982"/>
      <c r="GP129" s="982"/>
      <c r="GQ129" s="982"/>
      <c r="GR129" s="982"/>
      <c r="GS129" s="982"/>
      <c r="GT129" s="982"/>
      <c r="GU129" s="982"/>
      <c r="GV129" s="982"/>
      <c r="GW129" s="982"/>
      <c r="GX129" s="982"/>
      <c r="GY129" s="982"/>
      <c r="GZ129" s="982"/>
      <c r="HA129" s="982"/>
      <c r="HB129" s="982"/>
      <c r="HC129" s="982"/>
      <c r="HD129" s="982"/>
      <c r="HE129" s="982"/>
      <c r="HF129" s="982"/>
      <c r="HG129" s="982"/>
      <c r="HH129" s="982"/>
      <c r="HI129" s="982"/>
      <c r="HJ129" s="982"/>
      <c r="HK129" s="982"/>
      <c r="HL129" s="982"/>
      <c r="HM129" s="982"/>
      <c r="HN129" s="982"/>
      <c r="HO129" s="982"/>
      <c r="HP129" s="982"/>
      <c r="HQ129" s="982"/>
      <c r="HR129" s="982"/>
      <c r="HS129" s="982"/>
      <c r="HT129" s="982"/>
      <c r="HU129" s="982"/>
      <c r="HV129" s="982"/>
      <c r="HW129" s="982"/>
      <c r="HX129" s="982"/>
      <c r="HY129" s="982"/>
      <c r="HZ129" s="982"/>
      <c r="IA129" s="982"/>
      <c r="IB129" s="982"/>
      <c r="IC129" s="982"/>
      <c r="ID129" s="982"/>
      <c r="IE129" s="982"/>
      <c r="IF129" s="982"/>
      <c r="IG129" s="982"/>
      <c r="IH129" s="982"/>
      <c r="II129" s="982"/>
      <c r="IJ129" s="982"/>
      <c r="IK129" s="982"/>
      <c r="IL129" s="982"/>
      <c r="IM129" s="982"/>
      <c r="IN129" s="982"/>
      <c r="IO129" s="982"/>
      <c r="IP129" s="982"/>
      <c r="IQ129" s="982"/>
      <c r="IR129" s="982"/>
      <c r="IS129" s="982"/>
      <c r="IT129" s="982"/>
      <c r="IU129" s="982"/>
      <c r="IV129" s="982"/>
      <c r="IW129" s="982"/>
      <c r="IX129" s="982"/>
    </row>
    <row r="130" spans="66:258" ht="20.100000000000001" hidden="1" customHeight="1">
      <c r="BN130" s="982"/>
      <c r="BO130" s="982"/>
      <c r="BP130" s="982"/>
      <c r="BQ130" s="982"/>
      <c r="BR130" s="982"/>
      <c r="BS130" s="982"/>
      <c r="BT130" s="982"/>
      <c r="BU130" s="982"/>
      <c r="BV130" s="1004"/>
      <c r="BW130" s="1004"/>
      <c r="BX130" s="1004"/>
      <c r="BY130" s="1004"/>
      <c r="BZ130" s="1004"/>
      <c r="CA130" s="1004"/>
      <c r="CB130" s="1004"/>
      <c r="CC130" s="1004"/>
      <c r="CD130" s="1004"/>
      <c r="CE130" s="1004"/>
      <c r="CF130" s="1004"/>
      <c r="CG130" s="1004"/>
      <c r="CH130" s="1004"/>
      <c r="CI130" s="1004"/>
      <c r="CJ130" s="1004"/>
      <c r="CK130" s="849">
        <v>5</v>
      </c>
      <c r="CL130" s="850" t="s">
        <v>61</v>
      </c>
      <c r="CM130" s="1005">
        <v>35</v>
      </c>
      <c r="CN130" s="1009">
        <v>0</v>
      </c>
      <c r="CO130" s="1004"/>
      <c r="CP130" s="1004"/>
      <c r="CQ130" s="1004"/>
      <c r="CR130" s="1004"/>
      <c r="CS130" s="1004"/>
      <c r="CT130" s="1004"/>
      <c r="CU130" s="1004"/>
      <c r="CV130" s="1004"/>
      <c r="CW130" s="1004"/>
      <c r="CX130" s="1004"/>
      <c r="CY130" s="1004"/>
      <c r="CZ130" s="1004"/>
      <c r="DA130" s="1004"/>
      <c r="DB130" s="1004"/>
      <c r="DC130" s="1004"/>
      <c r="DD130" s="1004"/>
      <c r="DE130" s="1004"/>
      <c r="DF130" s="982"/>
      <c r="DG130" s="982"/>
      <c r="DH130" s="982"/>
      <c r="DI130" s="982"/>
      <c r="DJ130" s="982"/>
      <c r="DK130" s="982"/>
      <c r="DL130" s="982"/>
      <c r="DM130" s="982"/>
      <c r="DN130" s="982"/>
      <c r="DO130" s="982"/>
      <c r="DP130" s="982"/>
      <c r="DQ130" s="982"/>
      <c r="DR130" s="982"/>
      <c r="DS130" s="982"/>
      <c r="DT130" s="982"/>
      <c r="DU130" s="982"/>
      <c r="DV130" s="982"/>
      <c r="DW130" s="982"/>
      <c r="DX130" s="982"/>
      <c r="DY130" s="982"/>
      <c r="DZ130" s="982"/>
      <c r="EA130" s="982"/>
      <c r="EB130" s="982"/>
      <c r="EC130" s="982"/>
      <c r="ED130" s="982"/>
      <c r="EE130" s="982"/>
      <c r="EF130" s="982"/>
      <c r="EG130" s="982"/>
      <c r="EH130" s="982"/>
      <c r="EI130" s="982"/>
      <c r="EJ130" s="982"/>
      <c r="EK130" s="982"/>
      <c r="EL130" s="982"/>
      <c r="EM130" s="982"/>
      <c r="EN130" s="982"/>
      <c r="EO130" s="982"/>
      <c r="EP130" s="982"/>
      <c r="EQ130" s="982"/>
      <c r="ER130" s="982"/>
      <c r="ES130" s="982"/>
      <c r="ET130" s="982"/>
      <c r="EU130" s="982"/>
      <c r="EV130" s="982"/>
      <c r="EW130" s="982"/>
      <c r="EX130" s="982"/>
      <c r="EY130" s="982"/>
      <c r="EZ130" s="982"/>
      <c r="FA130" s="982"/>
      <c r="FB130" s="982"/>
      <c r="FC130" s="982"/>
      <c r="FD130" s="982"/>
      <c r="FE130" s="982"/>
      <c r="FF130" s="982"/>
      <c r="FG130" s="982"/>
      <c r="FH130" s="982"/>
      <c r="FI130" s="982"/>
      <c r="FJ130" s="982"/>
      <c r="FK130" s="982"/>
      <c r="FL130" s="982"/>
      <c r="FM130" s="982"/>
      <c r="FN130" s="982"/>
      <c r="FO130" s="982"/>
      <c r="FP130" s="982"/>
      <c r="FQ130" s="982"/>
      <c r="FR130" s="982"/>
      <c r="FS130" s="982"/>
      <c r="FT130" s="982"/>
      <c r="FU130" s="982"/>
      <c r="FV130" s="982"/>
      <c r="FW130" s="982"/>
      <c r="FX130" s="982"/>
      <c r="FY130" s="982"/>
      <c r="FZ130" s="982"/>
      <c r="GA130" s="982"/>
      <c r="GB130" s="982"/>
      <c r="GC130" s="982"/>
      <c r="GD130" s="982"/>
      <c r="GE130" s="982"/>
      <c r="GF130" s="982"/>
      <c r="GG130" s="982"/>
      <c r="GH130" s="982"/>
      <c r="GI130" s="982"/>
      <c r="GJ130" s="982"/>
      <c r="GK130" s="982"/>
      <c r="GL130" s="982"/>
      <c r="GM130" s="982"/>
      <c r="GN130" s="982"/>
      <c r="GO130" s="982"/>
      <c r="GP130" s="982"/>
      <c r="GQ130" s="982"/>
      <c r="GR130" s="982"/>
      <c r="GS130" s="982"/>
      <c r="GT130" s="982"/>
      <c r="GU130" s="982"/>
      <c r="GV130" s="982"/>
      <c r="GW130" s="982"/>
      <c r="GX130" s="982"/>
      <c r="GY130" s="982"/>
      <c r="GZ130" s="982"/>
      <c r="HA130" s="982"/>
      <c r="HB130" s="982"/>
      <c r="HC130" s="982"/>
      <c r="HD130" s="982"/>
      <c r="HE130" s="982"/>
      <c r="HF130" s="982"/>
      <c r="HG130" s="982"/>
      <c r="HH130" s="982"/>
      <c r="HI130" s="982"/>
      <c r="HJ130" s="982"/>
      <c r="HK130" s="982"/>
      <c r="HL130" s="982"/>
      <c r="HM130" s="982"/>
      <c r="HN130" s="982"/>
      <c r="HO130" s="982"/>
      <c r="HP130" s="982"/>
      <c r="HQ130" s="982"/>
      <c r="HR130" s="982"/>
      <c r="HS130" s="982"/>
      <c r="HT130" s="982"/>
      <c r="HU130" s="982"/>
      <c r="HV130" s="982"/>
      <c r="HW130" s="982"/>
      <c r="HX130" s="982"/>
      <c r="HY130" s="982"/>
      <c r="HZ130" s="982"/>
      <c r="IA130" s="982"/>
      <c r="IB130" s="982"/>
      <c r="IC130" s="982"/>
      <c r="ID130" s="982"/>
      <c r="IE130" s="982"/>
      <c r="IF130" s="982"/>
      <c r="IG130" s="982"/>
      <c r="IH130" s="982"/>
      <c r="II130" s="982"/>
      <c r="IJ130" s="982"/>
      <c r="IK130" s="982"/>
      <c r="IL130" s="982"/>
      <c r="IM130" s="982"/>
      <c r="IN130" s="982"/>
      <c r="IO130" s="982"/>
      <c r="IP130" s="982"/>
      <c r="IQ130" s="982"/>
      <c r="IR130" s="982"/>
      <c r="IS130" s="982"/>
      <c r="IT130" s="982"/>
      <c r="IU130" s="982"/>
      <c r="IV130" s="982"/>
      <c r="IW130" s="982"/>
      <c r="IX130" s="982"/>
    </row>
    <row r="131" spans="66:258" ht="24.95" hidden="1" customHeight="1">
      <c r="BN131" s="982"/>
      <c r="BO131" s="982"/>
      <c r="BP131" s="982"/>
      <c r="BQ131" s="982"/>
      <c r="BR131" s="982"/>
      <c r="BS131" s="982"/>
      <c r="BT131" s="982"/>
      <c r="BU131" s="982"/>
      <c r="BV131" s="1004"/>
      <c r="BW131" s="1004"/>
      <c r="BX131" s="1004"/>
      <c r="BY131" s="1004"/>
      <c r="BZ131" s="1004"/>
      <c r="CA131" s="1004"/>
      <c r="CB131" s="1004"/>
      <c r="CC131" s="1004"/>
      <c r="CD131" s="1004"/>
      <c r="CE131" s="1004"/>
      <c r="CF131" s="1004"/>
      <c r="CG131" s="1004"/>
      <c r="CH131" s="1004"/>
      <c r="CI131" s="1004"/>
      <c r="CJ131" s="1004"/>
      <c r="CK131" s="849">
        <v>6</v>
      </c>
      <c r="CL131" s="850" t="s">
        <v>248</v>
      </c>
      <c r="CM131" s="1005"/>
      <c r="CN131" s="1009"/>
      <c r="CO131" s="1004"/>
      <c r="CP131" s="1004"/>
      <c r="CQ131" s="1004"/>
      <c r="CR131" s="1004"/>
      <c r="CS131" s="1004"/>
      <c r="CT131" s="1004"/>
      <c r="CU131" s="1004"/>
      <c r="CV131" s="1004"/>
      <c r="CW131" s="1004"/>
      <c r="CX131" s="1004"/>
      <c r="CY131" s="1004"/>
      <c r="CZ131" s="1004"/>
      <c r="DA131" s="1004"/>
      <c r="DB131" s="1004"/>
      <c r="DC131" s="1004"/>
      <c r="DD131" s="1004"/>
      <c r="DE131" s="1004"/>
      <c r="DF131" s="982"/>
      <c r="DG131" s="982"/>
      <c r="DH131" s="982"/>
      <c r="DI131" s="982"/>
      <c r="DJ131" s="982"/>
      <c r="DK131" s="982"/>
      <c r="DL131" s="982"/>
      <c r="DM131" s="982"/>
      <c r="DN131" s="982"/>
      <c r="DO131" s="982"/>
      <c r="DP131" s="982"/>
      <c r="DQ131" s="982"/>
      <c r="DR131" s="982"/>
      <c r="DS131" s="982"/>
      <c r="DT131" s="982"/>
      <c r="DU131" s="982"/>
      <c r="DV131" s="982"/>
      <c r="DW131" s="982"/>
      <c r="DX131" s="982"/>
      <c r="DY131" s="982"/>
      <c r="DZ131" s="982"/>
      <c r="EA131" s="982"/>
      <c r="EB131" s="982"/>
      <c r="EC131" s="982"/>
      <c r="ED131" s="982"/>
      <c r="EE131" s="982"/>
      <c r="EF131" s="982"/>
      <c r="EG131" s="982"/>
      <c r="EH131" s="982"/>
      <c r="EI131" s="982"/>
      <c r="EJ131" s="982"/>
      <c r="EK131" s="982"/>
      <c r="EL131" s="982"/>
      <c r="EM131" s="982"/>
      <c r="EN131" s="982"/>
      <c r="EO131" s="982"/>
      <c r="EP131" s="982"/>
      <c r="EQ131" s="982"/>
      <c r="ER131" s="982"/>
      <c r="ES131" s="982"/>
      <c r="ET131" s="982"/>
      <c r="EU131" s="982"/>
      <c r="EV131" s="982"/>
      <c r="EW131" s="982"/>
      <c r="EX131" s="982"/>
      <c r="EY131" s="982"/>
      <c r="EZ131" s="982"/>
      <c r="FA131" s="982"/>
      <c r="FB131" s="982"/>
      <c r="FC131" s="982"/>
      <c r="FD131" s="982"/>
      <c r="FE131" s="982"/>
      <c r="FF131" s="982"/>
      <c r="FG131" s="982"/>
      <c r="FH131" s="982"/>
      <c r="FI131" s="982"/>
      <c r="FJ131" s="982"/>
      <c r="FK131" s="982"/>
      <c r="FL131" s="982"/>
      <c r="FM131" s="982"/>
      <c r="FN131" s="982"/>
      <c r="FO131" s="982"/>
      <c r="FP131" s="982"/>
      <c r="FQ131" s="982"/>
      <c r="FR131" s="982"/>
      <c r="FS131" s="982"/>
      <c r="FT131" s="982"/>
      <c r="FU131" s="982"/>
      <c r="FV131" s="982"/>
      <c r="FW131" s="982"/>
      <c r="FX131" s="982"/>
      <c r="FY131" s="982"/>
      <c r="FZ131" s="982"/>
      <c r="GA131" s="982"/>
      <c r="GB131" s="982"/>
      <c r="GC131" s="982"/>
      <c r="GD131" s="982"/>
      <c r="GE131" s="982"/>
      <c r="GF131" s="982"/>
      <c r="GG131" s="982"/>
      <c r="GH131" s="982"/>
      <c r="GI131" s="982"/>
      <c r="GJ131" s="982"/>
      <c r="GK131" s="982"/>
      <c r="GL131" s="982"/>
      <c r="GM131" s="982"/>
      <c r="GN131" s="982"/>
      <c r="GO131" s="982"/>
      <c r="GP131" s="982"/>
      <c r="GQ131" s="982"/>
      <c r="GR131" s="982"/>
      <c r="GS131" s="982"/>
      <c r="GT131" s="982"/>
      <c r="GU131" s="982"/>
      <c r="GV131" s="982"/>
      <c r="GW131" s="982"/>
      <c r="GX131" s="982"/>
      <c r="GY131" s="982"/>
      <c r="GZ131" s="982"/>
      <c r="HA131" s="982"/>
      <c r="HB131" s="982"/>
      <c r="HC131" s="982"/>
      <c r="HD131" s="982"/>
      <c r="HE131" s="982"/>
      <c r="HF131" s="982"/>
      <c r="HG131" s="982"/>
      <c r="HH131" s="982"/>
      <c r="HI131" s="982"/>
      <c r="HJ131" s="982"/>
      <c r="HK131" s="982"/>
      <c r="HL131" s="982"/>
      <c r="HM131" s="982"/>
      <c r="HN131" s="982"/>
      <c r="HO131" s="982"/>
      <c r="HP131" s="982"/>
      <c r="HQ131" s="982"/>
      <c r="HR131" s="982"/>
      <c r="HS131" s="982"/>
      <c r="HT131" s="982"/>
      <c r="HU131" s="982"/>
      <c r="HV131" s="982"/>
      <c r="HW131" s="982"/>
      <c r="HX131" s="982"/>
      <c r="HY131" s="982"/>
      <c r="HZ131" s="982"/>
      <c r="IA131" s="982"/>
      <c r="IB131" s="982"/>
      <c r="IC131" s="982"/>
      <c r="ID131" s="982"/>
      <c r="IE131" s="982"/>
      <c r="IF131" s="982"/>
      <c r="IG131" s="982"/>
      <c r="IH131" s="982"/>
      <c r="II131" s="982"/>
      <c r="IJ131" s="982"/>
      <c r="IK131" s="982"/>
      <c r="IL131" s="982"/>
      <c r="IM131" s="982"/>
      <c r="IN131" s="982"/>
      <c r="IO131" s="982"/>
      <c r="IP131" s="982"/>
      <c r="IQ131" s="982"/>
      <c r="IR131" s="982"/>
      <c r="IS131" s="982"/>
      <c r="IT131" s="982"/>
      <c r="IU131" s="982"/>
      <c r="IV131" s="982"/>
      <c r="IW131" s="982"/>
      <c r="IX131" s="982"/>
    </row>
    <row r="132" spans="66:258" ht="20.100000000000001" hidden="1" customHeight="1">
      <c r="BN132" s="982"/>
      <c r="BO132" s="982"/>
      <c r="BP132" s="982"/>
      <c r="BQ132" s="982"/>
      <c r="BR132" s="982"/>
      <c r="BS132" s="982"/>
      <c r="BT132" s="982"/>
      <c r="BU132" s="982"/>
      <c r="BV132" s="1004"/>
      <c r="BW132" s="1004"/>
      <c r="BX132" s="1004"/>
      <c r="BY132" s="1004"/>
      <c r="BZ132" s="1004"/>
      <c r="CA132" s="1004"/>
      <c r="CB132" s="1004"/>
      <c r="CC132" s="1004"/>
      <c r="CD132" s="1004"/>
      <c r="CE132" s="1004"/>
      <c r="CF132" s="1004"/>
      <c r="CG132" s="1004"/>
      <c r="CH132" s="1004"/>
      <c r="CI132" s="1004"/>
      <c r="CJ132" s="1004"/>
      <c r="CK132" s="849">
        <v>7</v>
      </c>
      <c r="CL132" s="850" t="s">
        <v>249</v>
      </c>
      <c r="CM132" s="1005"/>
      <c r="CN132" s="1009"/>
      <c r="CO132" s="1004"/>
      <c r="CP132" s="1004"/>
      <c r="CQ132" s="1004"/>
      <c r="CR132" s="1004"/>
      <c r="CS132" s="1004"/>
      <c r="CT132" s="1004"/>
      <c r="CU132" s="1004"/>
      <c r="CV132" s="1004"/>
      <c r="CW132" s="1004"/>
      <c r="CX132" s="1004"/>
      <c r="CY132" s="1004"/>
      <c r="CZ132" s="1004"/>
      <c r="DA132" s="1004"/>
      <c r="DB132" s="1004"/>
      <c r="DC132" s="1004"/>
      <c r="DD132" s="1004"/>
      <c r="DE132" s="1004"/>
      <c r="DF132" s="982"/>
      <c r="DG132" s="982"/>
      <c r="DH132" s="982"/>
      <c r="DI132" s="982"/>
      <c r="DJ132" s="982"/>
      <c r="DK132" s="982"/>
      <c r="DL132" s="982"/>
      <c r="DM132" s="982"/>
      <c r="DN132" s="982"/>
      <c r="DO132" s="982"/>
      <c r="DP132" s="982"/>
      <c r="DQ132" s="982"/>
      <c r="DR132" s="982"/>
      <c r="DS132" s="982"/>
      <c r="DT132" s="982"/>
      <c r="DU132" s="982"/>
      <c r="DV132" s="982"/>
      <c r="DW132" s="982"/>
      <c r="DX132" s="982"/>
      <c r="DY132" s="982"/>
      <c r="DZ132" s="982"/>
      <c r="EA132" s="982"/>
      <c r="EB132" s="982"/>
      <c r="EC132" s="982"/>
      <c r="ED132" s="982"/>
      <c r="EE132" s="982"/>
      <c r="EF132" s="982"/>
      <c r="EG132" s="982"/>
      <c r="EH132" s="982"/>
      <c r="EI132" s="982"/>
      <c r="EJ132" s="982"/>
      <c r="EK132" s="982"/>
      <c r="EL132" s="982"/>
      <c r="EM132" s="982"/>
      <c r="EN132" s="982"/>
      <c r="EO132" s="982"/>
      <c r="EP132" s="982"/>
      <c r="EQ132" s="982"/>
      <c r="ER132" s="982"/>
      <c r="ES132" s="982"/>
      <c r="ET132" s="982"/>
      <c r="EU132" s="982"/>
      <c r="EV132" s="982"/>
      <c r="EW132" s="982"/>
      <c r="EX132" s="982"/>
      <c r="EY132" s="982"/>
      <c r="EZ132" s="982"/>
      <c r="FA132" s="982"/>
      <c r="FB132" s="982"/>
      <c r="FC132" s="982"/>
      <c r="FD132" s="982"/>
      <c r="FE132" s="982"/>
      <c r="FF132" s="982"/>
      <c r="FG132" s="982"/>
      <c r="FH132" s="982"/>
      <c r="FI132" s="982"/>
      <c r="FJ132" s="982"/>
      <c r="FK132" s="982"/>
      <c r="FL132" s="982"/>
      <c r="FM132" s="982"/>
      <c r="FN132" s="982"/>
      <c r="FO132" s="982"/>
      <c r="FP132" s="982"/>
      <c r="FQ132" s="982"/>
      <c r="FR132" s="982"/>
      <c r="FS132" s="982"/>
      <c r="FT132" s="982"/>
      <c r="FU132" s="982"/>
      <c r="FV132" s="982"/>
      <c r="FW132" s="982"/>
      <c r="FX132" s="982"/>
      <c r="FY132" s="982"/>
      <c r="FZ132" s="982"/>
      <c r="GA132" s="982"/>
      <c r="GB132" s="982"/>
      <c r="GC132" s="982"/>
      <c r="GD132" s="982"/>
      <c r="GE132" s="982"/>
      <c r="GF132" s="982"/>
      <c r="GG132" s="982"/>
      <c r="GH132" s="982"/>
      <c r="GI132" s="982"/>
      <c r="GJ132" s="982"/>
      <c r="GK132" s="982"/>
      <c r="GL132" s="982"/>
      <c r="GM132" s="982"/>
      <c r="GN132" s="982"/>
      <c r="GO132" s="982"/>
      <c r="GP132" s="982"/>
      <c r="GQ132" s="982"/>
      <c r="GR132" s="982"/>
      <c r="GS132" s="982"/>
      <c r="GT132" s="982"/>
      <c r="GU132" s="982"/>
      <c r="GV132" s="982"/>
      <c r="GW132" s="982"/>
      <c r="GX132" s="982"/>
      <c r="GY132" s="982"/>
      <c r="GZ132" s="982"/>
      <c r="HA132" s="982"/>
      <c r="HB132" s="982"/>
      <c r="HC132" s="982"/>
      <c r="HD132" s="982"/>
      <c r="HE132" s="982"/>
      <c r="HF132" s="982"/>
      <c r="HG132" s="982"/>
      <c r="HH132" s="982"/>
      <c r="HI132" s="982"/>
      <c r="HJ132" s="982"/>
      <c r="HK132" s="982"/>
      <c r="HL132" s="982"/>
      <c r="HM132" s="982"/>
      <c r="HN132" s="982"/>
      <c r="HO132" s="982"/>
      <c r="HP132" s="982"/>
      <c r="HQ132" s="982"/>
      <c r="HR132" s="982"/>
      <c r="HS132" s="982"/>
      <c r="HT132" s="982"/>
      <c r="HU132" s="982"/>
      <c r="HV132" s="982"/>
      <c r="HW132" s="982"/>
      <c r="HX132" s="982"/>
      <c r="HY132" s="982"/>
      <c r="HZ132" s="982"/>
      <c r="IA132" s="982"/>
      <c r="IB132" s="982"/>
      <c r="IC132" s="982"/>
      <c r="ID132" s="982"/>
      <c r="IE132" s="982"/>
      <c r="IF132" s="982"/>
      <c r="IG132" s="982"/>
      <c r="IH132" s="982"/>
      <c r="II132" s="982"/>
      <c r="IJ132" s="982"/>
      <c r="IK132" s="982"/>
      <c r="IL132" s="982"/>
      <c r="IM132" s="982"/>
      <c r="IN132" s="982"/>
      <c r="IO132" s="982"/>
      <c r="IP132" s="982"/>
      <c r="IQ132" s="982"/>
      <c r="IR132" s="982"/>
      <c r="IS132" s="982"/>
      <c r="IT132" s="982"/>
      <c r="IU132" s="982"/>
      <c r="IV132" s="982"/>
      <c r="IW132" s="982"/>
      <c r="IX132" s="982"/>
    </row>
    <row r="133" spans="66:258" ht="20.100000000000001" hidden="1" customHeight="1">
      <c r="BN133" s="982"/>
      <c r="BO133" s="982"/>
      <c r="BP133" s="982"/>
      <c r="BQ133" s="982"/>
      <c r="BR133" s="982"/>
      <c r="BS133" s="982"/>
      <c r="BT133" s="982"/>
      <c r="BU133" s="982"/>
      <c r="BV133" s="1004"/>
      <c r="BW133" s="1004"/>
      <c r="BX133" s="1004"/>
      <c r="BY133" s="1004"/>
      <c r="BZ133" s="1004"/>
      <c r="CA133" s="1004"/>
      <c r="CB133" s="1004"/>
      <c r="CC133" s="1004"/>
      <c r="CD133" s="1004"/>
      <c r="CE133" s="1004"/>
      <c r="CF133" s="1004"/>
      <c r="CG133" s="1004"/>
      <c r="CH133" s="1004"/>
      <c r="CI133" s="1004"/>
      <c r="CJ133" s="1004"/>
      <c r="CK133" s="849">
        <v>8</v>
      </c>
      <c r="CL133" s="850" t="s">
        <v>62</v>
      </c>
      <c r="CM133" s="1005">
        <v>79.5</v>
      </c>
      <c r="CN133" s="1009">
        <v>0</v>
      </c>
      <c r="CO133" s="1004"/>
      <c r="CP133" s="1004"/>
      <c r="CQ133" s="1004"/>
      <c r="CR133" s="1004"/>
      <c r="CS133" s="1004"/>
      <c r="CT133" s="1004"/>
      <c r="CU133" s="1004"/>
      <c r="CV133" s="1004"/>
      <c r="CW133" s="1004"/>
      <c r="CX133" s="1004"/>
      <c r="CY133" s="1004"/>
      <c r="CZ133" s="1004"/>
      <c r="DA133" s="1004"/>
      <c r="DB133" s="1004"/>
      <c r="DC133" s="1004"/>
      <c r="DD133" s="1004"/>
      <c r="DE133" s="1004"/>
      <c r="DF133" s="982"/>
      <c r="DG133" s="982"/>
      <c r="DH133" s="982"/>
      <c r="DI133" s="982"/>
      <c r="DJ133" s="982"/>
      <c r="DK133" s="982"/>
      <c r="DL133" s="982"/>
      <c r="DM133" s="982"/>
      <c r="DN133" s="982"/>
      <c r="DO133" s="982"/>
      <c r="DP133" s="982"/>
      <c r="DQ133" s="982"/>
      <c r="DR133" s="982"/>
      <c r="DS133" s="982"/>
      <c r="DT133" s="982"/>
      <c r="DU133" s="982"/>
      <c r="DV133" s="982"/>
      <c r="DW133" s="982"/>
      <c r="DX133" s="982"/>
      <c r="DY133" s="982"/>
      <c r="DZ133" s="982"/>
      <c r="EA133" s="982"/>
      <c r="EB133" s="982"/>
      <c r="EC133" s="982"/>
      <c r="ED133" s="982"/>
      <c r="EE133" s="982"/>
      <c r="EF133" s="982"/>
      <c r="EG133" s="982"/>
      <c r="EH133" s="982"/>
      <c r="EI133" s="982"/>
      <c r="EJ133" s="982"/>
      <c r="EK133" s="982"/>
      <c r="EL133" s="982"/>
      <c r="EM133" s="982"/>
      <c r="EN133" s="982"/>
      <c r="EO133" s="982"/>
      <c r="EP133" s="982"/>
      <c r="EQ133" s="982"/>
      <c r="ER133" s="982"/>
      <c r="ES133" s="982"/>
      <c r="ET133" s="982"/>
      <c r="EU133" s="982"/>
      <c r="EV133" s="982"/>
      <c r="EW133" s="982"/>
      <c r="EX133" s="982"/>
      <c r="EY133" s="982"/>
      <c r="EZ133" s="982"/>
      <c r="FA133" s="982"/>
      <c r="FB133" s="982"/>
      <c r="FC133" s="982"/>
      <c r="FD133" s="982"/>
      <c r="FE133" s="982"/>
      <c r="FF133" s="982"/>
      <c r="FG133" s="982"/>
      <c r="FH133" s="982"/>
      <c r="FI133" s="982"/>
      <c r="FJ133" s="982"/>
      <c r="FK133" s="982"/>
      <c r="FL133" s="982"/>
      <c r="FM133" s="982"/>
      <c r="FN133" s="982"/>
      <c r="FO133" s="982"/>
      <c r="FP133" s="982"/>
      <c r="FQ133" s="982"/>
      <c r="FR133" s="982"/>
      <c r="FS133" s="982"/>
      <c r="FT133" s="982"/>
      <c r="FU133" s="982"/>
      <c r="FV133" s="982"/>
      <c r="FW133" s="982"/>
      <c r="FX133" s="982"/>
      <c r="FY133" s="982"/>
      <c r="FZ133" s="982"/>
      <c r="GA133" s="982"/>
      <c r="GB133" s="982"/>
      <c r="GC133" s="982"/>
      <c r="GD133" s="982"/>
      <c r="GE133" s="982"/>
      <c r="GF133" s="982"/>
      <c r="GG133" s="982"/>
      <c r="GH133" s="982"/>
      <c r="GI133" s="982"/>
      <c r="GJ133" s="982"/>
      <c r="GK133" s="982"/>
      <c r="GL133" s="982"/>
      <c r="GM133" s="982"/>
      <c r="GN133" s="982"/>
      <c r="GO133" s="982"/>
      <c r="GP133" s="982"/>
      <c r="GQ133" s="982"/>
      <c r="GR133" s="982"/>
      <c r="GS133" s="982"/>
      <c r="GT133" s="982"/>
      <c r="GU133" s="982"/>
      <c r="GV133" s="982"/>
      <c r="GW133" s="982"/>
      <c r="GX133" s="982"/>
      <c r="GY133" s="982"/>
      <c r="GZ133" s="982"/>
      <c r="HA133" s="982"/>
      <c r="HB133" s="982"/>
      <c r="HC133" s="982"/>
      <c r="HD133" s="982"/>
      <c r="HE133" s="982"/>
      <c r="HF133" s="982"/>
      <c r="HG133" s="982"/>
      <c r="HH133" s="982"/>
      <c r="HI133" s="982"/>
      <c r="HJ133" s="982"/>
      <c r="HK133" s="982"/>
      <c r="HL133" s="982"/>
      <c r="HM133" s="982"/>
      <c r="HN133" s="982"/>
      <c r="HO133" s="982"/>
      <c r="HP133" s="982"/>
      <c r="HQ133" s="982"/>
      <c r="HR133" s="982"/>
      <c r="HS133" s="982"/>
      <c r="HT133" s="982"/>
      <c r="HU133" s="982"/>
      <c r="HV133" s="982"/>
      <c r="HW133" s="982"/>
      <c r="HX133" s="982"/>
      <c r="HY133" s="982"/>
      <c r="HZ133" s="982"/>
      <c r="IA133" s="982"/>
      <c r="IB133" s="982"/>
      <c r="IC133" s="982"/>
      <c r="ID133" s="982"/>
      <c r="IE133" s="982"/>
      <c r="IF133" s="982"/>
      <c r="IG133" s="982"/>
      <c r="IH133" s="982"/>
      <c r="II133" s="982"/>
      <c r="IJ133" s="982"/>
      <c r="IK133" s="982"/>
      <c r="IL133" s="982"/>
      <c r="IM133" s="982"/>
      <c r="IN133" s="982"/>
      <c r="IO133" s="982"/>
      <c r="IP133" s="982"/>
      <c r="IQ133" s="982"/>
      <c r="IR133" s="982"/>
      <c r="IS133" s="982"/>
      <c r="IT133" s="982"/>
      <c r="IU133" s="982"/>
      <c r="IV133" s="982"/>
      <c r="IW133" s="982"/>
      <c r="IX133" s="982"/>
    </row>
    <row r="134" spans="66:258" ht="20.100000000000001" hidden="1" customHeight="1">
      <c r="BN134" s="982"/>
      <c r="BO134" s="982"/>
      <c r="BP134" s="982"/>
      <c r="BQ134" s="982"/>
      <c r="BR134" s="982"/>
      <c r="BS134" s="982"/>
      <c r="BT134" s="982"/>
      <c r="BU134" s="982"/>
      <c r="BV134" s="1004"/>
      <c r="BW134" s="1004"/>
      <c r="BX134" s="1004"/>
      <c r="BY134" s="1004"/>
      <c r="BZ134" s="1004"/>
      <c r="CA134" s="1004"/>
      <c r="CB134" s="1004"/>
      <c r="CC134" s="1004"/>
      <c r="CD134" s="1004"/>
      <c r="CE134" s="1004"/>
      <c r="CF134" s="1004"/>
      <c r="CG134" s="1004"/>
      <c r="CH134" s="1004"/>
      <c r="CI134" s="1004"/>
      <c r="CJ134" s="1004"/>
      <c r="CK134" s="849">
        <v>9</v>
      </c>
      <c r="CL134" s="850" t="s">
        <v>63</v>
      </c>
      <c r="CM134" s="1005"/>
      <c r="CN134" s="1009"/>
      <c r="CO134" s="1004"/>
      <c r="CP134" s="1004"/>
      <c r="CQ134" s="1004"/>
      <c r="CR134" s="1004"/>
      <c r="CS134" s="1004"/>
      <c r="CT134" s="1004"/>
      <c r="CU134" s="1004"/>
      <c r="CV134" s="1004"/>
      <c r="CW134" s="1004"/>
      <c r="CX134" s="1004"/>
      <c r="CY134" s="1004"/>
      <c r="CZ134" s="1004"/>
      <c r="DA134" s="1004"/>
      <c r="DB134" s="1004"/>
      <c r="DC134" s="1004"/>
      <c r="DD134" s="1004"/>
      <c r="DE134" s="1004"/>
      <c r="DF134" s="982"/>
      <c r="DG134" s="982"/>
      <c r="DH134" s="982"/>
      <c r="DI134" s="982"/>
      <c r="DJ134" s="982"/>
      <c r="DK134" s="982"/>
      <c r="DL134" s="982"/>
      <c r="DM134" s="982"/>
      <c r="DN134" s="982"/>
      <c r="DO134" s="982"/>
      <c r="DP134" s="982"/>
      <c r="DQ134" s="982"/>
      <c r="DR134" s="982"/>
      <c r="DS134" s="982"/>
      <c r="DT134" s="982"/>
      <c r="DU134" s="982"/>
      <c r="DV134" s="982"/>
      <c r="DW134" s="982"/>
      <c r="DX134" s="982"/>
      <c r="DY134" s="982"/>
      <c r="DZ134" s="982"/>
      <c r="EA134" s="982"/>
      <c r="EB134" s="982"/>
      <c r="EC134" s="982"/>
      <c r="ED134" s="982"/>
      <c r="EE134" s="982"/>
      <c r="EF134" s="982"/>
      <c r="EG134" s="982"/>
      <c r="EH134" s="982"/>
      <c r="EI134" s="982"/>
      <c r="EJ134" s="982"/>
      <c r="EK134" s="982"/>
      <c r="EL134" s="982"/>
      <c r="EM134" s="982"/>
      <c r="EN134" s="982"/>
      <c r="EO134" s="982"/>
      <c r="EP134" s="982"/>
      <c r="EQ134" s="982"/>
      <c r="ER134" s="982"/>
      <c r="ES134" s="982"/>
      <c r="ET134" s="982"/>
      <c r="EU134" s="982"/>
      <c r="EV134" s="982"/>
      <c r="EW134" s="982"/>
      <c r="EX134" s="982"/>
      <c r="EY134" s="982"/>
      <c r="EZ134" s="982"/>
      <c r="FA134" s="982"/>
      <c r="FB134" s="982"/>
      <c r="FC134" s="982"/>
      <c r="FD134" s="982"/>
      <c r="FE134" s="982"/>
      <c r="FF134" s="982"/>
      <c r="FG134" s="982"/>
      <c r="FH134" s="982"/>
      <c r="FI134" s="982"/>
      <c r="FJ134" s="982"/>
      <c r="FK134" s="982"/>
      <c r="FL134" s="982"/>
      <c r="FM134" s="982"/>
      <c r="FN134" s="982"/>
      <c r="FO134" s="982"/>
      <c r="FP134" s="982"/>
      <c r="FQ134" s="982"/>
      <c r="FR134" s="982"/>
      <c r="FS134" s="982"/>
      <c r="FT134" s="982"/>
      <c r="FU134" s="982"/>
      <c r="FV134" s="982"/>
      <c r="FW134" s="982"/>
      <c r="FX134" s="982"/>
      <c r="FY134" s="982"/>
      <c r="FZ134" s="982"/>
      <c r="GA134" s="982"/>
      <c r="GB134" s="982"/>
      <c r="GC134" s="982"/>
      <c r="GD134" s="982"/>
      <c r="GE134" s="982"/>
      <c r="GF134" s="982"/>
      <c r="GG134" s="982"/>
      <c r="GH134" s="982"/>
      <c r="GI134" s="982"/>
      <c r="GJ134" s="982"/>
      <c r="GK134" s="982"/>
      <c r="GL134" s="982"/>
      <c r="GM134" s="982"/>
      <c r="GN134" s="982"/>
      <c r="GO134" s="982"/>
      <c r="GP134" s="982"/>
      <c r="GQ134" s="982"/>
      <c r="GR134" s="982"/>
      <c r="GS134" s="982"/>
      <c r="GT134" s="982"/>
      <c r="GU134" s="982"/>
      <c r="GV134" s="982"/>
      <c r="GW134" s="982"/>
      <c r="GX134" s="982"/>
      <c r="GY134" s="982"/>
      <c r="GZ134" s="982"/>
      <c r="HA134" s="982"/>
      <c r="HB134" s="982"/>
      <c r="HC134" s="982"/>
      <c r="HD134" s="982"/>
      <c r="HE134" s="982"/>
      <c r="HF134" s="982"/>
      <c r="HG134" s="982"/>
      <c r="HH134" s="982"/>
      <c r="HI134" s="982"/>
      <c r="HJ134" s="982"/>
      <c r="HK134" s="982"/>
      <c r="HL134" s="982"/>
      <c r="HM134" s="982"/>
      <c r="HN134" s="982"/>
      <c r="HO134" s="982"/>
      <c r="HP134" s="982"/>
      <c r="HQ134" s="982"/>
      <c r="HR134" s="982"/>
      <c r="HS134" s="982"/>
      <c r="HT134" s="982"/>
      <c r="HU134" s="982"/>
      <c r="HV134" s="982"/>
      <c r="HW134" s="982"/>
      <c r="HX134" s="982"/>
      <c r="HY134" s="982"/>
      <c r="HZ134" s="982"/>
      <c r="IA134" s="982"/>
      <c r="IB134" s="982"/>
      <c r="IC134" s="982"/>
      <c r="ID134" s="982"/>
      <c r="IE134" s="982"/>
      <c r="IF134" s="982"/>
      <c r="IG134" s="982"/>
      <c r="IH134" s="982"/>
      <c r="II134" s="982"/>
      <c r="IJ134" s="982"/>
      <c r="IK134" s="982"/>
      <c r="IL134" s="982"/>
      <c r="IM134" s="982"/>
      <c r="IN134" s="982"/>
      <c r="IO134" s="982"/>
      <c r="IP134" s="982"/>
      <c r="IQ134" s="982"/>
      <c r="IR134" s="982"/>
      <c r="IS134" s="982"/>
      <c r="IT134" s="982"/>
      <c r="IU134" s="982"/>
      <c r="IV134" s="982"/>
      <c r="IW134" s="982"/>
      <c r="IX134" s="982"/>
    </row>
    <row r="135" spans="66:258" ht="20.100000000000001" hidden="1" customHeight="1">
      <c r="BN135" s="982"/>
      <c r="BO135" s="982"/>
      <c r="BP135" s="982"/>
      <c r="BQ135" s="982"/>
      <c r="BR135" s="982"/>
      <c r="BS135" s="982"/>
      <c r="BT135" s="982"/>
      <c r="BU135" s="982"/>
      <c r="BV135" s="1004"/>
      <c r="BW135" s="1004"/>
      <c r="BX135" s="1004"/>
      <c r="BY135" s="1004"/>
      <c r="BZ135" s="1004"/>
      <c r="CA135" s="1004"/>
      <c r="CB135" s="1004"/>
      <c r="CC135" s="1004"/>
      <c r="CD135" s="1004"/>
      <c r="CE135" s="1004"/>
      <c r="CF135" s="1004"/>
      <c r="CG135" s="1004"/>
      <c r="CH135" s="1004"/>
      <c r="CI135" s="1004"/>
      <c r="CJ135" s="1004"/>
      <c r="CK135" s="849">
        <v>10</v>
      </c>
      <c r="CL135" s="850" t="s">
        <v>250</v>
      </c>
      <c r="CM135" s="1005">
        <v>61</v>
      </c>
      <c r="CN135" s="1009">
        <v>209</v>
      </c>
      <c r="CO135" s="1004"/>
      <c r="CP135" s="1004"/>
      <c r="CQ135" s="1004"/>
      <c r="CR135" s="1004"/>
      <c r="CS135" s="1004"/>
      <c r="CT135" s="1004"/>
      <c r="CU135" s="1004"/>
      <c r="CV135" s="1004"/>
      <c r="CW135" s="1004"/>
      <c r="CX135" s="1004"/>
      <c r="CY135" s="1004"/>
      <c r="CZ135" s="1004"/>
      <c r="DA135" s="1004"/>
      <c r="DB135" s="1004"/>
      <c r="DC135" s="1004"/>
      <c r="DD135" s="1004"/>
      <c r="DE135" s="1004"/>
      <c r="DF135" s="982"/>
      <c r="DG135" s="982"/>
      <c r="DH135" s="982"/>
      <c r="DI135" s="982"/>
      <c r="DJ135" s="982"/>
      <c r="DK135" s="982"/>
      <c r="DL135" s="982"/>
      <c r="DM135" s="982"/>
      <c r="DN135" s="982"/>
      <c r="DO135" s="982"/>
      <c r="DP135" s="982"/>
      <c r="DQ135" s="982"/>
      <c r="DR135" s="982"/>
      <c r="DS135" s="982"/>
      <c r="DT135" s="982"/>
      <c r="DU135" s="982"/>
      <c r="DV135" s="982"/>
      <c r="DW135" s="982"/>
      <c r="DX135" s="982"/>
      <c r="DY135" s="982"/>
      <c r="DZ135" s="982"/>
      <c r="EA135" s="982"/>
      <c r="EB135" s="982"/>
      <c r="EC135" s="982"/>
      <c r="ED135" s="982"/>
      <c r="EE135" s="982"/>
      <c r="EF135" s="982"/>
      <c r="EG135" s="982"/>
      <c r="EH135" s="982"/>
      <c r="EI135" s="982"/>
      <c r="EJ135" s="982"/>
      <c r="EK135" s="982"/>
      <c r="EL135" s="982"/>
      <c r="EM135" s="982"/>
      <c r="EN135" s="982"/>
      <c r="EO135" s="982"/>
      <c r="EP135" s="982"/>
      <c r="EQ135" s="982"/>
      <c r="ER135" s="982"/>
      <c r="ES135" s="982"/>
      <c r="ET135" s="982"/>
      <c r="EU135" s="982"/>
      <c r="EV135" s="982"/>
      <c r="EW135" s="982"/>
      <c r="EX135" s="982"/>
      <c r="EY135" s="982"/>
      <c r="EZ135" s="982"/>
      <c r="FA135" s="982"/>
      <c r="FB135" s="982"/>
      <c r="FC135" s="982"/>
      <c r="FD135" s="982"/>
      <c r="FE135" s="982"/>
      <c r="FF135" s="982"/>
      <c r="FG135" s="982"/>
      <c r="FH135" s="982"/>
      <c r="FI135" s="982"/>
      <c r="FJ135" s="982"/>
      <c r="FK135" s="982"/>
      <c r="FL135" s="982"/>
      <c r="FM135" s="982"/>
      <c r="FN135" s="982"/>
      <c r="FO135" s="982"/>
      <c r="FP135" s="982"/>
      <c r="FQ135" s="982"/>
      <c r="FR135" s="982"/>
      <c r="FS135" s="982"/>
      <c r="FT135" s="982"/>
      <c r="FU135" s="982"/>
      <c r="FV135" s="982"/>
      <c r="FW135" s="982"/>
      <c r="FX135" s="982"/>
      <c r="FY135" s="982"/>
      <c r="FZ135" s="982"/>
      <c r="GA135" s="982"/>
      <c r="GB135" s="982"/>
      <c r="GC135" s="982"/>
      <c r="GD135" s="982"/>
      <c r="GE135" s="982"/>
      <c r="GF135" s="982"/>
      <c r="GG135" s="982"/>
      <c r="GH135" s="982"/>
      <c r="GI135" s="982"/>
      <c r="GJ135" s="982"/>
      <c r="GK135" s="982"/>
      <c r="GL135" s="982"/>
      <c r="GM135" s="982"/>
      <c r="GN135" s="982"/>
      <c r="GO135" s="982"/>
      <c r="GP135" s="982"/>
      <c r="GQ135" s="982"/>
      <c r="GR135" s="982"/>
      <c r="GS135" s="982"/>
      <c r="GT135" s="982"/>
      <c r="GU135" s="982"/>
      <c r="GV135" s="982"/>
      <c r="GW135" s="982"/>
      <c r="GX135" s="982"/>
      <c r="GY135" s="982"/>
      <c r="GZ135" s="982"/>
      <c r="HA135" s="982"/>
      <c r="HB135" s="982"/>
      <c r="HC135" s="982"/>
      <c r="HD135" s="982"/>
      <c r="HE135" s="982"/>
      <c r="HF135" s="982"/>
      <c r="HG135" s="982"/>
      <c r="HH135" s="982"/>
      <c r="HI135" s="982"/>
      <c r="HJ135" s="982"/>
      <c r="HK135" s="982"/>
      <c r="HL135" s="982"/>
      <c r="HM135" s="982"/>
      <c r="HN135" s="982"/>
      <c r="HO135" s="982"/>
      <c r="HP135" s="982"/>
      <c r="HQ135" s="982"/>
      <c r="HR135" s="982"/>
      <c r="HS135" s="982"/>
      <c r="HT135" s="982"/>
      <c r="HU135" s="982"/>
      <c r="HV135" s="982"/>
      <c r="HW135" s="982"/>
      <c r="HX135" s="982"/>
      <c r="HY135" s="982"/>
      <c r="HZ135" s="982"/>
      <c r="IA135" s="982"/>
      <c r="IB135" s="982"/>
      <c r="IC135" s="982"/>
      <c r="ID135" s="982"/>
      <c r="IE135" s="982"/>
      <c r="IF135" s="982"/>
      <c r="IG135" s="982"/>
      <c r="IH135" s="982"/>
      <c r="II135" s="982"/>
      <c r="IJ135" s="982"/>
      <c r="IK135" s="982"/>
      <c r="IL135" s="982"/>
      <c r="IM135" s="982"/>
      <c r="IN135" s="982"/>
      <c r="IO135" s="982"/>
      <c r="IP135" s="982"/>
      <c r="IQ135" s="982"/>
      <c r="IR135" s="982"/>
      <c r="IS135" s="982"/>
      <c r="IT135" s="982"/>
      <c r="IU135" s="982"/>
      <c r="IV135" s="982"/>
      <c r="IW135" s="982"/>
      <c r="IX135" s="982"/>
    </row>
    <row r="136" spans="66:258" ht="24.95" hidden="1" customHeight="1">
      <c r="BN136" s="982"/>
      <c r="BO136" s="982"/>
      <c r="BP136" s="982"/>
      <c r="BQ136" s="982"/>
      <c r="BR136" s="982"/>
      <c r="BS136" s="982"/>
      <c r="BT136" s="982"/>
      <c r="BU136" s="982"/>
      <c r="BV136" s="1004"/>
      <c r="BW136" s="1004"/>
      <c r="BX136" s="1004"/>
      <c r="BY136" s="1004"/>
      <c r="BZ136" s="1004"/>
      <c r="CA136" s="1004"/>
      <c r="CB136" s="1004"/>
      <c r="CC136" s="1004"/>
      <c r="CD136" s="1004"/>
      <c r="CE136" s="1004"/>
      <c r="CF136" s="1004"/>
      <c r="CG136" s="1004"/>
      <c r="CH136" s="1004"/>
      <c r="CI136" s="1004"/>
      <c r="CJ136" s="1004"/>
      <c r="CK136" s="849">
        <v>11</v>
      </c>
      <c r="CL136" s="850" t="s">
        <v>251</v>
      </c>
      <c r="CM136" s="1005"/>
      <c r="CN136" s="1009"/>
      <c r="CO136" s="1004"/>
      <c r="CP136" s="1004"/>
      <c r="CQ136" s="1004"/>
      <c r="CR136" s="1004"/>
      <c r="CS136" s="1004"/>
      <c r="CT136" s="1004"/>
      <c r="CU136" s="1004"/>
      <c r="CV136" s="1004"/>
      <c r="CW136" s="1004"/>
      <c r="CX136" s="1004"/>
      <c r="CY136" s="1004"/>
      <c r="CZ136" s="1004"/>
      <c r="DA136" s="1004"/>
      <c r="DB136" s="1004"/>
      <c r="DC136" s="1004"/>
      <c r="DD136" s="1004"/>
      <c r="DE136" s="1004"/>
      <c r="DF136" s="982"/>
      <c r="DG136" s="982"/>
      <c r="DH136" s="982"/>
      <c r="DI136" s="982"/>
      <c r="DJ136" s="982"/>
      <c r="DK136" s="982"/>
      <c r="DL136" s="982"/>
      <c r="DM136" s="982"/>
      <c r="DN136" s="982"/>
      <c r="DO136" s="982"/>
      <c r="DP136" s="982"/>
      <c r="DQ136" s="982"/>
      <c r="DR136" s="982"/>
      <c r="DS136" s="982"/>
      <c r="DT136" s="982"/>
      <c r="DU136" s="982"/>
      <c r="DV136" s="982"/>
      <c r="DW136" s="982"/>
      <c r="DX136" s="982"/>
      <c r="DY136" s="982"/>
      <c r="DZ136" s="982"/>
      <c r="EA136" s="982"/>
      <c r="EB136" s="982"/>
      <c r="EC136" s="982"/>
      <c r="ED136" s="982"/>
      <c r="EE136" s="982"/>
      <c r="EF136" s="982"/>
      <c r="EG136" s="982"/>
      <c r="EH136" s="982"/>
      <c r="EI136" s="982"/>
      <c r="EJ136" s="982"/>
      <c r="EK136" s="982"/>
      <c r="EL136" s="982"/>
      <c r="EM136" s="982"/>
      <c r="EN136" s="982"/>
      <c r="EO136" s="982"/>
      <c r="EP136" s="982"/>
      <c r="EQ136" s="982"/>
      <c r="ER136" s="982"/>
      <c r="ES136" s="982"/>
      <c r="ET136" s="982"/>
      <c r="EU136" s="982"/>
      <c r="EV136" s="982"/>
      <c r="EW136" s="982"/>
      <c r="EX136" s="982"/>
      <c r="EY136" s="982"/>
      <c r="EZ136" s="982"/>
      <c r="FA136" s="982"/>
      <c r="FB136" s="982"/>
      <c r="FC136" s="982"/>
      <c r="FD136" s="982"/>
      <c r="FE136" s="982"/>
      <c r="FF136" s="982"/>
      <c r="FG136" s="982"/>
      <c r="FH136" s="982"/>
      <c r="FI136" s="982"/>
      <c r="FJ136" s="982"/>
      <c r="FK136" s="982"/>
      <c r="FL136" s="982"/>
      <c r="FM136" s="982"/>
      <c r="FN136" s="982"/>
      <c r="FO136" s="982"/>
      <c r="FP136" s="982"/>
      <c r="FQ136" s="982"/>
      <c r="FR136" s="982"/>
      <c r="FS136" s="982"/>
      <c r="FT136" s="982"/>
      <c r="FU136" s="982"/>
      <c r="FV136" s="982"/>
      <c r="FW136" s="982"/>
      <c r="FX136" s="982"/>
      <c r="FY136" s="982"/>
      <c r="FZ136" s="982"/>
      <c r="GA136" s="982"/>
      <c r="GB136" s="982"/>
      <c r="GC136" s="982"/>
      <c r="GD136" s="982"/>
      <c r="GE136" s="982"/>
      <c r="GF136" s="982"/>
      <c r="GG136" s="982"/>
      <c r="GH136" s="982"/>
      <c r="GI136" s="982"/>
      <c r="GJ136" s="982"/>
      <c r="GK136" s="982"/>
      <c r="GL136" s="982"/>
      <c r="GM136" s="982"/>
      <c r="GN136" s="982"/>
      <c r="GO136" s="982"/>
      <c r="GP136" s="982"/>
      <c r="GQ136" s="982"/>
      <c r="GR136" s="982"/>
      <c r="GS136" s="982"/>
      <c r="GT136" s="982"/>
      <c r="GU136" s="982"/>
      <c r="GV136" s="982"/>
      <c r="GW136" s="982"/>
      <c r="GX136" s="982"/>
      <c r="GY136" s="982"/>
      <c r="GZ136" s="982"/>
      <c r="HA136" s="982"/>
      <c r="HB136" s="982"/>
      <c r="HC136" s="982"/>
      <c r="HD136" s="982"/>
      <c r="HE136" s="982"/>
      <c r="HF136" s="982"/>
      <c r="HG136" s="982"/>
      <c r="HH136" s="982"/>
      <c r="HI136" s="982"/>
      <c r="HJ136" s="982"/>
      <c r="HK136" s="982"/>
      <c r="HL136" s="982"/>
      <c r="HM136" s="982"/>
      <c r="HN136" s="982"/>
      <c r="HO136" s="982"/>
      <c r="HP136" s="982"/>
      <c r="HQ136" s="982"/>
      <c r="HR136" s="982"/>
      <c r="HS136" s="982"/>
      <c r="HT136" s="982"/>
      <c r="HU136" s="982"/>
      <c r="HV136" s="982"/>
      <c r="HW136" s="982"/>
      <c r="HX136" s="982"/>
      <c r="HY136" s="982"/>
      <c r="HZ136" s="982"/>
      <c r="IA136" s="982"/>
      <c r="IB136" s="982"/>
      <c r="IC136" s="982"/>
      <c r="ID136" s="982"/>
      <c r="IE136" s="982"/>
      <c r="IF136" s="982"/>
      <c r="IG136" s="982"/>
      <c r="IH136" s="982"/>
      <c r="II136" s="982"/>
      <c r="IJ136" s="982"/>
      <c r="IK136" s="982"/>
      <c r="IL136" s="982"/>
      <c r="IM136" s="982"/>
      <c r="IN136" s="982"/>
      <c r="IO136" s="982"/>
      <c r="IP136" s="982"/>
      <c r="IQ136" s="982"/>
      <c r="IR136" s="982"/>
      <c r="IS136" s="982"/>
      <c r="IT136" s="982"/>
      <c r="IU136" s="982"/>
      <c r="IV136" s="982"/>
      <c r="IW136" s="982"/>
      <c r="IX136" s="982"/>
    </row>
    <row r="137" spans="66:258" ht="20.100000000000001" hidden="1" customHeight="1">
      <c r="BN137" s="982"/>
      <c r="BO137" s="982"/>
      <c r="BP137" s="982"/>
      <c r="BQ137" s="982"/>
      <c r="BR137" s="982"/>
      <c r="BS137" s="982"/>
      <c r="BT137" s="982"/>
      <c r="BU137" s="982"/>
      <c r="BV137" s="1004"/>
      <c r="BW137" s="1004"/>
      <c r="BX137" s="1004"/>
      <c r="BY137" s="1004"/>
      <c r="BZ137" s="1004"/>
      <c r="CA137" s="1004"/>
      <c r="CB137" s="1004"/>
      <c r="CC137" s="1004"/>
      <c r="CD137" s="1004"/>
      <c r="CE137" s="1004"/>
      <c r="CF137" s="1004"/>
      <c r="CG137" s="1004"/>
      <c r="CH137" s="1004"/>
      <c r="CI137" s="1004"/>
      <c r="CJ137" s="1004"/>
      <c r="CK137" s="849">
        <v>12</v>
      </c>
      <c r="CL137" s="850" t="s">
        <v>252</v>
      </c>
      <c r="CM137" s="1005"/>
      <c r="CN137" s="1009"/>
      <c r="CO137" s="1004"/>
      <c r="CP137" s="1004"/>
      <c r="CQ137" s="1004"/>
      <c r="CR137" s="1004"/>
      <c r="CS137" s="1004"/>
      <c r="CT137" s="1004"/>
      <c r="CU137" s="1004"/>
      <c r="CV137" s="1004"/>
      <c r="CW137" s="1004"/>
      <c r="CX137" s="1004"/>
      <c r="CY137" s="1004"/>
      <c r="CZ137" s="1004"/>
      <c r="DA137" s="1004"/>
      <c r="DB137" s="1004"/>
      <c r="DC137" s="1004"/>
      <c r="DD137" s="1004"/>
      <c r="DE137" s="1004"/>
      <c r="DF137" s="982"/>
      <c r="DG137" s="982"/>
      <c r="DH137" s="982"/>
      <c r="DI137" s="982"/>
      <c r="DJ137" s="982"/>
      <c r="DK137" s="982"/>
      <c r="DL137" s="982"/>
      <c r="DM137" s="982"/>
      <c r="DN137" s="982"/>
      <c r="DO137" s="982"/>
      <c r="DP137" s="982"/>
      <c r="DQ137" s="982"/>
      <c r="DR137" s="982"/>
      <c r="DS137" s="982"/>
      <c r="DT137" s="982"/>
      <c r="DU137" s="982"/>
      <c r="DV137" s="982"/>
      <c r="DW137" s="982"/>
      <c r="DX137" s="982"/>
      <c r="DY137" s="982"/>
      <c r="DZ137" s="982"/>
      <c r="EA137" s="982"/>
      <c r="EB137" s="982"/>
      <c r="EC137" s="982"/>
      <c r="ED137" s="982"/>
      <c r="EE137" s="982"/>
      <c r="EF137" s="982"/>
      <c r="EG137" s="982"/>
      <c r="EH137" s="982"/>
      <c r="EI137" s="982"/>
      <c r="EJ137" s="982"/>
      <c r="EK137" s="982"/>
      <c r="EL137" s="982"/>
      <c r="EM137" s="982"/>
      <c r="EN137" s="982"/>
      <c r="EO137" s="982"/>
      <c r="EP137" s="982"/>
      <c r="EQ137" s="982"/>
      <c r="ER137" s="982"/>
      <c r="ES137" s="982"/>
      <c r="ET137" s="982"/>
      <c r="EU137" s="982"/>
      <c r="EV137" s="982"/>
      <c r="EW137" s="982"/>
      <c r="EX137" s="982"/>
      <c r="EY137" s="982"/>
      <c r="EZ137" s="982"/>
      <c r="FA137" s="982"/>
      <c r="FB137" s="982"/>
      <c r="FC137" s="982"/>
      <c r="FD137" s="982"/>
      <c r="FE137" s="982"/>
      <c r="FF137" s="982"/>
      <c r="FG137" s="982"/>
      <c r="FH137" s="982"/>
      <c r="FI137" s="982"/>
      <c r="FJ137" s="982"/>
      <c r="FK137" s="982"/>
      <c r="FL137" s="982"/>
      <c r="FM137" s="982"/>
      <c r="FN137" s="982"/>
      <c r="FO137" s="982"/>
      <c r="FP137" s="982"/>
      <c r="FQ137" s="982"/>
      <c r="FR137" s="982"/>
      <c r="FS137" s="982"/>
      <c r="FT137" s="982"/>
      <c r="FU137" s="982"/>
      <c r="FV137" s="982"/>
      <c r="FW137" s="982"/>
      <c r="FX137" s="982"/>
      <c r="FY137" s="982"/>
      <c r="FZ137" s="982"/>
      <c r="GA137" s="982"/>
      <c r="GB137" s="982"/>
      <c r="GC137" s="982"/>
      <c r="GD137" s="982"/>
      <c r="GE137" s="982"/>
      <c r="GF137" s="982"/>
      <c r="GG137" s="982"/>
      <c r="GH137" s="982"/>
      <c r="GI137" s="982"/>
      <c r="GJ137" s="982"/>
      <c r="GK137" s="982"/>
      <c r="GL137" s="982"/>
      <c r="GM137" s="982"/>
      <c r="GN137" s="982"/>
      <c r="GO137" s="982"/>
      <c r="GP137" s="982"/>
      <c r="GQ137" s="982"/>
      <c r="GR137" s="982"/>
      <c r="GS137" s="982"/>
      <c r="GT137" s="982"/>
      <c r="GU137" s="982"/>
      <c r="GV137" s="982"/>
      <c r="GW137" s="982"/>
      <c r="GX137" s="982"/>
      <c r="GY137" s="982"/>
      <c r="GZ137" s="982"/>
      <c r="HA137" s="982"/>
      <c r="HB137" s="982"/>
      <c r="HC137" s="982"/>
      <c r="HD137" s="982"/>
      <c r="HE137" s="982"/>
      <c r="HF137" s="982"/>
      <c r="HG137" s="982"/>
      <c r="HH137" s="982"/>
      <c r="HI137" s="982"/>
      <c r="HJ137" s="982"/>
      <c r="HK137" s="982"/>
      <c r="HL137" s="982"/>
      <c r="HM137" s="982"/>
      <c r="HN137" s="982"/>
      <c r="HO137" s="982"/>
      <c r="HP137" s="982"/>
      <c r="HQ137" s="982"/>
      <c r="HR137" s="982"/>
      <c r="HS137" s="982"/>
      <c r="HT137" s="982"/>
      <c r="HU137" s="982"/>
      <c r="HV137" s="982"/>
      <c r="HW137" s="982"/>
      <c r="HX137" s="982"/>
      <c r="HY137" s="982"/>
      <c r="HZ137" s="982"/>
      <c r="IA137" s="982"/>
      <c r="IB137" s="982"/>
      <c r="IC137" s="982"/>
      <c r="ID137" s="982"/>
      <c r="IE137" s="982"/>
      <c r="IF137" s="982"/>
      <c r="IG137" s="982"/>
      <c r="IH137" s="982"/>
      <c r="II137" s="982"/>
      <c r="IJ137" s="982"/>
      <c r="IK137" s="982"/>
      <c r="IL137" s="982"/>
      <c r="IM137" s="982"/>
      <c r="IN137" s="982"/>
      <c r="IO137" s="982"/>
      <c r="IP137" s="982"/>
      <c r="IQ137" s="982"/>
      <c r="IR137" s="982"/>
      <c r="IS137" s="982"/>
      <c r="IT137" s="982"/>
      <c r="IU137" s="982"/>
      <c r="IV137" s="982"/>
      <c r="IW137" s="982"/>
      <c r="IX137" s="982"/>
    </row>
    <row r="138" spans="66:258" ht="20.100000000000001" hidden="1" customHeight="1">
      <c r="BN138" s="982"/>
      <c r="BO138" s="982"/>
      <c r="BP138" s="982"/>
      <c r="BQ138" s="982"/>
      <c r="BR138" s="982"/>
      <c r="BS138" s="982"/>
      <c r="BT138" s="982"/>
      <c r="BU138" s="982"/>
      <c r="BV138" s="791"/>
      <c r="BW138" s="1004"/>
      <c r="BX138" s="791"/>
      <c r="BY138" s="1004"/>
      <c r="BZ138" s="791"/>
      <c r="CA138" s="1004"/>
      <c r="CB138" s="791"/>
      <c r="CC138" s="1004"/>
      <c r="CD138" s="791"/>
      <c r="CE138" s="1004"/>
      <c r="CF138" s="791"/>
      <c r="CG138" s="1004"/>
      <c r="CH138" s="791"/>
      <c r="CI138" s="1004"/>
      <c r="CJ138" s="1004"/>
      <c r="CK138" s="849">
        <v>13</v>
      </c>
      <c r="CL138" s="850" t="s">
        <v>253</v>
      </c>
      <c r="CM138" s="1010"/>
      <c r="CN138" s="1009"/>
      <c r="CO138" s="791"/>
      <c r="CP138" s="791"/>
      <c r="CQ138" s="1004"/>
      <c r="CR138" s="791"/>
      <c r="CS138" s="1004"/>
      <c r="CT138" s="1004"/>
      <c r="CU138" s="791"/>
      <c r="CV138" s="1004"/>
      <c r="CW138" s="791"/>
      <c r="CX138" s="1004"/>
      <c r="CY138" s="1004"/>
      <c r="CZ138" s="791"/>
      <c r="DA138" s="1004"/>
      <c r="DB138" s="791"/>
      <c r="DC138" s="1004"/>
      <c r="DD138" s="1004"/>
      <c r="DE138" s="791"/>
      <c r="DF138" s="982"/>
      <c r="DG138" s="982"/>
      <c r="DH138" s="982"/>
      <c r="DI138" s="982"/>
      <c r="DJ138" s="982"/>
      <c r="DK138" s="982"/>
      <c r="DL138" s="982"/>
      <c r="DM138" s="982"/>
      <c r="DN138" s="982"/>
      <c r="DO138" s="982"/>
      <c r="DP138" s="982"/>
      <c r="DQ138" s="982"/>
      <c r="DR138" s="982"/>
      <c r="DS138" s="982"/>
      <c r="DT138" s="982"/>
      <c r="DU138" s="982"/>
      <c r="DV138" s="982"/>
      <c r="DW138" s="982"/>
      <c r="DX138" s="982"/>
      <c r="DY138" s="982"/>
      <c r="DZ138" s="982"/>
      <c r="EA138" s="982"/>
      <c r="EB138" s="982"/>
      <c r="EC138" s="982"/>
      <c r="ED138" s="982"/>
      <c r="EE138" s="982"/>
      <c r="EF138" s="982"/>
      <c r="EG138" s="982"/>
      <c r="EH138" s="982"/>
      <c r="EI138" s="982"/>
      <c r="EJ138" s="982"/>
      <c r="EK138" s="982"/>
      <c r="EL138" s="982"/>
      <c r="EM138" s="982"/>
      <c r="EN138" s="982"/>
      <c r="EO138" s="982"/>
      <c r="EP138" s="982"/>
      <c r="EQ138" s="982"/>
      <c r="ER138" s="982"/>
      <c r="ES138" s="982"/>
      <c r="ET138" s="982"/>
      <c r="EU138" s="982"/>
      <c r="EV138" s="982"/>
      <c r="EW138" s="982"/>
      <c r="EX138" s="982"/>
      <c r="EY138" s="982"/>
      <c r="EZ138" s="982"/>
      <c r="FA138" s="982"/>
      <c r="FB138" s="982"/>
      <c r="FC138" s="982"/>
      <c r="FD138" s="982"/>
      <c r="FE138" s="982"/>
      <c r="FF138" s="982"/>
      <c r="FG138" s="982"/>
      <c r="FH138" s="982"/>
      <c r="FI138" s="982"/>
      <c r="FJ138" s="982"/>
      <c r="FK138" s="982"/>
      <c r="FL138" s="982"/>
      <c r="FM138" s="982"/>
      <c r="FN138" s="982"/>
      <c r="FO138" s="982"/>
      <c r="FP138" s="982"/>
      <c r="FQ138" s="982"/>
      <c r="FR138" s="982"/>
      <c r="FS138" s="982"/>
      <c r="FT138" s="982"/>
      <c r="FU138" s="982"/>
      <c r="FV138" s="982"/>
      <c r="FW138" s="982"/>
      <c r="FX138" s="982"/>
      <c r="FY138" s="982"/>
      <c r="FZ138" s="982"/>
      <c r="GA138" s="982"/>
      <c r="GB138" s="982"/>
      <c r="GC138" s="982"/>
      <c r="GD138" s="982"/>
      <c r="GE138" s="982"/>
      <c r="GF138" s="982"/>
      <c r="GG138" s="982"/>
      <c r="GH138" s="982"/>
      <c r="GI138" s="982"/>
      <c r="GJ138" s="982"/>
      <c r="GK138" s="982"/>
      <c r="GL138" s="982"/>
      <c r="GM138" s="982"/>
      <c r="GN138" s="982"/>
      <c r="GO138" s="982"/>
      <c r="GP138" s="982"/>
      <c r="GQ138" s="982"/>
      <c r="GR138" s="982"/>
      <c r="GS138" s="982"/>
      <c r="GT138" s="982"/>
      <c r="GU138" s="982"/>
      <c r="GV138" s="982"/>
      <c r="GW138" s="982"/>
      <c r="GX138" s="982"/>
      <c r="GY138" s="982"/>
      <c r="GZ138" s="982"/>
      <c r="HA138" s="982"/>
      <c r="HB138" s="982"/>
      <c r="HC138" s="982"/>
      <c r="HD138" s="982"/>
      <c r="HE138" s="982"/>
      <c r="HF138" s="982"/>
      <c r="HG138" s="982"/>
      <c r="HH138" s="982"/>
      <c r="HI138" s="982"/>
      <c r="HJ138" s="982"/>
      <c r="HK138" s="982"/>
      <c r="HL138" s="982"/>
      <c r="HM138" s="982"/>
      <c r="HN138" s="982"/>
      <c r="HO138" s="982"/>
      <c r="HP138" s="982"/>
      <c r="HQ138" s="982"/>
      <c r="HR138" s="982"/>
      <c r="HS138" s="982"/>
      <c r="HT138" s="982"/>
      <c r="HU138" s="982"/>
      <c r="HV138" s="982"/>
      <c r="HW138" s="982"/>
      <c r="HX138" s="982"/>
      <c r="HY138" s="982"/>
      <c r="HZ138" s="982"/>
      <c r="IA138" s="982"/>
      <c r="IB138" s="982"/>
      <c r="IC138" s="982"/>
      <c r="ID138" s="982"/>
      <c r="IE138" s="982"/>
      <c r="IF138" s="982"/>
      <c r="IG138" s="982"/>
      <c r="IH138" s="982"/>
      <c r="II138" s="982"/>
      <c r="IJ138" s="982"/>
      <c r="IK138" s="982"/>
      <c r="IL138" s="982"/>
      <c r="IM138" s="982"/>
      <c r="IN138" s="982"/>
      <c r="IO138" s="982"/>
      <c r="IP138" s="982"/>
      <c r="IQ138" s="982"/>
      <c r="IR138" s="982"/>
      <c r="IS138" s="982"/>
      <c r="IT138" s="982"/>
      <c r="IU138" s="982"/>
      <c r="IV138" s="982"/>
      <c r="IW138" s="982"/>
      <c r="IX138" s="982"/>
    </row>
    <row r="139" spans="66:258" ht="20.100000000000001" hidden="1" customHeight="1">
      <c r="BN139" s="982"/>
      <c r="BO139" s="982"/>
      <c r="BP139" s="982"/>
      <c r="BQ139" s="982"/>
      <c r="BR139" s="982"/>
      <c r="BS139" s="982"/>
      <c r="BT139" s="982"/>
      <c r="BU139" s="982"/>
      <c r="BV139" s="982"/>
      <c r="BW139" s="982"/>
      <c r="BX139" s="982"/>
      <c r="BY139" s="982"/>
      <c r="BZ139" s="982"/>
      <c r="CA139" s="982"/>
      <c r="CB139" s="982"/>
      <c r="CC139" s="982"/>
      <c r="CD139" s="982"/>
      <c r="CE139" s="1004"/>
      <c r="CF139" s="982"/>
      <c r="CG139" s="1004"/>
      <c r="CH139" s="982"/>
      <c r="CI139" s="1004"/>
      <c r="CJ139" s="1004"/>
      <c r="CK139" s="849">
        <v>14</v>
      </c>
      <c r="CL139" s="859" t="s">
        <v>254</v>
      </c>
      <c r="CM139" s="1011"/>
      <c r="CN139" s="1009"/>
      <c r="CO139" s="982"/>
      <c r="CP139" s="982"/>
      <c r="CQ139" s="1004"/>
      <c r="CR139" s="982"/>
      <c r="CS139" s="1004"/>
      <c r="CT139" s="1004"/>
      <c r="CU139" s="982"/>
      <c r="CV139" s="1004"/>
      <c r="CW139" s="982"/>
      <c r="CX139" s="1004"/>
      <c r="CY139" s="1004"/>
      <c r="CZ139" s="982"/>
      <c r="DA139" s="1004"/>
      <c r="DB139" s="982"/>
      <c r="DC139" s="1004"/>
      <c r="DD139" s="1004"/>
      <c r="DE139" s="982"/>
      <c r="DF139" s="982"/>
      <c r="DG139" s="982"/>
      <c r="DH139" s="982"/>
      <c r="DI139" s="982"/>
      <c r="DJ139" s="982"/>
      <c r="DK139" s="982"/>
      <c r="DL139" s="982"/>
      <c r="DM139" s="982"/>
      <c r="DN139" s="982"/>
      <c r="DO139" s="982"/>
      <c r="DP139" s="982"/>
      <c r="DQ139" s="982"/>
      <c r="DR139" s="982"/>
      <c r="DS139" s="982"/>
      <c r="DT139" s="982"/>
      <c r="DU139" s="982"/>
      <c r="DV139" s="982"/>
      <c r="DW139" s="982"/>
      <c r="DX139" s="982"/>
      <c r="DY139" s="982"/>
      <c r="DZ139" s="982"/>
      <c r="EA139" s="982"/>
      <c r="EB139" s="982"/>
      <c r="EC139" s="982"/>
      <c r="ED139" s="982"/>
      <c r="EE139" s="982"/>
      <c r="EF139" s="982"/>
      <c r="EG139" s="982"/>
      <c r="EH139" s="982"/>
      <c r="EI139" s="982"/>
      <c r="EJ139" s="982"/>
      <c r="EK139" s="982"/>
      <c r="EL139" s="982"/>
      <c r="EM139" s="982"/>
      <c r="EN139" s="982"/>
      <c r="EO139" s="982"/>
      <c r="EP139" s="982"/>
      <c r="EQ139" s="982"/>
      <c r="ER139" s="982"/>
      <c r="ES139" s="982"/>
      <c r="ET139" s="982"/>
      <c r="EU139" s="982"/>
      <c r="EV139" s="982"/>
      <c r="EW139" s="982"/>
      <c r="EX139" s="982"/>
      <c r="EY139" s="982"/>
      <c r="EZ139" s="982"/>
      <c r="FA139" s="982"/>
      <c r="FB139" s="982"/>
      <c r="FC139" s="982"/>
      <c r="FD139" s="982"/>
      <c r="FE139" s="982"/>
      <c r="FF139" s="982"/>
      <c r="FG139" s="982"/>
      <c r="FH139" s="982"/>
      <c r="FI139" s="982"/>
      <c r="FJ139" s="982"/>
      <c r="FK139" s="982"/>
      <c r="FL139" s="982"/>
      <c r="FM139" s="982"/>
      <c r="FN139" s="982"/>
      <c r="FO139" s="982"/>
      <c r="FP139" s="982"/>
      <c r="FQ139" s="982"/>
      <c r="FR139" s="982"/>
      <c r="FS139" s="982"/>
      <c r="FT139" s="982"/>
      <c r="FU139" s="982"/>
      <c r="FV139" s="982"/>
      <c r="FW139" s="982"/>
      <c r="FX139" s="982"/>
      <c r="FY139" s="982"/>
      <c r="FZ139" s="982"/>
      <c r="GA139" s="982"/>
      <c r="GB139" s="982"/>
      <c r="GC139" s="982"/>
      <c r="GD139" s="982"/>
      <c r="GE139" s="982"/>
      <c r="GF139" s="982"/>
      <c r="GG139" s="982"/>
      <c r="GH139" s="982"/>
      <c r="GI139" s="982"/>
      <c r="GJ139" s="982"/>
      <c r="GK139" s="982"/>
      <c r="GL139" s="982"/>
      <c r="GM139" s="982"/>
      <c r="GN139" s="982"/>
      <c r="GO139" s="982"/>
      <c r="GP139" s="982"/>
      <c r="GQ139" s="982"/>
      <c r="GR139" s="982"/>
      <c r="GS139" s="982"/>
      <c r="GT139" s="982"/>
      <c r="GU139" s="982"/>
      <c r="GV139" s="982"/>
      <c r="GW139" s="982"/>
      <c r="GX139" s="982"/>
      <c r="GY139" s="982"/>
      <c r="GZ139" s="982"/>
      <c r="HA139" s="982"/>
      <c r="HB139" s="982"/>
      <c r="HC139" s="982"/>
      <c r="HD139" s="982"/>
      <c r="HE139" s="982"/>
      <c r="HF139" s="982"/>
      <c r="HG139" s="982"/>
      <c r="HH139" s="982"/>
      <c r="HI139" s="982"/>
      <c r="HJ139" s="982"/>
      <c r="HK139" s="982"/>
      <c r="HL139" s="982"/>
      <c r="HM139" s="982"/>
      <c r="HN139" s="982"/>
      <c r="HO139" s="982"/>
      <c r="HP139" s="982"/>
      <c r="HQ139" s="982"/>
      <c r="HR139" s="982"/>
      <c r="HS139" s="982"/>
      <c r="HT139" s="982"/>
      <c r="HU139" s="982"/>
      <c r="HV139" s="982"/>
      <c r="HW139" s="982"/>
      <c r="HX139" s="982"/>
      <c r="HY139" s="982"/>
      <c r="HZ139" s="982"/>
      <c r="IA139" s="982"/>
      <c r="IB139" s="982"/>
      <c r="IC139" s="982"/>
      <c r="ID139" s="982"/>
      <c r="IE139" s="982"/>
      <c r="IF139" s="982"/>
      <c r="IG139" s="982"/>
      <c r="IH139" s="982"/>
      <c r="II139" s="982"/>
      <c r="IJ139" s="982"/>
      <c r="IK139" s="982"/>
      <c r="IL139" s="982"/>
      <c r="IM139" s="982"/>
      <c r="IN139" s="982"/>
      <c r="IO139" s="982"/>
      <c r="IP139" s="982"/>
      <c r="IQ139" s="982"/>
      <c r="IR139" s="982"/>
      <c r="IS139" s="982"/>
      <c r="IT139" s="982"/>
      <c r="IU139" s="982"/>
      <c r="IV139" s="982"/>
      <c r="IW139" s="982"/>
      <c r="IX139" s="982"/>
    </row>
    <row r="140" spans="66:258" ht="20.100000000000001" hidden="1" customHeight="1">
      <c r="BN140" s="982"/>
      <c r="BO140" s="982"/>
      <c r="BP140" s="982"/>
      <c r="BQ140" s="982"/>
      <c r="BR140" s="982"/>
      <c r="BS140" s="982"/>
      <c r="BT140" s="982"/>
      <c r="BU140" s="982"/>
      <c r="BV140" s="982"/>
      <c r="BW140" s="982"/>
      <c r="BX140" s="982"/>
      <c r="BY140" s="982"/>
      <c r="BZ140" s="982"/>
      <c r="CA140" s="982"/>
      <c r="CB140" s="982"/>
      <c r="CC140" s="982"/>
      <c r="CD140" s="982"/>
      <c r="CE140" s="982"/>
      <c r="CF140" s="982"/>
      <c r="CG140" s="982"/>
      <c r="CH140" s="982"/>
      <c r="CI140" s="982"/>
      <c r="CJ140" s="982"/>
      <c r="CK140" s="849">
        <v>15</v>
      </c>
      <c r="CL140" s="850" t="s">
        <v>255</v>
      </c>
      <c r="CM140" s="1011"/>
      <c r="CN140" s="1012"/>
      <c r="CO140" s="982"/>
      <c r="CP140" s="982"/>
      <c r="CQ140" s="982"/>
      <c r="CR140" s="982"/>
      <c r="CS140" s="982"/>
      <c r="CT140" s="982"/>
      <c r="CU140" s="982"/>
      <c r="CV140" s="982"/>
      <c r="CW140" s="982"/>
      <c r="CX140" s="982"/>
      <c r="CY140" s="982"/>
      <c r="CZ140" s="982"/>
      <c r="DA140" s="982"/>
      <c r="DB140" s="982"/>
      <c r="DC140" s="982"/>
      <c r="DD140" s="982"/>
      <c r="DE140" s="982"/>
      <c r="DF140" s="982"/>
      <c r="DG140" s="982"/>
      <c r="DH140" s="982"/>
      <c r="DI140" s="982"/>
      <c r="DJ140" s="982"/>
      <c r="DK140" s="982"/>
      <c r="DL140" s="982"/>
      <c r="DM140" s="982"/>
      <c r="DN140" s="982"/>
      <c r="DO140" s="982"/>
      <c r="DP140" s="982"/>
      <c r="DQ140" s="982"/>
      <c r="DR140" s="982"/>
      <c r="DS140" s="982"/>
      <c r="DT140" s="982"/>
      <c r="DU140" s="982"/>
      <c r="DV140" s="982"/>
      <c r="DW140" s="982"/>
      <c r="DX140" s="982"/>
      <c r="DY140" s="982"/>
      <c r="DZ140" s="982"/>
      <c r="EA140" s="982"/>
      <c r="EB140" s="982"/>
      <c r="EC140" s="982"/>
      <c r="ED140" s="982"/>
      <c r="EE140" s="982"/>
      <c r="EF140" s="982"/>
      <c r="EG140" s="982"/>
      <c r="EH140" s="982"/>
      <c r="EI140" s="982"/>
      <c r="EJ140" s="982"/>
      <c r="EK140" s="982"/>
      <c r="EL140" s="982"/>
      <c r="EM140" s="982"/>
      <c r="EN140" s="982"/>
      <c r="EO140" s="982"/>
      <c r="EP140" s="982"/>
      <c r="EQ140" s="982"/>
      <c r="ER140" s="982"/>
      <c r="ES140" s="982"/>
      <c r="ET140" s="982"/>
      <c r="EU140" s="982"/>
      <c r="EV140" s="982"/>
      <c r="EW140" s="982"/>
      <c r="EX140" s="982"/>
      <c r="EY140" s="982"/>
      <c r="EZ140" s="982"/>
      <c r="FA140" s="982"/>
      <c r="FB140" s="982"/>
      <c r="FC140" s="982"/>
      <c r="FD140" s="982"/>
      <c r="FE140" s="982"/>
      <c r="FF140" s="982"/>
      <c r="FG140" s="982"/>
      <c r="FH140" s="982"/>
      <c r="FI140" s="982"/>
      <c r="FJ140" s="982"/>
      <c r="FK140" s="982"/>
      <c r="FL140" s="982"/>
      <c r="FM140" s="982"/>
      <c r="FN140" s="982"/>
      <c r="FO140" s="982"/>
      <c r="FP140" s="982"/>
      <c r="FQ140" s="982"/>
      <c r="FR140" s="982"/>
      <c r="FS140" s="982"/>
      <c r="FT140" s="982"/>
      <c r="FU140" s="982"/>
      <c r="FV140" s="982"/>
      <c r="FW140" s="982"/>
      <c r="FX140" s="982"/>
      <c r="FY140" s="982"/>
      <c r="FZ140" s="982"/>
      <c r="GA140" s="982"/>
      <c r="GB140" s="982"/>
      <c r="GC140" s="982"/>
      <c r="GD140" s="982"/>
      <c r="GE140" s="982"/>
      <c r="GF140" s="982"/>
      <c r="GG140" s="982"/>
      <c r="GH140" s="982"/>
      <c r="GI140" s="982"/>
      <c r="GJ140" s="982"/>
      <c r="GK140" s="982"/>
      <c r="GL140" s="982"/>
      <c r="GM140" s="982"/>
      <c r="GN140" s="982"/>
      <c r="GO140" s="982"/>
      <c r="GP140" s="982"/>
      <c r="GQ140" s="982"/>
      <c r="GR140" s="982"/>
      <c r="GS140" s="982"/>
      <c r="GT140" s="982"/>
      <c r="GU140" s="982"/>
      <c r="GV140" s="982"/>
      <c r="GW140" s="982"/>
      <c r="GX140" s="982"/>
      <c r="GY140" s="982"/>
      <c r="GZ140" s="982"/>
      <c r="HA140" s="982"/>
      <c r="HB140" s="982"/>
      <c r="HC140" s="982"/>
      <c r="HD140" s="982"/>
      <c r="HE140" s="982"/>
      <c r="HF140" s="982"/>
      <c r="HG140" s="982"/>
      <c r="HH140" s="982"/>
      <c r="HI140" s="982"/>
      <c r="HJ140" s="982"/>
      <c r="HK140" s="982"/>
      <c r="HL140" s="982"/>
      <c r="HM140" s="982"/>
      <c r="HN140" s="982"/>
      <c r="HO140" s="982"/>
      <c r="HP140" s="982"/>
      <c r="HQ140" s="982"/>
      <c r="HR140" s="982"/>
      <c r="HS140" s="982"/>
      <c r="HT140" s="982"/>
      <c r="HU140" s="982"/>
      <c r="HV140" s="982"/>
      <c r="HW140" s="982"/>
      <c r="HX140" s="982"/>
      <c r="HY140" s="982"/>
      <c r="HZ140" s="982"/>
      <c r="IA140" s="982"/>
      <c r="IB140" s="982"/>
      <c r="IC140" s="982"/>
      <c r="ID140" s="982"/>
      <c r="IE140" s="982"/>
      <c r="IF140" s="982"/>
      <c r="IG140" s="982"/>
      <c r="IH140" s="982"/>
      <c r="II140" s="982"/>
      <c r="IJ140" s="982"/>
      <c r="IK140" s="982"/>
      <c r="IL140" s="982"/>
      <c r="IM140" s="982"/>
      <c r="IN140" s="982"/>
      <c r="IO140" s="982"/>
      <c r="IP140" s="982"/>
      <c r="IQ140" s="982"/>
      <c r="IR140" s="982"/>
      <c r="IS140" s="982"/>
      <c r="IT140" s="982"/>
      <c r="IU140" s="982"/>
      <c r="IV140" s="982"/>
      <c r="IW140" s="982"/>
      <c r="IX140" s="982"/>
    </row>
    <row r="141" spans="66:258" ht="24.95" hidden="1" customHeight="1">
      <c r="BN141" s="982"/>
      <c r="BO141" s="982"/>
      <c r="BP141" s="982"/>
      <c r="BQ141" s="982"/>
      <c r="BR141" s="982"/>
      <c r="BS141" s="982"/>
      <c r="BT141" s="982"/>
      <c r="BU141" s="982"/>
      <c r="BV141" s="982"/>
      <c r="BW141" s="982"/>
      <c r="BX141" s="982"/>
      <c r="BY141" s="982"/>
      <c r="BZ141" s="982"/>
      <c r="CA141" s="982"/>
      <c r="CB141" s="982"/>
      <c r="CC141" s="982"/>
      <c r="CD141" s="982"/>
      <c r="CE141" s="982"/>
      <c r="CF141" s="982"/>
      <c r="CG141" s="982"/>
      <c r="CH141" s="982"/>
      <c r="CI141" s="982"/>
      <c r="CJ141" s="982"/>
      <c r="CK141" s="849">
        <v>16</v>
      </c>
      <c r="CL141" s="850" t="s">
        <v>256</v>
      </c>
      <c r="CM141" s="1011"/>
      <c r="CN141" s="1012"/>
      <c r="CO141" s="982"/>
      <c r="CP141" s="982"/>
      <c r="CQ141" s="982"/>
      <c r="CR141" s="982"/>
      <c r="CS141" s="982"/>
      <c r="CT141" s="982"/>
      <c r="CU141" s="982"/>
      <c r="CV141" s="982"/>
      <c r="CW141" s="982"/>
      <c r="CX141" s="982"/>
      <c r="CY141" s="982"/>
      <c r="CZ141" s="982"/>
      <c r="DA141" s="982"/>
      <c r="DB141" s="982"/>
      <c r="DC141" s="982"/>
      <c r="DD141" s="982"/>
      <c r="DE141" s="982"/>
      <c r="DF141" s="982"/>
      <c r="DG141" s="982"/>
      <c r="DH141" s="982"/>
      <c r="DI141" s="982"/>
      <c r="DJ141" s="982"/>
      <c r="DK141" s="982"/>
      <c r="DL141" s="982"/>
      <c r="DM141" s="982"/>
      <c r="DN141" s="982"/>
      <c r="DO141" s="982"/>
      <c r="DP141" s="982"/>
      <c r="DQ141" s="982"/>
      <c r="DR141" s="982"/>
      <c r="DS141" s="982"/>
      <c r="DT141" s="982"/>
      <c r="DU141" s="982"/>
      <c r="DV141" s="982"/>
      <c r="DW141" s="982"/>
      <c r="DX141" s="982"/>
      <c r="DY141" s="982"/>
      <c r="DZ141" s="982"/>
      <c r="EA141" s="982"/>
      <c r="EB141" s="982"/>
      <c r="EC141" s="982"/>
      <c r="ED141" s="982"/>
      <c r="EE141" s="982"/>
      <c r="EF141" s="982"/>
      <c r="EG141" s="982"/>
      <c r="EH141" s="982"/>
      <c r="EI141" s="982"/>
      <c r="EJ141" s="982"/>
      <c r="EK141" s="982"/>
      <c r="EL141" s="982"/>
      <c r="EM141" s="982"/>
      <c r="EN141" s="982"/>
      <c r="EO141" s="982"/>
      <c r="EP141" s="982"/>
      <c r="EQ141" s="982"/>
      <c r="ER141" s="982"/>
      <c r="ES141" s="982"/>
      <c r="ET141" s="982"/>
      <c r="EU141" s="982"/>
      <c r="EV141" s="982"/>
      <c r="EW141" s="982"/>
      <c r="EX141" s="982"/>
      <c r="EY141" s="982"/>
      <c r="EZ141" s="982"/>
      <c r="FA141" s="982"/>
      <c r="FB141" s="982"/>
      <c r="FC141" s="982"/>
      <c r="FD141" s="982"/>
      <c r="FE141" s="982"/>
      <c r="FF141" s="982"/>
      <c r="FG141" s="982"/>
      <c r="FH141" s="982"/>
      <c r="FI141" s="982"/>
      <c r="FJ141" s="982"/>
      <c r="FK141" s="982"/>
      <c r="FL141" s="982"/>
      <c r="FM141" s="982"/>
      <c r="FN141" s="982"/>
      <c r="FO141" s="982"/>
      <c r="FP141" s="982"/>
      <c r="FQ141" s="982"/>
      <c r="FR141" s="982"/>
      <c r="FS141" s="982"/>
      <c r="FT141" s="982"/>
      <c r="FU141" s="982"/>
      <c r="FV141" s="982"/>
      <c r="FW141" s="982"/>
      <c r="FX141" s="982"/>
      <c r="FY141" s="982"/>
      <c r="FZ141" s="982"/>
      <c r="GA141" s="982"/>
      <c r="GB141" s="982"/>
      <c r="GC141" s="982"/>
      <c r="GD141" s="982"/>
      <c r="GE141" s="982"/>
      <c r="GF141" s="982"/>
      <c r="GG141" s="982"/>
      <c r="GH141" s="982"/>
      <c r="GI141" s="982"/>
      <c r="GJ141" s="982"/>
      <c r="GK141" s="982"/>
      <c r="GL141" s="982"/>
      <c r="GM141" s="982"/>
      <c r="GN141" s="982"/>
      <c r="GO141" s="982"/>
      <c r="GP141" s="982"/>
      <c r="GQ141" s="982"/>
      <c r="GR141" s="982"/>
      <c r="GS141" s="982"/>
      <c r="GT141" s="982"/>
      <c r="GU141" s="982"/>
      <c r="GV141" s="982"/>
      <c r="GW141" s="982"/>
      <c r="GX141" s="982"/>
      <c r="GY141" s="982"/>
      <c r="GZ141" s="982"/>
      <c r="HA141" s="982"/>
      <c r="HB141" s="982"/>
      <c r="HC141" s="982"/>
      <c r="HD141" s="982"/>
      <c r="HE141" s="982"/>
      <c r="HF141" s="982"/>
      <c r="HG141" s="982"/>
      <c r="HH141" s="982"/>
      <c r="HI141" s="982"/>
      <c r="HJ141" s="982"/>
      <c r="HK141" s="982"/>
      <c r="HL141" s="982"/>
      <c r="HM141" s="982"/>
      <c r="HN141" s="982"/>
      <c r="HO141" s="982"/>
      <c r="HP141" s="982"/>
      <c r="HQ141" s="982"/>
      <c r="HR141" s="982"/>
      <c r="HS141" s="982"/>
      <c r="HT141" s="982"/>
      <c r="HU141" s="982"/>
      <c r="HV141" s="982"/>
      <c r="HW141" s="982"/>
      <c r="HX141" s="982"/>
      <c r="HY141" s="982"/>
      <c r="HZ141" s="982"/>
      <c r="IA141" s="982"/>
      <c r="IB141" s="982"/>
      <c r="IC141" s="982"/>
      <c r="ID141" s="982"/>
      <c r="IE141" s="982"/>
      <c r="IF141" s="982"/>
      <c r="IG141" s="982"/>
      <c r="IH141" s="982"/>
      <c r="II141" s="982"/>
      <c r="IJ141" s="982"/>
      <c r="IK141" s="982"/>
      <c r="IL141" s="982"/>
      <c r="IM141" s="982"/>
      <c r="IN141" s="982"/>
      <c r="IO141" s="982"/>
      <c r="IP141" s="982"/>
      <c r="IQ141" s="982"/>
      <c r="IR141" s="982"/>
      <c r="IS141" s="982"/>
      <c r="IT141" s="982"/>
      <c r="IU141" s="982"/>
      <c r="IV141" s="982"/>
      <c r="IW141" s="982"/>
      <c r="IX141" s="982"/>
    </row>
    <row r="142" spans="66:258" ht="20.100000000000001" hidden="1" customHeight="1">
      <c r="BN142" s="982"/>
      <c r="BO142" s="982"/>
      <c r="BP142" s="982"/>
      <c r="BQ142" s="982"/>
      <c r="BR142" s="982"/>
      <c r="BS142" s="982"/>
      <c r="BT142" s="982"/>
      <c r="BU142" s="982"/>
      <c r="BV142" s="982"/>
      <c r="BW142" s="982"/>
      <c r="BX142" s="982"/>
      <c r="BY142" s="982"/>
      <c r="BZ142" s="982"/>
      <c r="CA142" s="982"/>
      <c r="CB142" s="982"/>
      <c r="CC142" s="982"/>
      <c r="CD142" s="982"/>
      <c r="CE142" s="982"/>
      <c r="CF142" s="982"/>
      <c r="CG142" s="982"/>
      <c r="CH142" s="982"/>
      <c r="CI142" s="982"/>
      <c r="CJ142" s="982"/>
      <c r="CK142" s="849">
        <v>17</v>
      </c>
      <c r="CL142" s="850" t="s">
        <v>64</v>
      </c>
      <c r="CM142" s="1011"/>
      <c r="CN142" s="1012"/>
      <c r="CO142" s="982"/>
      <c r="CP142" s="982"/>
      <c r="CQ142" s="982"/>
      <c r="CR142" s="982"/>
      <c r="CS142" s="982"/>
      <c r="CT142" s="982"/>
      <c r="CU142" s="982"/>
      <c r="CV142" s="982"/>
      <c r="CW142" s="982"/>
      <c r="CX142" s="982"/>
      <c r="CY142" s="982"/>
      <c r="CZ142" s="982"/>
      <c r="DA142" s="982"/>
      <c r="DB142" s="982"/>
      <c r="DC142" s="982"/>
      <c r="DD142" s="982"/>
      <c r="DE142" s="982"/>
      <c r="DF142" s="982"/>
      <c r="DG142" s="982"/>
      <c r="DH142" s="982"/>
      <c r="DI142" s="982"/>
      <c r="DJ142" s="982"/>
      <c r="DK142" s="982"/>
      <c r="DL142" s="982"/>
      <c r="DM142" s="982"/>
      <c r="DN142" s="982"/>
      <c r="DO142" s="982"/>
      <c r="DP142" s="982"/>
      <c r="DQ142" s="982"/>
      <c r="DR142" s="982"/>
      <c r="DS142" s="982"/>
      <c r="DT142" s="982"/>
      <c r="DU142" s="982"/>
      <c r="DV142" s="982"/>
      <c r="DW142" s="982"/>
      <c r="DX142" s="982"/>
      <c r="DY142" s="982"/>
      <c r="DZ142" s="982"/>
      <c r="EA142" s="982"/>
      <c r="EB142" s="982"/>
      <c r="EC142" s="982"/>
      <c r="ED142" s="982"/>
      <c r="EE142" s="982"/>
      <c r="EF142" s="982"/>
      <c r="EG142" s="982"/>
      <c r="EH142" s="982"/>
      <c r="EI142" s="982"/>
      <c r="EJ142" s="982"/>
      <c r="EK142" s="982"/>
      <c r="EL142" s="982"/>
      <c r="EM142" s="982"/>
      <c r="EN142" s="982"/>
      <c r="EO142" s="982"/>
      <c r="EP142" s="982"/>
      <c r="EQ142" s="982"/>
      <c r="ER142" s="982"/>
      <c r="ES142" s="982"/>
      <c r="ET142" s="982"/>
      <c r="EU142" s="982"/>
      <c r="EV142" s="982"/>
      <c r="EW142" s="982"/>
      <c r="EX142" s="982"/>
      <c r="EY142" s="982"/>
      <c r="EZ142" s="982"/>
      <c r="FA142" s="982"/>
      <c r="FB142" s="982"/>
      <c r="FC142" s="982"/>
      <c r="FD142" s="982"/>
      <c r="FE142" s="982"/>
      <c r="FF142" s="982"/>
      <c r="FG142" s="982"/>
      <c r="FH142" s="982"/>
      <c r="FI142" s="982"/>
      <c r="FJ142" s="982"/>
      <c r="FK142" s="982"/>
      <c r="FL142" s="982"/>
      <c r="FM142" s="982"/>
      <c r="FN142" s="982"/>
      <c r="FO142" s="982"/>
      <c r="FP142" s="982"/>
      <c r="FQ142" s="982"/>
      <c r="FR142" s="982"/>
      <c r="FS142" s="982"/>
      <c r="FT142" s="982"/>
      <c r="FU142" s="982"/>
      <c r="FV142" s="982"/>
      <c r="FW142" s="982"/>
      <c r="FX142" s="982"/>
      <c r="FY142" s="982"/>
      <c r="FZ142" s="982"/>
      <c r="GA142" s="982"/>
      <c r="GB142" s="982"/>
      <c r="GC142" s="982"/>
      <c r="GD142" s="982"/>
      <c r="GE142" s="982"/>
      <c r="GF142" s="982"/>
      <c r="GG142" s="982"/>
      <c r="GH142" s="982"/>
      <c r="GI142" s="982"/>
      <c r="GJ142" s="982"/>
      <c r="GK142" s="982"/>
      <c r="GL142" s="982"/>
      <c r="GM142" s="982"/>
      <c r="GN142" s="982"/>
      <c r="GO142" s="982"/>
      <c r="GP142" s="982"/>
      <c r="GQ142" s="982"/>
      <c r="GR142" s="982"/>
      <c r="GS142" s="982"/>
      <c r="GT142" s="982"/>
      <c r="GU142" s="982"/>
      <c r="GV142" s="982"/>
      <c r="GW142" s="982"/>
      <c r="GX142" s="982"/>
      <c r="GY142" s="982"/>
      <c r="GZ142" s="982"/>
      <c r="HA142" s="982"/>
      <c r="HB142" s="982"/>
      <c r="HC142" s="982"/>
      <c r="HD142" s="982"/>
      <c r="HE142" s="982"/>
      <c r="HF142" s="982"/>
      <c r="HG142" s="982"/>
      <c r="HH142" s="982"/>
      <c r="HI142" s="982"/>
      <c r="HJ142" s="982"/>
      <c r="HK142" s="982"/>
      <c r="HL142" s="982"/>
      <c r="HM142" s="982"/>
      <c r="HN142" s="982"/>
      <c r="HO142" s="982"/>
      <c r="HP142" s="982"/>
      <c r="HQ142" s="982"/>
      <c r="HR142" s="982"/>
      <c r="HS142" s="982"/>
      <c r="HT142" s="982"/>
      <c r="HU142" s="982"/>
      <c r="HV142" s="982"/>
      <c r="HW142" s="982"/>
      <c r="HX142" s="982"/>
      <c r="HY142" s="982"/>
      <c r="HZ142" s="982"/>
      <c r="IA142" s="982"/>
      <c r="IB142" s="982"/>
      <c r="IC142" s="982"/>
      <c r="ID142" s="982"/>
      <c r="IE142" s="982"/>
      <c r="IF142" s="982"/>
      <c r="IG142" s="982"/>
      <c r="IH142" s="982"/>
      <c r="II142" s="982"/>
      <c r="IJ142" s="982"/>
      <c r="IK142" s="982"/>
      <c r="IL142" s="982"/>
      <c r="IM142" s="982"/>
      <c r="IN142" s="982"/>
      <c r="IO142" s="982"/>
      <c r="IP142" s="982"/>
      <c r="IQ142" s="982"/>
      <c r="IR142" s="982"/>
      <c r="IS142" s="982"/>
      <c r="IT142" s="982"/>
      <c r="IU142" s="982"/>
      <c r="IV142" s="982"/>
      <c r="IW142" s="982"/>
      <c r="IX142" s="982"/>
    </row>
    <row r="143" spans="66:258" ht="20.100000000000001" hidden="1" customHeight="1">
      <c r="BN143" s="982"/>
      <c r="BO143" s="982"/>
      <c r="BP143" s="982"/>
      <c r="BQ143" s="982"/>
      <c r="BR143" s="982"/>
      <c r="BS143" s="982"/>
      <c r="BT143" s="982"/>
      <c r="BU143" s="982"/>
      <c r="BV143" s="982"/>
      <c r="BW143" s="982"/>
      <c r="BX143" s="982"/>
      <c r="BY143" s="982"/>
      <c r="BZ143" s="982"/>
      <c r="CA143" s="982"/>
      <c r="CB143" s="982"/>
      <c r="CC143" s="982"/>
      <c r="CD143" s="982"/>
      <c r="CE143" s="982"/>
      <c r="CF143" s="982"/>
      <c r="CG143" s="982"/>
      <c r="CH143" s="982"/>
      <c r="CI143" s="982"/>
      <c r="CJ143" s="982"/>
      <c r="CK143" s="849">
        <v>18</v>
      </c>
      <c r="CL143" s="850" t="s">
        <v>65</v>
      </c>
      <c r="CM143" s="1011">
        <v>41</v>
      </c>
      <c r="CN143" s="1012">
        <v>0</v>
      </c>
      <c r="CO143" s="982"/>
      <c r="CP143" s="982"/>
      <c r="CQ143" s="982"/>
      <c r="CR143" s="982"/>
      <c r="CS143" s="982"/>
      <c r="CT143" s="982"/>
      <c r="CU143" s="982"/>
      <c r="CV143" s="982"/>
      <c r="CW143" s="982"/>
      <c r="CX143" s="982"/>
      <c r="CY143" s="982"/>
      <c r="CZ143" s="982"/>
      <c r="DA143" s="982"/>
      <c r="DB143" s="982"/>
      <c r="DC143" s="982"/>
      <c r="DD143" s="982"/>
      <c r="DE143" s="982"/>
      <c r="DF143" s="982"/>
      <c r="DG143" s="982"/>
      <c r="DH143" s="982"/>
      <c r="DI143" s="982"/>
      <c r="DJ143" s="982"/>
      <c r="DK143" s="982"/>
      <c r="DL143" s="982"/>
      <c r="DM143" s="982"/>
      <c r="DN143" s="982"/>
      <c r="DO143" s="982"/>
      <c r="DP143" s="982"/>
      <c r="DQ143" s="982"/>
      <c r="DR143" s="982"/>
      <c r="DS143" s="982"/>
      <c r="DT143" s="982"/>
      <c r="DU143" s="982"/>
      <c r="DV143" s="982"/>
      <c r="DW143" s="982"/>
      <c r="DX143" s="982"/>
      <c r="DY143" s="982"/>
      <c r="DZ143" s="982"/>
      <c r="EA143" s="982"/>
      <c r="EB143" s="982"/>
      <c r="EC143" s="982"/>
      <c r="ED143" s="982"/>
      <c r="EE143" s="982"/>
      <c r="EF143" s="982"/>
      <c r="EG143" s="982"/>
      <c r="EH143" s="982"/>
      <c r="EI143" s="982"/>
      <c r="EJ143" s="982"/>
      <c r="EK143" s="982"/>
      <c r="EL143" s="982"/>
      <c r="EM143" s="982"/>
      <c r="EN143" s="982"/>
      <c r="EO143" s="982"/>
      <c r="EP143" s="982"/>
      <c r="EQ143" s="982"/>
      <c r="ER143" s="982"/>
      <c r="ES143" s="982"/>
      <c r="ET143" s="982"/>
      <c r="EU143" s="982"/>
      <c r="EV143" s="982"/>
      <c r="EW143" s="982"/>
      <c r="EX143" s="982"/>
      <c r="EY143" s="982"/>
      <c r="EZ143" s="982"/>
      <c r="FA143" s="982"/>
      <c r="FB143" s="982"/>
      <c r="FC143" s="982"/>
      <c r="FD143" s="982"/>
      <c r="FE143" s="982"/>
      <c r="FF143" s="982"/>
      <c r="FG143" s="982"/>
      <c r="FH143" s="982"/>
      <c r="FI143" s="982"/>
      <c r="FJ143" s="982"/>
      <c r="FK143" s="982"/>
      <c r="FL143" s="982"/>
      <c r="FM143" s="982"/>
      <c r="FN143" s="982"/>
      <c r="FO143" s="982"/>
      <c r="FP143" s="982"/>
      <c r="FQ143" s="982"/>
      <c r="FR143" s="982"/>
      <c r="FS143" s="982"/>
      <c r="FT143" s="982"/>
      <c r="FU143" s="982"/>
      <c r="FV143" s="982"/>
      <c r="FW143" s="982"/>
      <c r="FX143" s="982"/>
      <c r="FY143" s="982"/>
      <c r="FZ143" s="982"/>
      <c r="GA143" s="982"/>
      <c r="GB143" s="982"/>
      <c r="GC143" s="982"/>
      <c r="GD143" s="982"/>
      <c r="GE143" s="982"/>
      <c r="GF143" s="982"/>
      <c r="GG143" s="982"/>
      <c r="GH143" s="982"/>
      <c r="GI143" s="982"/>
      <c r="GJ143" s="982"/>
      <c r="GK143" s="982"/>
      <c r="GL143" s="982"/>
      <c r="GM143" s="982"/>
      <c r="GN143" s="982"/>
      <c r="GO143" s="982"/>
      <c r="GP143" s="982"/>
      <c r="GQ143" s="982"/>
      <c r="GR143" s="982"/>
      <c r="GS143" s="982"/>
      <c r="GT143" s="982"/>
      <c r="GU143" s="982"/>
      <c r="GV143" s="982"/>
      <c r="GW143" s="982"/>
      <c r="GX143" s="982"/>
      <c r="GY143" s="982"/>
      <c r="GZ143" s="982"/>
      <c r="HA143" s="982"/>
      <c r="HB143" s="982"/>
      <c r="HC143" s="982"/>
      <c r="HD143" s="982"/>
      <c r="HE143" s="982"/>
      <c r="HF143" s="982"/>
      <c r="HG143" s="982"/>
      <c r="HH143" s="982"/>
      <c r="HI143" s="982"/>
      <c r="HJ143" s="982"/>
      <c r="HK143" s="982"/>
      <c r="HL143" s="982"/>
      <c r="HM143" s="982"/>
      <c r="HN143" s="982"/>
      <c r="HO143" s="982"/>
      <c r="HP143" s="982"/>
      <c r="HQ143" s="982"/>
      <c r="HR143" s="982"/>
      <c r="HS143" s="982"/>
      <c r="HT143" s="982"/>
      <c r="HU143" s="982"/>
      <c r="HV143" s="982"/>
      <c r="HW143" s="982"/>
      <c r="HX143" s="982"/>
      <c r="HY143" s="982"/>
      <c r="HZ143" s="982"/>
      <c r="IA143" s="982"/>
      <c r="IB143" s="982"/>
      <c r="IC143" s="982"/>
      <c r="ID143" s="982"/>
      <c r="IE143" s="982"/>
      <c r="IF143" s="982"/>
      <c r="IG143" s="982"/>
      <c r="IH143" s="982"/>
      <c r="II143" s="982"/>
      <c r="IJ143" s="982"/>
      <c r="IK143" s="982"/>
      <c r="IL143" s="982"/>
      <c r="IM143" s="982"/>
      <c r="IN143" s="982"/>
      <c r="IO143" s="982"/>
      <c r="IP143" s="982"/>
      <c r="IQ143" s="982"/>
      <c r="IR143" s="982"/>
      <c r="IS143" s="982"/>
      <c r="IT143" s="982"/>
      <c r="IU143" s="982"/>
      <c r="IV143" s="982"/>
      <c r="IW143" s="982"/>
      <c r="IX143" s="982"/>
    </row>
    <row r="144" spans="66:258" ht="20.100000000000001" hidden="1" customHeight="1">
      <c r="BN144" s="982"/>
      <c r="BO144" s="982"/>
      <c r="BP144" s="982"/>
      <c r="BQ144" s="982"/>
      <c r="BR144" s="982"/>
      <c r="BS144" s="982"/>
      <c r="BT144" s="982"/>
      <c r="BU144" s="982"/>
      <c r="BV144" s="982"/>
      <c r="BW144" s="982"/>
      <c r="BX144" s="982"/>
      <c r="BY144" s="982"/>
      <c r="BZ144" s="982"/>
      <c r="CA144" s="982"/>
      <c r="CB144" s="982"/>
      <c r="CC144" s="982"/>
      <c r="CD144" s="982"/>
      <c r="CE144" s="982"/>
      <c r="CF144" s="982"/>
      <c r="CG144" s="982"/>
      <c r="CH144" s="982"/>
      <c r="CI144" s="982"/>
      <c r="CJ144" s="982"/>
      <c r="CK144" s="849">
        <v>19</v>
      </c>
      <c r="CL144" s="850" t="s">
        <v>257</v>
      </c>
      <c r="CM144" s="1011">
        <v>131.19999999999999</v>
      </c>
      <c r="CN144" s="1012">
        <v>0</v>
      </c>
      <c r="CO144" s="982"/>
      <c r="CP144" s="982"/>
      <c r="CQ144" s="982"/>
      <c r="CR144" s="982"/>
      <c r="CS144" s="982"/>
      <c r="CT144" s="982"/>
      <c r="CU144" s="982"/>
      <c r="CV144" s="982"/>
      <c r="CW144" s="982"/>
      <c r="CX144" s="982"/>
      <c r="CY144" s="982"/>
      <c r="CZ144" s="982"/>
      <c r="DA144" s="982"/>
      <c r="DB144" s="982"/>
      <c r="DC144" s="982"/>
      <c r="DD144" s="982"/>
      <c r="DE144" s="982"/>
      <c r="DF144" s="982"/>
      <c r="DG144" s="982"/>
      <c r="DH144" s="982"/>
      <c r="DI144" s="982"/>
      <c r="DJ144" s="982"/>
      <c r="DK144" s="982"/>
      <c r="DL144" s="982"/>
      <c r="DM144" s="982"/>
      <c r="DN144" s="982"/>
      <c r="DO144" s="982"/>
      <c r="DP144" s="982"/>
      <c r="DQ144" s="982"/>
      <c r="DR144" s="982"/>
      <c r="DS144" s="982"/>
      <c r="DT144" s="982"/>
      <c r="DU144" s="982"/>
      <c r="DV144" s="982"/>
      <c r="DW144" s="982"/>
      <c r="DX144" s="982"/>
      <c r="DY144" s="982"/>
      <c r="DZ144" s="982"/>
      <c r="EA144" s="982"/>
      <c r="EB144" s="982"/>
      <c r="EC144" s="982"/>
      <c r="ED144" s="982"/>
      <c r="EE144" s="982"/>
      <c r="EF144" s="982"/>
      <c r="EG144" s="982"/>
      <c r="EH144" s="982"/>
      <c r="EI144" s="982"/>
      <c r="EJ144" s="982"/>
      <c r="EK144" s="982"/>
      <c r="EL144" s="982"/>
      <c r="EM144" s="982"/>
      <c r="EN144" s="982"/>
      <c r="EO144" s="982"/>
      <c r="EP144" s="982"/>
      <c r="EQ144" s="982"/>
      <c r="ER144" s="982"/>
      <c r="ES144" s="982"/>
      <c r="ET144" s="982"/>
      <c r="EU144" s="982"/>
      <c r="EV144" s="982"/>
      <c r="EW144" s="982"/>
      <c r="EX144" s="982"/>
      <c r="EY144" s="982"/>
      <c r="EZ144" s="982"/>
      <c r="FA144" s="982"/>
      <c r="FB144" s="982"/>
      <c r="FC144" s="982"/>
      <c r="FD144" s="982"/>
      <c r="FE144" s="982"/>
      <c r="FF144" s="982"/>
      <c r="FG144" s="982"/>
      <c r="FH144" s="982"/>
      <c r="FI144" s="982"/>
      <c r="FJ144" s="982"/>
      <c r="FK144" s="982"/>
      <c r="FL144" s="982"/>
      <c r="FM144" s="982"/>
      <c r="FN144" s="982"/>
      <c r="FO144" s="982"/>
      <c r="FP144" s="982"/>
      <c r="FQ144" s="982"/>
      <c r="FR144" s="982"/>
      <c r="FS144" s="982"/>
      <c r="FT144" s="982"/>
      <c r="FU144" s="982"/>
      <c r="FV144" s="982"/>
      <c r="FW144" s="982"/>
      <c r="FX144" s="982"/>
      <c r="FY144" s="982"/>
      <c r="FZ144" s="982"/>
      <c r="GA144" s="982"/>
      <c r="GB144" s="982"/>
      <c r="GC144" s="982"/>
      <c r="GD144" s="982"/>
      <c r="GE144" s="982"/>
      <c r="GF144" s="982"/>
      <c r="GG144" s="982"/>
      <c r="GH144" s="982"/>
      <c r="GI144" s="982"/>
      <c r="GJ144" s="982"/>
      <c r="GK144" s="982"/>
      <c r="GL144" s="982"/>
      <c r="GM144" s="982"/>
      <c r="GN144" s="982"/>
      <c r="GO144" s="982"/>
      <c r="GP144" s="982"/>
      <c r="GQ144" s="982"/>
      <c r="GR144" s="982"/>
      <c r="GS144" s="982"/>
      <c r="GT144" s="982"/>
      <c r="GU144" s="982"/>
      <c r="GV144" s="982"/>
      <c r="GW144" s="982"/>
      <c r="GX144" s="982"/>
      <c r="GY144" s="982"/>
      <c r="GZ144" s="982"/>
      <c r="HA144" s="982"/>
      <c r="HB144" s="982"/>
      <c r="HC144" s="982"/>
      <c r="HD144" s="982"/>
      <c r="HE144" s="982"/>
      <c r="HF144" s="982"/>
      <c r="HG144" s="982"/>
      <c r="HH144" s="982"/>
      <c r="HI144" s="982"/>
      <c r="HJ144" s="982"/>
      <c r="HK144" s="982"/>
      <c r="HL144" s="982"/>
      <c r="HM144" s="982"/>
      <c r="HN144" s="982"/>
      <c r="HO144" s="982"/>
      <c r="HP144" s="982"/>
      <c r="HQ144" s="982"/>
      <c r="HR144" s="982"/>
      <c r="HS144" s="982"/>
      <c r="HT144" s="982"/>
      <c r="HU144" s="982"/>
      <c r="HV144" s="982"/>
      <c r="HW144" s="982"/>
      <c r="HX144" s="982"/>
      <c r="HY144" s="982"/>
      <c r="HZ144" s="982"/>
      <c r="IA144" s="982"/>
      <c r="IB144" s="982"/>
      <c r="IC144" s="982"/>
      <c r="ID144" s="982"/>
      <c r="IE144" s="982"/>
      <c r="IF144" s="982"/>
      <c r="IG144" s="982"/>
      <c r="IH144" s="982"/>
      <c r="II144" s="982"/>
      <c r="IJ144" s="982"/>
      <c r="IK144" s="982"/>
      <c r="IL144" s="982"/>
      <c r="IM144" s="982"/>
      <c r="IN144" s="982"/>
      <c r="IO144" s="982"/>
      <c r="IP144" s="982"/>
      <c r="IQ144" s="982"/>
      <c r="IR144" s="982"/>
      <c r="IS144" s="982"/>
      <c r="IT144" s="982"/>
      <c r="IU144" s="982"/>
      <c r="IV144" s="982"/>
      <c r="IW144" s="982"/>
      <c r="IX144" s="982"/>
    </row>
    <row r="145" spans="66:258" ht="30" hidden="1" customHeight="1" thickBot="1">
      <c r="BN145" s="982"/>
      <c r="BO145" s="982"/>
      <c r="BP145" s="982"/>
      <c r="BQ145" s="982"/>
      <c r="BR145" s="982"/>
      <c r="BS145" s="982"/>
      <c r="BT145" s="982"/>
      <c r="BU145" s="982"/>
      <c r="BV145" s="982"/>
      <c r="BW145" s="982"/>
      <c r="BX145" s="982"/>
      <c r="BY145" s="982"/>
      <c r="BZ145" s="982"/>
      <c r="CA145" s="982"/>
      <c r="CB145" s="982"/>
      <c r="CC145" s="982"/>
      <c r="CD145" s="982"/>
      <c r="CE145" s="982"/>
      <c r="CF145" s="982"/>
      <c r="CG145" s="982"/>
      <c r="CH145" s="982"/>
      <c r="CI145" s="982"/>
      <c r="CJ145" s="982"/>
      <c r="CK145" s="862"/>
      <c r="CL145" s="863" t="s">
        <v>3</v>
      </c>
      <c r="CM145" s="1013">
        <v>424.2</v>
      </c>
      <c r="CN145" s="1014">
        <v>209</v>
      </c>
      <c r="CO145" s="982"/>
      <c r="CP145" s="982"/>
      <c r="CQ145" s="982"/>
      <c r="CR145" s="982"/>
      <c r="CS145" s="982"/>
      <c r="CT145" s="982"/>
      <c r="CU145" s="982"/>
      <c r="CV145" s="982"/>
      <c r="CW145" s="982"/>
      <c r="CX145" s="982"/>
      <c r="CY145" s="982"/>
      <c r="CZ145" s="982"/>
      <c r="DA145" s="982"/>
      <c r="DB145" s="982"/>
      <c r="DC145" s="982"/>
      <c r="DD145" s="982"/>
      <c r="DE145" s="982"/>
      <c r="DF145" s="1004"/>
      <c r="DG145" s="1004"/>
      <c r="DH145" s="1004"/>
      <c r="DI145" s="1004"/>
      <c r="DJ145" s="1004"/>
      <c r="DK145" s="1004"/>
      <c r="DL145" s="1004"/>
      <c r="DM145" s="1004"/>
      <c r="DN145" s="1004"/>
      <c r="DO145" s="1004"/>
      <c r="DP145" s="1004"/>
      <c r="DQ145" s="1004"/>
      <c r="DR145" s="1004"/>
      <c r="DS145" s="1004"/>
      <c r="DT145" s="1004"/>
      <c r="DU145" s="1004"/>
      <c r="DV145" s="1004"/>
      <c r="DW145" s="1004"/>
      <c r="DX145" s="1004"/>
      <c r="DY145" s="1004"/>
      <c r="DZ145" s="1004"/>
      <c r="EA145" s="1004"/>
      <c r="EB145" s="1004"/>
      <c r="EC145" s="1004"/>
      <c r="ED145" s="1004"/>
      <c r="EE145" s="1004"/>
      <c r="EF145" s="1004"/>
      <c r="EG145" s="1004"/>
      <c r="EH145" s="1004"/>
      <c r="EI145" s="1004"/>
      <c r="EJ145" s="1004"/>
      <c r="EK145" s="1004"/>
      <c r="EL145" s="1004"/>
      <c r="EM145" s="1004"/>
      <c r="EN145" s="1004"/>
      <c r="EO145" s="1004"/>
      <c r="EP145" s="1004"/>
      <c r="EQ145" s="1004"/>
      <c r="ER145" s="1004"/>
      <c r="ES145" s="1004"/>
      <c r="ET145" s="1004"/>
      <c r="EU145" s="1004"/>
      <c r="EV145" s="1004"/>
      <c r="EW145" s="1004"/>
      <c r="EX145" s="1004"/>
      <c r="EY145" s="1004"/>
      <c r="EZ145" s="1004"/>
      <c r="FA145" s="1004"/>
      <c r="FB145" s="1004"/>
      <c r="FC145" s="1004"/>
      <c r="FD145" s="1004"/>
      <c r="FE145" s="1004"/>
      <c r="FF145" s="1004"/>
      <c r="FG145" s="1004"/>
      <c r="FH145" s="1004"/>
      <c r="FI145" s="1004"/>
      <c r="FJ145" s="1004"/>
      <c r="FK145" s="1004"/>
      <c r="FL145" s="1004"/>
      <c r="FM145" s="1004"/>
      <c r="FN145" s="1004"/>
      <c r="FO145" s="1004"/>
      <c r="FP145" s="1004"/>
      <c r="FQ145" s="1004"/>
      <c r="FR145" s="1004"/>
      <c r="FS145" s="1004"/>
      <c r="FT145" s="1004"/>
      <c r="FU145" s="1004"/>
      <c r="FV145" s="1004"/>
      <c r="FW145" s="1004"/>
      <c r="FX145" s="1004"/>
      <c r="FY145" s="1004"/>
      <c r="FZ145" s="1004"/>
      <c r="GA145" s="1004"/>
      <c r="GB145" s="1004"/>
      <c r="GC145" s="1004"/>
      <c r="GD145" s="1004"/>
      <c r="GE145" s="1004"/>
      <c r="GF145" s="1004"/>
      <c r="GG145" s="1004"/>
      <c r="GH145" s="1004"/>
      <c r="GI145" s="1004"/>
      <c r="GJ145" s="1004"/>
      <c r="GK145" s="1004"/>
      <c r="GL145" s="1004"/>
      <c r="GM145" s="1004"/>
      <c r="GN145" s="1004"/>
      <c r="GO145" s="1004"/>
      <c r="GP145" s="1004"/>
      <c r="GQ145" s="1004"/>
      <c r="GR145" s="1004"/>
      <c r="GS145" s="1004"/>
      <c r="GT145" s="1004"/>
      <c r="GU145" s="1004"/>
      <c r="GV145" s="1004"/>
      <c r="GW145" s="1004"/>
      <c r="GX145" s="1004"/>
      <c r="GY145" s="1004"/>
      <c r="GZ145" s="1004"/>
      <c r="HA145" s="1004"/>
      <c r="HB145" s="1004"/>
      <c r="HC145" s="1004"/>
      <c r="HD145" s="1004"/>
      <c r="HE145" s="1004"/>
      <c r="HF145" s="1004"/>
      <c r="HG145" s="1004"/>
      <c r="HH145" s="1004"/>
      <c r="HI145" s="1004"/>
      <c r="HJ145" s="1004"/>
      <c r="HK145" s="1004"/>
      <c r="HL145" s="1004"/>
      <c r="HM145" s="1004"/>
      <c r="HN145" s="1004"/>
      <c r="HO145" s="1004"/>
      <c r="HP145" s="1004"/>
      <c r="HQ145" s="1004"/>
      <c r="HR145" s="1004"/>
      <c r="HS145" s="1004"/>
      <c r="HT145" s="1004"/>
      <c r="HU145" s="1004"/>
      <c r="HV145" s="1004"/>
      <c r="HW145" s="1004"/>
      <c r="HX145" s="1004"/>
      <c r="HY145" s="1004"/>
      <c r="HZ145" s="1004"/>
      <c r="IA145" s="1004"/>
      <c r="IB145" s="1004"/>
      <c r="IC145" s="1004"/>
      <c r="ID145" s="1004"/>
      <c r="IE145" s="1004"/>
      <c r="IF145" s="1004"/>
      <c r="IG145" s="1004"/>
      <c r="IH145" s="1004"/>
      <c r="II145" s="1004"/>
      <c r="IJ145" s="1004"/>
      <c r="IK145" s="1004"/>
      <c r="IL145" s="1004"/>
      <c r="IM145" s="1004"/>
      <c r="IN145" s="1004"/>
      <c r="IO145" s="1004"/>
      <c r="IP145" s="1004"/>
      <c r="IQ145" s="1004"/>
      <c r="IR145" s="1004"/>
      <c r="IS145" s="1004"/>
      <c r="IT145" s="1004"/>
      <c r="IU145" s="1004"/>
      <c r="IV145" s="1004"/>
      <c r="IW145" s="1004"/>
      <c r="IX145" s="1004"/>
    </row>
    <row r="146" spans="66:258" ht="15" hidden="1" customHeight="1">
      <c r="BN146" s="982"/>
      <c r="BO146" s="982"/>
      <c r="BP146" s="982"/>
      <c r="BQ146" s="982"/>
      <c r="BR146" s="982"/>
      <c r="BS146" s="982"/>
      <c r="BT146" s="982"/>
      <c r="BU146" s="982"/>
      <c r="BV146" s="982"/>
      <c r="BW146" s="982"/>
      <c r="BX146" s="982"/>
      <c r="BY146" s="982"/>
      <c r="BZ146" s="982"/>
      <c r="CA146" s="982"/>
      <c r="CB146" s="982"/>
      <c r="CC146" s="982"/>
      <c r="CD146" s="982"/>
      <c r="CE146" s="982"/>
      <c r="CF146" s="982"/>
      <c r="CG146" s="982"/>
      <c r="CH146" s="982"/>
      <c r="CI146" s="982"/>
      <c r="CJ146" s="982"/>
      <c r="CK146" s="982"/>
      <c r="CL146" s="982"/>
      <c r="CM146" s="982"/>
      <c r="CN146" s="982"/>
      <c r="CO146" s="982"/>
      <c r="CP146" s="982"/>
      <c r="CQ146" s="982"/>
      <c r="CR146" s="982"/>
      <c r="CS146" s="982"/>
      <c r="CT146" s="982"/>
      <c r="CU146" s="982"/>
      <c r="CV146" s="982"/>
      <c r="CW146" s="982"/>
      <c r="CX146" s="982"/>
      <c r="CY146" s="982"/>
      <c r="CZ146" s="982"/>
      <c r="DA146" s="982"/>
      <c r="DB146" s="982"/>
      <c r="DC146" s="982"/>
      <c r="DD146" s="982"/>
      <c r="DE146" s="982"/>
      <c r="DF146" s="1004"/>
      <c r="DG146" s="1004"/>
      <c r="DH146" s="1004"/>
      <c r="DI146" s="1004"/>
      <c r="DJ146" s="1004"/>
      <c r="DK146" s="1004"/>
      <c r="DL146" s="1004"/>
      <c r="DM146" s="1004"/>
      <c r="DN146" s="1004"/>
      <c r="DO146" s="1004"/>
      <c r="DP146" s="1004"/>
      <c r="DQ146" s="1004"/>
      <c r="DR146" s="1004"/>
      <c r="DS146" s="1004"/>
      <c r="DT146" s="1004"/>
      <c r="DU146" s="1004"/>
      <c r="DV146" s="1004"/>
      <c r="DW146" s="1004"/>
      <c r="DX146" s="1004"/>
      <c r="DY146" s="1004"/>
      <c r="DZ146" s="1004"/>
      <c r="EA146" s="1004"/>
      <c r="EB146" s="1004"/>
      <c r="EC146" s="1004"/>
      <c r="ED146" s="1004"/>
      <c r="EE146" s="1004"/>
      <c r="EF146" s="1004"/>
      <c r="EG146" s="1004"/>
      <c r="EH146" s="1004"/>
      <c r="EI146" s="1004"/>
      <c r="EJ146" s="1004"/>
      <c r="EK146" s="1004"/>
      <c r="EL146" s="1004"/>
      <c r="EM146" s="1004"/>
      <c r="EN146" s="1004"/>
      <c r="EO146" s="1004"/>
      <c r="EP146" s="1004"/>
      <c r="EQ146" s="1004"/>
      <c r="ER146" s="1004"/>
      <c r="ES146" s="1004"/>
      <c r="ET146" s="1004"/>
      <c r="EU146" s="1004"/>
      <c r="EV146" s="1004"/>
      <c r="EW146" s="1004"/>
      <c r="EX146" s="1004"/>
      <c r="EY146" s="1004"/>
      <c r="EZ146" s="1004"/>
      <c r="FA146" s="1004"/>
      <c r="FB146" s="1004"/>
      <c r="FC146" s="1004"/>
      <c r="FD146" s="1004"/>
      <c r="FE146" s="1004"/>
      <c r="FF146" s="1004"/>
      <c r="FG146" s="1004"/>
      <c r="FH146" s="1004"/>
      <c r="FI146" s="1004"/>
      <c r="FJ146" s="1004"/>
      <c r="FK146" s="1004"/>
      <c r="FL146" s="1004"/>
      <c r="FM146" s="1004"/>
      <c r="FN146" s="1004"/>
      <c r="FO146" s="1004"/>
      <c r="FP146" s="1004"/>
      <c r="FQ146" s="1004"/>
      <c r="FR146" s="1004"/>
      <c r="FS146" s="1004"/>
      <c r="FT146" s="1004"/>
      <c r="FU146" s="1004"/>
      <c r="FV146" s="1004"/>
      <c r="FW146" s="1004"/>
      <c r="FX146" s="1004"/>
      <c r="FY146" s="1004"/>
      <c r="FZ146" s="1004"/>
      <c r="GA146" s="1004"/>
      <c r="GB146" s="1004"/>
      <c r="GC146" s="1004"/>
      <c r="GD146" s="1004"/>
      <c r="GE146" s="1004"/>
      <c r="GF146" s="1004"/>
      <c r="GG146" s="1004"/>
      <c r="GH146" s="1004"/>
      <c r="GI146" s="1004"/>
      <c r="GJ146" s="1004"/>
      <c r="GK146" s="1004"/>
      <c r="GL146" s="1004"/>
      <c r="GM146" s="1004"/>
      <c r="GN146" s="1004"/>
      <c r="GO146" s="1004"/>
      <c r="GP146" s="1004"/>
      <c r="GQ146" s="1004"/>
      <c r="GR146" s="1004"/>
      <c r="GS146" s="1004"/>
      <c r="GT146" s="1004"/>
      <c r="GU146" s="1004"/>
      <c r="GV146" s="1004"/>
      <c r="GW146" s="1004"/>
      <c r="GX146" s="1004"/>
      <c r="GY146" s="1004"/>
      <c r="GZ146" s="1004"/>
      <c r="HA146" s="1004"/>
      <c r="HB146" s="1004"/>
      <c r="HC146" s="1004"/>
      <c r="HD146" s="1004"/>
      <c r="HE146" s="1004"/>
      <c r="HF146" s="1004"/>
      <c r="HG146" s="1004"/>
      <c r="HH146" s="1004"/>
      <c r="HI146" s="1004"/>
      <c r="HJ146" s="1004"/>
      <c r="HK146" s="1004"/>
      <c r="HL146" s="1004"/>
      <c r="HM146" s="1004"/>
      <c r="HN146" s="1004"/>
      <c r="HO146" s="1004"/>
      <c r="HP146" s="1004"/>
      <c r="HQ146" s="1004"/>
      <c r="HR146" s="1004"/>
      <c r="HS146" s="1004"/>
      <c r="HT146" s="1004"/>
      <c r="HU146" s="1004"/>
      <c r="HV146" s="1004"/>
      <c r="HW146" s="1004"/>
      <c r="HX146" s="1004"/>
      <c r="HY146" s="1004"/>
      <c r="HZ146" s="1004"/>
      <c r="IA146" s="1004"/>
      <c r="IB146" s="1004"/>
      <c r="IC146" s="1004"/>
      <c r="ID146" s="1004"/>
      <c r="IE146" s="1004"/>
      <c r="IF146" s="1004"/>
      <c r="IG146" s="1004"/>
      <c r="IH146" s="1004"/>
      <c r="II146" s="1004"/>
      <c r="IJ146" s="1004"/>
      <c r="IK146" s="1004"/>
      <c r="IL146" s="1004"/>
      <c r="IM146" s="1004"/>
      <c r="IN146" s="1004"/>
      <c r="IO146" s="1004"/>
      <c r="IP146" s="1004"/>
      <c r="IQ146" s="1004"/>
      <c r="IR146" s="1004"/>
      <c r="IS146" s="1004"/>
      <c r="IT146" s="1004"/>
      <c r="IU146" s="1004"/>
      <c r="IV146" s="1004"/>
      <c r="IW146" s="1004"/>
      <c r="IX146" s="1004"/>
    </row>
    <row r="147" spans="66:258" ht="15" hidden="1" customHeight="1">
      <c r="BN147" s="982"/>
      <c r="BO147" s="982"/>
      <c r="BP147" s="982"/>
      <c r="BQ147" s="982"/>
      <c r="BR147" s="982"/>
      <c r="BS147" s="982"/>
      <c r="BT147" s="982"/>
      <c r="BU147" s="982"/>
      <c r="BV147" s="982"/>
      <c r="BW147" s="982"/>
      <c r="BX147" s="982"/>
      <c r="BY147" s="982"/>
      <c r="BZ147" s="982"/>
      <c r="CA147" s="982"/>
      <c r="CB147" s="982"/>
      <c r="CC147" s="982"/>
      <c r="CD147" s="982"/>
      <c r="CE147" s="982"/>
      <c r="CF147" s="982"/>
      <c r="CG147" s="982"/>
      <c r="CH147" s="982"/>
      <c r="CI147" s="982"/>
      <c r="CJ147" s="982"/>
      <c r="CK147" s="982"/>
      <c r="CL147" s="982"/>
      <c r="CM147" s="982"/>
      <c r="CN147" s="982"/>
      <c r="CO147" s="982"/>
      <c r="CP147" s="982"/>
      <c r="CQ147" s="982"/>
      <c r="CR147" s="982"/>
      <c r="CS147" s="982"/>
      <c r="CT147" s="982"/>
      <c r="CU147" s="982"/>
      <c r="CV147" s="982"/>
      <c r="CW147" s="982"/>
      <c r="CX147" s="982"/>
      <c r="CY147" s="982"/>
      <c r="CZ147" s="982"/>
      <c r="DA147" s="982"/>
      <c r="DB147" s="982"/>
      <c r="DC147" s="982"/>
      <c r="DD147" s="982"/>
      <c r="DE147" s="982"/>
      <c r="DF147" s="1004"/>
      <c r="DG147" s="1004"/>
      <c r="DH147" s="1007"/>
      <c r="DI147" s="1007"/>
      <c r="DJ147" s="1004"/>
      <c r="DK147" s="1007"/>
      <c r="DL147" s="1004"/>
      <c r="DM147" s="1007"/>
      <c r="DN147" s="1004"/>
      <c r="DO147" s="1007"/>
      <c r="DP147" s="1004"/>
      <c r="DQ147" s="1007"/>
      <c r="DR147" s="1004"/>
      <c r="DS147" s="1007"/>
      <c r="DT147" s="1004"/>
      <c r="DU147" s="1007"/>
      <c r="DV147" s="1004"/>
      <c r="DW147" s="1007"/>
      <c r="DX147" s="1004"/>
      <c r="DY147" s="1007"/>
      <c r="DZ147" s="1004"/>
      <c r="EA147" s="1007"/>
      <c r="EB147" s="1004"/>
      <c r="EC147" s="1007"/>
      <c r="ED147" s="1007"/>
      <c r="EE147" s="1004"/>
      <c r="EF147" s="1007"/>
      <c r="EG147" s="1004"/>
      <c r="EH147" s="1007"/>
      <c r="EI147" s="1004"/>
      <c r="EJ147" s="1007"/>
      <c r="EK147" s="1004"/>
      <c r="EL147" s="1007"/>
      <c r="EM147" s="1004"/>
      <c r="EN147" s="1007"/>
      <c r="EO147" s="1004"/>
      <c r="EP147" s="1007"/>
      <c r="EQ147" s="1004"/>
      <c r="ER147" s="1007"/>
      <c r="ES147" s="1004"/>
      <c r="ET147" s="1007"/>
      <c r="EU147" s="1004"/>
      <c r="EV147" s="1007"/>
      <c r="EW147" s="1004"/>
      <c r="EX147" s="1007"/>
      <c r="EY147" s="1007"/>
      <c r="EZ147" s="1004"/>
      <c r="FA147" s="1007"/>
      <c r="FB147" s="1004"/>
      <c r="FC147" s="1007"/>
      <c r="FD147" s="1004"/>
      <c r="FE147" s="1007"/>
      <c r="FF147" s="1004"/>
      <c r="FG147" s="1007"/>
      <c r="FH147" s="1004"/>
      <c r="FI147" s="1007"/>
      <c r="FJ147" s="1004"/>
      <c r="FK147" s="1007"/>
      <c r="FL147" s="1004"/>
      <c r="FM147" s="1007"/>
      <c r="FN147" s="1004"/>
      <c r="FO147" s="1007"/>
      <c r="FP147" s="1004"/>
      <c r="FQ147" s="1007"/>
      <c r="FR147" s="1004"/>
      <c r="FS147" s="1007"/>
      <c r="FT147" s="1007"/>
      <c r="FU147" s="1004"/>
      <c r="FV147" s="1007"/>
      <c r="FW147" s="1004"/>
      <c r="FX147" s="1007"/>
      <c r="FY147" s="1004"/>
      <c r="FZ147" s="1007"/>
      <c r="GA147" s="1004"/>
      <c r="GB147" s="1007"/>
      <c r="GC147" s="1004"/>
      <c r="GD147" s="1007"/>
      <c r="GE147" s="1004"/>
      <c r="GF147" s="1007"/>
      <c r="GG147" s="1004"/>
      <c r="GH147" s="1007"/>
      <c r="GI147" s="1004"/>
      <c r="GJ147" s="1007"/>
      <c r="GK147" s="1004"/>
      <c r="GL147" s="1007"/>
      <c r="GM147" s="1004"/>
      <c r="GN147" s="1007"/>
      <c r="GO147" s="1007"/>
      <c r="GP147" s="1004"/>
      <c r="GQ147" s="1007"/>
      <c r="GR147" s="1004"/>
      <c r="GS147" s="1007"/>
      <c r="GT147" s="1004"/>
      <c r="GU147" s="1007"/>
      <c r="GV147" s="1004"/>
      <c r="GW147" s="1007"/>
      <c r="GX147" s="1004"/>
      <c r="GY147" s="1007"/>
      <c r="GZ147" s="1004"/>
      <c r="HA147" s="1007"/>
      <c r="HB147" s="1004"/>
      <c r="HC147" s="1007"/>
      <c r="HD147" s="1004"/>
      <c r="HE147" s="1007"/>
      <c r="HF147" s="1004"/>
      <c r="HG147" s="1007"/>
      <c r="HH147" s="1004"/>
      <c r="HI147" s="1007"/>
      <c r="HJ147" s="1007"/>
      <c r="HK147" s="1004"/>
      <c r="HL147" s="1007"/>
      <c r="HM147" s="1004"/>
      <c r="HN147" s="1007"/>
      <c r="HO147" s="1004"/>
      <c r="HP147" s="1007"/>
      <c r="HQ147" s="1004"/>
      <c r="HR147" s="1007"/>
      <c r="HS147" s="1004"/>
      <c r="HT147" s="1007"/>
      <c r="HU147" s="1004"/>
      <c r="HV147" s="1007"/>
      <c r="HW147" s="1004"/>
      <c r="HX147" s="1007"/>
      <c r="HY147" s="1004"/>
      <c r="HZ147" s="1007"/>
      <c r="IA147" s="1004"/>
      <c r="IB147" s="1007"/>
      <c r="IC147" s="1004"/>
      <c r="ID147" s="1007"/>
      <c r="IE147" s="1007"/>
      <c r="IF147" s="1004"/>
      <c r="IG147" s="1007"/>
      <c r="IH147" s="1004"/>
      <c r="II147" s="1007"/>
      <c r="IJ147" s="1004"/>
      <c r="IK147" s="1007"/>
      <c r="IL147" s="1004"/>
      <c r="IM147" s="1007"/>
      <c r="IN147" s="1004"/>
      <c r="IO147" s="1007"/>
      <c r="IP147" s="1004"/>
      <c r="IQ147" s="1007"/>
      <c r="IR147" s="1004"/>
      <c r="IS147" s="1007"/>
      <c r="IT147" s="1004"/>
      <c r="IU147" s="1007"/>
      <c r="IV147" s="1004"/>
      <c r="IW147" s="1007"/>
      <c r="IX147" s="1004"/>
    </row>
    <row r="148" spans="66:258" ht="15" hidden="1" customHeight="1">
      <c r="BN148" s="982"/>
      <c r="BO148" s="982"/>
      <c r="BP148" s="982"/>
      <c r="BQ148" s="982"/>
      <c r="BR148" s="982"/>
      <c r="BS148" s="982"/>
      <c r="BT148" s="982"/>
      <c r="BU148" s="982"/>
      <c r="BV148" s="982"/>
      <c r="BW148" s="982"/>
      <c r="BX148" s="982"/>
      <c r="BY148" s="982"/>
      <c r="BZ148" s="982"/>
      <c r="CA148" s="982"/>
      <c r="CB148" s="982"/>
      <c r="CC148" s="982"/>
      <c r="CD148" s="982"/>
      <c r="CE148" s="982"/>
      <c r="CF148" s="982"/>
      <c r="CG148" s="982"/>
      <c r="CH148" s="982"/>
      <c r="CI148" s="982"/>
      <c r="CJ148" s="982"/>
      <c r="CK148" s="982"/>
      <c r="CL148" s="982"/>
      <c r="CM148" s="982"/>
      <c r="CN148" s="982"/>
      <c r="CO148" s="982"/>
      <c r="CP148" s="982"/>
      <c r="CQ148" s="982"/>
      <c r="CR148" s="982"/>
      <c r="CS148" s="982"/>
      <c r="CT148" s="982"/>
      <c r="CU148" s="982"/>
      <c r="CV148" s="982"/>
      <c r="CW148" s="982"/>
      <c r="CX148" s="982"/>
      <c r="CY148" s="982"/>
      <c r="CZ148" s="982"/>
      <c r="DA148" s="982"/>
      <c r="DB148" s="982"/>
      <c r="DC148" s="982"/>
      <c r="DD148" s="982"/>
      <c r="DE148" s="982"/>
      <c r="DF148" s="1004"/>
      <c r="DG148" s="1004"/>
      <c r="DH148" s="1004"/>
      <c r="DI148" s="1004"/>
      <c r="DJ148" s="1004"/>
      <c r="DK148" s="1004"/>
      <c r="DL148" s="1004"/>
      <c r="DM148" s="1004"/>
      <c r="DN148" s="1004"/>
      <c r="DO148" s="1004"/>
      <c r="DP148" s="1004"/>
      <c r="DQ148" s="1004"/>
      <c r="DR148" s="1004"/>
      <c r="DS148" s="1004"/>
      <c r="DT148" s="1004"/>
      <c r="DU148" s="1004"/>
      <c r="DV148" s="1004"/>
      <c r="DW148" s="1004"/>
      <c r="DX148" s="1004"/>
      <c r="DY148" s="1004"/>
      <c r="DZ148" s="1004"/>
      <c r="EA148" s="1004"/>
      <c r="EB148" s="1004"/>
      <c r="EC148" s="1004"/>
      <c r="ED148" s="1004"/>
      <c r="EE148" s="1004"/>
      <c r="EF148" s="1004"/>
      <c r="EG148" s="1004"/>
      <c r="EH148" s="1004"/>
      <c r="EI148" s="1004"/>
      <c r="EJ148" s="1004"/>
      <c r="EK148" s="1004"/>
      <c r="EL148" s="1004"/>
      <c r="EM148" s="1004"/>
      <c r="EN148" s="1004"/>
      <c r="EO148" s="1004"/>
      <c r="EP148" s="1004"/>
      <c r="EQ148" s="1004"/>
      <c r="ER148" s="1004"/>
      <c r="ES148" s="1004"/>
      <c r="ET148" s="1004"/>
      <c r="EU148" s="1004"/>
      <c r="EV148" s="1004"/>
      <c r="EW148" s="1004"/>
      <c r="EX148" s="1004"/>
      <c r="EY148" s="1004"/>
      <c r="EZ148" s="1004"/>
      <c r="FA148" s="1004"/>
      <c r="FB148" s="1004"/>
      <c r="FC148" s="1004"/>
      <c r="FD148" s="1004"/>
      <c r="FE148" s="1004"/>
      <c r="FF148" s="1004"/>
      <c r="FG148" s="1004"/>
      <c r="FH148" s="1004"/>
      <c r="FI148" s="1004"/>
      <c r="FJ148" s="1004"/>
      <c r="FK148" s="1004"/>
      <c r="FL148" s="1004"/>
      <c r="FM148" s="1004"/>
      <c r="FN148" s="1004"/>
      <c r="FO148" s="1004"/>
      <c r="FP148" s="1004"/>
      <c r="FQ148" s="1004"/>
      <c r="FR148" s="1004"/>
      <c r="FS148" s="1004"/>
      <c r="FT148" s="1004"/>
      <c r="FU148" s="1004"/>
      <c r="FV148" s="1004"/>
      <c r="FW148" s="1004"/>
      <c r="FX148" s="1004"/>
      <c r="FY148" s="1004"/>
      <c r="FZ148" s="1004"/>
      <c r="GA148" s="1004"/>
      <c r="GB148" s="1004"/>
      <c r="GC148" s="1004"/>
      <c r="GD148" s="1004"/>
      <c r="GE148" s="1004"/>
      <c r="GF148" s="1004"/>
      <c r="GG148" s="1004"/>
      <c r="GH148" s="1004"/>
      <c r="GI148" s="1004"/>
      <c r="GJ148" s="1004"/>
      <c r="GK148" s="1004"/>
      <c r="GL148" s="1004"/>
      <c r="GM148" s="1004"/>
      <c r="GN148" s="1004"/>
      <c r="GO148" s="1004"/>
      <c r="GP148" s="1004"/>
      <c r="GQ148" s="1004"/>
      <c r="GR148" s="1004"/>
      <c r="GS148" s="1004"/>
      <c r="GT148" s="1004"/>
      <c r="GU148" s="1004"/>
      <c r="GV148" s="1004"/>
      <c r="GW148" s="1004"/>
      <c r="GX148" s="1004"/>
      <c r="GY148" s="1004"/>
      <c r="GZ148" s="1004"/>
      <c r="HA148" s="1004"/>
      <c r="HB148" s="1004"/>
      <c r="HC148" s="1004"/>
      <c r="HD148" s="1004"/>
      <c r="HE148" s="1004"/>
      <c r="HF148" s="1004"/>
      <c r="HG148" s="1004"/>
      <c r="HH148" s="1004"/>
      <c r="HI148" s="1004"/>
      <c r="HJ148" s="1004"/>
      <c r="HK148" s="1004"/>
      <c r="HL148" s="1004"/>
      <c r="HM148" s="1004"/>
      <c r="HN148" s="1004"/>
      <c r="HO148" s="1004"/>
      <c r="HP148" s="1004"/>
      <c r="HQ148" s="1004"/>
      <c r="HR148" s="1004"/>
      <c r="HS148" s="1004"/>
      <c r="HT148" s="1004"/>
      <c r="HU148" s="1004"/>
      <c r="HV148" s="1004"/>
      <c r="HW148" s="1004"/>
      <c r="HX148" s="1004"/>
      <c r="HY148" s="1004"/>
      <c r="HZ148" s="1004"/>
      <c r="IA148" s="1004"/>
      <c r="IB148" s="1004"/>
      <c r="IC148" s="1004"/>
      <c r="ID148" s="1004"/>
      <c r="IE148" s="1004"/>
      <c r="IF148" s="1004"/>
      <c r="IG148" s="1004"/>
      <c r="IH148" s="1004"/>
      <c r="II148" s="1004"/>
      <c r="IJ148" s="1004"/>
      <c r="IK148" s="1004"/>
      <c r="IL148" s="1004"/>
      <c r="IM148" s="1004"/>
      <c r="IN148" s="1004"/>
      <c r="IO148" s="1004"/>
      <c r="IP148" s="1004"/>
      <c r="IQ148" s="1004"/>
      <c r="IR148" s="1004"/>
      <c r="IS148" s="1004"/>
      <c r="IT148" s="1004"/>
      <c r="IU148" s="1004"/>
      <c r="IV148" s="1004"/>
      <c r="IW148" s="1004"/>
      <c r="IX148" s="1004"/>
    </row>
    <row r="149" spans="66:258" ht="15" hidden="1" customHeight="1">
      <c r="BN149" s="982"/>
      <c r="BO149" s="982"/>
      <c r="BP149" s="982"/>
      <c r="BQ149" s="982"/>
      <c r="BR149" s="982"/>
      <c r="BS149" s="982"/>
      <c r="BT149" s="982"/>
      <c r="BU149" s="982"/>
      <c r="BV149" s="982"/>
      <c r="BW149" s="982"/>
      <c r="BX149" s="982"/>
      <c r="BY149" s="982"/>
      <c r="BZ149" s="982"/>
      <c r="CA149" s="982"/>
      <c r="CB149" s="982"/>
      <c r="CC149" s="982"/>
      <c r="CD149" s="982"/>
      <c r="CE149" s="982"/>
      <c r="CF149" s="982"/>
      <c r="CG149" s="982"/>
      <c r="CH149" s="982"/>
      <c r="CI149" s="982"/>
      <c r="CJ149" s="982"/>
      <c r="CK149" s="982"/>
      <c r="CL149" s="982"/>
      <c r="CM149" s="982"/>
      <c r="CN149" s="982"/>
      <c r="CO149" s="982"/>
      <c r="CP149" s="1614"/>
      <c r="CQ149" s="1614"/>
      <c r="CR149" s="1614"/>
      <c r="CS149" s="1614"/>
      <c r="CT149" s="1614"/>
      <c r="CU149" s="1614"/>
      <c r="CV149" s="1614"/>
      <c r="CW149" s="1614"/>
      <c r="CX149" s="1614"/>
      <c r="CY149" s="1614"/>
      <c r="CZ149" s="1614"/>
      <c r="DA149" s="1614"/>
      <c r="DB149" s="1614"/>
      <c r="DC149" s="1614"/>
      <c r="DD149" s="1614"/>
      <c r="DE149" s="1614"/>
      <c r="DF149" s="1004"/>
      <c r="DG149" s="1004"/>
      <c r="DH149" s="1004"/>
      <c r="DI149" s="1004"/>
      <c r="DJ149" s="1004"/>
      <c r="DK149" s="1004"/>
      <c r="DL149" s="1004"/>
      <c r="DM149" s="1004"/>
      <c r="DN149" s="1004"/>
      <c r="DO149" s="1004"/>
      <c r="DP149" s="1004"/>
      <c r="DQ149" s="1004"/>
      <c r="DR149" s="1004"/>
      <c r="DS149" s="1004"/>
      <c r="DT149" s="1004"/>
      <c r="DU149" s="1004"/>
      <c r="DV149" s="1004"/>
      <c r="DW149" s="1004"/>
      <c r="DX149" s="1004"/>
      <c r="DY149" s="1004"/>
      <c r="DZ149" s="1004"/>
      <c r="EA149" s="1004"/>
      <c r="EB149" s="1004"/>
      <c r="EC149" s="1004"/>
      <c r="ED149" s="1004"/>
      <c r="EE149" s="1004"/>
      <c r="EF149" s="1004"/>
      <c r="EG149" s="1004"/>
      <c r="EH149" s="1004"/>
      <c r="EI149" s="1004"/>
      <c r="EJ149" s="1004"/>
      <c r="EK149" s="1004"/>
      <c r="EL149" s="1004"/>
      <c r="EM149" s="1004"/>
      <c r="EN149" s="1004"/>
      <c r="EO149" s="1004"/>
      <c r="EP149" s="1004"/>
      <c r="EQ149" s="1004"/>
      <c r="ER149" s="1004"/>
      <c r="ES149" s="1004"/>
      <c r="ET149" s="1004"/>
      <c r="EU149" s="1004"/>
      <c r="EV149" s="1004"/>
      <c r="EW149" s="1004"/>
      <c r="EX149" s="1004"/>
      <c r="EY149" s="1004"/>
      <c r="EZ149" s="1004"/>
      <c r="FA149" s="1004"/>
      <c r="FB149" s="1004"/>
      <c r="FC149" s="1004"/>
      <c r="FD149" s="1004"/>
      <c r="FE149" s="1004"/>
      <c r="FF149" s="1004"/>
      <c r="FG149" s="1004"/>
      <c r="FH149" s="1004"/>
      <c r="FI149" s="1004"/>
      <c r="FJ149" s="1004"/>
      <c r="FK149" s="1004"/>
      <c r="FL149" s="1004"/>
      <c r="FM149" s="1004"/>
      <c r="FN149" s="1004"/>
      <c r="FO149" s="1004"/>
      <c r="FP149" s="1004"/>
      <c r="FQ149" s="1004"/>
      <c r="FR149" s="1004"/>
      <c r="FS149" s="1004"/>
      <c r="FT149" s="1004"/>
      <c r="FU149" s="1004"/>
      <c r="FV149" s="1004"/>
      <c r="FW149" s="1004"/>
      <c r="FX149" s="1004"/>
      <c r="FY149" s="1004"/>
      <c r="FZ149" s="1004"/>
      <c r="GA149" s="1004"/>
      <c r="GB149" s="1004"/>
      <c r="GC149" s="1004"/>
      <c r="GD149" s="1004"/>
      <c r="GE149" s="1004"/>
      <c r="GF149" s="1004"/>
      <c r="GG149" s="1004"/>
      <c r="GH149" s="1004"/>
      <c r="GI149" s="1004"/>
      <c r="GJ149" s="1004"/>
      <c r="GK149" s="1004"/>
      <c r="GL149" s="1004"/>
      <c r="GM149" s="1004"/>
      <c r="GN149" s="1004"/>
      <c r="GO149" s="1004"/>
      <c r="GP149" s="1004"/>
      <c r="GQ149" s="1004"/>
      <c r="GR149" s="1004"/>
      <c r="GS149" s="1004"/>
      <c r="GT149" s="1004"/>
      <c r="GU149" s="1004"/>
      <c r="GV149" s="1004"/>
      <c r="GW149" s="1004"/>
      <c r="GX149" s="1004"/>
      <c r="GY149" s="1004"/>
      <c r="GZ149" s="1004"/>
      <c r="HA149" s="1004"/>
      <c r="HB149" s="1004"/>
      <c r="HC149" s="1004"/>
      <c r="HD149" s="1004"/>
      <c r="HE149" s="1004"/>
      <c r="HF149" s="1004"/>
      <c r="HG149" s="1004"/>
      <c r="HH149" s="1004"/>
      <c r="HI149" s="1004"/>
      <c r="HJ149" s="1004"/>
      <c r="HK149" s="1004"/>
      <c r="HL149" s="1004"/>
      <c r="HM149" s="1004"/>
      <c r="HN149" s="1004"/>
      <c r="HO149" s="1004"/>
      <c r="HP149" s="1004"/>
      <c r="HQ149" s="1004"/>
      <c r="HR149" s="1004"/>
      <c r="HS149" s="1004"/>
      <c r="HT149" s="1004"/>
      <c r="HU149" s="1004"/>
      <c r="HV149" s="1004"/>
      <c r="HW149" s="1004"/>
      <c r="HX149" s="1004"/>
      <c r="HY149" s="1004"/>
      <c r="HZ149" s="1004"/>
      <c r="IA149" s="1004"/>
      <c r="IB149" s="1004"/>
      <c r="IC149" s="1004"/>
      <c r="ID149" s="1004"/>
      <c r="IE149" s="1004"/>
      <c r="IF149" s="1004"/>
      <c r="IG149" s="1004"/>
      <c r="IH149" s="1004"/>
      <c r="II149" s="1004"/>
      <c r="IJ149" s="1004"/>
      <c r="IK149" s="1004"/>
      <c r="IL149" s="1004"/>
      <c r="IM149" s="1004"/>
      <c r="IN149" s="1004"/>
      <c r="IO149" s="1004"/>
      <c r="IP149" s="1004"/>
      <c r="IQ149" s="1004"/>
      <c r="IR149" s="1004"/>
      <c r="IS149" s="1004"/>
      <c r="IT149" s="1004"/>
      <c r="IU149" s="1004"/>
      <c r="IV149" s="1004"/>
      <c r="IW149" s="1004"/>
      <c r="IX149" s="1004"/>
    </row>
    <row r="150" spans="66:258" ht="20.100000000000001" hidden="1" customHeight="1">
      <c r="BN150" s="982"/>
      <c r="BO150" s="982"/>
      <c r="BP150" s="982"/>
      <c r="BQ150" s="982"/>
      <c r="BR150" s="982"/>
      <c r="BS150" s="982"/>
      <c r="BT150" s="982"/>
      <c r="BU150" s="982"/>
      <c r="BV150" s="982"/>
      <c r="BW150" s="982"/>
      <c r="BX150" s="982"/>
      <c r="BY150" s="982"/>
      <c r="BZ150" s="982"/>
      <c r="CA150" s="982"/>
      <c r="CB150" s="982"/>
      <c r="CC150" s="982"/>
      <c r="CD150" s="982"/>
      <c r="CE150" s="982"/>
      <c r="CF150" s="982"/>
      <c r="CG150" s="982"/>
      <c r="CH150" s="982"/>
      <c r="CI150" s="982"/>
      <c r="CJ150" s="982"/>
      <c r="CK150" s="982"/>
      <c r="CL150" s="982"/>
      <c r="CM150" s="982"/>
      <c r="CN150" s="982"/>
      <c r="CO150" s="982"/>
      <c r="CP150" s="778" t="s">
        <v>293</v>
      </c>
      <c r="CQ150" s="779"/>
      <c r="CR150" s="779"/>
      <c r="CS150" s="779"/>
      <c r="CT150" s="779"/>
      <c r="CU150" s="779"/>
      <c r="CV150" s="779"/>
      <c r="CW150" s="779"/>
      <c r="CX150" s="779"/>
      <c r="CY150" s="779"/>
      <c r="CZ150" s="779"/>
      <c r="DA150" s="779"/>
      <c r="DB150" s="779"/>
      <c r="DC150" s="779"/>
      <c r="DD150" s="779"/>
      <c r="DE150" s="779"/>
      <c r="DF150" s="1004"/>
      <c r="DG150" s="1004"/>
      <c r="DH150" s="1004"/>
      <c r="DI150" s="1004"/>
      <c r="DJ150" s="1004"/>
      <c r="DK150" s="1004"/>
      <c r="DL150" s="1004"/>
      <c r="DM150" s="1004"/>
      <c r="DN150" s="1004"/>
      <c r="DO150" s="1004"/>
      <c r="DP150" s="1004"/>
      <c r="DQ150" s="1004"/>
      <c r="DR150" s="1004"/>
      <c r="DS150" s="1004"/>
      <c r="DT150" s="1004"/>
      <c r="DU150" s="1004"/>
      <c r="DV150" s="1004"/>
      <c r="DW150" s="1004"/>
      <c r="DX150" s="1004"/>
      <c r="DY150" s="1004"/>
      <c r="DZ150" s="1004"/>
      <c r="EA150" s="1004"/>
      <c r="EB150" s="1004"/>
      <c r="EC150" s="1004"/>
      <c r="ED150" s="1004"/>
      <c r="EE150" s="1004"/>
      <c r="EF150" s="1004"/>
      <c r="EG150" s="1004"/>
      <c r="EH150" s="1004"/>
      <c r="EI150" s="1004"/>
      <c r="EJ150" s="1004"/>
      <c r="EK150" s="1004"/>
      <c r="EL150" s="1004"/>
      <c r="EM150" s="1004"/>
      <c r="EN150" s="1004"/>
      <c r="EO150" s="1004"/>
      <c r="EP150" s="1004"/>
      <c r="EQ150" s="1004"/>
      <c r="ER150" s="1004"/>
      <c r="ES150" s="1004"/>
      <c r="ET150" s="1004"/>
      <c r="EU150" s="1004"/>
      <c r="EV150" s="1004"/>
      <c r="EW150" s="1004"/>
      <c r="EX150" s="1004"/>
      <c r="EY150" s="1004"/>
      <c r="EZ150" s="1004"/>
      <c r="FA150" s="1004"/>
      <c r="FB150" s="1004"/>
      <c r="FC150" s="1004"/>
      <c r="FD150" s="1004"/>
      <c r="FE150" s="1004"/>
      <c r="FF150" s="1004"/>
      <c r="FG150" s="1004"/>
      <c r="FH150" s="1004"/>
      <c r="FI150" s="1004"/>
      <c r="FJ150" s="1004"/>
      <c r="FK150" s="1004"/>
      <c r="FL150" s="1004"/>
      <c r="FM150" s="1004"/>
      <c r="FN150" s="1004"/>
      <c r="FO150" s="1004"/>
      <c r="FP150" s="1004"/>
      <c r="FQ150" s="1004"/>
      <c r="FR150" s="1004"/>
      <c r="FS150" s="1004"/>
      <c r="FT150" s="1004"/>
      <c r="FU150" s="1004"/>
      <c r="FV150" s="1004"/>
      <c r="FW150" s="1004"/>
      <c r="FX150" s="1004"/>
      <c r="FY150" s="1004"/>
      <c r="FZ150" s="1004"/>
      <c r="GA150" s="1004"/>
      <c r="GB150" s="1004"/>
      <c r="GC150" s="1004"/>
      <c r="GD150" s="1004"/>
      <c r="GE150" s="1004"/>
      <c r="GF150" s="1004"/>
      <c r="GG150" s="1004"/>
      <c r="GH150" s="1004"/>
      <c r="GI150" s="1004"/>
      <c r="GJ150" s="1004"/>
      <c r="GK150" s="1004"/>
      <c r="GL150" s="1004"/>
      <c r="GM150" s="1004"/>
      <c r="GN150" s="1004"/>
      <c r="GO150" s="1004"/>
      <c r="GP150" s="1004"/>
      <c r="GQ150" s="1004"/>
      <c r="GR150" s="1004"/>
      <c r="GS150" s="1004"/>
      <c r="GT150" s="1004"/>
      <c r="GU150" s="1004"/>
      <c r="GV150" s="1004"/>
      <c r="GW150" s="1004"/>
      <c r="GX150" s="1004"/>
      <c r="GY150" s="1004"/>
      <c r="GZ150" s="1004"/>
      <c r="HA150" s="1004"/>
      <c r="HB150" s="1004"/>
      <c r="HC150" s="1004"/>
      <c r="HD150" s="1004"/>
      <c r="HE150" s="1004"/>
      <c r="HF150" s="1004"/>
      <c r="HG150" s="1004"/>
      <c r="HH150" s="1004"/>
      <c r="HI150" s="1004"/>
      <c r="HJ150" s="1004"/>
      <c r="HK150" s="1004"/>
      <c r="HL150" s="1004"/>
      <c r="HM150" s="1004"/>
      <c r="HN150" s="1004"/>
      <c r="HO150" s="1004"/>
      <c r="HP150" s="1004"/>
      <c r="HQ150" s="1004"/>
      <c r="HR150" s="1004"/>
      <c r="HS150" s="1004"/>
      <c r="HT150" s="1004"/>
      <c r="HU150" s="1004"/>
      <c r="HV150" s="1004"/>
      <c r="HW150" s="1004"/>
      <c r="HX150" s="1004"/>
      <c r="HY150" s="1004"/>
      <c r="HZ150" s="1004"/>
      <c r="IA150" s="1004"/>
      <c r="IB150" s="1004"/>
      <c r="IC150" s="1004"/>
      <c r="ID150" s="1004"/>
      <c r="IE150" s="1004"/>
      <c r="IF150" s="1004"/>
      <c r="IG150" s="1004"/>
      <c r="IH150" s="1004"/>
      <c r="II150" s="1004"/>
      <c r="IJ150" s="1004"/>
      <c r="IK150" s="1004"/>
      <c r="IL150" s="1004"/>
      <c r="IM150" s="1004"/>
      <c r="IN150" s="1004"/>
      <c r="IO150" s="1004"/>
      <c r="IP150" s="1004"/>
      <c r="IQ150" s="1004"/>
      <c r="IR150" s="1004"/>
      <c r="IS150" s="1004"/>
      <c r="IT150" s="1004"/>
      <c r="IU150" s="1004"/>
      <c r="IV150" s="1004"/>
      <c r="IW150" s="1004"/>
      <c r="IX150" s="1004"/>
    </row>
    <row r="151" spans="66:258" ht="9.9499999999999993" hidden="1" customHeight="1" thickBot="1">
      <c r="BN151" s="982"/>
      <c r="BO151" s="982"/>
      <c r="BP151" s="982"/>
      <c r="BQ151" s="982"/>
      <c r="BR151" s="982"/>
      <c r="BS151" s="982"/>
      <c r="BT151" s="982"/>
      <c r="BU151" s="982"/>
      <c r="BV151" s="982"/>
      <c r="BW151" s="982"/>
      <c r="BX151" s="982"/>
      <c r="BY151" s="982"/>
      <c r="BZ151" s="982"/>
      <c r="CA151" s="982"/>
      <c r="CB151" s="982"/>
      <c r="CC151" s="982"/>
      <c r="CD151" s="982"/>
      <c r="CE151" s="982"/>
      <c r="CF151" s="982"/>
      <c r="CG151" s="982"/>
      <c r="CH151" s="982"/>
      <c r="CI151" s="982"/>
      <c r="CJ151" s="982"/>
      <c r="CK151" s="982"/>
      <c r="CL151" s="982"/>
      <c r="CM151" s="982"/>
      <c r="CN151" s="982"/>
      <c r="CO151" s="982"/>
      <c r="CP151" s="779"/>
      <c r="CQ151" s="779"/>
      <c r="CR151" s="779"/>
      <c r="CS151" s="779"/>
      <c r="CT151" s="779"/>
      <c r="CU151" s="779"/>
      <c r="CV151" s="779"/>
      <c r="CW151" s="779"/>
      <c r="CX151" s="779"/>
      <c r="CY151" s="779"/>
      <c r="CZ151" s="779"/>
      <c r="DA151" s="779"/>
      <c r="DB151" s="779"/>
      <c r="DC151" s="779"/>
      <c r="DD151" s="779"/>
      <c r="DE151" s="779"/>
      <c r="DF151" s="1004"/>
      <c r="DG151" s="1004"/>
      <c r="DH151" s="1004"/>
      <c r="DI151" s="1004"/>
      <c r="DJ151" s="1004"/>
      <c r="DK151" s="1004"/>
      <c r="DL151" s="1004"/>
      <c r="DM151" s="1004"/>
      <c r="DN151" s="1004"/>
      <c r="DO151" s="1004"/>
      <c r="DP151" s="1004"/>
      <c r="DQ151" s="1004"/>
      <c r="DR151" s="1004"/>
      <c r="DS151" s="1004"/>
      <c r="DT151" s="1004"/>
      <c r="DU151" s="1004"/>
      <c r="DV151" s="1004"/>
      <c r="DW151" s="1004"/>
      <c r="DX151" s="1004"/>
      <c r="DY151" s="1004"/>
      <c r="DZ151" s="1004"/>
      <c r="EA151" s="1004"/>
      <c r="EB151" s="1004"/>
      <c r="EC151" s="1004"/>
      <c r="ED151" s="1004"/>
      <c r="EE151" s="1004"/>
      <c r="EF151" s="1004"/>
      <c r="EG151" s="1004"/>
      <c r="EH151" s="1004"/>
      <c r="EI151" s="1004"/>
      <c r="EJ151" s="1004"/>
      <c r="EK151" s="1004"/>
      <c r="EL151" s="1004"/>
      <c r="EM151" s="1004"/>
      <c r="EN151" s="1004"/>
      <c r="EO151" s="1004"/>
      <c r="EP151" s="1004"/>
      <c r="EQ151" s="1004"/>
      <c r="ER151" s="1004"/>
      <c r="ES151" s="1004"/>
      <c r="ET151" s="1004"/>
      <c r="EU151" s="1004"/>
      <c r="EV151" s="1004"/>
      <c r="EW151" s="1004"/>
      <c r="EX151" s="1004"/>
      <c r="EY151" s="1004"/>
      <c r="EZ151" s="1004"/>
      <c r="FA151" s="1004"/>
      <c r="FB151" s="1004"/>
      <c r="FC151" s="1004"/>
      <c r="FD151" s="1004"/>
      <c r="FE151" s="1004"/>
      <c r="FF151" s="1004"/>
      <c r="FG151" s="1004"/>
      <c r="FH151" s="1004"/>
      <c r="FI151" s="1004"/>
      <c r="FJ151" s="1004"/>
      <c r="FK151" s="1004"/>
      <c r="FL151" s="1004"/>
      <c r="FM151" s="1004"/>
      <c r="FN151" s="1004"/>
      <c r="FO151" s="1004"/>
      <c r="FP151" s="1004"/>
      <c r="FQ151" s="1004"/>
      <c r="FR151" s="1004"/>
      <c r="FS151" s="1004"/>
      <c r="FT151" s="1004"/>
      <c r="FU151" s="1004"/>
      <c r="FV151" s="1004"/>
      <c r="FW151" s="1004"/>
      <c r="FX151" s="1004"/>
      <c r="FY151" s="1004"/>
      <c r="FZ151" s="1004"/>
      <c r="GA151" s="1004"/>
      <c r="GB151" s="1004"/>
      <c r="GC151" s="1004"/>
      <c r="GD151" s="1004"/>
      <c r="GE151" s="1004"/>
      <c r="GF151" s="1004"/>
      <c r="GG151" s="1004"/>
      <c r="GH151" s="1004"/>
      <c r="GI151" s="1004"/>
      <c r="GJ151" s="1004"/>
      <c r="GK151" s="1004"/>
      <c r="GL151" s="1004"/>
      <c r="GM151" s="1004"/>
      <c r="GN151" s="1004"/>
      <c r="GO151" s="1004"/>
      <c r="GP151" s="1004"/>
      <c r="GQ151" s="1004"/>
      <c r="GR151" s="1004"/>
      <c r="GS151" s="1004"/>
      <c r="GT151" s="1004"/>
      <c r="GU151" s="1004"/>
      <c r="GV151" s="1004"/>
      <c r="GW151" s="1004"/>
      <c r="GX151" s="1004"/>
      <c r="GY151" s="1004"/>
      <c r="GZ151" s="1004"/>
      <c r="HA151" s="1004"/>
      <c r="HB151" s="1004"/>
      <c r="HC151" s="1004"/>
      <c r="HD151" s="1004"/>
      <c r="HE151" s="1004"/>
      <c r="HF151" s="1004"/>
      <c r="HG151" s="1004"/>
      <c r="HH151" s="1004"/>
      <c r="HI151" s="1004"/>
      <c r="HJ151" s="1004"/>
      <c r="HK151" s="1004"/>
      <c r="HL151" s="1004"/>
      <c r="HM151" s="1004"/>
      <c r="HN151" s="1004"/>
      <c r="HO151" s="1004"/>
      <c r="HP151" s="1004"/>
      <c r="HQ151" s="1004"/>
      <c r="HR151" s="1004"/>
      <c r="HS151" s="1004"/>
      <c r="HT151" s="1004"/>
      <c r="HU151" s="1004"/>
      <c r="HV151" s="1004"/>
      <c r="HW151" s="1004"/>
      <c r="HX151" s="1004"/>
      <c r="HY151" s="1004"/>
      <c r="HZ151" s="1004"/>
      <c r="IA151" s="1004"/>
      <c r="IB151" s="1004"/>
      <c r="IC151" s="1004"/>
      <c r="ID151" s="1004"/>
      <c r="IE151" s="1004"/>
      <c r="IF151" s="1004"/>
      <c r="IG151" s="1004"/>
      <c r="IH151" s="1004"/>
      <c r="II151" s="1004"/>
      <c r="IJ151" s="1004"/>
      <c r="IK151" s="1004"/>
      <c r="IL151" s="1004"/>
      <c r="IM151" s="1004"/>
      <c r="IN151" s="1004"/>
      <c r="IO151" s="1004"/>
      <c r="IP151" s="1004"/>
      <c r="IQ151" s="1004"/>
      <c r="IR151" s="1004"/>
      <c r="IS151" s="1004"/>
      <c r="IT151" s="1004"/>
      <c r="IU151" s="1004"/>
      <c r="IV151" s="1004"/>
      <c r="IW151" s="1004"/>
      <c r="IX151" s="1004"/>
    </row>
    <row r="152" spans="66:258" ht="30" hidden="1" customHeight="1">
      <c r="BN152" s="982"/>
      <c r="BO152" s="982"/>
      <c r="BP152" s="982"/>
      <c r="BQ152" s="982"/>
      <c r="BR152" s="982"/>
      <c r="BS152" s="982"/>
      <c r="BT152" s="982"/>
      <c r="BU152" s="982"/>
      <c r="BV152" s="982"/>
      <c r="BW152" s="982"/>
      <c r="BX152" s="982"/>
      <c r="BY152" s="982"/>
      <c r="BZ152" s="982"/>
      <c r="CA152" s="982"/>
      <c r="CB152" s="982"/>
      <c r="CC152" s="982"/>
      <c r="CD152" s="982"/>
      <c r="CE152" s="982"/>
      <c r="CF152" s="982"/>
      <c r="CG152" s="982"/>
      <c r="CH152" s="982"/>
      <c r="CI152" s="982"/>
      <c r="CJ152" s="982"/>
      <c r="CK152" s="982"/>
      <c r="CL152" s="982"/>
      <c r="CM152" s="982"/>
      <c r="CN152" s="982"/>
      <c r="CO152" s="982"/>
      <c r="CP152" s="1015"/>
      <c r="CQ152" s="1933" t="s">
        <v>61</v>
      </c>
      <c r="CR152" s="1934"/>
      <c r="CS152" s="1934"/>
      <c r="CT152" s="1934"/>
      <c r="CU152" s="1935"/>
      <c r="CV152" s="1933" t="s">
        <v>250</v>
      </c>
      <c r="CW152" s="1934"/>
      <c r="CX152" s="1934"/>
      <c r="CY152" s="1934"/>
      <c r="CZ152" s="1935"/>
      <c r="DA152" s="1933" t="s">
        <v>255</v>
      </c>
      <c r="DB152" s="1934"/>
      <c r="DC152" s="1934"/>
      <c r="DD152" s="1934"/>
      <c r="DE152" s="1935"/>
      <c r="DF152" s="1004"/>
      <c r="DG152" s="1004"/>
      <c r="DH152" s="1004"/>
      <c r="DI152" s="1004"/>
      <c r="DJ152" s="1004"/>
      <c r="DK152" s="1004"/>
      <c r="DL152" s="1004"/>
      <c r="DM152" s="1004"/>
      <c r="DN152" s="1004"/>
      <c r="DO152" s="1004"/>
      <c r="DP152" s="1004"/>
      <c r="DQ152" s="1004"/>
      <c r="DR152" s="1004"/>
      <c r="DS152" s="1004"/>
      <c r="DT152" s="1004"/>
      <c r="DU152" s="1004"/>
      <c r="DV152" s="1004"/>
      <c r="DW152" s="1004"/>
      <c r="DX152" s="1004"/>
      <c r="DY152" s="1004"/>
      <c r="DZ152" s="1004"/>
      <c r="EA152" s="1004"/>
      <c r="EB152" s="1004"/>
      <c r="EC152" s="1004"/>
      <c r="ED152" s="1004"/>
      <c r="EE152" s="1004"/>
      <c r="EF152" s="1004"/>
      <c r="EG152" s="1004"/>
      <c r="EH152" s="1004"/>
      <c r="EI152" s="1004"/>
      <c r="EJ152" s="1004"/>
      <c r="EK152" s="1004"/>
      <c r="EL152" s="1004"/>
      <c r="EM152" s="1004"/>
      <c r="EN152" s="1004"/>
      <c r="EO152" s="1004"/>
      <c r="EP152" s="1004"/>
      <c r="EQ152" s="1004"/>
      <c r="ER152" s="1004"/>
      <c r="ES152" s="1004"/>
      <c r="ET152" s="1004"/>
      <c r="EU152" s="1004"/>
      <c r="EV152" s="1004"/>
      <c r="EW152" s="1004"/>
      <c r="EX152" s="1004"/>
      <c r="EY152" s="1004"/>
      <c r="EZ152" s="1004"/>
      <c r="FA152" s="1004"/>
      <c r="FB152" s="1004"/>
      <c r="FC152" s="1004"/>
      <c r="FD152" s="1004"/>
      <c r="FE152" s="1004"/>
      <c r="FF152" s="1004"/>
      <c r="FG152" s="1004"/>
      <c r="FH152" s="1004"/>
      <c r="FI152" s="1004"/>
      <c r="FJ152" s="1004"/>
      <c r="FK152" s="1004"/>
      <c r="FL152" s="1004"/>
      <c r="FM152" s="1004"/>
      <c r="FN152" s="1004"/>
      <c r="FO152" s="1004"/>
      <c r="FP152" s="1004"/>
      <c r="FQ152" s="1004"/>
      <c r="FR152" s="1004"/>
      <c r="FS152" s="1004"/>
      <c r="FT152" s="1004"/>
      <c r="FU152" s="1004"/>
      <c r="FV152" s="1004"/>
      <c r="FW152" s="1004"/>
      <c r="FX152" s="1004"/>
      <c r="FY152" s="1004"/>
      <c r="FZ152" s="1004"/>
      <c r="GA152" s="1004"/>
      <c r="GB152" s="1004"/>
      <c r="GC152" s="1004"/>
      <c r="GD152" s="1004"/>
      <c r="GE152" s="1004"/>
      <c r="GF152" s="1004"/>
      <c r="GG152" s="1004"/>
      <c r="GH152" s="1004"/>
      <c r="GI152" s="1004"/>
      <c r="GJ152" s="1004"/>
      <c r="GK152" s="1004"/>
      <c r="GL152" s="1004"/>
      <c r="GM152" s="1004"/>
      <c r="GN152" s="1004"/>
      <c r="GO152" s="1004"/>
      <c r="GP152" s="1004"/>
      <c r="GQ152" s="1004"/>
      <c r="GR152" s="1004"/>
      <c r="GS152" s="1004"/>
      <c r="GT152" s="1004"/>
      <c r="GU152" s="1004"/>
      <c r="GV152" s="1004"/>
      <c r="GW152" s="1004"/>
      <c r="GX152" s="1004"/>
      <c r="GY152" s="1004"/>
      <c r="GZ152" s="1004"/>
      <c r="HA152" s="1004"/>
      <c r="HB152" s="1004"/>
      <c r="HC152" s="1004"/>
      <c r="HD152" s="1004"/>
      <c r="HE152" s="1004"/>
      <c r="HF152" s="1004"/>
      <c r="HG152" s="1004"/>
      <c r="HH152" s="1004"/>
      <c r="HI152" s="1004"/>
      <c r="HJ152" s="1004"/>
      <c r="HK152" s="1004"/>
      <c r="HL152" s="1004"/>
      <c r="HM152" s="1004"/>
      <c r="HN152" s="1004"/>
      <c r="HO152" s="1004"/>
      <c r="HP152" s="1004"/>
      <c r="HQ152" s="1004"/>
      <c r="HR152" s="1004"/>
      <c r="HS152" s="1004"/>
      <c r="HT152" s="1004"/>
      <c r="HU152" s="1004"/>
      <c r="HV152" s="1004"/>
      <c r="HW152" s="1004"/>
      <c r="HX152" s="1004"/>
      <c r="HY152" s="1004"/>
      <c r="HZ152" s="1004"/>
      <c r="IA152" s="1004"/>
      <c r="IB152" s="1004"/>
      <c r="IC152" s="1004"/>
      <c r="ID152" s="1004"/>
      <c r="IE152" s="1004"/>
      <c r="IF152" s="1004"/>
      <c r="IG152" s="1004"/>
      <c r="IH152" s="1004"/>
      <c r="II152" s="1004"/>
      <c r="IJ152" s="1004"/>
      <c r="IK152" s="1004"/>
      <c r="IL152" s="1004"/>
      <c r="IM152" s="1004"/>
      <c r="IN152" s="1004"/>
      <c r="IO152" s="1004"/>
      <c r="IP152" s="1004"/>
      <c r="IQ152" s="1004"/>
      <c r="IR152" s="1004"/>
      <c r="IS152" s="1004"/>
      <c r="IT152" s="1004"/>
      <c r="IU152" s="1004"/>
      <c r="IV152" s="1004"/>
      <c r="IW152" s="1004"/>
      <c r="IX152" s="1004"/>
    </row>
    <row r="153" spans="66:258" ht="50.1" hidden="1" customHeight="1">
      <c r="BN153" s="982"/>
      <c r="BO153" s="982"/>
      <c r="BP153" s="982"/>
      <c r="BQ153" s="982"/>
      <c r="BR153" s="982"/>
      <c r="BS153" s="982"/>
      <c r="BT153" s="982"/>
      <c r="BU153" s="982"/>
      <c r="BV153" s="982"/>
      <c r="BW153" s="982"/>
      <c r="BX153" s="982"/>
      <c r="BY153" s="982"/>
      <c r="BZ153" s="982"/>
      <c r="CA153" s="982"/>
      <c r="CB153" s="982"/>
      <c r="CC153" s="982"/>
      <c r="CD153" s="982"/>
      <c r="CE153" s="982"/>
      <c r="CF153" s="982"/>
      <c r="CG153" s="982"/>
      <c r="CH153" s="982"/>
      <c r="CI153" s="982"/>
      <c r="CJ153" s="982"/>
      <c r="CK153" s="982"/>
      <c r="CL153" s="982"/>
      <c r="CM153" s="982"/>
      <c r="CN153" s="982"/>
      <c r="CO153" s="982"/>
      <c r="CP153" s="901"/>
      <c r="CQ153" s="1016" t="s">
        <v>112</v>
      </c>
      <c r="CR153" s="1017" t="s">
        <v>115</v>
      </c>
      <c r="CS153" s="1017" t="s">
        <v>116</v>
      </c>
      <c r="CT153" s="1017" t="s">
        <v>294</v>
      </c>
      <c r="CU153" s="1018" t="s">
        <v>105</v>
      </c>
      <c r="CV153" s="1016" t="s">
        <v>112</v>
      </c>
      <c r="CW153" s="1017" t="s">
        <v>115</v>
      </c>
      <c r="CX153" s="1017" t="s">
        <v>116</v>
      </c>
      <c r="CY153" s="1017" t="s">
        <v>294</v>
      </c>
      <c r="CZ153" s="1018" t="s">
        <v>105</v>
      </c>
      <c r="DA153" s="1016" t="s">
        <v>112</v>
      </c>
      <c r="DB153" s="1017" t="s">
        <v>115</v>
      </c>
      <c r="DC153" s="1017" t="s">
        <v>116</v>
      </c>
      <c r="DD153" s="1017" t="s">
        <v>294</v>
      </c>
      <c r="DE153" s="1018" t="s">
        <v>105</v>
      </c>
      <c r="DF153" s="1004"/>
      <c r="DG153" s="1004"/>
      <c r="DH153" s="1004"/>
      <c r="DI153" s="1004"/>
      <c r="DJ153" s="1004"/>
      <c r="DK153" s="1004"/>
      <c r="DL153" s="1004"/>
      <c r="DM153" s="1004"/>
      <c r="DN153" s="1004"/>
      <c r="DO153" s="1004"/>
      <c r="DP153" s="1004"/>
      <c r="DQ153" s="1004"/>
      <c r="DR153" s="1004"/>
      <c r="DS153" s="1004"/>
      <c r="DT153" s="1004"/>
      <c r="DU153" s="1004"/>
      <c r="DV153" s="1004"/>
      <c r="DW153" s="1004"/>
      <c r="DX153" s="1004"/>
      <c r="DY153" s="1004"/>
      <c r="DZ153" s="1004"/>
      <c r="EA153" s="1004"/>
      <c r="EB153" s="1004"/>
      <c r="EC153" s="1004"/>
      <c r="ED153" s="1004"/>
      <c r="EE153" s="1004"/>
      <c r="EF153" s="1004"/>
      <c r="EG153" s="1004"/>
      <c r="EH153" s="1004"/>
      <c r="EI153" s="1004"/>
      <c r="EJ153" s="1004"/>
      <c r="EK153" s="1004"/>
      <c r="EL153" s="1004"/>
      <c r="EM153" s="1004"/>
      <c r="EN153" s="1004"/>
      <c r="EO153" s="1004"/>
      <c r="EP153" s="1004"/>
      <c r="EQ153" s="1004"/>
      <c r="ER153" s="1004"/>
      <c r="ES153" s="1004"/>
      <c r="ET153" s="1004"/>
      <c r="EU153" s="1004"/>
      <c r="EV153" s="1004"/>
      <c r="EW153" s="1004"/>
      <c r="EX153" s="1004"/>
      <c r="EY153" s="1004"/>
      <c r="EZ153" s="1004"/>
      <c r="FA153" s="1004"/>
      <c r="FB153" s="1004"/>
      <c r="FC153" s="1004"/>
      <c r="FD153" s="1004"/>
      <c r="FE153" s="1004"/>
      <c r="FF153" s="1004"/>
      <c r="FG153" s="1004"/>
      <c r="FH153" s="1004"/>
      <c r="FI153" s="1004"/>
      <c r="FJ153" s="1004"/>
      <c r="FK153" s="1004"/>
      <c r="FL153" s="1004"/>
      <c r="FM153" s="1004"/>
      <c r="FN153" s="1004"/>
      <c r="FO153" s="1004"/>
      <c r="FP153" s="1004"/>
      <c r="FQ153" s="1004"/>
      <c r="FR153" s="1004"/>
      <c r="FS153" s="1004"/>
      <c r="FT153" s="1004"/>
      <c r="FU153" s="1004"/>
      <c r="FV153" s="1004"/>
      <c r="FW153" s="1004"/>
      <c r="FX153" s="1004"/>
      <c r="FY153" s="1004"/>
      <c r="FZ153" s="1004"/>
      <c r="GA153" s="1004"/>
      <c r="GB153" s="1004"/>
      <c r="GC153" s="1004"/>
      <c r="GD153" s="1004"/>
      <c r="GE153" s="1004"/>
      <c r="GF153" s="1004"/>
      <c r="GG153" s="1004"/>
      <c r="GH153" s="1004"/>
      <c r="GI153" s="1004"/>
      <c r="GJ153" s="1004"/>
      <c r="GK153" s="1004"/>
      <c r="GL153" s="1004"/>
      <c r="GM153" s="1004"/>
      <c r="GN153" s="1004"/>
      <c r="GO153" s="1004"/>
      <c r="GP153" s="1004"/>
      <c r="GQ153" s="1004"/>
      <c r="GR153" s="1004"/>
      <c r="GS153" s="1004"/>
      <c r="GT153" s="1004"/>
      <c r="GU153" s="1004"/>
      <c r="GV153" s="1004"/>
      <c r="GW153" s="1004"/>
      <c r="GX153" s="1004"/>
      <c r="GY153" s="1004"/>
      <c r="GZ153" s="1004"/>
      <c r="HA153" s="1004"/>
      <c r="HB153" s="1004"/>
      <c r="HC153" s="1004"/>
      <c r="HD153" s="1004"/>
      <c r="HE153" s="1004"/>
      <c r="HF153" s="1004"/>
      <c r="HG153" s="1004"/>
      <c r="HH153" s="1004"/>
      <c r="HI153" s="1004"/>
      <c r="HJ153" s="1004"/>
      <c r="HK153" s="1004"/>
      <c r="HL153" s="1004"/>
      <c r="HM153" s="1004"/>
      <c r="HN153" s="1004"/>
      <c r="HO153" s="1004"/>
      <c r="HP153" s="1004"/>
      <c r="HQ153" s="1004"/>
      <c r="HR153" s="1004"/>
      <c r="HS153" s="1004"/>
      <c r="HT153" s="1004"/>
      <c r="HU153" s="1004"/>
      <c r="HV153" s="1004"/>
      <c r="HW153" s="1004"/>
      <c r="HX153" s="1004"/>
      <c r="HY153" s="1004"/>
      <c r="HZ153" s="1004"/>
      <c r="IA153" s="1004"/>
      <c r="IB153" s="1004"/>
      <c r="IC153" s="1004"/>
      <c r="ID153" s="1004"/>
      <c r="IE153" s="1004"/>
      <c r="IF153" s="1004"/>
      <c r="IG153" s="1004"/>
      <c r="IH153" s="1004"/>
      <c r="II153" s="1004"/>
      <c r="IJ153" s="1004"/>
      <c r="IK153" s="1004"/>
      <c r="IL153" s="1004"/>
      <c r="IM153" s="1004"/>
      <c r="IN153" s="1004"/>
      <c r="IO153" s="1004"/>
      <c r="IP153" s="1004"/>
      <c r="IQ153" s="1004"/>
      <c r="IR153" s="1004"/>
      <c r="IS153" s="1004"/>
      <c r="IT153" s="1004"/>
      <c r="IU153" s="1004"/>
      <c r="IV153" s="1004"/>
      <c r="IW153" s="1004"/>
      <c r="IX153" s="1004"/>
    </row>
    <row r="154" spans="66:258" ht="24.95" hidden="1" customHeight="1">
      <c r="BN154" s="982"/>
      <c r="BO154" s="982"/>
      <c r="BP154" s="982"/>
      <c r="BQ154" s="982"/>
      <c r="BR154" s="982"/>
      <c r="BS154" s="982"/>
      <c r="BT154" s="982"/>
      <c r="BU154" s="982"/>
      <c r="BV154" s="982"/>
      <c r="BW154" s="982"/>
      <c r="BX154" s="982"/>
      <c r="BY154" s="982"/>
      <c r="BZ154" s="982"/>
      <c r="CA154" s="982"/>
      <c r="CB154" s="982"/>
      <c r="CC154" s="982"/>
      <c r="CD154" s="982"/>
      <c r="CE154" s="982"/>
      <c r="CF154" s="982"/>
      <c r="CG154" s="982"/>
      <c r="CH154" s="982"/>
      <c r="CI154" s="982"/>
      <c r="CJ154" s="982"/>
      <c r="CK154" s="982"/>
      <c r="CL154" s="982"/>
      <c r="CM154" s="982"/>
      <c r="CN154" s="982"/>
      <c r="CO154" s="982"/>
      <c r="CP154" s="901"/>
      <c r="CQ154" s="1019"/>
      <c r="CR154" s="1020" t="s">
        <v>26</v>
      </c>
      <c r="CS154" s="1020" t="s">
        <v>26</v>
      </c>
      <c r="CT154" s="1020" t="s">
        <v>26</v>
      </c>
      <c r="CU154" s="1021" t="s">
        <v>26</v>
      </c>
      <c r="CV154" s="1019"/>
      <c r="CW154" s="1020" t="s">
        <v>26</v>
      </c>
      <c r="CX154" s="1020" t="s">
        <v>26</v>
      </c>
      <c r="CY154" s="1020" t="s">
        <v>26</v>
      </c>
      <c r="CZ154" s="1021" t="s">
        <v>26</v>
      </c>
      <c r="DA154" s="1019"/>
      <c r="DB154" s="1020" t="s">
        <v>26</v>
      </c>
      <c r="DC154" s="1020" t="s">
        <v>26</v>
      </c>
      <c r="DD154" s="1020" t="s">
        <v>26</v>
      </c>
      <c r="DE154" s="1021" t="s">
        <v>26</v>
      </c>
      <c r="DF154" s="1004"/>
      <c r="DG154" s="1004"/>
      <c r="DH154" s="1004"/>
      <c r="DI154" s="1004"/>
      <c r="DJ154" s="1004"/>
      <c r="DK154" s="1004"/>
      <c r="DL154" s="1004"/>
      <c r="DM154" s="1004"/>
      <c r="DN154" s="1004"/>
      <c r="DO154" s="1004"/>
      <c r="DP154" s="1004"/>
      <c r="DQ154" s="1004"/>
      <c r="DR154" s="1004"/>
      <c r="DS154" s="1004"/>
      <c r="DT154" s="1004"/>
      <c r="DU154" s="1004"/>
      <c r="DV154" s="1004"/>
      <c r="DW154" s="1004"/>
      <c r="DX154" s="1004"/>
      <c r="DY154" s="1004"/>
      <c r="DZ154" s="1004"/>
      <c r="EA154" s="1004"/>
      <c r="EB154" s="1004"/>
      <c r="EC154" s="1004"/>
      <c r="ED154" s="1004"/>
      <c r="EE154" s="1004"/>
      <c r="EF154" s="1004"/>
      <c r="EG154" s="1004"/>
      <c r="EH154" s="1004"/>
      <c r="EI154" s="1004"/>
      <c r="EJ154" s="1004"/>
      <c r="EK154" s="1004"/>
      <c r="EL154" s="1004"/>
      <c r="EM154" s="1004"/>
      <c r="EN154" s="1004"/>
      <c r="EO154" s="1004"/>
      <c r="EP154" s="1004"/>
      <c r="EQ154" s="1004"/>
      <c r="ER154" s="1004"/>
      <c r="ES154" s="1004"/>
      <c r="ET154" s="1004"/>
      <c r="EU154" s="1004"/>
      <c r="EV154" s="1004"/>
      <c r="EW154" s="1004"/>
      <c r="EX154" s="1004"/>
      <c r="EY154" s="1004"/>
      <c r="EZ154" s="1004"/>
      <c r="FA154" s="1004"/>
      <c r="FB154" s="1004"/>
      <c r="FC154" s="1004"/>
      <c r="FD154" s="1004"/>
      <c r="FE154" s="1004"/>
      <c r="FF154" s="1004"/>
      <c r="FG154" s="1004"/>
      <c r="FH154" s="1004"/>
      <c r="FI154" s="1004"/>
      <c r="FJ154" s="1004"/>
      <c r="FK154" s="1004"/>
      <c r="FL154" s="1004"/>
      <c r="FM154" s="1004"/>
      <c r="FN154" s="1004"/>
      <c r="FO154" s="1004"/>
      <c r="FP154" s="1004"/>
      <c r="FQ154" s="1004"/>
      <c r="FR154" s="1004"/>
      <c r="FS154" s="1004"/>
      <c r="FT154" s="1004"/>
      <c r="FU154" s="1004"/>
      <c r="FV154" s="1004"/>
      <c r="FW154" s="1004"/>
      <c r="FX154" s="1004"/>
      <c r="FY154" s="1004"/>
      <c r="FZ154" s="1004"/>
      <c r="GA154" s="1004"/>
      <c r="GB154" s="1004"/>
      <c r="GC154" s="1004"/>
      <c r="GD154" s="1004"/>
      <c r="GE154" s="1004"/>
      <c r="GF154" s="1004"/>
      <c r="GG154" s="1004"/>
      <c r="GH154" s="1004"/>
      <c r="GI154" s="1004"/>
      <c r="GJ154" s="1004"/>
      <c r="GK154" s="1004"/>
      <c r="GL154" s="1004"/>
      <c r="GM154" s="1004"/>
      <c r="GN154" s="1004"/>
      <c r="GO154" s="1004"/>
      <c r="GP154" s="1004"/>
      <c r="GQ154" s="1004"/>
      <c r="GR154" s="1004"/>
      <c r="GS154" s="1004"/>
      <c r="GT154" s="1004"/>
      <c r="GU154" s="1004"/>
      <c r="GV154" s="1004"/>
      <c r="GW154" s="1004"/>
      <c r="GX154" s="1004"/>
      <c r="GY154" s="1004"/>
      <c r="GZ154" s="1004"/>
      <c r="HA154" s="1004"/>
      <c r="HB154" s="1004"/>
      <c r="HC154" s="1004"/>
      <c r="HD154" s="1004"/>
      <c r="HE154" s="1004"/>
      <c r="HF154" s="1004"/>
      <c r="HG154" s="1004"/>
      <c r="HH154" s="1004"/>
      <c r="HI154" s="1004"/>
      <c r="HJ154" s="1004"/>
      <c r="HK154" s="1004"/>
      <c r="HL154" s="1004"/>
      <c r="HM154" s="1004"/>
      <c r="HN154" s="1004"/>
      <c r="HO154" s="1004"/>
      <c r="HP154" s="1004"/>
      <c r="HQ154" s="1004"/>
      <c r="HR154" s="1004"/>
      <c r="HS154" s="1004"/>
      <c r="HT154" s="1004"/>
      <c r="HU154" s="1004"/>
      <c r="HV154" s="1004"/>
      <c r="HW154" s="1004"/>
      <c r="HX154" s="1004"/>
      <c r="HY154" s="1004"/>
      <c r="HZ154" s="1004"/>
      <c r="IA154" s="1004"/>
      <c r="IB154" s="1004"/>
      <c r="IC154" s="1004"/>
      <c r="ID154" s="1004"/>
      <c r="IE154" s="1004"/>
      <c r="IF154" s="1004"/>
      <c r="IG154" s="1004"/>
      <c r="IH154" s="1004"/>
      <c r="II154" s="1004"/>
      <c r="IJ154" s="1004"/>
      <c r="IK154" s="1004"/>
      <c r="IL154" s="1004"/>
      <c r="IM154" s="1004"/>
      <c r="IN154" s="1004"/>
      <c r="IO154" s="1004"/>
      <c r="IP154" s="1004"/>
      <c r="IQ154" s="1004"/>
      <c r="IR154" s="1004"/>
      <c r="IS154" s="1004"/>
      <c r="IT154" s="1004"/>
      <c r="IU154" s="1004"/>
      <c r="IV154" s="1004"/>
      <c r="IW154" s="1004"/>
      <c r="IX154" s="1004"/>
    </row>
    <row r="155" spans="66:258" ht="24.95" hidden="1" customHeight="1" thickBot="1">
      <c r="BN155" s="982"/>
      <c r="BO155" s="982"/>
      <c r="BP155" s="982"/>
      <c r="BQ155" s="982"/>
      <c r="BR155" s="982"/>
      <c r="BS155" s="982"/>
      <c r="BT155" s="982"/>
      <c r="BU155" s="982"/>
      <c r="BV155" s="982"/>
      <c r="BW155" s="982"/>
      <c r="BX155" s="982"/>
      <c r="BY155" s="982"/>
      <c r="BZ155" s="982"/>
      <c r="CA155" s="982"/>
      <c r="CB155" s="982"/>
      <c r="CC155" s="982"/>
      <c r="CD155" s="982"/>
      <c r="CE155" s="982"/>
      <c r="CF155" s="982"/>
      <c r="CG155" s="982"/>
      <c r="CH155" s="982"/>
      <c r="CI155" s="982"/>
      <c r="CJ155" s="982"/>
      <c r="CK155" s="982"/>
      <c r="CL155" s="982"/>
      <c r="CM155" s="982"/>
      <c r="CN155" s="982"/>
      <c r="CO155" s="982"/>
      <c r="CP155" s="1615">
        <v>1</v>
      </c>
      <c r="CQ155" s="1022">
        <v>2</v>
      </c>
      <c r="CR155" s="1023">
        <v>3</v>
      </c>
      <c r="CS155" s="1024">
        <v>4</v>
      </c>
      <c r="CT155" s="1023">
        <v>5</v>
      </c>
      <c r="CU155" s="1025">
        <v>6</v>
      </c>
      <c r="CV155" s="1022">
        <v>7</v>
      </c>
      <c r="CW155" s="1023">
        <v>8</v>
      </c>
      <c r="CX155" s="1024">
        <v>9</v>
      </c>
      <c r="CY155" s="1023">
        <v>10</v>
      </c>
      <c r="CZ155" s="1025">
        <v>11</v>
      </c>
      <c r="DA155" s="1022">
        <v>12</v>
      </c>
      <c r="DB155" s="1023">
        <v>13</v>
      </c>
      <c r="DC155" s="1024">
        <v>14</v>
      </c>
      <c r="DD155" s="1023">
        <v>15</v>
      </c>
      <c r="DE155" s="1025">
        <v>16</v>
      </c>
      <c r="DF155" s="1004"/>
      <c r="DG155" s="1004"/>
      <c r="DH155" s="1004"/>
      <c r="DI155" s="1004"/>
      <c r="DJ155" s="1004"/>
      <c r="DK155" s="1004"/>
      <c r="DL155" s="1004"/>
      <c r="DM155" s="1004"/>
      <c r="DN155" s="1004"/>
      <c r="DO155" s="1004"/>
      <c r="DP155" s="1004"/>
      <c r="DQ155" s="1004"/>
      <c r="DR155" s="1004"/>
      <c r="DS155" s="1004"/>
      <c r="DT155" s="1004"/>
      <c r="DU155" s="1004"/>
      <c r="DV155" s="1004"/>
      <c r="DW155" s="1004"/>
      <c r="DX155" s="1004"/>
      <c r="DY155" s="1004"/>
      <c r="DZ155" s="1004"/>
      <c r="EA155" s="1004"/>
      <c r="EB155" s="1004"/>
      <c r="EC155" s="1004"/>
      <c r="ED155" s="1004"/>
      <c r="EE155" s="1004"/>
      <c r="EF155" s="1004"/>
      <c r="EG155" s="1004"/>
      <c r="EH155" s="1004"/>
      <c r="EI155" s="1004"/>
      <c r="EJ155" s="1004"/>
      <c r="EK155" s="1004"/>
      <c r="EL155" s="1004"/>
      <c r="EM155" s="1004"/>
      <c r="EN155" s="1004"/>
      <c r="EO155" s="1004"/>
      <c r="EP155" s="1004"/>
      <c r="EQ155" s="1004"/>
      <c r="ER155" s="1004"/>
      <c r="ES155" s="1004"/>
      <c r="ET155" s="1004"/>
      <c r="EU155" s="1004"/>
      <c r="EV155" s="1004"/>
      <c r="EW155" s="1004"/>
      <c r="EX155" s="1004"/>
      <c r="EY155" s="1004"/>
      <c r="EZ155" s="1004"/>
      <c r="FA155" s="1004"/>
      <c r="FB155" s="1004"/>
      <c r="FC155" s="1004"/>
      <c r="FD155" s="1004"/>
      <c r="FE155" s="1004"/>
      <c r="FF155" s="1004"/>
      <c r="FG155" s="1004"/>
      <c r="FH155" s="1004"/>
      <c r="FI155" s="1004"/>
      <c r="FJ155" s="1004"/>
      <c r="FK155" s="1004"/>
      <c r="FL155" s="1004"/>
      <c r="FM155" s="1004"/>
      <c r="FN155" s="1004"/>
      <c r="FO155" s="1004"/>
      <c r="FP155" s="1004"/>
      <c r="FQ155" s="1004"/>
      <c r="FR155" s="1004"/>
      <c r="FS155" s="1004"/>
      <c r="FT155" s="1004"/>
      <c r="FU155" s="1004"/>
      <c r="FV155" s="1004"/>
      <c r="FW155" s="1004"/>
      <c r="FX155" s="1004"/>
      <c r="FY155" s="1004"/>
      <c r="FZ155" s="1004"/>
      <c r="GA155" s="1004"/>
      <c r="GB155" s="1004"/>
      <c r="GC155" s="1004"/>
      <c r="GD155" s="1004"/>
      <c r="GE155" s="1004"/>
      <c r="GF155" s="1004"/>
      <c r="GG155" s="1004"/>
      <c r="GH155" s="1004"/>
      <c r="GI155" s="1004"/>
      <c r="GJ155" s="1004"/>
      <c r="GK155" s="1004"/>
      <c r="GL155" s="1004"/>
      <c r="GM155" s="1004"/>
      <c r="GN155" s="1004"/>
      <c r="GO155" s="1004"/>
      <c r="GP155" s="1004"/>
      <c r="GQ155" s="1004"/>
      <c r="GR155" s="1004"/>
      <c r="GS155" s="1004"/>
      <c r="GT155" s="1004"/>
      <c r="GU155" s="1004"/>
      <c r="GV155" s="1004"/>
      <c r="GW155" s="1004"/>
      <c r="GX155" s="1004"/>
      <c r="GY155" s="1004"/>
      <c r="GZ155" s="1004"/>
      <c r="HA155" s="1004"/>
      <c r="HB155" s="1004"/>
      <c r="HC155" s="1004"/>
      <c r="HD155" s="1004"/>
      <c r="HE155" s="1004"/>
      <c r="HF155" s="1004"/>
      <c r="HG155" s="1004"/>
      <c r="HH155" s="1004"/>
      <c r="HI155" s="1004"/>
      <c r="HJ155" s="1004"/>
      <c r="HK155" s="1004"/>
      <c r="HL155" s="1004"/>
      <c r="HM155" s="1004"/>
      <c r="HN155" s="1004"/>
      <c r="HO155" s="1004"/>
      <c r="HP155" s="1004"/>
      <c r="HQ155" s="1004"/>
      <c r="HR155" s="1004"/>
      <c r="HS155" s="1004"/>
      <c r="HT155" s="1004"/>
      <c r="HU155" s="1004"/>
      <c r="HV155" s="1004"/>
      <c r="HW155" s="1004"/>
      <c r="HX155" s="1004"/>
      <c r="HY155" s="1004"/>
      <c r="HZ155" s="1004"/>
      <c r="IA155" s="1004"/>
      <c r="IB155" s="1004"/>
      <c r="IC155" s="1004"/>
      <c r="ID155" s="1004"/>
      <c r="IE155" s="1004"/>
      <c r="IF155" s="1004"/>
      <c r="IG155" s="1004"/>
      <c r="IH155" s="1004"/>
      <c r="II155" s="1004"/>
      <c r="IJ155" s="1004"/>
      <c r="IK155" s="1004"/>
      <c r="IL155" s="1004"/>
      <c r="IM155" s="1004"/>
      <c r="IN155" s="1004"/>
      <c r="IO155" s="1004"/>
      <c r="IP155" s="1004"/>
      <c r="IQ155" s="1004"/>
      <c r="IR155" s="1004"/>
      <c r="IS155" s="1004"/>
      <c r="IT155" s="1004"/>
      <c r="IU155" s="1004"/>
      <c r="IV155" s="1004"/>
      <c r="IW155" s="1004"/>
      <c r="IX155" s="1004"/>
    </row>
    <row r="156" spans="66:258" ht="24.95" hidden="1" customHeight="1">
      <c r="BN156" s="982"/>
      <c r="BO156" s="982"/>
      <c r="BP156" s="982"/>
      <c r="BQ156" s="982"/>
      <c r="BR156" s="982"/>
      <c r="BS156" s="982"/>
      <c r="BT156" s="982"/>
      <c r="BU156" s="982"/>
      <c r="BV156" s="982"/>
      <c r="BW156" s="982"/>
      <c r="BX156" s="982"/>
      <c r="BY156" s="982"/>
      <c r="BZ156" s="982"/>
      <c r="CA156" s="982"/>
      <c r="CB156" s="982"/>
      <c r="CC156" s="982"/>
      <c r="CD156" s="982"/>
      <c r="CE156" s="982"/>
      <c r="CF156" s="982"/>
      <c r="CG156" s="982"/>
      <c r="CH156" s="982"/>
      <c r="CI156" s="982"/>
      <c r="CJ156" s="982"/>
      <c r="CK156" s="982"/>
      <c r="CL156" s="982"/>
      <c r="CM156" s="982"/>
      <c r="CN156" s="982"/>
      <c r="CO156" s="982"/>
      <c r="CP156" s="1026">
        <v>1</v>
      </c>
      <c r="CQ156" s="1027" t="s">
        <v>295</v>
      </c>
      <c r="CR156" s="1028">
        <v>0</v>
      </c>
      <c r="CS156" s="1028">
        <v>12</v>
      </c>
      <c r="CT156" s="1028">
        <v>0</v>
      </c>
      <c r="CU156" s="1029">
        <v>0</v>
      </c>
      <c r="CV156" s="1027" t="s">
        <v>296</v>
      </c>
      <c r="CW156" s="1028">
        <v>23</v>
      </c>
      <c r="CX156" s="1028">
        <v>0</v>
      </c>
      <c r="CY156" s="1028">
        <v>0</v>
      </c>
      <c r="CZ156" s="1029">
        <v>0</v>
      </c>
      <c r="DA156" s="1027" t="s">
        <v>297</v>
      </c>
      <c r="DB156" s="1028">
        <v>0</v>
      </c>
      <c r="DC156" s="1028">
        <v>0</v>
      </c>
      <c r="DD156" s="1028">
        <v>0</v>
      </c>
      <c r="DE156" s="1029">
        <v>13</v>
      </c>
      <c r="DF156" s="1004"/>
      <c r="DG156" s="1004"/>
      <c r="DH156" s="1004"/>
      <c r="DI156" s="1004"/>
      <c r="DJ156" s="1004"/>
      <c r="DK156" s="1004"/>
      <c r="DL156" s="1004"/>
      <c r="DM156" s="1004"/>
      <c r="DN156" s="1004"/>
      <c r="DO156" s="1004"/>
      <c r="DP156" s="1004"/>
      <c r="DQ156" s="1004"/>
      <c r="DR156" s="1004"/>
      <c r="DS156" s="1004"/>
      <c r="DT156" s="1004"/>
      <c r="DU156" s="1004"/>
      <c r="DV156" s="1004"/>
      <c r="DW156" s="1004"/>
      <c r="DX156" s="1004"/>
      <c r="DY156" s="1004"/>
      <c r="DZ156" s="1004"/>
      <c r="EA156" s="1004"/>
      <c r="EB156" s="1004"/>
      <c r="EC156" s="1004"/>
      <c r="ED156" s="1004"/>
      <c r="EE156" s="1004"/>
      <c r="EF156" s="1004"/>
      <c r="EG156" s="1004"/>
      <c r="EH156" s="1004"/>
      <c r="EI156" s="1004"/>
      <c r="EJ156" s="1004"/>
      <c r="EK156" s="1004"/>
      <c r="EL156" s="1004"/>
      <c r="EM156" s="1004"/>
      <c r="EN156" s="1004"/>
      <c r="EO156" s="1004"/>
      <c r="EP156" s="1004"/>
      <c r="EQ156" s="1004"/>
      <c r="ER156" s="1004"/>
      <c r="ES156" s="1004"/>
      <c r="ET156" s="1004"/>
      <c r="EU156" s="1004"/>
      <c r="EV156" s="1004"/>
      <c r="EW156" s="1004"/>
      <c r="EX156" s="1004"/>
      <c r="EY156" s="1004"/>
      <c r="EZ156" s="1004"/>
      <c r="FA156" s="1004"/>
      <c r="FB156" s="1004"/>
      <c r="FC156" s="1004"/>
      <c r="FD156" s="1004"/>
      <c r="FE156" s="1004"/>
      <c r="FF156" s="1004"/>
      <c r="FG156" s="1004"/>
      <c r="FH156" s="1004"/>
      <c r="FI156" s="1004"/>
      <c r="FJ156" s="1004"/>
      <c r="FK156" s="1004"/>
      <c r="FL156" s="1004"/>
      <c r="FM156" s="1004"/>
      <c r="FN156" s="1004"/>
      <c r="FO156" s="1004"/>
      <c r="FP156" s="1004"/>
      <c r="FQ156" s="1004"/>
      <c r="FR156" s="1004"/>
      <c r="FS156" s="1004"/>
      <c r="FT156" s="1004"/>
      <c r="FU156" s="1004"/>
      <c r="FV156" s="1004"/>
      <c r="FW156" s="1004"/>
      <c r="FX156" s="1004"/>
      <c r="FY156" s="1004"/>
      <c r="FZ156" s="1004"/>
      <c r="GA156" s="1004"/>
      <c r="GB156" s="1004"/>
      <c r="GC156" s="1004"/>
      <c r="GD156" s="1004"/>
      <c r="GE156" s="1004"/>
      <c r="GF156" s="1004"/>
      <c r="GG156" s="1004"/>
      <c r="GH156" s="1004"/>
      <c r="GI156" s="1004"/>
      <c r="GJ156" s="1004"/>
      <c r="GK156" s="1004"/>
      <c r="GL156" s="1004"/>
      <c r="GM156" s="1004"/>
      <c r="GN156" s="1004"/>
      <c r="GO156" s="1004"/>
      <c r="GP156" s="1004"/>
      <c r="GQ156" s="1004"/>
      <c r="GR156" s="1004"/>
      <c r="GS156" s="1004"/>
      <c r="GT156" s="1004"/>
      <c r="GU156" s="1004"/>
      <c r="GV156" s="1004"/>
      <c r="GW156" s="1004"/>
      <c r="GX156" s="1004"/>
      <c r="GY156" s="1004"/>
      <c r="GZ156" s="1004"/>
      <c r="HA156" s="1004"/>
      <c r="HB156" s="1004"/>
      <c r="HC156" s="1004"/>
      <c r="HD156" s="1004"/>
      <c r="HE156" s="1004"/>
      <c r="HF156" s="1004"/>
      <c r="HG156" s="1004"/>
      <c r="HH156" s="1004"/>
      <c r="HI156" s="1004"/>
      <c r="HJ156" s="1004"/>
      <c r="HK156" s="1004"/>
      <c r="HL156" s="1004"/>
      <c r="HM156" s="1004"/>
      <c r="HN156" s="1004"/>
      <c r="HO156" s="1004"/>
      <c r="HP156" s="1004"/>
      <c r="HQ156" s="1004"/>
      <c r="HR156" s="1004"/>
      <c r="HS156" s="1004"/>
      <c r="HT156" s="1004"/>
      <c r="HU156" s="1004"/>
      <c r="HV156" s="1004"/>
      <c r="HW156" s="1004"/>
      <c r="HX156" s="1004"/>
      <c r="HY156" s="1004"/>
      <c r="HZ156" s="1004"/>
      <c r="IA156" s="1004"/>
      <c r="IB156" s="1004"/>
      <c r="IC156" s="1004"/>
      <c r="ID156" s="1004"/>
      <c r="IE156" s="1004"/>
      <c r="IF156" s="1004"/>
      <c r="IG156" s="1004"/>
      <c r="IH156" s="1004"/>
      <c r="II156" s="1004"/>
      <c r="IJ156" s="1004"/>
      <c r="IK156" s="1004"/>
      <c r="IL156" s="1004"/>
      <c r="IM156" s="1004"/>
      <c r="IN156" s="1004"/>
      <c r="IO156" s="1004"/>
      <c r="IP156" s="1004"/>
      <c r="IQ156" s="1004"/>
      <c r="IR156" s="1004"/>
      <c r="IS156" s="1004"/>
      <c r="IT156" s="1004"/>
      <c r="IU156" s="1004"/>
      <c r="IV156" s="1004"/>
      <c r="IW156" s="1004"/>
      <c r="IX156" s="1004"/>
    </row>
    <row r="157" spans="66:258" ht="24.95" hidden="1" customHeight="1">
      <c r="BN157" s="982"/>
      <c r="BO157" s="982"/>
      <c r="BP157" s="982"/>
      <c r="BQ157" s="982"/>
      <c r="BR157" s="982"/>
      <c r="BS157" s="982"/>
      <c r="BT157" s="982"/>
      <c r="BU157" s="982"/>
      <c r="BV157" s="982"/>
      <c r="BW157" s="982"/>
      <c r="BX157" s="982"/>
      <c r="BY157" s="982"/>
      <c r="BZ157" s="982"/>
      <c r="CA157" s="982"/>
      <c r="CB157" s="982"/>
      <c r="CC157" s="982"/>
      <c r="CD157" s="982"/>
      <c r="CE157" s="982"/>
      <c r="CF157" s="982"/>
      <c r="CG157" s="982"/>
      <c r="CH157" s="982"/>
      <c r="CI157" s="982"/>
      <c r="CJ157" s="982"/>
      <c r="CK157" s="982"/>
      <c r="CL157" s="982"/>
      <c r="CM157" s="982"/>
      <c r="CN157" s="982"/>
      <c r="CO157" s="982"/>
      <c r="CP157" s="1030">
        <v>2</v>
      </c>
      <c r="CQ157" s="1027" t="s">
        <v>298</v>
      </c>
      <c r="CR157" s="1028">
        <v>0</v>
      </c>
      <c r="CS157" s="1028">
        <v>5</v>
      </c>
      <c r="CT157" s="1028">
        <v>0</v>
      </c>
      <c r="CU157" s="1029">
        <v>0</v>
      </c>
      <c r="CV157" s="1027" t="s">
        <v>299</v>
      </c>
      <c r="CW157" s="1028">
        <v>0</v>
      </c>
      <c r="CX157" s="1028">
        <v>3</v>
      </c>
      <c r="CY157" s="1028">
        <v>0</v>
      </c>
      <c r="CZ157" s="1029">
        <v>0</v>
      </c>
      <c r="DA157" s="1027" t="s">
        <v>300</v>
      </c>
      <c r="DB157" s="1028">
        <v>0</v>
      </c>
      <c r="DC157" s="1028">
        <v>0</v>
      </c>
      <c r="DD157" s="1028">
        <v>12</v>
      </c>
      <c r="DE157" s="1029">
        <v>0</v>
      </c>
      <c r="DF157" s="1004"/>
      <c r="DG157" s="1004"/>
      <c r="DH157" s="1004"/>
      <c r="DI157" s="1004"/>
      <c r="DJ157" s="1004"/>
      <c r="DK157" s="1004"/>
      <c r="DL157" s="1004"/>
      <c r="DM157" s="1004"/>
      <c r="DN157" s="1004"/>
      <c r="DO157" s="1004"/>
      <c r="DP157" s="1004"/>
      <c r="DQ157" s="1004"/>
      <c r="DR157" s="1004"/>
      <c r="DS157" s="1004"/>
      <c r="DT157" s="1004"/>
      <c r="DU157" s="1004"/>
      <c r="DV157" s="1004"/>
      <c r="DW157" s="1004"/>
      <c r="DX157" s="1004"/>
      <c r="DY157" s="1004"/>
      <c r="DZ157" s="1004"/>
      <c r="EA157" s="1004"/>
      <c r="EB157" s="1004"/>
      <c r="EC157" s="1004"/>
      <c r="ED157" s="1004"/>
      <c r="EE157" s="1004"/>
      <c r="EF157" s="1004"/>
      <c r="EG157" s="1004"/>
      <c r="EH157" s="1004"/>
      <c r="EI157" s="1004"/>
      <c r="EJ157" s="1004"/>
      <c r="EK157" s="1004"/>
      <c r="EL157" s="1004"/>
      <c r="EM157" s="1004"/>
      <c r="EN157" s="1004"/>
      <c r="EO157" s="1004"/>
      <c r="EP157" s="1004"/>
      <c r="EQ157" s="1004"/>
      <c r="ER157" s="1004"/>
      <c r="ES157" s="1004"/>
      <c r="ET157" s="1004"/>
      <c r="EU157" s="1004"/>
      <c r="EV157" s="1004"/>
      <c r="EW157" s="1004"/>
      <c r="EX157" s="1004"/>
      <c r="EY157" s="1004"/>
      <c r="EZ157" s="1004"/>
      <c r="FA157" s="1004"/>
      <c r="FB157" s="1004"/>
      <c r="FC157" s="1004"/>
      <c r="FD157" s="1004"/>
      <c r="FE157" s="1004"/>
      <c r="FF157" s="1004"/>
      <c r="FG157" s="1004"/>
      <c r="FH157" s="1004"/>
      <c r="FI157" s="1004"/>
      <c r="FJ157" s="1004"/>
      <c r="FK157" s="1004"/>
      <c r="FL157" s="1004"/>
      <c r="FM157" s="1004"/>
      <c r="FN157" s="1004"/>
      <c r="FO157" s="1004"/>
      <c r="FP157" s="1004"/>
      <c r="FQ157" s="1004"/>
      <c r="FR157" s="1004"/>
      <c r="FS157" s="1004"/>
      <c r="FT157" s="1004"/>
      <c r="FU157" s="1004"/>
      <c r="FV157" s="1004"/>
      <c r="FW157" s="1004"/>
      <c r="FX157" s="1004"/>
      <c r="FY157" s="1004"/>
      <c r="FZ157" s="1004"/>
      <c r="GA157" s="1004"/>
      <c r="GB157" s="1004"/>
      <c r="GC157" s="1004"/>
      <c r="GD157" s="1004"/>
      <c r="GE157" s="1004"/>
      <c r="GF157" s="1004"/>
      <c r="GG157" s="1004"/>
      <c r="GH157" s="1004"/>
      <c r="GI157" s="1004"/>
      <c r="GJ157" s="1004"/>
      <c r="GK157" s="1004"/>
      <c r="GL157" s="1004"/>
      <c r="GM157" s="1004"/>
      <c r="GN157" s="1004"/>
      <c r="GO157" s="1004"/>
      <c r="GP157" s="1004"/>
      <c r="GQ157" s="1004"/>
      <c r="GR157" s="1004"/>
      <c r="GS157" s="1004"/>
      <c r="GT157" s="1004"/>
      <c r="GU157" s="1004"/>
      <c r="GV157" s="1004"/>
      <c r="GW157" s="1004"/>
      <c r="GX157" s="1004"/>
      <c r="GY157" s="1004"/>
      <c r="GZ157" s="1004"/>
      <c r="HA157" s="1004"/>
      <c r="HB157" s="1004"/>
      <c r="HC157" s="1004"/>
      <c r="HD157" s="1004"/>
      <c r="HE157" s="1004"/>
      <c r="HF157" s="1004"/>
      <c r="HG157" s="1004"/>
      <c r="HH157" s="1004"/>
      <c r="HI157" s="1004"/>
      <c r="HJ157" s="1004"/>
      <c r="HK157" s="1004"/>
      <c r="HL157" s="1004"/>
      <c r="HM157" s="1004"/>
      <c r="HN157" s="1004"/>
      <c r="HO157" s="1004"/>
      <c r="HP157" s="1004"/>
      <c r="HQ157" s="1004"/>
      <c r="HR157" s="1004"/>
      <c r="HS157" s="1004"/>
      <c r="HT157" s="1004"/>
      <c r="HU157" s="1004"/>
      <c r="HV157" s="1004"/>
      <c r="HW157" s="1004"/>
      <c r="HX157" s="1004"/>
      <c r="HY157" s="1004"/>
      <c r="HZ157" s="1004"/>
      <c r="IA157" s="1004"/>
      <c r="IB157" s="1004"/>
      <c r="IC157" s="1004"/>
      <c r="ID157" s="1004"/>
      <c r="IE157" s="1004"/>
      <c r="IF157" s="1004"/>
      <c r="IG157" s="1004"/>
      <c r="IH157" s="1004"/>
      <c r="II157" s="1004"/>
      <c r="IJ157" s="1004"/>
      <c r="IK157" s="1004"/>
      <c r="IL157" s="1004"/>
      <c r="IM157" s="1004"/>
      <c r="IN157" s="1004"/>
      <c r="IO157" s="1004"/>
      <c r="IP157" s="1004"/>
      <c r="IQ157" s="1004"/>
      <c r="IR157" s="1004"/>
      <c r="IS157" s="1004"/>
      <c r="IT157" s="1004"/>
      <c r="IU157" s="1004"/>
      <c r="IV157" s="1004"/>
      <c r="IW157" s="1004"/>
      <c r="IX157" s="1004"/>
    </row>
    <row r="158" spans="66:258" ht="24.95" hidden="1" customHeight="1">
      <c r="BN158" s="982"/>
      <c r="BO158" s="982"/>
      <c r="BP158" s="982"/>
      <c r="BQ158" s="982"/>
      <c r="BR158" s="982"/>
      <c r="BS158" s="982"/>
      <c r="BT158" s="982"/>
      <c r="BU158" s="982"/>
      <c r="BV158" s="982"/>
      <c r="BW158" s="982"/>
      <c r="BX158" s="982"/>
      <c r="BY158" s="982"/>
      <c r="BZ158" s="982"/>
      <c r="CA158" s="982"/>
      <c r="CB158" s="982"/>
      <c r="CC158" s="982"/>
      <c r="CD158" s="982"/>
      <c r="CE158" s="982"/>
      <c r="CF158" s="982"/>
      <c r="CG158" s="982"/>
      <c r="CH158" s="982"/>
      <c r="CI158" s="982"/>
      <c r="CJ158" s="982"/>
      <c r="CK158" s="982"/>
      <c r="CL158" s="982"/>
      <c r="CM158" s="982"/>
      <c r="CN158" s="982"/>
      <c r="CO158" s="982"/>
      <c r="CP158" s="1030">
        <v>3</v>
      </c>
      <c r="CQ158" s="1027" t="s">
        <v>301</v>
      </c>
      <c r="CR158" s="1028">
        <v>0</v>
      </c>
      <c r="CS158" s="1028">
        <v>9</v>
      </c>
      <c r="CT158" s="1028">
        <v>0</v>
      </c>
      <c r="CU158" s="1029">
        <v>0</v>
      </c>
      <c r="CV158" s="1027" t="s">
        <v>302</v>
      </c>
      <c r="CW158" s="1028">
        <v>0</v>
      </c>
      <c r="CX158" s="1028">
        <v>2</v>
      </c>
      <c r="CY158" s="1028">
        <v>0</v>
      </c>
      <c r="CZ158" s="1029">
        <v>0</v>
      </c>
      <c r="DA158" s="1027" t="s">
        <v>373</v>
      </c>
      <c r="DB158" s="1028">
        <v>0</v>
      </c>
      <c r="DC158" s="1028">
        <v>0</v>
      </c>
      <c r="DD158" s="1028">
        <v>0</v>
      </c>
      <c r="DE158" s="1029">
        <v>0</v>
      </c>
      <c r="DF158" s="1004"/>
      <c r="DG158" s="1004"/>
      <c r="DH158" s="1004"/>
      <c r="DI158" s="1004"/>
      <c r="DJ158" s="1004"/>
      <c r="DK158" s="1004"/>
      <c r="DL158" s="1004"/>
      <c r="DM158" s="1004"/>
      <c r="DN158" s="1004"/>
      <c r="DO158" s="1004"/>
      <c r="DP158" s="1004"/>
      <c r="DQ158" s="1004"/>
      <c r="DR158" s="1004"/>
      <c r="DS158" s="1004"/>
      <c r="DT158" s="1004"/>
      <c r="DU158" s="1004"/>
      <c r="DV158" s="1004"/>
      <c r="DW158" s="1004"/>
      <c r="DX158" s="1004"/>
      <c r="DY158" s="1004"/>
      <c r="DZ158" s="1004"/>
      <c r="EA158" s="1004"/>
      <c r="EB158" s="1004"/>
      <c r="EC158" s="1004"/>
      <c r="ED158" s="1004"/>
      <c r="EE158" s="1004"/>
      <c r="EF158" s="1004"/>
      <c r="EG158" s="1004"/>
      <c r="EH158" s="1004"/>
      <c r="EI158" s="1004"/>
      <c r="EJ158" s="1004"/>
      <c r="EK158" s="1004"/>
      <c r="EL158" s="1004"/>
      <c r="EM158" s="1004"/>
      <c r="EN158" s="1004"/>
      <c r="EO158" s="1004"/>
      <c r="EP158" s="1004"/>
      <c r="EQ158" s="1004"/>
      <c r="ER158" s="1004"/>
      <c r="ES158" s="1004"/>
      <c r="ET158" s="1004"/>
      <c r="EU158" s="1004"/>
      <c r="EV158" s="1004"/>
      <c r="EW158" s="1004"/>
      <c r="EX158" s="1004"/>
      <c r="EY158" s="1004"/>
      <c r="EZ158" s="1004"/>
      <c r="FA158" s="1004"/>
      <c r="FB158" s="1004"/>
      <c r="FC158" s="1004"/>
      <c r="FD158" s="1004"/>
      <c r="FE158" s="1004"/>
      <c r="FF158" s="1004"/>
      <c r="FG158" s="1004"/>
      <c r="FH158" s="1004"/>
      <c r="FI158" s="1004"/>
      <c r="FJ158" s="1004"/>
      <c r="FK158" s="1004"/>
      <c r="FL158" s="1004"/>
      <c r="FM158" s="1004"/>
      <c r="FN158" s="1004"/>
      <c r="FO158" s="1004"/>
      <c r="FP158" s="1004"/>
      <c r="FQ158" s="1004"/>
      <c r="FR158" s="1004"/>
      <c r="FS158" s="1004"/>
      <c r="FT158" s="1004"/>
      <c r="FU158" s="1004"/>
      <c r="FV158" s="1004"/>
      <c r="FW158" s="1004"/>
      <c r="FX158" s="1004"/>
      <c r="FY158" s="1004"/>
      <c r="FZ158" s="1004"/>
      <c r="GA158" s="1004"/>
      <c r="GB158" s="1004"/>
      <c r="GC158" s="1004"/>
      <c r="GD158" s="1004"/>
      <c r="GE158" s="1004"/>
      <c r="GF158" s="1004"/>
      <c r="GG158" s="1004"/>
      <c r="GH158" s="1004"/>
      <c r="GI158" s="1004"/>
      <c r="GJ158" s="1004"/>
      <c r="GK158" s="1004"/>
      <c r="GL158" s="1004"/>
      <c r="GM158" s="1004"/>
      <c r="GN158" s="1004"/>
      <c r="GO158" s="1004"/>
      <c r="GP158" s="1004"/>
      <c r="GQ158" s="1004"/>
      <c r="GR158" s="1004"/>
      <c r="GS158" s="1004"/>
      <c r="GT158" s="1004"/>
      <c r="GU158" s="1004"/>
      <c r="GV158" s="1004"/>
      <c r="GW158" s="1004"/>
      <c r="GX158" s="1004"/>
      <c r="GY158" s="1004"/>
      <c r="GZ158" s="1004"/>
      <c r="HA158" s="1004"/>
      <c r="HB158" s="1004"/>
      <c r="HC158" s="1004"/>
      <c r="HD158" s="1004"/>
      <c r="HE158" s="1004"/>
      <c r="HF158" s="1004"/>
      <c r="HG158" s="1004"/>
      <c r="HH158" s="1004"/>
      <c r="HI158" s="1004"/>
      <c r="HJ158" s="1004"/>
      <c r="HK158" s="1004"/>
      <c r="HL158" s="1004"/>
      <c r="HM158" s="1004"/>
      <c r="HN158" s="1004"/>
      <c r="HO158" s="1004"/>
      <c r="HP158" s="1004"/>
      <c r="HQ158" s="1004"/>
      <c r="HR158" s="1004"/>
      <c r="HS158" s="1004"/>
      <c r="HT158" s="1004"/>
      <c r="HU158" s="1004"/>
      <c r="HV158" s="1004"/>
      <c r="HW158" s="1004"/>
      <c r="HX158" s="1004"/>
      <c r="HY158" s="1004"/>
      <c r="HZ158" s="1004"/>
      <c r="IA158" s="1004"/>
      <c r="IB158" s="1004"/>
      <c r="IC158" s="1004"/>
      <c r="ID158" s="1004"/>
      <c r="IE158" s="1004"/>
      <c r="IF158" s="1004"/>
      <c r="IG158" s="1004"/>
      <c r="IH158" s="1004"/>
      <c r="II158" s="1004"/>
      <c r="IJ158" s="1004"/>
      <c r="IK158" s="1004"/>
      <c r="IL158" s="1004"/>
      <c r="IM158" s="1004"/>
      <c r="IN158" s="1004"/>
      <c r="IO158" s="1004"/>
      <c r="IP158" s="1004"/>
      <c r="IQ158" s="1004"/>
      <c r="IR158" s="1004"/>
      <c r="IS158" s="1004"/>
      <c r="IT158" s="1004"/>
      <c r="IU158" s="1004"/>
      <c r="IV158" s="1004"/>
      <c r="IW158" s="1004"/>
      <c r="IX158" s="1004"/>
    </row>
    <row r="159" spans="66:258" ht="24.95" hidden="1" customHeight="1">
      <c r="BN159" s="982"/>
      <c r="BO159" s="982"/>
      <c r="BP159" s="982"/>
      <c r="BQ159" s="982"/>
      <c r="BR159" s="982"/>
      <c r="BS159" s="982"/>
      <c r="BT159" s="982"/>
      <c r="BU159" s="982"/>
      <c r="BV159" s="982"/>
      <c r="BW159" s="982"/>
      <c r="BX159" s="982"/>
      <c r="BY159" s="982"/>
      <c r="BZ159" s="982"/>
      <c r="CA159" s="982"/>
      <c r="CB159" s="982"/>
      <c r="CC159" s="982"/>
      <c r="CD159" s="982"/>
      <c r="CE159" s="982"/>
      <c r="CF159" s="982"/>
      <c r="CG159" s="982"/>
      <c r="CH159" s="982"/>
      <c r="CI159" s="982"/>
      <c r="CJ159" s="982"/>
      <c r="CK159" s="982"/>
      <c r="CL159" s="982"/>
      <c r="CM159" s="982"/>
      <c r="CN159" s="982"/>
      <c r="CO159" s="982"/>
      <c r="CP159" s="1030">
        <v>4</v>
      </c>
      <c r="CQ159" s="1027" t="s">
        <v>303</v>
      </c>
      <c r="CR159" s="1028">
        <v>0</v>
      </c>
      <c r="CS159" s="1028">
        <v>11</v>
      </c>
      <c r="CT159" s="1028">
        <v>0</v>
      </c>
      <c r="CU159" s="1029">
        <v>0</v>
      </c>
      <c r="CV159" s="1027" t="s">
        <v>304</v>
      </c>
      <c r="CW159" s="1028">
        <v>0</v>
      </c>
      <c r="CX159" s="1028">
        <v>2</v>
      </c>
      <c r="CY159" s="1028">
        <v>0</v>
      </c>
      <c r="CZ159" s="1029">
        <v>0</v>
      </c>
      <c r="DA159" s="1027" t="s">
        <v>373</v>
      </c>
      <c r="DB159" s="1028">
        <v>0</v>
      </c>
      <c r="DC159" s="1028">
        <v>0</v>
      </c>
      <c r="DD159" s="1028">
        <v>0</v>
      </c>
      <c r="DE159" s="1029">
        <v>0</v>
      </c>
      <c r="DF159" s="1004"/>
      <c r="DG159" s="1004"/>
      <c r="DH159" s="1004"/>
      <c r="DI159" s="1004"/>
      <c r="DJ159" s="1004"/>
      <c r="DK159" s="1004"/>
      <c r="DL159" s="1004"/>
      <c r="DM159" s="1004"/>
      <c r="DN159" s="1004"/>
      <c r="DO159" s="1004"/>
      <c r="DP159" s="1004"/>
      <c r="DQ159" s="1004"/>
      <c r="DR159" s="1004"/>
      <c r="DS159" s="1004"/>
      <c r="DT159" s="1004"/>
      <c r="DU159" s="1004"/>
      <c r="DV159" s="1004"/>
      <c r="DW159" s="1004"/>
      <c r="DX159" s="1004"/>
      <c r="DY159" s="1004"/>
      <c r="DZ159" s="1004"/>
      <c r="EA159" s="1004"/>
      <c r="EB159" s="1004"/>
      <c r="EC159" s="1004"/>
      <c r="ED159" s="1004"/>
      <c r="EE159" s="1004"/>
      <c r="EF159" s="1004"/>
      <c r="EG159" s="1004"/>
      <c r="EH159" s="1004"/>
      <c r="EI159" s="1004"/>
      <c r="EJ159" s="1004"/>
      <c r="EK159" s="1004"/>
      <c r="EL159" s="1004"/>
      <c r="EM159" s="1004"/>
      <c r="EN159" s="1004"/>
      <c r="EO159" s="1004"/>
      <c r="EP159" s="1004"/>
      <c r="EQ159" s="1004"/>
      <c r="ER159" s="1004"/>
      <c r="ES159" s="1004"/>
      <c r="ET159" s="1004"/>
      <c r="EU159" s="1004"/>
      <c r="EV159" s="1004"/>
      <c r="EW159" s="1004"/>
      <c r="EX159" s="1004"/>
      <c r="EY159" s="1004"/>
      <c r="EZ159" s="1004"/>
      <c r="FA159" s="1004"/>
      <c r="FB159" s="1004"/>
      <c r="FC159" s="1004"/>
      <c r="FD159" s="1004"/>
      <c r="FE159" s="1004"/>
      <c r="FF159" s="1004"/>
      <c r="FG159" s="1004"/>
      <c r="FH159" s="1004"/>
      <c r="FI159" s="1004"/>
      <c r="FJ159" s="1004"/>
      <c r="FK159" s="1004"/>
      <c r="FL159" s="1004"/>
      <c r="FM159" s="1004"/>
      <c r="FN159" s="1004"/>
      <c r="FO159" s="1004"/>
      <c r="FP159" s="1004"/>
      <c r="FQ159" s="1004"/>
      <c r="FR159" s="1004"/>
      <c r="FS159" s="1004"/>
      <c r="FT159" s="1004"/>
      <c r="FU159" s="1004"/>
      <c r="FV159" s="1004"/>
      <c r="FW159" s="1004"/>
      <c r="FX159" s="1004"/>
      <c r="FY159" s="1004"/>
      <c r="FZ159" s="1004"/>
      <c r="GA159" s="1004"/>
      <c r="GB159" s="1004"/>
      <c r="GC159" s="1004"/>
      <c r="GD159" s="1004"/>
      <c r="GE159" s="1004"/>
      <c r="GF159" s="1004"/>
      <c r="GG159" s="1004"/>
      <c r="GH159" s="1004"/>
      <c r="GI159" s="1004"/>
      <c r="GJ159" s="1004"/>
      <c r="GK159" s="1004"/>
      <c r="GL159" s="1004"/>
      <c r="GM159" s="1004"/>
      <c r="GN159" s="1004"/>
      <c r="GO159" s="1004"/>
      <c r="GP159" s="1004"/>
      <c r="GQ159" s="1004"/>
      <c r="GR159" s="1004"/>
      <c r="GS159" s="1004"/>
      <c r="GT159" s="1004"/>
      <c r="GU159" s="1004"/>
      <c r="GV159" s="1004"/>
      <c r="GW159" s="1004"/>
      <c r="GX159" s="1004"/>
      <c r="GY159" s="1004"/>
      <c r="GZ159" s="1004"/>
      <c r="HA159" s="1004"/>
      <c r="HB159" s="1004"/>
      <c r="HC159" s="1004"/>
      <c r="HD159" s="1004"/>
      <c r="HE159" s="1004"/>
      <c r="HF159" s="1004"/>
      <c r="HG159" s="1004"/>
      <c r="HH159" s="1004"/>
      <c r="HI159" s="1004"/>
      <c r="HJ159" s="1004"/>
      <c r="HK159" s="1004"/>
      <c r="HL159" s="1004"/>
      <c r="HM159" s="1004"/>
      <c r="HN159" s="1004"/>
      <c r="HO159" s="1004"/>
      <c r="HP159" s="1004"/>
      <c r="HQ159" s="1004"/>
      <c r="HR159" s="1004"/>
      <c r="HS159" s="1004"/>
      <c r="HT159" s="1004"/>
      <c r="HU159" s="1004"/>
      <c r="HV159" s="1004"/>
      <c r="HW159" s="1004"/>
      <c r="HX159" s="1004"/>
      <c r="HY159" s="1004"/>
      <c r="HZ159" s="1004"/>
      <c r="IA159" s="1004"/>
      <c r="IB159" s="1004"/>
      <c r="IC159" s="1004"/>
      <c r="ID159" s="1004"/>
      <c r="IE159" s="1004"/>
      <c r="IF159" s="1004"/>
      <c r="IG159" s="1004"/>
      <c r="IH159" s="1004"/>
      <c r="II159" s="1004"/>
      <c r="IJ159" s="1004"/>
      <c r="IK159" s="1004"/>
      <c r="IL159" s="1004"/>
      <c r="IM159" s="1004"/>
      <c r="IN159" s="1004"/>
      <c r="IO159" s="1004"/>
      <c r="IP159" s="1004"/>
      <c r="IQ159" s="1004"/>
      <c r="IR159" s="1004"/>
      <c r="IS159" s="1004"/>
      <c r="IT159" s="1004"/>
      <c r="IU159" s="1004"/>
      <c r="IV159" s="1004"/>
      <c r="IW159" s="1004"/>
      <c r="IX159" s="1004"/>
    </row>
    <row r="160" spans="66:258" ht="24.95" hidden="1" customHeight="1">
      <c r="BN160" s="982"/>
      <c r="BO160" s="982"/>
      <c r="BP160" s="982"/>
      <c r="BQ160" s="982"/>
      <c r="BR160" s="982"/>
      <c r="BS160" s="982"/>
      <c r="BT160" s="982"/>
      <c r="BU160" s="982"/>
      <c r="BV160" s="982"/>
      <c r="BW160" s="982"/>
      <c r="BX160" s="982"/>
      <c r="BY160" s="982"/>
      <c r="BZ160" s="982"/>
      <c r="CA160" s="982"/>
      <c r="CB160" s="982"/>
      <c r="CC160" s="982"/>
      <c r="CD160" s="982"/>
      <c r="CE160" s="982"/>
      <c r="CF160" s="982"/>
      <c r="CG160" s="982"/>
      <c r="CH160" s="982"/>
      <c r="CI160" s="982"/>
      <c r="CJ160" s="982"/>
      <c r="CK160" s="982"/>
      <c r="CL160" s="982"/>
      <c r="CM160" s="982"/>
      <c r="CN160" s="982"/>
      <c r="CO160" s="982"/>
      <c r="CP160" s="1030">
        <v>5</v>
      </c>
      <c r="CQ160" s="1027" t="s">
        <v>305</v>
      </c>
      <c r="CR160" s="1028">
        <v>0</v>
      </c>
      <c r="CS160" s="1028">
        <v>6</v>
      </c>
      <c r="CT160" s="1028">
        <v>0</v>
      </c>
      <c r="CU160" s="1029">
        <v>0</v>
      </c>
      <c r="CV160" s="1027" t="s">
        <v>306</v>
      </c>
      <c r="CW160" s="1028">
        <v>0</v>
      </c>
      <c r="CX160" s="1028">
        <v>3</v>
      </c>
      <c r="CY160" s="1028">
        <v>0</v>
      </c>
      <c r="CZ160" s="1029">
        <v>0</v>
      </c>
      <c r="DA160" s="1027" t="s">
        <v>373</v>
      </c>
      <c r="DB160" s="1028">
        <v>0</v>
      </c>
      <c r="DC160" s="1028">
        <v>0</v>
      </c>
      <c r="DD160" s="1028">
        <v>0</v>
      </c>
      <c r="DE160" s="1029">
        <v>0</v>
      </c>
      <c r="DF160" s="1004"/>
      <c r="DG160" s="1004"/>
      <c r="DH160" s="1004"/>
      <c r="DI160" s="1004"/>
      <c r="DJ160" s="1004"/>
      <c r="DK160" s="1004"/>
      <c r="DL160" s="1004"/>
      <c r="DM160" s="1004"/>
      <c r="DN160" s="1004"/>
      <c r="DO160" s="1004"/>
      <c r="DP160" s="1004"/>
      <c r="DQ160" s="1004"/>
      <c r="DR160" s="1004"/>
      <c r="DS160" s="1004"/>
      <c r="DT160" s="1004"/>
      <c r="DU160" s="1004"/>
      <c r="DV160" s="1004"/>
      <c r="DW160" s="1004"/>
      <c r="DX160" s="1004"/>
      <c r="DY160" s="1004"/>
      <c r="DZ160" s="1004"/>
      <c r="EA160" s="1004"/>
      <c r="EB160" s="1004"/>
      <c r="EC160" s="1004"/>
      <c r="ED160" s="1004"/>
      <c r="EE160" s="1004"/>
      <c r="EF160" s="1004"/>
      <c r="EG160" s="1004"/>
      <c r="EH160" s="1004"/>
      <c r="EI160" s="1004"/>
      <c r="EJ160" s="1004"/>
      <c r="EK160" s="1004"/>
      <c r="EL160" s="1004"/>
      <c r="EM160" s="1004"/>
      <c r="EN160" s="1004"/>
      <c r="EO160" s="1004"/>
      <c r="EP160" s="1004"/>
      <c r="EQ160" s="1004"/>
      <c r="ER160" s="1004"/>
      <c r="ES160" s="1004"/>
      <c r="ET160" s="1004"/>
      <c r="EU160" s="1004"/>
      <c r="EV160" s="1004"/>
      <c r="EW160" s="1004"/>
      <c r="EX160" s="1004"/>
      <c r="EY160" s="1004"/>
      <c r="EZ160" s="1004"/>
      <c r="FA160" s="1004"/>
      <c r="FB160" s="1004"/>
      <c r="FC160" s="1004"/>
      <c r="FD160" s="1004"/>
      <c r="FE160" s="1004"/>
      <c r="FF160" s="1004"/>
      <c r="FG160" s="1004"/>
      <c r="FH160" s="1004"/>
      <c r="FI160" s="1004"/>
      <c r="FJ160" s="1004"/>
      <c r="FK160" s="1004"/>
      <c r="FL160" s="1004"/>
      <c r="FM160" s="1004"/>
      <c r="FN160" s="1004"/>
      <c r="FO160" s="1004"/>
      <c r="FP160" s="1004"/>
      <c r="FQ160" s="1004"/>
      <c r="FR160" s="1004"/>
      <c r="FS160" s="1004"/>
      <c r="FT160" s="1004"/>
      <c r="FU160" s="1004"/>
      <c r="FV160" s="1004"/>
      <c r="FW160" s="1004"/>
      <c r="FX160" s="1004"/>
      <c r="FY160" s="1004"/>
      <c r="FZ160" s="1004"/>
      <c r="GA160" s="1004"/>
      <c r="GB160" s="1004"/>
      <c r="GC160" s="1004"/>
      <c r="GD160" s="1004"/>
      <c r="GE160" s="1004"/>
      <c r="GF160" s="1004"/>
      <c r="GG160" s="1004"/>
      <c r="GH160" s="1004"/>
      <c r="GI160" s="1004"/>
      <c r="GJ160" s="1004"/>
      <c r="GK160" s="1004"/>
      <c r="GL160" s="1004"/>
      <c r="GM160" s="1004"/>
      <c r="GN160" s="1004"/>
      <c r="GO160" s="1004"/>
      <c r="GP160" s="1004"/>
      <c r="GQ160" s="1004"/>
      <c r="GR160" s="1004"/>
      <c r="GS160" s="1004"/>
      <c r="GT160" s="1004"/>
      <c r="GU160" s="1004"/>
      <c r="GV160" s="1004"/>
      <c r="GW160" s="1004"/>
      <c r="GX160" s="1004"/>
      <c r="GY160" s="1004"/>
      <c r="GZ160" s="1004"/>
      <c r="HA160" s="1004"/>
      <c r="HB160" s="1004"/>
      <c r="HC160" s="1004"/>
      <c r="HD160" s="1004"/>
      <c r="HE160" s="1004"/>
      <c r="HF160" s="1004"/>
      <c r="HG160" s="1004"/>
      <c r="HH160" s="1004"/>
      <c r="HI160" s="1004"/>
      <c r="HJ160" s="1004"/>
      <c r="HK160" s="1004"/>
      <c r="HL160" s="1004"/>
      <c r="HM160" s="1004"/>
      <c r="HN160" s="1004"/>
      <c r="HO160" s="1004"/>
      <c r="HP160" s="1004"/>
      <c r="HQ160" s="1004"/>
      <c r="HR160" s="1004"/>
      <c r="HS160" s="1004"/>
      <c r="HT160" s="1004"/>
      <c r="HU160" s="1004"/>
      <c r="HV160" s="1004"/>
      <c r="HW160" s="1004"/>
      <c r="HX160" s="1004"/>
      <c r="HY160" s="1004"/>
      <c r="HZ160" s="1004"/>
      <c r="IA160" s="1004"/>
      <c r="IB160" s="1004"/>
      <c r="IC160" s="1004"/>
      <c r="ID160" s="1004"/>
      <c r="IE160" s="1004"/>
      <c r="IF160" s="1004"/>
      <c r="IG160" s="1004"/>
      <c r="IH160" s="1004"/>
      <c r="II160" s="1004"/>
      <c r="IJ160" s="1004"/>
      <c r="IK160" s="1004"/>
      <c r="IL160" s="1004"/>
      <c r="IM160" s="1004"/>
      <c r="IN160" s="1004"/>
      <c r="IO160" s="1004"/>
      <c r="IP160" s="1004"/>
      <c r="IQ160" s="1004"/>
      <c r="IR160" s="1004"/>
      <c r="IS160" s="1004"/>
      <c r="IT160" s="1004"/>
      <c r="IU160" s="1004"/>
      <c r="IV160" s="1004"/>
      <c r="IW160" s="1004"/>
      <c r="IX160" s="1004"/>
    </row>
    <row r="161" spans="66:258" ht="24.95" hidden="1" customHeight="1">
      <c r="BN161" s="982"/>
      <c r="BO161" s="982"/>
      <c r="BP161" s="982"/>
      <c r="BQ161" s="982"/>
      <c r="BR161" s="982"/>
      <c r="BS161" s="982"/>
      <c r="BT161" s="982"/>
      <c r="BU161" s="982"/>
      <c r="BV161" s="982"/>
      <c r="BW161" s="982"/>
      <c r="BX161" s="982"/>
      <c r="BY161" s="982"/>
      <c r="BZ161" s="982"/>
      <c r="CA161" s="982"/>
      <c r="CB161" s="982"/>
      <c r="CC161" s="982"/>
      <c r="CD161" s="982"/>
      <c r="CE161" s="982"/>
      <c r="CF161" s="982"/>
      <c r="CG161" s="982"/>
      <c r="CH161" s="982"/>
      <c r="CI161" s="982"/>
      <c r="CJ161" s="982"/>
      <c r="CK161" s="982"/>
      <c r="CL161" s="982"/>
      <c r="CM161" s="982"/>
      <c r="CN161" s="982"/>
      <c r="CO161" s="982"/>
      <c r="CP161" s="1030">
        <v>6</v>
      </c>
      <c r="CQ161" s="1027" t="s">
        <v>307</v>
      </c>
      <c r="CR161" s="1028">
        <v>0</v>
      </c>
      <c r="CS161" s="1028">
        <v>12</v>
      </c>
      <c r="CT161" s="1028">
        <v>0</v>
      </c>
      <c r="CU161" s="1029">
        <v>0</v>
      </c>
      <c r="CV161" s="1027" t="s">
        <v>308</v>
      </c>
      <c r="CW161" s="1028">
        <v>0</v>
      </c>
      <c r="CX161" s="1028">
        <v>6</v>
      </c>
      <c r="CY161" s="1028">
        <v>0</v>
      </c>
      <c r="CZ161" s="1029">
        <v>0</v>
      </c>
      <c r="DA161" s="1027" t="s">
        <v>373</v>
      </c>
      <c r="DB161" s="1028">
        <v>0</v>
      </c>
      <c r="DC161" s="1028">
        <v>0</v>
      </c>
      <c r="DD161" s="1028">
        <v>0</v>
      </c>
      <c r="DE161" s="1029">
        <v>0</v>
      </c>
      <c r="DF161" s="1004"/>
      <c r="DG161" s="1004"/>
      <c r="DH161" s="1004"/>
      <c r="DI161" s="1004"/>
      <c r="DJ161" s="1004"/>
      <c r="DK161" s="1004"/>
      <c r="DL161" s="1004"/>
      <c r="DM161" s="1004"/>
      <c r="DN161" s="1004"/>
      <c r="DO161" s="1004"/>
      <c r="DP161" s="1004"/>
      <c r="DQ161" s="1004"/>
      <c r="DR161" s="1004"/>
      <c r="DS161" s="1004"/>
      <c r="DT161" s="1004"/>
      <c r="DU161" s="1004"/>
      <c r="DV161" s="1004"/>
      <c r="DW161" s="1004"/>
      <c r="DX161" s="1004"/>
      <c r="DY161" s="1004"/>
      <c r="DZ161" s="1004"/>
      <c r="EA161" s="1004"/>
      <c r="EB161" s="1004"/>
      <c r="EC161" s="1004"/>
      <c r="ED161" s="1004"/>
      <c r="EE161" s="1004"/>
      <c r="EF161" s="1004"/>
      <c r="EG161" s="1004"/>
      <c r="EH161" s="1004"/>
      <c r="EI161" s="1004"/>
      <c r="EJ161" s="1004"/>
      <c r="EK161" s="1004"/>
      <c r="EL161" s="1004"/>
      <c r="EM161" s="1004"/>
      <c r="EN161" s="1004"/>
      <c r="EO161" s="1004"/>
      <c r="EP161" s="1004"/>
      <c r="EQ161" s="1004"/>
      <c r="ER161" s="1004"/>
      <c r="ES161" s="1004"/>
      <c r="ET161" s="1004"/>
      <c r="EU161" s="1004"/>
      <c r="EV161" s="1004"/>
      <c r="EW161" s="1004"/>
      <c r="EX161" s="1004"/>
      <c r="EY161" s="1004"/>
      <c r="EZ161" s="1004"/>
      <c r="FA161" s="1004"/>
      <c r="FB161" s="1004"/>
      <c r="FC161" s="1004"/>
      <c r="FD161" s="1004"/>
      <c r="FE161" s="1004"/>
      <c r="FF161" s="1004"/>
      <c r="FG161" s="1004"/>
      <c r="FH161" s="1004"/>
      <c r="FI161" s="1004"/>
      <c r="FJ161" s="1004"/>
      <c r="FK161" s="1004"/>
      <c r="FL161" s="1004"/>
      <c r="FM161" s="1004"/>
      <c r="FN161" s="1004"/>
      <c r="FO161" s="1004"/>
      <c r="FP161" s="1004"/>
      <c r="FQ161" s="1004"/>
      <c r="FR161" s="1004"/>
      <c r="FS161" s="1004"/>
      <c r="FT161" s="1004"/>
      <c r="FU161" s="1004"/>
      <c r="FV161" s="1004"/>
      <c r="FW161" s="1004"/>
      <c r="FX161" s="1004"/>
      <c r="FY161" s="1004"/>
      <c r="FZ161" s="1004"/>
      <c r="GA161" s="1004"/>
      <c r="GB161" s="1004"/>
      <c r="GC161" s="1004"/>
      <c r="GD161" s="1004"/>
      <c r="GE161" s="1004"/>
      <c r="GF161" s="1004"/>
      <c r="GG161" s="1004"/>
      <c r="GH161" s="1004"/>
      <c r="GI161" s="1004"/>
      <c r="GJ161" s="1004"/>
      <c r="GK161" s="1004"/>
      <c r="GL161" s="1004"/>
      <c r="GM161" s="1004"/>
      <c r="GN161" s="1004"/>
      <c r="GO161" s="1004"/>
      <c r="GP161" s="1004"/>
      <c r="GQ161" s="1004"/>
      <c r="GR161" s="1004"/>
      <c r="GS161" s="1004"/>
      <c r="GT161" s="1004"/>
      <c r="GU161" s="1004"/>
      <c r="GV161" s="1004"/>
      <c r="GW161" s="1004"/>
      <c r="GX161" s="1004"/>
      <c r="GY161" s="1004"/>
      <c r="GZ161" s="1004"/>
      <c r="HA161" s="1004"/>
      <c r="HB161" s="1004"/>
      <c r="HC161" s="1004"/>
      <c r="HD161" s="1004"/>
      <c r="HE161" s="1004"/>
      <c r="HF161" s="1004"/>
      <c r="HG161" s="1004"/>
      <c r="HH161" s="1004"/>
      <c r="HI161" s="1004"/>
      <c r="HJ161" s="1004"/>
      <c r="HK161" s="1004"/>
      <c r="HL161" s="1004"/>
      <c r="HM161" s="1004"/>
      <c r="HN161" s="1004"/>
      <c r="HO161" s="1004"/>
      <c r="HP161" s="1004"/>
      <c r="HQ161" s="1004"/>
      <c r="HR161" s="1004"/>
      <c r="HS161" s="1004"/>
      <c r="HT161" s="1004"/>
      <c r="HU161" s="1004"/>
      <c r="HV161" s="1004"/>
      <c r="HW161" s="1004"/>
      <c r="HX161" s="1004"/>
      <c r="HY161" s="1004"/>
      <c r="HZ161" s="1004"/>
      <c r="IA161" s="1004"/>
      <c r="IB161" s="1004"/>
      <c r="IC161" s="1004"/>
      <c r="ID161" s="1004"/>
      <c r="IE161" s="1004"/>
      <c r="IF161" s="1004"/>
      <c r="IG161" s="1004"/>
      <c r="IH161" s="1004"/>
      <c r="II161" s="1004"/>
      <c r="IJ161" s="1004"/>
      <c r="IK161" s="1004"/>
      <c r="IL161" s="1004"/>
      <c r="IM161" s="1004"/>
      <c r="IN161" s="1004"/>
      <c r="IO161" s="1004"/>
      <c r="IP161" s="1004"/>
      <c r="IQ161" s="1004"/>
      <c r="IR161" s="1004"/>
      <c r="IS161" s="1004"/>
      <c r="IT161" s="1004"/>
      <c r="IU161" s="1004"/>
      <c r="IV161" s="1004"/>
      <c r="IW161" s="1004"/>
      <c r="IX161" s="1004"/>
    </row>
    <row r="162" spans="66:258" ht="24.95" hidden="1" customHeight="1">
      <c r="BN162" s="982"/>
      <c r="BO162" s="982"/>
      <c r="BP162" s="982"/>
      <c r="BQ162" s="982"/>
      <c r="BR162" s="982"/>
      <c r="BS162" s="982"/>
      <c r="BT162" s="982"/>
      <c r="BU162" s="982"/>
      <c r="BV162" s="982"/>
      <c r="BW162" s="982"/>
      <c r="BX162" s="982"/>
      <c r="BY162" s="982"/>
      <c r="BZ162" s="982"/>
      <c r="CA162" s="982"/>
      <c r="CB162" s="982"/>
      <c r="CC162" s="982"/>
      <c r="CD162" s="982"/>
      <c r="CE162" s="982"/>
      <c r="CF162" s="982"/>
      <c r="CG162" s="982"/>
      <c r="CH162" s="982"/>
      <c r="CI162" s="982"/>
      <c r="CJ162" s="982"/>
      <c r="CK162" s="982"/>
      <c r="CL162" s="982"/>
      <c r="CM162" s="982"/>
      <c r="CN162" s="982"/>
      <c r="CO162" s="982"/>
      <c r="CP162" s="1030">
        <v>7</v>
      </c>
      <c r="CQ162" s="1027" t="s">
        <v>309</v>
      </c>
      <c r="CR162" s="1028">
        <v>0</v>
      </c>
      <c r="CS162" s="1028">
        <v>12</v>
      </c>
      <c r="CT162" s="1028">
        <v>0</v>
      </c>
      <c r="CU162" s="1029">
        <v>0</v>
      </c>
      <c r="CV162" s="1027" t="s">
        <v>310</v>
      </c>
      <c r="CW162" s="1028">
        <v>0</v>
      </c>
      <c r="CX162" s="1028">
        <v>0</v>
      </c>
      <c r="CY162" s="1028">
        <v>13</v>
      </c>
      <c r="CZ162" s="1029">
        <v>0</v>
      </c>
      <c r="DA162" s="1027" t="s">
        <v>373</v>
      </c>
      <c r="DB162" s="1028">
        <v>0</v>
      </c>
      <c r="DC162" s="1028">
        <v>0</v>
      </c>
      <c r="DD162" s="1028">
        <v>0</v>
      </c>
      <c r="DE162" s="1029">
        <v>0</v>
      </c>
      <c r="DF162" s="1004"/>
      <c r="DG162" s="1004"/>
      <c r="DH162" s="1004"/>
      <c r="DI162" s="1004"/>
      <c r="DJ162" s="1004"/>
      <c r="DK162" s="1004"/>
      <c r="DL162" s="1004"/>
      <c r="DM162" s="1004"/>
      <c r="DN162" s="1004"/>
      <c r="DO162" s="1004"/>
      <c r="DP162" s="1004"/>
      <c r="DQ162" s="1004"/>
      <c r="DR162" s="1004"/>
      <c r="DS162" s="1004"/>
      <c r="DT162" s="1004"/>
      <c r="DU162" s="1004"/>
      <c r="DV162" s="1004"/>
      <c r="DW162" s="1004"/>
      <c r="DX162" s="1004"/>
      <c r="DY162" s="1004"/>
      <c r="DZ162" s="1004"/>
      <c r="EA162" s="1004"/>
      <c r="EB162" s="1004"/>
      <c r="EC162" s="1004"/>
      <c r="ED162" s="1004"/>
      <c r="EE162" s="1004"/>
      <c r="EF162" s="1004"/>
      <c r="EG162" s="1004"/>
      <c r="EH162" s="1004"/>
      <c r="EI162" s="1004"/>
      <c r="EJ162" s="1004"/>
      <c r="EK162" s="1004"/>
      <c r="EL162" s="1004"/>
      <c r="EM162" s="1004"/>
      <c r="EN162" s="1004"/>
      <c r="EO162" s="1004"/>
      <c r="EP162" s="1004"/>
      <c r="EQ162" s="1004"/>
      <c r="ER162" s="1004"/>
      <c r="ES162" s="1004"/>
      <c r="ET162" s="1004"/>
      <c r="EU162" s="1004"/>
      <c r="EV162" s="1004"/>
      <c r="EW162" s="1004"/>
      <c r="EX162" s="1004"/>
      <c r="EY162" s="1004"/>
      <c r="EZ162" s="1004"/>
      <c r="FA162" s="1004"/>
      <c r="FB162" s="1004"/>
      <c r="FC162" s="1004"/>
      <c r="FD162" s="1004"/>
      <c r="FE162" s="1004"/>
      <c r="FF162" s="1004"/>
      <c r="FG162" s="1004"/>
      <c r="FH162" s="1004"/>
      <c r="FI162" s="1004"/>
      <c r="FJ162" s="1004"/>
      <c r="FK162" s="1004"/>
      <c r="FL162" s="1004"/>
      <c r="FM162" s="1004"/>
      <c r="FN162" s="1004"/>
      <c r="FO162" s="1004"/>
      <c r="FP162" s="1004"/>
      <c r="FQ162" s="1004"/>
      <c r="FR162" s="1004"/>
      <c r="FS162" s="1004"/>
      <c r="FT162" s="1004"/>
      <c r="FU162" s="1004"/>
      <c r="FV162" s="1004"/>
      <c r="FW162" s="1004"/>
      <c r="FX162" s="1004"/>
      <c r="FY162" s="1004"/>
      <c r="FZ162" s="1004"/>
      <c r="GA162" s="1004"/>
      <c r="GB162" s="1004"/>
      <c r="GC162" s="1004"/>
      <c r="GD162" s="1004"/>
      <c r="GE162" s="1004"/>
      <c r="GF162" s="1004"/>
      <c r="GG162" s="1004"/>
      <c r="GH162" s="1004"/>
      <c r="GI162" s="1004"/>
      <c r="GJ162" s="1004"/>
      <c r="GK162" s="1004"/>
      <c r="GL162" s="1004"/>
      <c r="GM162" s="1004"/>
      <c r="GN162" s="1004"/>
      <c r="GO162" s="1004"/>
      <c r="GP162" s="1004"/>
      <c r="GQ162" s="1004"/>
      <c r="GR162" s="1004"/>
      <c r="GS162" s="1004"/>
      <c r="GT162" s="1004"/>
      <c r="GU162" s="1004"/>
      <c r="GV162" s="1004"/>
      <c r="GW162" s="1004"/>
      <c r="GX162" s="1004"/>
      <c r="GY162" s="1004"/>
      <c r="GZ162" s="1004"/>
      <c r="HA162" s="1004"/>
      <c r="HB162" s="1004"/>
      <c r="HC162" s="1004"/>
      <c r="HD162" s="1004"/>
      <c r="HE162" s="1004"/>
      <c r="HF162" s="1004"/>
      <c r="HG162" s="1004"/>
      <c r="HH162" s="1004"/>
      <c r="HI162" s="1004"/>
      <c r="HJ162" s="1004"/>
      <c r="HK162" s="1004"/>
      <c r="HL162" s="1004"/>
      <c r="HM162" s="1004"/>
      <c r="HN162" s="1004"/>
      <c r="HO162" s="1004"/>
      <c r="HP162" s="1004"/>
      <c r="HQ162" s="1004"/>
      <c r="HR162" s="1004"/>
      <c r="HS162" s="1004"/>
      <c r="HT162" s="1004"/>
      <c r="HU162" s="1004"/>
      <c r="HV162" s="1004"/>
      <c r="HW162" s="1004"/>
      <c r="HX162" s="1004"/>
      <c r="HY162" s="1004"/>
      <c r="HZ162" s="1004"/>
      <c r="IA162" s="1004"/>
      <c r="IB162" s="1004"/>
      <c r="IC162" s="1004"/>
      <c r="ID162" s="1004"/>
      <c r="IE162" s="1004"/>
      <c r="IF162" s="1004"/>
      <c r="IG162" s="1004"/>
      <c r="IH162" s="1004"/>
      <c r="II162" s="1004"/>
      <c r="IJ162" s="1004"/>
      <c r="IK162" s="1004"/>
      <c r="IL162" s="1004"/>
      <c r="IM162" s="1004"/>
      <c r="IN162" s="1004"/>
      <c r="IO162" s="1004"/>
      <c r="IP162" s="1004"/>
      <c r="IQ162" s="1004"/>
      <c r="IR162" s="1004"/>
      <c r="IS162" s="1004"/>
      <c r="IT162" s="1004"/>
      <c r="IU162" s="1004"/>
      <c r="IV162" s="1004"/>
      <c r="IW162" s="1004"/>
      <c r="IX162" s="1004"/>
    </row>
    <row r="163" spans="66:258" ht="24.95" hidden="1" customHeight="1">
      <c r="BN163" s="982"/>
      <c r="BO163" s="982"/>
      <c r="BP163" s="982"/>
      <c r="BQ163" s="982"/>
      <c r="BR163" s="982"/>
      <c r="BS163" s="982"/>
      <c r="BT163" s="982"/>
      <c r="BU163" s="982"/>
      <c r="BV163" s="982"/>
      <c r="BW163" s="982"/>
      <c r="BX163" s="982"/>
      <c r="BY163" s="982"/>
      <c r="BZ163" s="982"/>
      <c r="CA163" s="982"/>
      <c r="CB163" s="982"/>
      <c r="CC163" s="982"/>
      <c r="CD163" s="982"/>
      <c r="CE163" s="982"/>
      <c r="CF163" s="982"/>
      <c r="CG163" s="982"/>
      <c r="CH163" s="982"/>
      <c r="CI163" s="982"/>
      <c r="CJ163" s="982"/>
      <c r="CK163" s="982"/>
      <c r="CL163" s="982"/>
      <c r="CM163" s="982"/>
      <c r="CN163" s="982"/>
      <c r="CO163" s="982"/>
      <c r="CP163" s="1031">
        <v>8</v>
      </c>
      <c r="CQ163" s="1027" t="s">
        <v>311</v>
      </c>
      <c r="CR163" s="1028">
        <v>0</v>
      </c>
      <c r="CS163" s="1028">
        <v>13</v>
      </c>
      <c r="CT163" s="1028">
        <v>0</v>
      </c>
      <c r="CU163" s="1029">
        <v>0</v>
      </c>
      <c r="CV163" s="1027" t="s">
        <v>312</v>
      </c>
      <c r="CW163" s="1028">
        <v>0</v>
      </c>
      <c r="CX163" s="1028">
        <v>0</v>
      </c>
      <c r="CY163" s="1028">
        <v>6</v>
      </c>
      <c r="CZ163" s="1029">
        <v>0</v>
      </c>
      <c r="DA163" s="1027" t="s">
        <v>373</v>
      </c>
      <c r="DB163" s="1028">
        <v>0</v>
      </c>
      <c r="DC163" s="1028">
        <v>0</v>
      </c>
      <c r="DD163" s="1028">
        <v>0</v>
      </c>
      <c r="DE163" s="1029">
        <v>0</v>
      </c>
      <c r="DF163" s="1004"/>
      <c r="DG163" s="1004"/>
      <c r="DH163" s="1004"/>
      <c r="DI163" s="1004"/>
      <c r="DJ163" s="1004"/>
      <c r="DK163" s="1004"/>
      <c r="DL163" s="1004"/>
      <c r="DM163" s="1004"/>
      <c r="DN163" s="1004"/>
      <c r="DO163" s="1004"/>
      <c r="DP163" s="1004"/>
      <c r="DQ163" s="1004"/>
      <c r="DR163" s="1004"/>
      <c r="DS163" s="1004"/>
      <c r="DT163" s="1004"/>
      <c r="DU163" s="1004"/>
      <c r="DV163" s="1004"/>
      <c r="DW163" s="1004"/>
      <c r="DX163" s="1004"/>
      <c r="DY163" s="1004"/>
      <c r="DZ163" s="1004"/>
      <c r="EA163" s="1004"/>
      <c r="EB163" s="1004"/>
      <c r="EC163" s="1004"/>
      <c r="ED163" s="1004"/>
      <c r="EE163" s="1004"/>
      <c r="EF163" s="1004"/>
      <c r="EG163" s="1004"/>
      <c r="EH163" s="1004"/>
      <c r="EI163" s="1004"/>
      <c r="EJ163" s="1004"/>
      <c r="EK163" s="1004"/>
      <c r="EL163" s="1004"/>
      <c r="EM163" s="1004"/>
      <c r="EN163" s="1004"/>
      <c r="EO163" s="1004"/>
      <c r="EP163" s="1004"/>
      <c r="EQ163" s="1004"/>
      <c r="ER163" s="1004"/>
      <c r="ES163" s="1004"/>
      <c r="ET163" s="1004"/>
      <c r="EU163" s="1004"/>
      <c r="EV163" s="1004"/>
      <c r="EW163" s="1004"/>
      <c r="EX163" s="1004"/>
      <c r="EY163" s="1004"/>
      <c r="EZ163" s="1004"/>
      <c r="FA163" s="1004"/>
      <c r="FB163" s="1004"/>
      <c r="FC163" s="1004"/>
      <c r="FD163" s="1004"/>
      <c r="FE163" s="1004"/>
      <c r="FF163" s="1004"/>
      <c r="FG163" s="1004"/>
      <c r="FH163" s="1004"/>
      <c r="FI163" s="1004"/>
      <c r="FJ163" s="1004"/>
      <c r="FK163" s="1004"/>
      <c r="FL163" s="1004"/>
      <c r="FM163" s="1004"/>
      <c r="FN163" s="1004"/>
      <c r="FO163" s="1004"/>
      <c r="FP163" s="1004"/>
      <c r="FQ163" s="1004"/>
      <c r="FR163" s="1004"/>
      <c r="FS163" s="1004"/>
      <c r="FT163" s="1004"/>
      <c r="FU163" s="1004"/>
      <c r="FV163" s="1004"/>
      <c r="FW163" s="1004"/>
      <c r="FX163" s="1004"/>
      <c r="FY163" s="1004"/>
      <c r="FZ163" s="1004"/>
      <c r="GA163" s="1004"/>
      <c r="GB163" s="1004"/>
      <c r="GC163" s="1004"/>
      <c r="GD163" s="1004"/>
      <c r="GE163" s="1004"/>
      <c r="GF163" s="1004"/>
      <c r="GG163" s="1004"/>
      <c r="GH163" s="1004"/>
      <c r="GI163" s="1004"/>
      <c r="GJ163" s="1004"/>
      <c r="GK163" s="1004"/>
      <c r="GL163" s="1004"/>
      <c r="GM163" s="1004"/>
      <c r="GN163" s="1004"/>
      <c r="GO163" s="1004"/>
      <c r="GP163" s="1004"/>
      <c r="GQ163" s="1004"/>
      <c r="GR163" s="1004"/>
      <c r="GS163" s="1004"/>
      <c r="GT163" s="1004"/>
      <c r="GU163" s="1004"/>
      <c r="GV163" s="1004"/>
      <c r="GW163" s="1004"/>
      <c r="GX163" s="1004"/>
      <c r="GY163" s="1004"/>
      <c r="GZ163" s="1004"/>
      <c r="HA163" s="1004"/>
      <c r="HB163" s="1004"/>
      <c r="HC163" s="1004"/>
      <c r="HD163" s="1004"/>
      <c r="HE163" s="1004"/>
      <c r="HF163" s="1004"/>
      <c r="HG163" s="1004"/>
      <c r="HH163" s="1004"/>
      <c r="HI163" s="1004"/>
      <c r="HJ163" s="1004"/>
      <c r="HK163" s="1004"/>
      <c r="HL163" s="1004"/>
      <c r="HM163" s="1004"/>
      <c r="HN163" s="1004"/>
      <c r="HO163" s="1004"/>
      <c r="HP163" s="1004"/>
      <c r="HQ163" s="1004"/>
      <c r="HR163" s="1004"/>
      <c r="HS163" s="1004"/>
      <c r="HT163" s="1004"/>
      <c r="HU163" s="1004"/>
      <c r="HV163" s="1004"/>
      <c r="HW163" s="1004"/>
      <c r="HX163" s="1004"/>
      <c r="HY163" s="1004"/>
      <c r="HZ163" s="1004"/>
      <c r="IA163" s="1004"/>
      <c r="IB163" s="1004"/>
      <c r="IC163" s="1004"/>
      <c r="ID163" s="1004"/>
      <c r="IE163" s="1004"/>
      <c r="IF163" s="1004"/>
      <c r="IG163" s="1004"/>
      <c r="IH163" s="1004"/>
      <c r="II163" s="1004"/>
      <c r="IJ163" s="1004"/>
      <c r="IK163" s="1004"/>
      <c r="IL163" s="1004"/>
      <c r="IM163" s="1004"/>
      <c r="IN163" s="1004"/>
      <c r="IO163" s="1004"/>
      <c r="IP163" s="1004"/>
      <c r="IQ163" s="1004"/>
      <c r="IR163" s="1004"/>
      <c r="IS163" s="1004"/>
      <c r="IT163" s="1004"/>
      <c r="IU163" s="1004"/>
      <c r="IV163" s="1004"/>
      <c r="IW163" s="1004"/>
      <c r="IX163" s="1004"/>
    </row>
    <row r="164" spans="66:258" ht="24.95" hidden="1" customHeight="1">
      <c r="BN164" s="982"/>
      <c r="BO164" s="982"/>
      <c r="BP164" s="982"/>
      <c r="BQ164" s="982"/>
      <c r="BR164" s="982"/>
      <c r="BS164" s="982"/>
      <c r="BT164" s="982"/>
      <c r="BU164" s="982"/>
      <c r="BV164" s="982"/>
      <c r="BW164" s="982"/>
      <c r="BX164" s="982"/>
      <c r="BY164" s="982"/>
      <c r="BZ164" s="982"/>
      <c r="CA164" s="982"/>
      <c r="CB164" s="982"/>
      <c r="CC164" s="982"/>
      <c r="CD164" s="982"/>
      <c r="CE164" s="982"/>
      <c r="CF164" s="982"/>
      <c r="CG164" s="982"/>
      <c r="CH164" s="982"/>
      <c r="CI164" s="982"/>
      <c r="CJ164" s="982"/>
      <c r="CK164" s="982"/>
      <c r="CL164" s="982"/>
      <c r="CM164" s="982"/>
      <c r="CN164" s="982"/>
      <c r="CO164" s="982"/>
      <c r="CP164" s="1030">
        <v>9</v>
      </c>
      <c r="CQ164" s="1027" t="s">
        <v>373</v>
      </c>
      <c r="CR164" s="1028">
        <v>0</v>
      </c>
      <c r="CS164" s="1028">
        <v>0</v>
      </c>
      <c r="CT164" s="1028">
        <v>0</v>
      </c>
      <c r="CU164" s="1029">
        <v>0</v>
      </c>
      <c r="CV164" s="1027" t="s">
        <v>313</v>
      </c>
      <c r="CW164" s="1028">
        <v>0</v>
      </c>
      <c r="CX164" s="1028">
        <v>0</v>
      </c>
      <c r="CY164" s="1028">
        <v>9</v>
      </c>
      <c r="CZ164" s="1029">
        <v>0</v>
      </c>
      <c r="DA164" s="1027" t="s">
        <v>373</v>
      </c>
      <c r="DB164" s="1028">
        <v>0</v>
      </c>
      <c r="DC164" s="1028">
        <v>0</v>
      </c>
      <c r="DD164" s="1028">
        <v>0</v>
      </c>
      <c r="DE164" s="1029">
        <v>0</v>
      </c>
      <c r="DF164" s="1004"/>
      <c r="DG164" s="1004"/>
      <c r="DH164" s="1004"/>
      <c r="DI164" s="1004"/>
      <c r="DJ164" s="1004"/>
      <c r="DK164" s="1004"/>
      <c r="DL164" s="1004"/>
      <c r="DM164" s="1004"/>
      <c r="DN164" s="1004"/>
      <c r="DO164" s="1004"/>
      <c r="DP164" s="1004"/>
      <c r="DQ164" s="1004"/>
      <c r="DR164" s="1004"/>
      <c r="DS164" s="1004"/>
      <c r="DT164" s="1004"/>
      <c r="DU164" s="1004"/>
      <c r="DV164" s="1004"/>
      <c r="DW164" s="1004"/>
      <c r="DX164" s="1004"/>
      <c r="DY164" s="1004"/>
      <c r="DZ164" s="1004"/>
      <c r="EA164" s="1004"/>
      <c r="EB164" s="1004"/>
      <c r="EC164" s="1004"/>
      <c r="ED164" s="1004"/>
      <c r="EE164" s="1004"/>
      <c r="EF164" s="1004"/>
      <c r="EG164" s="1004"/>
      <c r="EH164" s="1004"/>
      <c r="EI164" s="1004"/>
      <c r="EJ164" s="1004"/>
      <c r="EK164" s="1004"/>
      <c r="EL164" s="1004"/>
      <c r="EM164" s="1004"/>
      <c r="EN164" s="1004"/>
      <c r="EO164" s="1004"/>
      <c r="EP164" s="1004"/>
      <c r="EQ164" s="1004"/>
      <c r="ER164" s="1004"/>
      <c r="ES164" s="1004"/>
      <c r="ET164" s="1004"/>
      <c r="EU164" s="1004"/>
      <c r="EV164" s="1004"/>
      <c r="EW164" s="1004"/>
      <c r="EX164" s="1004"/>
      <c r="EY164" s="1004"/>
      <c r="EZ164" s="1004"/>
      <c r="FA164" s="1004"/>
      <c r="FB164" s="1004"/>
      <c r="FC164" s="1004"/>
      <c r="FD164" s="1004"/>
      <c r="FE164" s="1004"/>
      <c r="FF164" s="1004"/>
      <c r="FG164" s="1004"/>
      <c r="FH164" s="1004"/>
      <c r="FI164" s="1004"/>
      <c r="FJ164" s="1004"/>
      <c r="FK164" s="1004"/>
      <c r="FL164" s="1004"/>
      <c r="FM164" s="1004"/>
      <c r="FN164" s="1004"/>
      <c r="FO164" s="1004"/>
      <c r="FP164" s="1004"/>
      <c r="FQ164" s="1004"/>
      <c r="FR164" s="1004"/>
      <c r="FS164" s="1004"/>
      <c r="FT164" s="1004"/>
      <c r="FU164" s="1004"/>
      <c r="FV164" s="1004"/>
      <c r="FW164" s="1004"/>
      <c r="FX164" s="1004"/>
      <c r="FY164" s="1004"/>
      <c r="FZ164" s="1004"/>
      <c r="GA164" s="1004"/>
      <c r="GB164" s="1004"/>
      <c r="GC164" s="1004"/>
      <c r="GD164" s="1004"/>
      <c r="GE164" s="1004"/>
      <c r="GF164" s="1004"/>
      <c r="GG164" s="1004"/>
      <c r="GH164" s="1004"/>
      <c r="GI164" s="1004"/>
      <c r="GJ164" s="1004"/>
      <c r="GK164" s="1004"/>
      <c r="GL164" s="1004"/>
      <c r="GM164" s="1004"/>
      <c r="GN164" s="1004"/>
      <c r="GO164" s="1004"/>
      <c r="GP164" s="1004"/>
      <c r="GQ164" s="1004"/>
      <c r="GR164" s="1004"/>
      <c r="GS164" s="1004"/>
      <c r="GT164" s="1004"/>
      <c r="GU164" s="1004"/>
      <c r="GV164" s="1004"/>
      <c r="GW164" s="1004"/>
      <c r="GX164" s="1004"/>
      <c r="GY164" s="1004"/>
      <c r="GZ164" s="1004"/>
      <c r="HA164" s="1004"/>
      <c r="HB164" s="1004"/>
      <c r="HC164" s="1004"/>
      <c r="HD164" s="1004"/>
      <c r="HE164" s="1004"/>
      <c r="HF164" s="1004"/>
      <c r="HG164" s="1004"/>
      <c r="HH164" s="1004"/>
      <c r="HI164" s="1004"/>
      <c r="HJ164" s="1004"/>
      <c r="HK164" s="1004"/>
      <c r="HL164" s="1004"/>
      <c r="HM164" s="1004"/>
      <c r="HN164" s="1004"/>
      <c r="HO164" s="1004"/>
      <c r="HP164" s="1004"/>
      <c r="HQ164" s="1004"/>
      <c r="HR164" s="1004"/>
      <c r="HS164" s="1004"/>
      <c r="HT164" s="1004"/>
      <c r="HU164" s="1004"/>
      <c r="HV164" s="1004"/>
      <c r="HW164" s="1004"/>
      <c r="HX164" s="1004"/>
      <c r="HY164" s="1004"/>
      <c r="HZ164" s="1004"/>
      <c r="IA164" s="1004"/>
      <c r="IB164" s="1004"/>
      <c r="IC164" s="1004"/>
      <c r="ID164" s="1004"/>
      <c r="IE164" s="1004"/>
      <c r="IF164" s="1004"/>
      <c r="IG164" s="1004"/>
      <c r="IH164" s="1004"/>
      <c r="II164" s="1004"/>
      <c r="IJ164" s="1004"/>
      <c r="IK164" s="1004"/>
      <c r="IL164" s="1004"/>
      <c r="IM164" s="1004"/>
      <c r="IN164" s="1004"/>
      <c r="IO164" s="1004"/>
      <c r="IP164" s="1004"/>
      <c r="IQ164" s="1004"/>
      <c r="IR164" s="1004"/>
      <c r="IS164" s="1004"/>
      <c r="IT164" s="1004"/>
      <c r="IU164" s="1004"/>
      <c r="IV164" s="1004"/>
      <c r="IW164" s="1004"/>
      <c r="IX164" s="1004"/>
    </row>
    <row r="165" spans="66:258" ht="24.95" hidden="1" customHeight="1">
      <c r="BN165" s="982"/>
      <c r="BO165" s="982"/>
      <c r="BP165" s="982"/>
      <c r="BQ165" s="982"/>
      <c r="BR165" s="982"/>
      <c r="BS165" s="982"/>
      <c r="BT165" s="982"/>
      <c r="BU165" s="982"/>
      <c r="BV165" s="982"/>
      <c r="BW165" s="982"/>
      <c r="BX165" s="982"/>
      <c r="BY165" s="982"/>
      <c r="BZ165" s="982"/>
      <c r="CA165" s="982"/>
      <c r="CB165" s="982"/>
      <c r="CC165" s="982"/>
      <c r="CD165" s="982"/>
      <c r="CE165" s="982"/>
      <c r="CF165" s="982"/>
      <c r="CG165" s="982"/>
      <c r="CH165" s="982"/>
      <c r="CI165" s="982"/>
      <c r="CJ165" s="982"/>
      <c r="CK165" s="982"/>
      <c r="CL165" s="982"/>
      <c r="CM165" s="982"/>
      <c r="CN165" s="982"/>
      <c r="CO165" s="982"/>
      <c r="CP165" s="1030">
        <v>10</v>
      </c>
      <c r="CQ165" s="1027" t="s">
        <v>373</v>
      </c>
      <c r="CR165" s="1028">
        <v>0</v>
      </c>
      <c r="CS165" s="1028">
        <v>0</v>
      </c>
      <c r="CT165" s="1028">
        <v>0</v>
      </c>
      <c r="CU165" s="1029">
        <v>0</v>
      </c>
      <c r="CV165" s="1027" t="s">
        <v>314</v>
      </c>
      <c r="CW165" s="1028">
        <v>0</v>
      </c>
      <c r="CX165" s="1028">
        <v>0</v>
      </c>
      <c r="CY165" s="1028">
        <v>35</v>
      </c>
      <c r="CZ165" s="1029">
        <v>0</v>
      </c>
      <c r="DA165" s="1027" t="s">
        <v>373</v>
      </c>
      <c r="DB165" s="1028">
        <v>0</v>
      </c>
      <c r="DC165" s="1028">
        <v>0</v>
      </c>
      <c r="DD165" s="1028">
        <v>0</v>
      </c>
      <c r="DE165" s="1029">
        <v>0</v>
      </c>
      <c r="DF165" s="1004"/>
      <c r="DG165" s="1004"/>
      <c r="DH165" s="1004"/>
      <c r="DI165" s="1004"/>
      <c r="DJ165" s="1004"/>
      <c r="DK165" s="1004"/>
      <c r="DL165" s="1004"/>
      <c r="DM165" s="1004"/>
      <c r="DN165" s="1004"/>
      <c r="DO165" s="1004"/>
      <c r="DP165" s="1004"/>
      <c r="DQ165" s="1004"/>
      <c r="DR165" s="1004"/>
      <c r="DS165" s="1004"/>
      <c r="DT165" s="1004"/>
      <c r="DU165" s="1004"/>
      <c r="DV165" s="1004"/>
      <c r="DW165" s="1004"/>
      <c r="DX165" s="1004"/>
      <c r="DY165" s="1004"/>
      <c r="DZ165" s="1004"/>
      <c r="EA165" s="1004"/>
      <c r="EB165" s="1004"/>
      <c r="EC165" s="1004"/>
      <c r="ED165" s="1004"/>
      <c r="EE165" s="1004"/>
      <c r="EF165" s="1004"/>
      <c r="EG165" s="1004"/>
      <c r="EH165" s="1004"/>
      <c r="EI165" s="1004"/>
      <c r="EJ165" s="1004"/>
      <c r="EK165" s="1004"/>
      <c r="EL165" s="1004"/>
      <c r="EM165" s="1004"/>
      <c r="EN165" s="1004"/>
      <c r="EO165" s="1004"/>
      <c r="EP165" s="1004"/>
      <c r="EQ165" s="1004"/>
      <c r="ER165" s="1004"/>
      <c r="ES165" s="1004"/>
      <c r="ET165" s="1004"/>
      <c r="EU165" s="1004"/>
      <c r="EV165" s="1004"/>
      <c r="EW165" s="1004"/>
      <c r="EX165" s="1004"/>
      <c r="EY165" s="1004"/>
      <c r="EZ165" s="1004"/>
      <c r="FA165" s="1004"/>
      <c r="FB165" s="1004"/>
      <c r="FC165" s="1004"/>
      <c r="FD165" s="1004"/>
      <c r="FE165" s="1004"/>
      <c r="FF165" s="1004"/>
      <c r="FG165" s="1004"/>
      <c r="FH165" s="1004"/>
      <c r="FI165" s="1004"/>
      <c r="FJ165" s="1004"/>
      <c r="FK165" s="1004"/>
      <c r="FL165" s="1004"/>
      <c r="FM165" s="1004"/>
      <c r="FN165" s="1004"/>
      <c r="FO165" s="1004"/>
      <c r="FP165" s="1004"/>
      <c r="FQ165" s="1004"/>
      <c r="FR165" s="1004"/>
      <c r="FS165" s="1004"/>
      <c r="FT165" s="1004"/>
      <c r="FU165" s="1004"/>
      <c r="FV165" s="1004"/>
      <c r="FW165" s="1004"/>
      <c r="FX165" s="1004"/>
      <c r="FY165" s="1004"/>
      <c r="FZ165" s="1004"/>
      <c r="GA165" s="1004"/>
      <c r="GB165" s="1004"/>
      <c r="GC165" s="1004"/>
      <c r="GD165" s="1004"/>
      <c r="GE165" s="1004"/>
      <c r="GF165" s="1004"/>
      <c r="GG165" s="1004"/>
      <c r="GH165" s="1004"/>
      <c r="GI165" s="1004"/>
      <c r="GJ165" s="1004"/>
      <c r="GK165" s="1004"/>
      <c r="GL165" s="1004"/>
      <c r="GM165" s="1004"/>
      <c r="GN165" s="1004"/>
      <c r="GO165" s="1004"/>
      <c r="GP165" s="1004"/>
      <c r="GQ165" s="1004"/>
      <c r="GR165" s="1004"/>
      <c r="GS165" s="1004"/>
      <c r="GT165" s="1004"/>
      <c r="GU165" s="1004"/>
      <c r="GV165" s="1004"/>
      <c r="GW165" s="1004"/>
      <c r="GX165" s="1004"/>
      <c r="GY165" s="1004"/>
      <c r="GZ165" s="1004"/>
      <c r="HA165" s="1004"/>
      <c r="HB165" s="1004"/>
      <c r="HC165" s="1004"/>
      <c r="HD165" s="1004"/>
      <c r="HE165" s="1004"/>
      <c r="HF165" s="1004"/>
      <c r="HG165" s="1004"/>
      <c r="HH165" s="1004"/>
      <c r="HI165" s="1004"/>
      <c r="HJ165" s="1004"/>
      <c r="HK165" s="1004"/>
      <c r="HL165" s="1004"/>
      <c r="HM165" s="1004"/>
      <c r="HN165" s="1004"/>
      <c r="HO165" s="1004"/>
      <c r="HP165" s="1004"/>
      <c r="HQ165" s="1004"/>
      <c r="HR165" s="1004"/>
      <c r="HS165" s="1004"/>
      <c r="HT165" s="1004"/>
      <c r="HU165" s="1004"/>
      <c r="HV165" s="1004"/>
      <c r="HW165" s="1004"/>
      <c r="HX165" s="1004"/>
      <c r="HY165" s="1004"/>
      <c r="HZ165" s="1004"/>
      <c r="IA165" s="1004"/>
      <c r="IB165" s="1004"/>
      <c r="IC165" s="1004"/>
      <c r="ID165" s="1004"/>
      <c r="IE165" s="1004"/>
      <c r="IF165" s="1004"/>
      <c r="IG165" s="1004"/>
      <c r="IH165" s="1004"/>
      <c r="II165" s="1004"/>
      <c r="IJ165" s="1004"/>
      <c r="IK165" s="1004"/>
      <c r="IL165" s="1004"/>
      <c r="IM165" s="1004"/>
      <c r="IN165" s="1004"/>
      <c r="IO165" s="1004"/>
      <c r="IP165" s="1004"/>
      <c r="IQ165" s="1004"/>
      <c r="IR165" s="1004"/>
      <c r="IS165" s="1004"/>
      <c r="IT165" s="1004"/>
      <c r="IU165" s="1004"/>
      <c r="IV165" s="1004"/>
      <c r="IW165" s="1004"/>
      <c r="IX165" s="1004"/>
    </row>
    <row r="166" spans="66:258" ht="24.95" hidden="1" customHeight="1">
      <c r="BN166" s="982"/>
      <c r="BO166" s="982"/>
      <c r="BP166" s="982"/>
      <c r="BQ166" s="982"/>
      <c r="BR166" s="982"/>
      <c r="BS166" s="982"/>
      <c r="BT166" s="982"/>
      <c r="BU166" s="982"/>
      <c r="BV166" s="982"/>
      <c r="BW166" s="982"/>
      <c r="BX166" s="982"/>
      <c r="BY166" s="982"/>
      <c r="BZ166" s="982"/>
      <c r="CA166" s="982"/>
      <c r="CB166" s="982"/>
      <c r="CC166" s="982"/>
      <c r="CD166" s="982"/>
      <c r="CE166" s="982"/>
      <c r="CF166" s="982"/>
      <c r="CG166" s="982"/>
      <c r="CH166" s="982"/>
      <c r="CI166" s="982"/>
      <c r="CJ166" s="982"/>
      <c r="CK166" s="982"/>
      <c r="CL166" s="982"/>
      <c r="CM166" s="982"/>
      <c r="CN166" s="982"/>
      <c r="CO166" s="982"/>
      <c r="CP166" s="1030">
        <v>11</v>
      </c>
      <c r="CQ166" s="1027" t="s">
        <v>373</v>
      </c>
      <c r="CR166" s="1028">
        <v>0</v>
      </c>
      <c r="CS166" s="1028">
        <v>0</v>
      </c>
      <c r="CT166" s="1028">
        <v>0</v>
      </c>
      <c r="CU166" s="1029">
        <v>0</v>
      </c>
      <c r="CV166" s="1027" t="s">
        <v>315</v>
      </c>
      <c r="CW166" s="1028">
        <v>0</v>
      </c>
      <c r="CX166" s="1028">
        <v>0</v>
      </c>
      <c r="CY166" s="1028">
        <v>18</v>
      </c>
      <c r="CZ166" s="1029">
        <v>0</v>
      </c>
      <c r="DA166" s="1027" t="s">
        <v>373</v>
      </c>
      <c r="DB166" s="1028">
        <v>0</v>
      </c>
      <c r="DC166" s="1028">
        <v>0</v>
      </c>
      <c r="DD166" s="1028">
        <v>0</v>
      </c>
      <c r="DE166" s="1029">
        <v>0</v>
      </c>
      <c r="DF166" s="1004"/>
      <c r="DG166" s="1004"/>
      <c r="DH166" s="1004"/>
      <c r="DI166" s="1004"/>
      <c r="DJ166" s="1004"/>
      <c r="DK166" s="1004"/>
      <c r="DL166" s="1004"/>
      <c r="DM166" s="1004"/>
      <c r="DN166" s="1004"/>
      <c r="DO166" s="1004"/>
      <c r="DP166" s="1004"/>
      <c r="DQ166" s="1004"/>
      <c r="DR166" s="1004"/>
      <c r="DS166" s="1004"/>
      <c r="DT166" s="1004"/>
      <c r="DU166" s="1004"/>
      <c r="DV166" s="1004"/>
      <c r="DW166" s="1004"/>
      <c r="DX166" s="1004"/>
      <c r="DY166" s="1004"/>
      <c r="DZ166" s="1004"/>
      <c r="EA166" s="1004"/>
      <c r="EB166" s="1004"/>
      <c r="EC166" s="1004"/>
      <c r="ED166" s="1004"/>
      <c r="EE166" s="1004"/>
      <c r="EF166" s="1004"/>
      <c r="EG166" s="1004"/>
      <c r="EH166" s="1004"/>
      <c r="EI166" s="1004"/>
      <c r="EJ166" s="1004"/>
      <c r="EK166" s="1004"/>
      <c r="EL166" s="1004"/>
      <c r="EM166" s="1004"/>
      <c r="EN166" s="1004"/>
      <c r="EO166" s="1004"/>
      <c r="EP166" s="1004"/>
      <c r="EQ166" s="1004"/>
      <c r="ER166" s="1004"/>
      <c r="ES166" s="1004"/>
      <c r="ET166" s="1004"/>
      <c r="EU166" s="1004"/>
      <c r="EV166" s="1004"/>
      <c r="EW166" s="1004"/>
      <c r="EX166" s="1004"/>
      <c r="EY166" s="1004"/>
      <c r="EZ166" s="1004"/>
      <c r="FA166" s="1004"/>
      <c r="FB166" s="1004"/>
      <c r="FC166" s="1004"/>
      <c r="FD166" s="1004"/>
      <c r="FE166" s="1004"/>
      <c r="FF166" s="1004"/>
      <c r="FG166" s="1004"/>
      <c r="FH166" s="1004"/>
      <c r="FI166" s="1004"/>
      <c r="FJ166" s="1004"/>
      <c r="FK166" s="1004"/>
      <c r="FL166" s="1004"/>
      <c r="FM166" s="1004"/>
      <c r="FN166" s="1004"/>
      <c r="FO166" s="1004"/>
      <c r="FP166" s="1004"/>
      <c r="FQ166" s="1004"/>
      <c r="FR166" s="1004"/>
      <c r="FS166" s="1004"/>
      <c r="FT166" s="1004"/>
      <c r="FU166" s="1004"/>
      <c r="FV166" s="1004"/>
      <c r="FW166" s="1004"/>
      <c r="FX166" s="1004"/>
      <c r="FY166" s="1004"/>
      <c r="FZ166" s="1004"/>
      <c r="GA166" s="1004"/>
      <c r="GB166" s="1004"/>
      <c r="GC166" s="1004"/>
      <c r="GD166" s="1004"/>
      <c r="GE166" s="1004"/>
      <c r="GF166" s="1004"/>
      <c r="GG166" s="1004"/>
      <c r="GH166" s="1004"/>
      <c r="GI166" s="1004"/>
      <c r="GJ166" s="1004"/>
      <c r="GK166" s="1004"/>
      <c r="GL166" s="1004"/>
      <c r="GM166" s="1004"/>
      <c r="GN166" s="1004"/>
      <c r="GO166" s="1004"/>
      <c r="GP166" s="1004"/>
      <c r="GQ166" s="1004"/>
      <c r="GR166" s="1004"/>
      <c r="GS166" s="1004"/>
      <c r="GT166" s="1004"/>
      <c r="GU166" s="1004"/>
      <c r="GV166" s="1004"/>
      <c r="GW166" s="1004"/>
      <c r="GX166" s="1004"/>
      <c r="GY166" s="1004"/>
      <c r="GZ166" s="1004"/>
      <c r="HA166" s="1004"/>
      <c r="HB166" s="1004"/>
      <c r="HC166" s="1004"/>
      <c r="HD166" s="1004"/>
      <c r="HE166" s="1004"/>
      <c r="HF166" s="1004"/>
      <c r="HG166" s="1004"/>
      <c r="HH166" s="1004"/>
      <c r="HI166" s="1004"/>
      <c r="HJ166" s="1004"/>
      <c r="HK166" s="1004"/>
      <c r="HL166" s="1004"/>
      <c r="HM166" s="1004"/>
      <c r="HN166" s="1004"/>
      <c r="HO166" s="1004"/>
      <c r="HP166" s="1004"/>
      <c r="HQ166" s="1004"/>
      <c r="HR166" s="1004"/>
      <c r="HS166" s="1004"/>
      <c r="HT166" s="1004"/>
      <c r="HU166" s="1004"/>
      <c r="HV166" s="1004"/>
      <c r="HW166" s="1004"/>
      <c r="HX166" s="1004"/>
      <c r="HY166" s="1004"/>
      <c r="HZ166" s="1004"/>
      <c r="IA166" s="1004"/>
      <c r="IB166" s="1004"/>
      <c r="IC166" s="1004"/>
      <c r="ID166" s="1004"/>
      <c r="IE166" s="1004"/>
      <c r="IF166" s="1004"/>
      <c r="IG166" s="1004"/>
      <c r="IH166" s="1004"/>
      <c r="II166" s="1004"/>
      <c r="IJ166" s="1004"/>
      <c r="IK166" s="1004"/>
      <c r="IL166" s="1004"/>
      <c r="IM166" s="1004"/>
      <c r="IN166" s="1004"/>
      <c r="IO166" s="1004"/>
      <c r="IP166" s="1004"/>
      <c r="IQ166" s="1004"/>
      <c r="IR166" s="1004"/>
      <c r="IS166" s="1004"/>
      <c r="IT166" s="1004"/>
      <c r="IU166" s="1004"/>
      <c r="IV166" s="1004"/>
      <c r="IW166" s="1004"/>
      <c r="IX166" s="1004"/>
    </row>
    <row r="167" spans="66:258" ht="24.95" hidden="1" customHeight="1">
      <c r="BN167" s="982"/>
      <c r="BO167" s="982"/>
      <c r="BP167" s="982"/>
      <c r="BQ167" s="982"/>
      <c r="BR167" s="982"/>
      <c r="BS167" s="982"/>
      <c r="BT167" s="982"/>
      <c r="BU167" s="982"/>
      <c r="BV167" s="982"/>
      <c r="BW167" s="982"/>
      <c r="BX167" s="982"/>
      <c r="BY167" s="982"/>
      <c r="BZ167" s="982"/>
      <c r="CA167" s="982"/>
      <c r="CB167" s="982"/>
      <c r="CC167" s="982"/>
      <c r="CD167" s="982"/>
      <c r="CE167" s="982"/>
      <c r="CF167" s="982"/>
      <c r="CG167" s="982"/>
      <c r="CH167" s="982"/>
      <c r="CI167" s="982"/>
      <c r="CJ167" s="982"/>
      <c r="CK167" s="982"/>
      <c r="CL167" s="982"/>
      <c r="CM167" s="982"/>
      <c r="CN167" s="982"/>
      <c r="CO167" s="982"/>
      <c r="CP167" s="1030">
        <v>12</v>
      </c>
      <c r="CQ167" s="1027" t="s">
        <v>373</v>
      </c>
      <c r="CR167" s="1028">
        <v>0</v>
      </c>
      <c r="CS167" s="1028">
        <v>0</v>
      </c>
      <c r="CT167" s="1028">
        <v>0</v>
      </c>
      <c r="CU167" s="1029">
        <v>0</v>
      </c>
      <c r="CV167" s="1027" t="s">
        <v>316</v>
      </c>
      <c r="CW167" s="1028">
        <v>0</v>
      </c>
      <c r="CX167" s="1028">
        <v>0</v>
      </c>
      <c r="CY167" s="1028">
        <v>9</v>
      </c>
      <c r="CZ167" s="1029">
        <v>0</v>
      </c>
      <c r="DA167" s="1027" t="s">
        <v>373</v>
      </c>
      <c r="DB167" s="1028">
        <v>0</v>
      </c>
      <c r="DC167" s="1028">
        <v>0</v>
      </c>
      <c r="DD167" s="1028">
        <v>0</v>
      </c>
      <c r="DE167" s="1029">
        <v>0</v>
      </c>
      <c r="DF167" s="1004"/>
      <c r="DG167" s="1004"/>
      <c r="DH167" s="1004"/>
      <c r="DI167" s="1004"/>
      <c r="DJ167" s="1004"/>
      <c r="DK167" s="1004"/>
      <c r="DL167" s="1004"/>
      <c r="DM167" s="1004"/>
      <c r="DN167" s="1004"/>
      <c r="DO167" s="1004"/>
      <c r="DP167" s="1004"/>
      <c r="DQ167" s="1004"/>
      <c r="DR167" s="1004"/>
      <c r="DS167" s="1004"/>
      <c r="DT167" s="1004"/>
      <c r="DU167" s="1004"/>
      <c r="DV167" s="1004"/>
      <c r="DW167" s="1004"/>
      <c r="DX167" s="1004"/>
      <c r="DY167" s="1004"/>
      <c r="DZ167" s="1004"/>
      <c r="EA167" s="1004"/>
      <c r="EB167" s="1004"/>
      <c r="EC167" s="1004"/>
      <c r="ED167" s="1004"/>
      <c r="EE167" s="1004"/>
      <c r="EF167" s="1004"/>
      <c r="EG167" s="1004"/>
      <c r="EH167" s="1004"/>
      <c r="EI167" s="1004"/>
      <c r="EJ167" s="1004"/>
      <c r="EK167" s="1004"/>
      <c r="EL167" s="1004"/>
      <c r="EM167" s="1004"/>
      <c r="EN167" s="1004"/>
      <c r="EO167" s="1004"/>
      <c r="EP167" s="1004"/>
      <c r="EQ167" s="1004"/>
      <c r="ER167" s="1004"/>
      <c r="ES167" s="1004"/>
      <c r="ET167" s="1004"/>
      <c r="EU167" s="1004"/>
      <c r="EV167" s="1004"/>
      <c r="EW167" s="1004"/>
      <c r="EX167" s="1004"/>
      <c r="EY167" s="1004"/>
      <c r="EZ167" s="1004"/>
      <c r="FA167" s="1004"/>
      <c r="FB167" s="1004"/>
      <c r="FC167" s="1004"/>
      <c r="FD167" s="1004"/>
      <c r="FE167" s="1004"/>
      <c r="FF167" s="1004"/>
      <c r="FG167" s="1004"/>
      <c r="FH167" s="1004"/>
      <c r="FI167" s="1004"/>
      <c r="FJ167" s="1004"/>
      <c r="FK167" s="1004"/>
      <c r="FL167" s="1004"/>
      <c r="FM167" s="1004"/>
      <c r="FN167" s="1004"/>
      <c r="FO167" s="1004"/>
      <c r="FP167" s="1004"/>
      <c r="FQ167" s="1004"/>
      <c r="FR167" s="1004"/>
      <c r="FS167" s="1004"/>
      <c r="FT167" s="1004"/>
      <c r="FU167" s="1004"/>
      <c r="FV167" s="1004"/>
      <c r="FW167" s="1004"/>
      <c r="FX167" s="1004"/>
      <c r="FY167" s="1004"/>
      <c r="FZ167" s="1004"/>
      <c r="GA167" s="1004"/>
      <c r="GB167" s="1004"/>
      <c r="GC167" s="1004"/>
      <c r="GD167" s="1004"/>
      <c r="GE167" s="1004"/>
      <c r="GF167" s="1004"/>
      <c r="GG167" s="1004"/>
      <c r="GH167" s="1004"/>
      <c r="GI167" s="1004"/>
      <c r="GJ167" s="1004"/>
      <c r="GK167" s="1004"/>
      <c r="GL167" s="1004"/>
      <c r="GM167" s="1004"/>
      <c r="GN167" s="1004"/>
      <c r="GO167" s="1004"/>
      <c r="GP167" s="1004"/>
      <c r="GQ167" s="1004"/>
      <c r="GR167" s="1004"/>
      <c r="GS167" s="1004"/>
      <c r="GT167" s="1004"/>
      <c r="GU167" s="1004"/>
      <c r="GV167" s="1004"/>
      <c r="GW167" s="1004"/>
      <c r="GX167" s="1004"/>
      <c r="GY167" s="1004"/>
      <c r="GZ167" s="1004"/>
      <c r="HA167" s="1004"/>
      <c r="HB167" s="1004"/>
      <c r="HC167" s="1004"/>
      <c r="HD167" s="1004"/>
      <c r="HE167" s="1004"/>
      <c r="HF167" s="1004"/>
      <c r="HG167" s="1004"/>
      <c r="HH167" s="1004"/>
      <c r="HI167" s="1004"/>
      <c r="HJ167" s="1004"/>
      <c r="HK167" s="1004"/>
      <c r="HL167" s="1004"/>
      <c r="HM167" s="1004"/>
      <c r="HN167" s="1004"/>
      <c r="HO167" s="1004"/>
      <c r="HP167" s="1004"/>
      <c r="HQ167" s="1004"/>
      <c r="HR167" s="1004"/>
      <c r="HS167" s="1004"/>
      <c r="HT167" s="1004"/>
      <c r="HU167" s="1004"/>
      <c r="HV167" s="1004"/>
      <c r="HW167" s="1004"/>
      <c r="HX167" s="1004"/>
      <c r="HY167" s="1004"/>
      <c r="HZ167" s="1004"/>
      <c r="IA167" s="1004"/>
      <c r="IB167" s="1004"/>
      <c r="IC167" s="1004"/>
      <c r="ID167" s="1004"/>
      <c r="IE167" s="1004"/>
      <c r="IF167" s="1004"/>
      <c r="IG167" s="1004"/>
      <c r="IH167" s="1004"/>
      <c r="II167" s="1004"/>
      <c r="IJ167" s="1004"/>
      <c r="IK167" s="1004"/>
      <c r="IL167" s="1004"/>
      <c r="IM167" s="1004"/>
      <c r="IN167" s="1004"/>
      <c r="IO167" s="1004"/>
      <c r="IP167" s="1004"/>
      <c r="IQ167" s="1004"/>
      <c r="IR167" s="1004"/>
      <c r="IS167" s="1004"/>
      <c r="IT167" s="1004"/>
      <c r="IU167" s="1004"/>
      <c r="IV167" s="1004"/>
      <c r="IW167" s="1004"/>
      <c r="IX167" s="1004"/>
    </row>
    <row r="168" spans="66:258" ht="24.95" hidden="1" customHeight="1">
      <c r="BN168" s="982"/>
      <c r="BO168" s="982"/>
      <c r="BP168" s="982"/>
      <c r="BQ168" s="982"/>
      <c r="BR168" s="982"/>
      <c r="BS168" s="982"/>
      <c r="BT168" s="982"/>
      <c r="BU168" s="982"/>
      <c r="BV168" s="982"/>
      <c r="BW168" s="982"/>
      <c r="BX168" s="982"/>
      <c r="BY168" s="982"/>
      <c r="BZ168" s="982"/>
      <c r="CA168" s="982"/>
      <c r="CB168" s="982"/>
      <c r="CC168" s="982"/>
      <c r="CD168" s="982"/>
      <c r="CE168" s="982"/>
      <c r="CF168" s="982"/>
      <c r="CG168" s="982"/>
      <c r="CH168" s="982"/>
      <c r="CI168" s="982"/>
      <c r="CJ168" s="982"/>
      <c r="CK168" s="982"/>
      <c r="CL168" s="982"/>
      <c r="CM168" s="982"/>
      <c r="CN168" s="982"/>
      <c r="CO168" s="982"/>
      <c r="CP168" s="1030">
        <v>13</v>
      </c>
      <c r="CQ168" s="1027" t="s">
        <v>373</v>
      </c>
      <c r="CR168" s="1028">
        <v>0</v>
      </c>
      <c r="CS168" s="1028">
        <v>0</v>
      </c>
      <c r="CT168" s="1028">
        <v>0</v>
      </c>
      <c r="CU168" s="1029">
        <v>0</v>
      </c>
      <c r="CV168" s="1027" t="s">
        <v>317</v>
      </c>
      <c r="CW168" s="1028">
        <v>0</v>
      </c>
      <c r="CX168" s="1028">
        <v>0</v>
      </c>
      <c r="CY168" s="1028">
        <v>23</v>
      </c>
      <c r="CZ168" s="1029">
        <v>0</v>
      </c>
      <c r="DA168" s="1027" t="s">
        <v>373</v>
      </c>
      <c r="DB168" s="1028">
        <v>0</v>
      </c>
      <c r="DC168" s="1028">
        <v>0</v>
      </c>
      <c r="DD168" s="1028">
        <v>0</v>
      </c>
      <c r="DE168" s="1029">
        <v>0</v>
      </c>
      <c r="DF168" s="1004"/>
      <c r="DG168" s="1004"/>
      <c r="DH168" s="1004"/>
      <c r="DI168" s="1004"/>
      <c r="DJ168" s="1004"/>
      <c r="DK168" s="1004"/>
      <c r="DL168" s="1004"/>
      <c r="DM168" s="1004"/>
      <c r="DN168" s="1004"/>
      <c r="DO168" s="1004"/>
      <c r="DP168" s="1004"/>
      <c r="DQ168" s="1004"/>
      <c r="DR168" s="1004"/>
      <c r="DS168" s="1004"/>
      <c r="DT168" s="1004"/>
      <c r="DU168" s="1004"/>
      <c r="DV168" s="1004"/>
      <c r="DW168" s="1004"/>
      <c r="DX168" s="1004"/>
      <c r="DY168" s="1004"/>
      <c r="DZ168" s="1004"/>
      <c r="EA168" s="1004"/>
      <c r="EB168" s="1004"/>
      <c r="EC168" s="1004"/>
      <c r="ED168" s="1004"/>
      <c r="EE168" s="1004"/>
      <c r="EF168" s="1004"/>
      <c r="EG168" s="1004"/>
      <c r="EH168" s="1004"/>
      <c r="EI168" s="1004"/>
      <c r="EJ168" s="1004"/>
      <c r="EK168" s="1004"/>
      <c r="EL168" s="1004"/>
      <c r="EM168" s="1004"/>
      <c r="EN168" s="1004"/>
      <c r="EO168" s="1004"/>
      <c r="EP168" s="1004"/>
      <c r="EQ168" s="1004"/>
      <c r="ER168" s="1004"/>
      <c r="ES168" s="1004"/>
      <c r="ET168" s="1004"/>
      <c r="EU168" s="1004"/>
      <c r="EV168" s="1004"/>
      <c r="EW168" s="1004"/>
      <c r="EX168" s="1004"/>
      <c r="EY168" s="1004"/>
      <c r="EZ168" s="1004"/>
      <c r="FA168" s="1004"/>
      <c r="FB168" s="1004"/>
      <c r="FC168" s="1004"/>
      <c r="FD168" s="1004"/>
      <c r="FE168" s="1004"/>
      <c r="FF168" s="1004"/>
      <c r="FG168" s="1004"/>
      <c r="FH168" s="1004"/>
      <c r="FI168" s="1004"/>
      <c r="FJ168" s="1004"/>
      <c r="FK168" s="1004"/>
      <c r="FL168" s="1004"/>
      <c r="FM168" s="1004"/>
      <c r="FN168" s="1004"/>
      <c r="FO168" s="1004"/>
      <c r="FP168" s="1004"/>
      <c r="FQ168" s="1004"/>
      <c r="FR168" s="1004"/>
      <c r="FS168" s="1004"/>
      <c r="FT168" s="1004"/>
      <c r="FU168" s="1004"/>
      <c r="FV168" s="1004"/>
      <c r="FW168" s="1004"/>
      <c r="FX168" s="1004"/>
      <c r="FY168" s="1004"/>
      <c r="FZ168" s="1004"/>
      <c r="GA168" s="1004"/>
      <c r="GB168" s="1004"/>
      <c r="GC168" s="1004"/>
      <c r="GD168" s="1004"/>
      <c r="GE168" s="1004"/>
      <c r="GF168" s="1004"/>
      <c r="GG168" s="1004"/>
      <c r="GH168" s="1004"/>
      <c r="GI168" s="1004"/>
      <c r="GJ168" s="1004"/>
      <c r="GK168" s="1004"/>
      <c r="GL168" s="1004"/>
      <c r="GM168" s="1004"/>
      <c r="GN168" s="1004"/>
      <c r="GO168" s="1004"/>
      <c r="GP168" s="1004"/>
      <c r="GQ168" s="1004"/>
      <c r="GR168" s="1004"/>
      <c r="GS168" s="1004"/>
      <c r="GT168" s="1004"/>
      <c r="GU168" s="1004"/>
      <c r="GV168" s="1004"/>
      <c r="GW168" s="1004"/>
      <c r="GX168" s="1004"/>
      <c r="GY168" s="1004"/>
      <c r="GZ168" s="1004"/>
      <c r="HA168" s="1004"/>
      <c r="HB168" s="1004"/>
      <c r="HC168" s="1004"/>
      <c r="HD168" s="1004"/>
      <c r="HE168" s="1004"/>
      <c r="HF168" s="1004"/>
      <c r="HG168" s="1004"/>
      <c r="HH168" s="1004"/>
      <c r="HI168" s="1004"/>
      <c r="HJ168" s="1004"/>
      <c r="HK168" s="1004"/>
      <c r="HL168" s="1004"/>
      <c r="HM168" s="1004"/>
      <c r="HN168" s="1004"/>
      <c r="HO168" s="1004"/>
      <c r="HP168" s="1004"/>
      <c r="HQ168" s="1004"/>
      <c r="HR168" s="1004"/>
      <c r="HS168" s="1004"/>
      <c r="HT168" s="1004"/>
      <c r="HU168" s="1004"/>
      <c r="HV168" s="1004"/>
      <c r="HW168" s="1004"/>
      <c r="HX168" s="1004"/>
      <c r="HY168" s="1004"/>
      <c r="HZ168" s="1004"/>
      <c r="IA168" s="1004"/>
      <c r="IB168" s="1004"/>
      <c r="IC168" s="1004"/>
      <c r="ID168" s="1004"/>
      <c r="IE168" s="1004"/>
      <c r="IF168" s="1004"/>
      <c r="IG168" s="1004"/>
      <c r="IH168" s="1004"/>
      <c r="II168" s="1004"/>
      <c r="IJ168" s="1004"/>
      <c r="IK168" s="1004"/>
      <c r="IL168" s="1004"/>
      <c r="IM168" s="1004"/>
      <c r="IN168" s="1004"/>
      <c r="IO168" s="1004"/>
      <c r="IP168" s="1004"/>
      <c r="IQ168" s="1004"/>
      <c r="IR168" s="1004"/>
      <c r="IS168" s="1004"/>
      <c r="IT168" s="1004"/>
      <c r="IU168" s="1004"/>
      <c r="IV168" s="1004"/>
      <c r="IW168" s="1004"/>
      <c r="IX168" s="1004"/>
    </row>
    <row r="169" spans="66:258" ht="24.95" hidden="1" customHeight="1">
      <c r="BN169" s="982"/>
      <c r="BO169" s="982"/>
      <c r="BP169" s="982"/>
      <c r="BQ169" s="982"/>
      <c r="BR169" s="982"/>
      <c r="BS169" s="982"/>
      <c r="BT169" s="982"/>
      <c r="BU169" s="982"/>
      <c r="BV169" s="982"/>
      <c r="BW169" s="982"/>
      <c r="BX169" s="982"/>
      <c r="BY169" s="982"/>
      <c r="BZ169" s="982"/>
      <c r="CA169" s="982"/>
      <c r="CB169" s="982"/>
      <c r="CC169" s="982"/>
      <c r="CD169" s="982"/>
      <c r="CE169" s="982"/>
      <c r="CF169" s="982"/>
      <c r="CG169" s="982"/>
      <c r="CH169" s="982"/>
      <c r="CI169" s="982"/>
      <c r="CJ169" s="982"/>
      <c r="CK169" s="982"/>
      <c r="CL169" s="982"/>
      <c r="CM169" s="982"/>
      <c r="CN169" s="982"/>
      <c r="CO169" s="982"/>
      <c r="CP169" s="1030">
        <v>14</v>
      </c>
      <c r="CQ169" s="1027" t="s">
        <v>373</v>
      </c>
      <c r="CR169" s="1028">
        <v>0</v>
      </c>
      <c r="CS169" s="1028">
        <v>0</v>
      </c>
      <c r="CT169" s="1028">
        <v>0</v>
      </c>
      <c r="CU169" s="1029">
        <v>0</v>
      </c>
      <c r="CV169" s="1027" t="s">
        <v>318</v>
      </c>
      <c r="CW169" s="1028">
        <v>0</v>
      </c>
      <c r="CX169" s="1028">
        <v>0</v>
      </c>
      <c r="CY169" s="1028">
        <v>7</v>
      </c>
      <c r="CZ169" s="1029">
        <v>0</v>
      </c>
      <c r="DA169" s="1027" t="s">
        <v>373</v>
      </c>
      <c r="DB169" s="1028">
        <v>0</v>
      </c>
      <c r="DC169" s="1028">
        <v>0</v>
      </c>
      <c r="DD169" s="1028">
        <v>0</v>
      </c>
      <c r="DE169" s="1029">
        <v>0</v>
      </c>
      <c r="DF169" s="1004"/>
      <c r="DG169" s="1004"/>
      <c r="DH169" s="1004"/>
      <c r="DI169" s="1004"/>
      <c r="DJ169" s="1004"/>
      <c r="DK169" s="1004"/>
      <c r="DL169" s="1004"/>
      <c r="DM169" s="1004"/>
      <c r="DN169" s="1004"/>
      <c r="DO169" s="1004"/>
      <c r="DP169" s="1004"/>
      <c r="DQ169" s="1004"/>
      <c r="DR169" s="1004"/>
      <c r="DS169" s="1004"/>
      <c r="DT169" s="1004"/>
      <c r="DU169" s="1004"/>
      <c r="DV169" s="1004"/>
      <c r="DW169" s="1004"/>
      <c r="DX169" s="1004"/>
      <c r="DY169" s="1004"/>
      <c r="DZ169" s="1004"/>
      <c r="EA169" s="1004"/>
      <c r="EB169" s="1004"/>
      <c r="EC169" s="1004"/>
      <c r="ED169" s="1004"/>
      <c r="EE169" s="1004"/>
      <c r="EF169" s="1004"/>
      <c r="EG169" s="1004"/>
      <c r="EH169" s="1004"/>
      <c r="EI169" s="1004"/>
      <c r="EJ169" s="1004"/>
      <c r="EK169" s="1004"/>
      <c r="EL169" s="1004"/>
      <c r="EM169" s="1004"/>
      <c r="EN169" s="1004"/>
      <c r="EO169" s="1004"/>
      <c r="EP169" s="1004"/>
      <c r="EQ169" s="1004"/>
      <c r="ER169" s="1004"/>
      <c r="ES169" s="1004"/>
      <c r="ET169" s="1004"/>
      <c r="EU169" s="1004"/>
      <c r="EV169" s="1004"/>
      <c r="EW169" s="1004"/>
      <c r="EX169" s="1004"/>
      <c r="EY169" s="1004"/>
      <c r="EZ169" s="1004"/>
      <c r="FA169" s="1004"/>
      <c r="FB169" s="1004"/>
      <c r="FC169" s="1004"/>
      <c r="FD169" s="1004"/>
      <c r="FE169" s="1004"/>
      <c r="FF169" s="1004"/>
      <c r="FG169" s="1004"/>
      <c r="FH169" s="1004"/>
      <c r="FI169" s="1004"/>
      <c r="FJ169" s="1004"/>
      <c r="FK169" s="1004"/>
      <c r="FL169" s="1004"/>
      <c r="FM169" s="1004"/>
      <c r="FN169" s="1004"/>
      <c r="FO169" s="1004"/>
      <c r="FP169" s="1004"/>
      <c r="FQ169" s="1004"/>
      <c r="FR169" s="1004"/>
      <c r="FS169" s="1004"/>
      <c r="FT169" s="1004"/>
      <c r="FU169" s="1004"/>
      <c r="FV169" s="1004"/>
      <c r="FW169" s="1004"/>
      <c r="FX169" s="1004"/>
      <c r="FY169" s="1004"/>
      <c r="FZ169" s="1004"/>
      <c r="GA169" s="1004"/>
      <c r="GB169" s="1004"/>
      <c r="GC169" s="1004"/>
      <c r="GD169" s="1004"/>
      <c r="GE169" s="1004"/>
      <c r="GF169" s="1004"/>
      <c r="GG169" s="1004"/>
      <c r="GH169" s="1004"/>
      <c r="GI169" s="1004"/>
      <c r="GJ169" s="1004"/>
      <c r="GK169" s="1004"/>
      <c r="GL169" s="1004"/>
      <c r="GM169" s="1004"/>
      <c r="GN169" s="1004"/>
      <c r="GO169" s="1004"/>
      <c r="GP169" s="1004"/>
      <c r="GQ169" s="1004"/>
      <c r="GR169" s="1004"/>
      <c r="GS169" s="1004"/>
      <c r="GT169" s="1004"/>
      <c r="GU169" s="1004"/>
      <c r="GV169" s="1004"/>
      <c r="GW169" s="1004"/>
      <c r="GX169" s="1004"/>
      <c r="GY169" s="1004"/>
      <c r="GZ169" s="1004"/>
      <c r="HA169" s="1004"/>
      <c r="HB169" s="1004"/>
      <c r="HC169" s="1004"/>
      <c r="HD169" s="1004"/>
      <c r="HE169" s="1004"/>
      <c r="HF169" s="1004"/>
      <c r="HG169" s="1004"/>
      <c r="HH169" s="1004"/>
      <c r="HI169" s="1004"/>
      <c r="HJ169" s="1004"/>
      <c r="HK169" s="1004"/>
      <c r="HL169" s="1004"/>
      <c r="HM169" s="1004"/>
      <c r="HN169" s="1004"/>
      <c r="HO169" s="1004"/>
      <c r="HP169" s="1004"/>
      <c r="HQ169" s="1004"/>
      <c r="HR169" s="1004"/>
      <c r="HS169" s="1004"/>
      <c r="HT169" s="1004"/>
      <c r="HU169" s="1004"/>
      <c r="HV169" s="1004"/>
      <c r="HW169" s="1004"/>
      <c r="HX169" s="1004"/>
      <c r="HY169" s="1004"/>
      <c r="HZ169" s="1004"/>
      <c r="IA169" s="1004"/>
      <c r="IB169" s="1004"/>
      <c r="IC169" s="1004"/>
      <c r="ID169" s="1004"/>
      <c r="IE169" s="1004"/>
      <c r="IF169" s="1004"/>
      <c r="IG169" s="1004"/>
      <c r="IH169" s="1004"/>
      <c r="II169" s="1004"/>
      <c r="IJ169" s="1004"/>
      <c r="IK169" s="1004"/>
      <c r="IL169" s="1004"/>
      <c r="IM169" s="1004"/>
      <c r="IN169" s="1004"/>
      <c r="IO169" s="1004"/>
      <c r="IP169" s="1004"/>
      <c r="IQ169" s="1004"/>
      <c r="IR169" s="1004"/>
      <c r="IS169" s="1004"/>
      <c r="IT169" s="1004"/>
      <c r="IU169" s="1004"/>
      <c r="IV169" s="1004"/>
      <c r="IW169" s="1004"/>
      <c r="IX169" s="1004"/>
    </row>
    <row r="170" spans="66:258" ht="24.95" hidden="1" customHeight="1" thickBot="1">
      <c r="BN170" s="982"/>
      <c r="BO170" s="982"/>
      <c r="BP170" s="982"/>
      <c r="BQ170" s="982"/>
      <c r="BR170" s="982"/>
      <c r="BS170" s="982"/>
      <c r="BT170" s="982"/>
      <c r="BU170" s="982"/>
      <c r="BV170" s="982"/>
      <c r="BW170" s="982"/>
      <c r="BX170" s="982"/>
      <c r="BY170" s="982"/>
      <c r="BZ170" s="982"/>
      <c r="CA170" s="982"/>
      <c r="CB170" s="982"/>
      <c r="CC170" s="982"/>
      <c r="CD170" s="982"/>
      <c r="CE170" s="982"/>
      <c r="CF170" s="982"/>
      <c r="CG170" s="982"/>
      <c r="CH170" s="982"/>
      <c r="CI170" s="982"/>
      <c r="CJ170" s="982"/>
      <c r="CK170" s="982"/>
      <c r="CL170" s="982"/>
      <c r="CM170" s="982"/>
      <c r="CN170" s="982"/>
      <c r="CO170" s="982"/>
      <c r="CP170" s="1030">
        <v>15</v>
      </c>
      <c r="CQ170" s="1027" t="s">
        <v>373</v>
      </c>
      <c r="CR170" s="1028">
        <v>0</v>
      </c>
      <c r="CS170" s="1028">
        <v>0</v>
      </c>
      <c r="CT170" s="1028">
        <v>0</v>
      </c>
      <c r="CU170" s="1029">
        <v>0</v>
      </c>
      <c r="CV170" s="1027" t="s">
        <v>319</v>
      </c>
      <c r="CW170" s="1028">
        <v>0</v>
      </c>
      <c r="CX170" s="1028">
        <v>0</v>
      </c>
      <c r="CY170" s="1028">
        <v>28</v>
      </c>
      <c r="CZ170" s="1029">
        <v>0</v>
      </c>
      <c r="DA170" s="1027" t="s">
        <v>373</v>
      </c>
      <c r="DB170" s="1028">
        <v>0</v>
      </c>
      <c r="DC170" s="1028">
        <v>0</v>
      </c>
      <c r="DD170" s="1028">
        <v>0</v>
      </c>
      <c r="DE170" s="1029">
        <v>0</v>
      </c>
      <c r="DF170" s="1004"/>
      <c r="DG170" s="1004"/>
      <c r="DH170" s="1004"/>
      <c r="DI170" s="1004"/>
      <c r="DJ170" s="1004"/>
      <c r="DK170" s="1004"/>
      <c r="DL170" s="1004"/>
      <c r="DM170" s="1004"/>
      <c r="DN170" s="1004"/>
      <c r="DO170" s="1004"/>
      <c r="DP170" s="1004"/>
      <c r="DQ170" s="1004"/>
      <c r="DR170" s="1004"/>
      <c r="DS170" s="1004"/>
      <c r="DT170" s="1004"/>
      <c r="DU170" s="1004"/>
      <c r="DV170" s="1004"/>
      <c r="DW170" s="1004"/>
      <c r="DX170" s="1004"/>
      <c r="DY170" s="1004"/>
      <c r="DZ170" s="1004"/>
      <c r="EA170" s="1004"/>
      <c r="EB170" s="1004"/>
      <c r="EC170" s="1004"/>
      <c r="ED170" s="1004"/>
      <c r="EE170" s="1004"/>
      <c r="EF170" s="1004"/>
      <c r="EG170" s="1004"/>
      <c r="EH170" s="1004"/>
      <c r="EI170" s="1004"/>
      <c r="EJ170" s="1004"/>
      <c r="EK170" s="1004"/>
      <c r="EL170" s="1004"/>
      <c r="EM170" s="1004"/>
      <c r="EN170" s="1004"/>
      <c r="EO170" s="1004"/>
      <c r="EP170" s="1004"/>
      <c r="EQ170" s="1004"/>
      <c r="ER170" s="1004"/>
      <c r="ES170" s="1004"/>
      <c r="ET170" s="1004"/>
      <c r="EU170" s="1004"/>
      <c r="EV170" s="1004"/>
      <c r="EW170" s="1004"/>
      <c r="EX170" s="1004"/>
      <c r="EY170" s="1004"/>
      <c r="EZ170" s="1004"/>
      <c r="FA170" s="1004"/>
      <c r="FB170" s="1004"/>
      <c r="FC170" s="1004"/>
      <c r="FD170" s="1004"/>
      <c r="FE170" s="1004"/>
      <c r="FF170" s="1004"/>
      <c r="FG170" s="1004"/>
      <c r="FH170" s="1004"/>
      <c r="FI170" s="1004"/>
      <c r="FJ170" s="1004"/>
      <c r="FK170" s="1004"/>
      <c r="FL170" s="1004"/>
      <c r="FM170" s="1004"/>
      <c r="FN170" s="1004"/>
      <c r="FO170" s="1004"/>
      <c r="FP170" s="1004"/>
      <c r="FQ170" s="1004"/>
      <c r="FR170" s="1004"/>
      <c r="FS170" s="1004"/>
      <c r="FT170" s="1004"/>
      <c r="FU170" s="1004"/>
      <c r="FV170" s="1004"/>
      <c r="FW170" s="1004"/>
      <c r="FX170" s="1004"/>
      <c r="FY170" s="1004"/>
      <c r="FZ170" s="1004"/>
      <c r="GA170" s="1004"/>
      <c r="GB170" s="1004"/>
      <c r="GC170" s="1004"/>
      <c r="GD170" s="1004"/>
      <c r="GE170" s="1004"/>
      <c r="GF170" s="1004"/>
      <c r="GG170" s="1004"/>
      <c r="GH170" s="1004"/>
      <c r="GI170" s="1004"/>
      <c r="GJ170" s="1004"/>
      <c r="GK170" s="1004"/>
      <c r="GL170" s="1004"/>
      <c r="GM170" s="1004"/>
      <c r="GN170" s="1004"/>
      <c r="GO170" s="1004"/>
      <c r="GP170" s="1004"/>
      <c r="GQ170" s="1004"/>
      <c r="GR170" s="1004"/>
      <c r="GS170" s="1004"/>
      <c r="GT170" s="1004"/>
      <c r="GU170" s="1004"/>
      <c r="GV170" s="1004"/>
      <c r="GW170" s="1004"/>
      <c r="GX170" s="1004"/>
      <c r="GY170" s="1004"/>
      <c r="GZ170" s="1004"/>
      <c r="HA170" s="1004"/>
      <c r="HB170" s="1004"/>
      <c r="HC170" s="1004"/>
      <c r="HD170" s="1004"/>
      <c r="HE170" s="1004"/>
      <c r="HF170" s="1004"/>
      <c r="HG170" s="1004"/>
      <c r="HH170" s="1004"/>
      <c r="HI170" s="1004"/>
      <c r="HJ170" s="1004"/>
      <c r="HK170" s="1004"/>
      <c r="HL170" s="1004"/>
      <c r="HM170" s="1004"/>
      <c r="HN170" s="1004"/>
      <c r="HO170" s="1004"/>
      <c r="HP170" s="1004"/>
      <c r="HQ170" s="1004"/>
      <c r="HR170" s="1004"/>
      <c r="HS170" s="1004"/>
      <c r="HT170" s="1004"/>
      <c r="HU170" s="1004"/>
      <c r="HV170" s="1004"/>
      <c r="HW170" s="1004"/>
      <c r="HX170" s="1004"/>
      <c r="HY170" s="1004"/>
      <c r="HZ170" s="1004"/>
      <c r="IA170" s="1004"/>
      <c r="IB170" s="1004"/>
      <c r="IC170" s="1004"/>
      <c r="ID170" s="1004"/>
      <c r="IE170" s="1004"/>
      <c r="IF170" s="1004"/>
      <c r="IG170" s="1004"/>
      <c r="IH170" s="1004"/>
      <c r="II170" s="1004"/>
      <c r="IJ170" s="1004"/>
      <c r="IK170" s="1004"/>
      <c r="IL170" s="1004"/>
      <c r="IM170" s="1004"/>
      <c r="IN170" s="1004"/>
      <c r="IO170" s="1004"/>
      <c r="IP170" s="1004"/>
      <c r="IQ170" s="1004"/>
      <c r="IR170" s="1004"/>
      <c r="IS170" s="1004"/>
      <c r="IT170" s="1004"/>
      <c r="IU170" s="1004"/>
      <c r="IV170" s="1004"/>
      <c r="IW170" s="1004"/>
      <c r="IX170" s="1004"/>
    </row>
    <row r="171" spans="66:258" ht="24.95" hidden="1" customHeight="1" thickBot="1">
      <c r="BN171" s="982"/>
      <c r="BO171" s="982"/>
      <c r="BP171" s="982"/>
      <c r="BQ171" s="982"/>
      <c r="BR171" s="982"/>
      <c r="BS171" s="982"/>
      <c r="BT171" s="982"/>
      <c r="BU171" s="982"/>
      <c r="BV171" s="982"/>
      <c r="BW171" s="982"/>
      <c r="BX171" s="982"/>
      <c r="BY171" s="982"/>
      <c r="BZ171" s="982"/>
      <c r="CA171" s="982"/>
      <c r="CB171" s="982"/>
      <c r="CC171" s="982"/>
      <c r="CD171" s="982"/>
      <c r="CE171" s="982"/>
      <c r="CF171" s="982"/>
      <c r="CG171" s="982"/>
      <c r="CH171" s="982"/>
      <c r="CI171" s="982"/>
      <c r="CJ171" s="982"/>
      <c r="CK171" s="982"/>
      <c r="CL171" s="982"/>
      <c r="CM171" s="982"/>
      <c r="CN171" s="982"/>
      <c r="CO171" s="982"/>
      <c r="CP171" s="1032"/>
      <c r="CQ171" s="1033" t="s">
        <v>3</v>
      </c>
      <c r="CR171" s="1034">
        <v>0</v>
      </c>
      <c r="CS171" s="1034">
        <v>80</v>
      </c>
      <c r="CT171" s="1034">
        <v>0</v>
      </c>
      <c r="CU171" s="1035">
        <v>0</v>
      </c>
      <c r="CV171" s="1033" t="s">
        <v>3</v>
      </c>
      <c r="CW171" s="1034">
        <v>23</v>
      </c>
      <c r="CX171" s="1034">
        <v>16</v>
      </c>
      <c r="CY171" s="1034">
        <v>148</v>
      </c>
      <c r="CZ171" s="1035">
        <v>0</v>
      </c>
      <c r="DA171" s="1033" t="s">
        <v>3</v>
      </c>
      <c r="DB171" s="1034">
        <v>0</v>
      </c>
      <c r="DC171" s="1034">
        <v>0</v>
      </c>
      <c r="DD171" s="1034">
        <v>12</v>
      </c>
      <c r="DE171" s="1035">
        <v>13</v>
      </c>
      <c r="DF171" s="1004"/>
      <c r="DG171" s="1004"/>
      <c r="DH171" s="1004"/>
      <c r="DI171" s="1004"/>
      <c r="DJ171" s="1004"/>
      <c r="DK171" s="1004"/>
      <c r="DL171" s="1004"/>
      <c r="DM171" s="1004"/>
      <c r="DN171" s="1004"/>
      <c r="DO171" s="1004"/>
      <c r="DP171" s="1004"/>
      <c r="DQ171" s="1004"/>
      <c r="DR171" s="1004"/>
      <c r="DS171" s="1004"/>
      <c r="DT171" s="1004"/>
      <c r="DU171" s="1004"/>
      <c r="DV171" s="1004"/>
      <c r="DW171" s="1004"/>
      <c r="DX171" s="1004"/>
      <c r="DY171" s="1004"/>
      <c r="DZ171" s="1004"/>
      <c r="EA171" s="1004"/>
      <c r="EB171" s="1004"/>
      <c r="EC171" s="1004"/>
      <c r="ED171" s="1004"/>
      <c r="EE171" s="1004"/>
      <c r="EF171" s="1004"/>
      <c r="EG171" s="1004"/>
      <c r="EH171" s="1004"/>
      <c r="EI171" s="1004"/>
      <c r="EJ171" s="1004"/>
      <c r="EK171" s="1004"/>
      <c r="EL171" s="1004"/>
      <c r="EM171" s="1004"/>
      <c r="EN171" s="1004"/>
      <c r="EO171" s="1004"/>
      <c r="EP171" s="1004"/>
      <c r="EQ171" s="1004"/>
      <c r="ER171" s="1004"/>
      <c r="ES171" s="1004"/>
      <c r="ET171" s="1004"/>
      <c r="EU171" s="1004"/>
      <c r="EV171" s="1004"/>
      <c r="EW171" s="1004"/>
      <c r="EX171" s="1004"/>
      <c r="EY171" s="1004"/>
      <c r="EZ171" s="1004"/>
      <c r="FA171" s="1004"/>
      <c r="FB171" s="1004"/>
      <c r="FC171" s="1004"/>
      <c r="FD171" s="1004"/>
      <c r="FE171" s="1004"/>
      <c r="FF171" s="1004"/>
      <c r="FG171" s="1004"/>
      <c r="FH171" s="1004"/>
      <c r="FI171" s="1004"/>
      <c r="FJ171" s="1004"/>
      <c r="FK171" s="1004"/>
      <c r="FL171" s="1004"/>
      <c r="FM171" s="1004"/>
      <c r="FN171" s="1004"/>
      <c r="FO171" s="1004"/>
      <c r="FP171" s="1004"/>
      <c r="FQ171" s="1004"/>
      <c r="FR171" s="1004"/>
      <c r="FS171" s="1004"/>
      <c r="FT171" s="1004"/>
      <c r="FU171" s="1004"/>
      <c r="FV171" s="1004"/>
      <c r="FW171" s="1004"/>
      <c r="FX171" s="1004"/>
      <c r="FY171" s="1004"/>
      <c r="FZ171" s="1004"/>
      <c r="GA171" s="1004"/>
      <c r="GB171" s="1004"/>
      <c r="GC171" s="1004"/>
      <c r="GD171" s="1004"/>
      <c r="GE171" s="1004"/>
      <c r="GF171" s="1004"/>
      <c r="GG171" s="1004"/>
      <c r="GH171" s="1004"/>
      <c r="GI171" s="1004"/>
      <c r="GJ171" s="1004"/>
      <c r="GK171" s="1004"/>
      <c r="GL171" s="1004"/>
      <c r="GM171" s="1004"/>
      <c r="GN171" s="1004"/>
      <c r="GO171" s="1004"/>
      <c r="GP171" s="1004"/>
      <c r="GQ171" s="1004"/>
      <c r="GR171" s="1004"/>
      <c r="GS171" s="1004"/>
      <c r="GT171" s="1004"/>
      <c r="GU171" s="1004"/>
      <c r="GV171" s="1004"/>
      <c r="GW171" s="1004"/>
      <c r="GX171" s="1004"/>
      <c r="GY171" s="1004"/>
      <c r="GZ171" s="1004"/>
      <c r="HA171" s="1004"/>
      <c r="HB171" s="1004"/>
      <c r="HC171" s="1004"/>
      <c r="HD171" s="1004"/>
      <c r="HE171" s="1004"/>
      <c r="HF171" s="1004"/>
      <c r="HG171" s="1004"/>
      <c r="HH171" s="1004"/>
      <c r="HI171" s="1004"/>
      <c r="HJ171" s="1004"/>
      <c r="HK171" s="1004"/>
      <c r="HL171" s="1004"/>
      <c r="HM171" s="1004"/>
      <c r="HN171" s="1004"/>
      <c r="HO171" s="1004"/>
      <c r="HP171" s="1004"/>
      <c r="HQ171" s="1004"/>
      <c r="HR171" s="1004"/>
      <c r="HS171" s="1004"/>
      <c r="HT171" s="1004"/>
      <c r="HU171" s="1004"/>
      <c r="HV171" s="1004"/>
      <c r="HW171" s="1004"/>
      <c r="HX171" s="1004"/>
      <c r="HY171" s="1004"/>
      <c r="HZ171" s="1004"/>
      <c r="IA171" s="1004"/>
      <c r="IB171" s="1004"/>
      <c r="IC171" s="1004"/>
      <c r="ID171" s="1004"/>
      <c r="IE171" s="1004"/>
      <c r="IF171" s="1004"/>
      <c r="IG171" s="1004"/>
      <c r="IH171" s="1004"/>
      <c r="II171" s="1004"/>
      <c r="IJ171" s="1004"/>
      <c r="IK171" s="1004"/>
      <c r="IL171" s="1004"/>
      <c r="IM171" s="1004"/>
      <c r="IN171" s="1004"/>
      <c r="IO171" s="1004"/>
      <c r="IP171" s="1004"/>
      <c r="IQ171" s="1004"/>
      <c r="IR171" s="1004"/>
      <c r="IS171" s="1004"/>
      <c r="IT171" s="1004"/>
      <c r="IU171" s="1004"/>
      <c r="IV171" s="1004"/>
      <c r="IW171" s="1004"/>
      <c r="IX171" s="1004"/>
    </row>
    <row r="172" spans="66:258" s="982" customFormat="1" ht="15" hidden="1" customHeight="1">
      <c r="DH172" s="1004"/>
      <c r="DI172" s="1004"/>
      <c r="DK172" s="1004"/>
      <c r="DM172" s="1004"/>
      <c r="DO172" s="1004"/>
      <c r="DQ172" s="1004"/>
      <c r="DS172" s="1004"/>
      <c r="DU172" s="1004"/>
      <c r="DW172" s="1004"/>
      <c r="DY172" s="1004"/>
      <c r="EA172" s="1004"/>
      <c r="EC172" s="1004"/>
      <c r="ED172" s="1004"/>
      <c r="EF172" s="1004"/>
      <c r="EH172" s="1004"/>
      <c r="EJ172" s="1004"/>
      <c r="EL172" s="1004"/>
      <c r="EN172" s="1004"/>
      <c r="EP172" s="1004"/>
      <c r="ER172" s="1004"/>
      <c r="ET172" s="1004"/>
      <c r="EV172" s="1004"/>
      <c r="EX172" s="1004"/>
      <c r="EY172" s="1004"/>
      <c r="FA172" s="1004"/>
      <c r="FC172" s="1004"/>
      <c r="FE172" s="1004"/>
      <c r="FG172" s="1004"/>
      <c r="FI172" s="1004"/>
      <c r="FK172" s="1004"/>
      <c r="FM172" s="1004"/>
      <c r="FO172" s="1004"/>
      <c r="FQ172" s="1004"/>
      <c r="FS172" s="1004"/>
      <c r="FT172" s="1004"/>
      <c r="FV172" s="1004"/>
      <c r="FX172" s="1004"/>
      <c r="FZ172" s="1004"/>
      <c r="GB172" s="1004"/>
      <c r="GD172" s="1004"/>
      <c r="GF172" s="1004"/>
      <c r="GH172" s="1004"/>
      <c r="GJ172" s="1004"/>
      <c r="GL172" s="1004"/>
      <c r="GN172" s="1004"/>
      <c r="GO172" s="1004"/>
      <c r="GQ172" s="1004"/>
      <c r="GS172" s="1004"/>
      <c r="GU172" s="1004"/>
      <c r="GW172" s="1004"/>
      <c r="GY172" s="1004"/>
      <c r="HA172" s="1004"/>
      <c r="HC172" s="1004"/>
      <c r="HE172" s="1004"/>
      <c r="HG172" s="1004"/>
      <c r="HI172" s="1004"/>
      <c r="HJ172" s="1004"/>
      <c r="HL172" s="1004"/>
      <c r="HN172" s="1004"/>
      <c r="HP172" s="1004"/>
      <c r="HR172" s="1004"/>
      <c r="HT172" s="1004"/>
      <c r="HV172" s="1004"/>
      <c r="HX172" s="1004"/>
      <c r="HZ172" s="1004"/>
      <c r="IB172" s="1004"/>
      <c r="ID172" s="1004"/>
      <c r="IE172" s="1004"/>
      <c r="IG172" s="1004"/>
      <c r="II172" s="1004"/>
      <c r="IK172" s="1004"/>
      <c r="IM172" s="1004"/>
      <c r="IO172" s="1004"/>
      <c r="IQ172" s="1004"/>
      <c r="IS172" s="1004"/>
      <c r="IU172" s="1004"/>
      <c r="IW172" s="1004"/>
    </row>
    <row r="173" spans="66:258" ht="15" hidden="1" customHeight="1">
      <c r="BN173" s="982"/>
      <c r="BO173" s="982"/>
      <c r="BP173" s="982"/>
      <c r="BQ173" s="982"/>
      <c r="BR173" s="982"/>
      <c r="BS173" s="982"/>
      <c r="BT173" s="982"/>
      <c r="BU173" s="982"/>
      <c r="BV173" s="982"/>
      <c r="BW173" s="982"/>
      <c r="BX173" s="982"/>
      <c r="BY173" s="982"/>
      <c r="BZ173" s="982"/>
      <c r="CA173" s="982"/>
      <c r="CB173" s="982"/>
      <c r="CC173" s="982"/>
      <c r="CD173" s="982"/>
      <c r="CE173" s="982"/>
      <c r="CF173" s="982"/>
      <c r="CG173" s="982"/>
      <c r="CH173" s="982"/>
      <c r="CI173" s="982"/>
      <c r="CJ173" s="982"/>
      <c r="CK173" s="982"/>
      <c r="CL173" s="982"/>
      <c r="CM173" s="982"/>
      <c r="CN173" s="982"/>
      <c r="CO173" s="982"/>
      <c r="CP173" s="982"/>
      <c r="CQ173" s="982"/>
      <c r="CR173" s="982"/>
      <c r="CS173" s="982"/>
      <c r="CT173" s="982"/>
      <c r="CU173" s="982"/>
      <c r="CV173" s="982"/>
      <c r="CW173" s="982"/>
      <c r="CX173" s="982"/>
      <c r="CY173" s="982"/>
      <c r="CZ173" s="982"/>
      <c r="DA173" s="982"/>
      <c r="DB173" s="982"/>
      <c r="DC173" s="982"/>
      <c r="DD173" s="982"/>
      <c r="DE173" s="982"/>
      <c r="DF173" s="982"/>
      <c r="DG173" s="982"/>
      <c r="DH173" s="982"/>
      <c r="DI173" s="982"/>
      <c r="DJ173" s="982"/>
      <c r="DK173" s="982"/>
      <c r="DL173" s="982"/>
      <c r="DM173" s="982"/>
      <c r="DN173" s="982"/>
      <c r="DO173" s="982"/>
      <c r="DP173" s="982"/>
      <c r="DQ173" s="982"/>
      <c r="DR173" s="982"/>
      <c r="DS173" s="982"/>
      <c r="DT173" s="982"/>
      <c r="DU173" s="982"/>
      <c r="DV173" s="982"/>
      <c r="DW173" s="982"/>
      <c r="DX173" s="982"/>
      <c r="DY173" s="982"/>
      <c r="DZ173" s="982"/>
      <c r="EA173" s="982"/>
      <c r="EB173" s="982"/>
      <c r="EC173" s="982"/>
      <c r="ED173" s="982"/>
      <c r="EE173" s="982"/>
      <c r="EF173" s="982"/>
      <c r="EG173" s="982"/>
      <c r="EH173" s="982"/>
      <c r="EI173" s="982"/>
      <c r="EJ173" s="982"/>
      <c r="EK173" s="982"/>
      <c r="EL173" s="982"/>
      <c r="EM173" s="982"/>
      <c r="EN173" s="982"/>
      <c r="EO173" s="982"/>
      <c r="EP173" s="982"/>
      <c r="EQ173" s="982"/>
      <c r="ER173" s="982"/>
      <c r="ES173" s="982"/>
      <c r="ET173" s="982"/>
      <c r="EU173" s="982"/>
      <c r="EV173" s="982"/>
      <c r="EW173" s="982"/>
      <c r="EX173" s="982"/>
      <c r="EY173" s="982"/>
      <c r="EZ173" s="982"/>
      <c r="FA173" s="982"/>
      <c r="FB173" s="982"/>
      <c r="FC173" s="982"/>
      <c r="FD173" s="982"/>
      <c r="FE173" s="982"/>
      <c r="FF173" s="982"/>
      <c r="FG173" s="982"/>
      <c r="FH173" s="982"/>
      <c r="FI173" s="982"/>
      <c r="FJ173" s="982"/>
      <c r="FK173" s="982"/>
      <c r="FL173" s="982"/>
      <c r="FM173" s="982"/>
      <c r="FN173" s="982"/>
      <c r="FO173" s="982"/>
      <c r="FP173" s="982"/>
      <c r="FQ173" s="982"/>
      <c r="FR173" s="982"/>
      <c r="FS173" s="982"/>
      <c r="FT173" s="982"/>
      <c r="FU173" s="982"/>
      <c r="FV173" s="982"/>
      <c r="FW173" s="982"/>
      <c r="FX173" s="982"/>
      <c r="FY173" s="982"/>
      <c r="FZ173" s="982"/>
      <c r="GA173" s="982"/>
      <c r="GB173" s="982"/>
      <c r="GC173" s="982"/>
      <c r="GD173" s="982"/>
      <c r="GE173" s="982"/>
      <c r="GF173" s="982"/>
      <c r="GG173" s="982"/>
      <c r="GH173" s="982"/>
      <c r="GI173" s="982"/>
      <c r="GJ173" s="982"/>
      <c r="GK173" s="982"/>
      <c r="GL173" s="982"/>
      <c r="GM173" s="982"/>
      <c r="GN173" s="982"/>
      <c r="GO173" s="982"/>
      <c r="GP173" s="982"/>
      <c r="GQ173" s="982"/>
      <c r="GR173" s="982"/>
      <c r="GS173" s="982"/>
      <c r="GT173" s="982"/>
      <c r="GU173" s="982"/>
      <c r="GV173" s="982"/>
      <c r="GW173" s="982"/>
      <c r="GX173" s="982"/>
      <c r="GY173" s="982"/>
      <c r="GZ173" s="982"/>
      <c r="HA173" s="982"/>
      <c r="HB173" s="982"/>
      <c r="HC173" s="982"/>
      <c r="HD173" s="982"/>
      <c r="HE173" s="982"/>
      <c r="HF173" s="982"/>
      <c r="HG173" s="982"/>
      <c r="HH173" s="982"/>
      <c r="HI173" s="982"/>
      <c r="HJ173" s="982"/>
      <c r="HK173" s="982"/>
      <c r="HL173" s="982"/>
      <c r="HM173" s="982"/>
      <c r="HN173" s="982"/>
      <c r="HO173" s="982"/>
      <c r="HP173" s="982"/>
      <c r="HQ173" s="982"/>
      <c r="HR173" s="982"/>
      <c r="HS173" s="982"/>
      <c r="HT173" s="982"/>
      <c r="HU173" s="982"/>
      <c r="HV173" s="982"/>
      <c r="HW173" s="982"/>
      <c r="HX173" s="982"/>
      <c r="HY173" s="982"/>
      <c r="HZ173" s="982"/>
      <c r="IA173" s="982"/>
      <c r="IB173" s="982"/>
      <c r="IC173" s="982"/>
      <c r="ID173" s="982"/>
      <c r="IE173" s="982"/>
      <c r="IF173" s="982"/>
      <c r="IG173" s="982"/>
      <c r="IH173" s="982"/>
      <c r="II173" s="982"/>
      <c r="IJ173" s="982"/>
      <c r="IK173" s="982"/>
      <c r="IL173" s="982"/>
      <c r="IM173" s="982"/>
      <c r="IN173" s="982"/>
      <c r="IO173" s="982"/>
      <c r="IP173" s="982"/>
      <c r="IQ173" s="982"/>
      <c r="IR173" s="982"/>
      <c r="IS173" s="982"/>
      <c r="IT173" s="982"/>
      <c r="IU173" s="982"/>
      <c r="IV173" s="982"/>
      <c r="IW173" s="982"/>
      <c r="IX173" s="982"/>
    </row>
    <row r="174" spans="66:258" ht="15" hidden="1" customHeight="1">
      <c r="BN174" s="982"/>
      <c r="BO174" s="982"/>
      <c r="BP174" s="982"/>
      <c r="BQ174" s="982"/>
      <c r="BR174" s="982"/>
      <c r="BS174" s="982"/>
      <c r="BT174" s="982"/>
      <c r="BU174" s="982"/>
      <c r="BV174" s="982"/>
      <c r="BW174" s="982"/>
      <c r="BX174" s="982"/>
      <c r="BY174" s="982"/>
      <c r="BZ174" s="982"/>
      <c r="CA174" s="982"/>
      <c r="CB174" s="982"/>
      <c r="CC174" s="982"/>
      <c r="CD174" s="982"/>
      <c r="CE174" s="982"/>
      <c r="CF174" s="982"/>
      <c r="CG174" s="982"/>
      <c r="CH174" s="982"/>
      <c r="CI174" s="982"/>
      <c r="CJ174" s="982"/>
      <c r="CK174" s="982"/>
      <c r="CL174" s="982"/>
      <c r="CM174" s="982"/>
      <c r="CN174" s="982"/>
      <c r="CO174" s="982"/>
      <c r="CP174" s="982"/>
      <c r="CQ174" s="982"/>
      <c r="CR174" s="982"/>
      <c r="CS174" s="982"/>
      <c r="CT174" s="982"/>
      <c r="CU174" s="982"/>
      <c r="CV174" s="982"/>
      <c r="CW174" s="982"/>
      <c r="CX174" s="982"/>
      <c r="CY174" s="982"/>
      <c r="CZ174" s="982"/>
      <c r="DA174" s="982"/>
      <c r="DB174" s="982"/>
      <c r="DC174" s="982"/>
      <c r="DD174" s="982"/>
      <c r="DE174" s="982"/>
      <c r="DF174" s="982"/>
      <c r="DG174" s="982"/>
      <c r="DH174" s="982"/>
      <c r="DI174" s="982"/>
      <c r="DJ174" s="982"/>
      <c r="DK174" s="982"/>
      <c r="DL174" s="982"/>
      <c r="DM174" s="982"/>
      <c r="DN174" s="982"/>
      <c r="DO174" s="982"/>
      <c r="DP174" s="982"/>
      <c r="DQ174" s="982"/>
      <c r="DR174" s="982"/>
      <c r="DS174" s="982"/>
      <c r="DT174" s="982"/>
      <c r="DU174" s="982"/>
      <c r="DV174" s="982"/>
      <c r="DW174" s="982"/>
      <c r="DX174" s="982"/>
      <c r="DY174" s="982"/>
      <c r="DZ174" s="982"/>
      <c r="EA174" s="982"/>
      <c r="EB174" s="982"/>
      <c r="EC174" s="982"/>
      <c r="ED174" s="982"/>
      <c r="EE174" s="982"/>
      <c r="EF174" s="982"/>
      <c r="EG174" s="982"/>
      <c r="EH174" s="982"/>
      <c r="EI174" s="982"/>
      <c r="EJ174" s="982"/>
      <c r="EK174" s="982"/>
      <c r="EL174" s="982"/>
      <c r="EM174" s="982"/>
      <c r="EN174" s="982"/>
      <c r="EO174" s="982"/>
      <c r="EP174" s="982"/>
      <c r="EQ174" s="982"/>
      <c r="ER174" s="982"/>
      <c r="ES174" s="982"/>
      <c r="ET174" s="982"/>
      <c r="EU174" s="982"/>
      <c r="EV174" s="982"/>
      <c r="EW174" s="982"/>
      <c r="EX174" s="982"/>
      <c r="EY174" s="982"/>
      <c r="EZ174" s="982"/>
      <c r="FA174" s="982"/>
      <c r="FB174" s="982"/>
      <c r="FC174" s="982"/>
      <c r="FD174" s="982"/>
      <c r="FE174" s="982"/>
      <c r="FF174" s="982"/>
      <c r="FG174" s="982"/>
      <c r="FH174" s="982"/>
      <c r="FI174" s="982"/>
      <c r="FJ174" s="982"/>
      <c r="FK174" s="982"/>
      <c r="FL174" s="982"/>
      <c r="FM174" s="982"/>
      <c r="FN174" s="982"/>
      <c r="FO174" s="982"/>
      <c r="FP174" s="982"/>
      <c r="FQ174" s="982"/>
      <c r="FR174" s="982"/>
      <c r="FS174" s="982"/>
      <c r="FT174" s="982"/>
      <c r="FU174" s="982"/>
      <c r="FV174" s="982"/>
      <c r="FW174" s="982"/>
      <c r="FX174" s="982"/>
      <c r="FY174" s="982"/>
      <c r="FZ174" s="982"/>
      <c r="GA174" s="982"/>
      <c r="GB174" s="982"/>
      <c r="GC174" s="982"/>
      <c r="GD174" s="982"/>
      <c r="GE174" s="982"/>
      <c r="GF174" s="982"/>
      <c r="GG174" s="982"/>
      <c r="GH174" s="982"/>
      <c r="GI174" s="982"/>
      <c r="GJ174" s="982"/>
      <c r="GK174" s="982"/>
      <c r="GL174" s="982"/>
      <c r="GM174" s="982"/>
      <c r="GN174" s="982"/>
      <c r="GO174" s="982"/>
      <c r="GP174" s="982"/>
      <c r="GQ174" s="982"/>
      <c r="GR174" s="982"/>
      <c r="GS174" s="982"/>
      <c r="GT174" s="982"/>
      <c r="GU174" s="982"/>
      <c r="GV174" s="982"/>
      <c r="GW174" s="982"/>
      <c r="GX174" s="982"/>
      <c r="GY174" s="982"/>
      <c r="GZ174" s="982"/>
      <c r="HA174" s="982"/>
      <c r="HB174" s="982"/>
      <c r="HC174" s="982"/>
      <c r="HD174" s="982"/>
      <c r="HE174" s="982"/>
      <c r="HF174" s="982"/>
      <c r="HG174" s="982"/>
      <c r="HH174" s="982"/>
      <c r="HI174" s="982"/>
      <c r="HJ174" s="982"/>
      <c r="HK174" s="982"/>
      <c r="HL174" s="982"/>
      <c r="HM174" s="982"/>
      <c r="HN174" s="982"/>
      <c r="HO174" s="982"/>
      <c r="HP174" s="982"/>
      <c r="HQ174" s="982"/>
      <c r="HR174" s="982"/>
      <c r="HS174" s="982"/>
      <c r="HT174" s="982"/>
      <c r="HU174" s="982"/>
      <c r="HV174" s="982"/>
      <c r="HW174" s="982"/>
      <c r="HX174" s="982"/>
      <c r="HY174" s="982"/>
      <c r="HZ174" s="982"/>
      <c r="IA174" s="982"/>
      <c r="IB174" s="982"/>
      <c r="IC174" s="982"/>
      <c r="ID174" s="982"/>
      <c r="IE174" s="982"/>
      <c r="IF174" s="982"/>
      <c r="IG174" s="982"/>
      <c r="IH174" s="982"/>
      <c r="II174" s="982"/>
      <c r="IJ174" s="982"/>
      <c r="IK174" s="982"/>
      <c r="IL174" s="982"/>
      <c r="IM174" s="982"/>
      <c r="IN174" s="982"/>
      <c r="IO174" s="982"/>
      <c r="IP174" s="982"/>
      <c r="IQ174" s="982"/>
      <c r="IR174" s="982"/>
      <c r="IS174" s="982"/>
      <c r="IT174" s="982"/>
      <c r="IU174" s="982"/>
      <c r="IV174" s="982"/>
      <c r="IW174" s="982"/>
      <c r="IX174" s="982"/>
    </row>
    <row r="175" spans="66:258" ht="20.100000000000001" hidden="1" customHeight="1">
      <c r="BN175" s="982"/>
      <c r="BO175" s="982"/>
      <c r="BP175" s="982"/>
      <c r="BQ175" s="982"/>
      <c r="BR175" s="982"/>
      <c r="BS175" s="982"/>
      <c r="BT175" s="982"/>
      <c r="BU175" s="982"/>
      <c r="BV175" s="982"/>
      <c r="BW175" s="982"/>
      <c r="BX175" s="982"/>
      <c r="BY175" s="982"/>
      <c r="BZ175" s="982"/>
      <c r="CA175" s="982"/>
      <c r="CB175" s="982"/>
      <c r="CC175" s="982"/>
      <c r="CD175" s="982"/>
      <c r="CE175" s="982"/>
      <c r="CF175" s="982"/>
      <c r="CG175" s="982"/>
      <c r="CH175" s="982"/>
      <c r="CI175" s="982"/>
      <c r="CJ175" s="982"/>
      <c r="CK175" s="982"/>
      <c r="CL175" s="982"/>
      <c r="CM175" s="982"/>
      <c r="CN175" s="982"/>
      <c r="CO175" s="982"/>
      <c r="CP175" s="982"/>
      <c r="CQ175" s="982"/>
      <c r="CR175" s="982"/>
      <c r="CS175" s="982"/>
      <c r="CT175" s="982"/>
      <c r="CU175" s="982"/>
      <c r="CV175" s="982"/>
      <c r="CW175" s="982"/>
      <c r="CX175" s="982"/>
      <c r="CY175" s="982"/>
      <c r="CZ175" s="982"/>
      <c r="DA175" s="982"/>
      <c r="DB175" s="982"/>
      <c r="DC175" s="982"/>
      <c r="DD175" s="982"/>
      <c r="DE175" s="982"/>
      <c r="DF175" s="982"/>
      <c r="DG175" s="983" t="s">
        <v>320</v>
      </c>
      <c r="DH175" s="982"/>
      <c r="DI175" s="982"/>
      <c r="DJ175" s="982"/>
      <c r="DK175" s="982"/>
      <c r="DL175" s="982"/>
      <c r="DM175" s="982"/>
      <c r="DN175" s="982"/>
      <c r="DO175" s="982"/>
      <c r="DP175" s="982"/>
      <c r="DQ175" s="982"/>
      <c r="DR175" s="982"/>
      <c r="DS175" s="982"/>
      <c r="DT175" s="982"/>
      <c r="DU175" s="982"/>
      <c r="DV175" s="982"/>
      <c r="DW175" s="982"/>
      <c r="DX175" s="982"/>
      <c r="DY175" s="982"/>
      <c r="DZ175" s="982"/>
      <c r="EA175" s="982"/>
      <c r="EB175" s="982"/>
      <c r="EC175" s="982"/>
      <c r="ED175" s="982"/>
      <c r="EE175" s="982"/>
      <c r="EF175" s="982"/>
      <c r="EG175" s="982"/>
      <c r="EH175" s="982"/>
      <c r="EI175" s="982"/>
      <c r="EJ175" s="982"/>
      <c r="EK175" s="982"/>
      <c r="EL175" s="982"/>
      <c r="EM175" s="982"/>
      <c r="EN175" s="982"/>
      <c r="EO175" s="982"/>
      <c r="EP175" s="982"/>
      <c r="EQ175" s="982"/>
      <c r="ER175" s="982"/>
      <c r="ES175" s="982"/>
      <c r="ET175" s="982"/>
      <c r="EU175" s="982"/>
      <c r="EV175" s="982"/>
      <c r="EW175" s="982"/>
      <c r="EX175" s="982"/>
      <c r="EY175" s="982"/>
      <c r="EZ175" s="982"/>
      <c r="FA175" s="982"/>
      <c r="FB175" s="982"/>
      <c r="FC175" s="982"/>
      <c r="FD175" s="982"/>
      <c r="FE175" s="982"/>
      <c r="FF175" s="982"/>
      <c r="FG175" s="982"/>
      <c r="FH175" s="982"/>
      <c r="FI175" s="982"/>
      <c r="FJ175" s="982"/>
      <c r="FK175" s="982"/>
      <c r="FL175" s="982"/>
      <c r="FM175" s="982"/>
      <c r="FN175" s="982"/>
      <c r="FO175" s="982"/>
      <c r="FP175" s="982"/>
      <c r="FQ175" s="982"/>
      <c r="FR175" s="982"/>
      <c r="FS175" s="982"/>
      <c r="FT175" s="982"/>
      <c r="FU175" s="982"/>
      <c r="FV175" s="982"/>
      <c r="FW175" s="982"/>
      <c r="FX175" s="982"/>
      <c r="FY175" s="982"/>
      <c r="FZ175" s="982"/>
      <c r="GA175" s="982"/>
      <c r="GB175" s="982"/>
      <c r="GC175" s="982"/>
      <c r="GD175" s="982"/>
      <c r="GE175" s="982"/>
      <c r="GF175" s="982"/>
      <c r="GG175" s="982"/>
      <c r="GH175" s="982"/>
      <c r="GI175" s="982"/>
      <c r="GJ175" s="982"/>
      <c r="GK175" s="982"/>
      <c r="GL175" s="982"/>
      <c r="GM175" s="982"/>
      <c r="GN175" s="982"/>
      <c r="GO175" s="982"/>
      <c r="GP175" s="982"/>
      <c r="GQ175" s="982"/>
      <c r="GR175" s="982"/>
      <c r="GS175" s="982"/>
      <c r="GT175" s="982"/>
      <c r="GU175" s="982"/>
      <c r="GV175" s="982"/>
      <c r="GW175" s="982"/>
      <c r="GX175" s="982"/>
      <c r="GY175" s="982"/>
      <c r="GZ175" s="982"/>
      <c r="HA175" s="982"/>
      <c r="HB175" s="982"/>
      <c r="HC175" s="982"/>
      <c r="HD175" s="982"/>
      <c r="HE175" s="982"/>
      <c r="HF175" s="982"/>
      <c r="HG175" s="982"/>
      <c r="HH175" s="982"/>
      <c r="HI175" s="982"/>
      <c r="HJ175" s="982"/>
      <c r="HK175" s="982"/>
      <c r="HL175" s="982"/>
      <c r="HM175" s="982"/>
      <c r="HN175" s="982"/>
      <c r="HO175" s="982"/>
      <c r="HP175" s="982"/>
      <c r="HQ175" s="982"/>
      <c r="HR175" s="982"/>
      <c r="HS175" s="982"/>
      <c r="HT175" s="982"/>
      <c r="HU175" s="982"/>
      <c r="HV175" s="982"/>
      <c r="HW175" s="982"/>
      <c r="HX175" s="982"/>
      <c r="HY175" s="982"/>
      <c r="HZ175" s="982"/>
      <c r="IA175" s="982"/>
      <c r="IB175" s="982"/>
      <c r="IC175" s="982"/>
      <c r="ID175" s="982"/>
      <c r="IE175" s="982"/>
      <c r="IF175" s="982"/>
      <c r="IG175" s="982"/>
      <c r="IH175" s="982"/>
      <c r="II175" s="982"/>
      <c r="IJ175" s="982"/>
      <c r="IK175" s="982"/>
      <c r="IL175" s="982"/>
      <c r="IM175" s="982"/>
      <c r="IN175" s="982"/>
      <c r="IO175" s="982"/>
      <c r="IP175" s="982"/>
      <c r="IQ175" s="982"/>
      <c r="IR175" s="982"/>
      <c r="IS175" s="982"/>
      <c r="IT175" s="982"/>
      <c r="IU175" s="982"/>
      <c r="IV175" s="982"/>
      <c r="IW175" s="982"/>
      <c r="IX175" s="982"/>
    </row>
    <row r="176" spans="66:258" ht="9.9499999999999993" hidden="1" customHeight="1" thickBot="1">
      <c r="BN176" s="982"/>
      <c r="BO176" s="982"/>
      <c r="BP176" s="982"/>
      <c r="BQ176" s="982"/>
      <c r="BR176" s="982"/>
      <c r="BS176" s="982"/>
      <c r="BT176" s="982"/>
      <c r="BU176" s="982"/>
      <c r="BV176" s="982"/>
      <c r="BW176" s="982"/>
      <c r="BX176" s="982"/>
      <c r="BY176" s="982"/>
      <c r="BZ176" s="982"/>
      <c r="CA176" s="982"/>
      <c r="CB176" s="982"/>
      <c r="CC176" s="982"/>
      <c r="CD176" s="982"/>
      <c r="CE176" s="982"/>
      <c r="CF176" s="982"/>
      <c r="CG176" s="982"/>
      <c r="CH176" s="982"/>
      <c r="CI176" s="982"/>
      <c r="CJ176" s="982"/>
      <c r="CK176" s="982"/>
      <c r="CL176" s="982"/>
      <c r="CM176" s="982"/>
      <c r="CN176" s="982"/>
      <c r="CO176" s="982"/>
      <c r="CP176" s="982"/>
      <c r="CQ176" s="982"/>
      <c r="CR176" s="982"/>
      <c r="CS176" s="982"/>
      <c r="CT176" s="982"/>
      <c r="CU176" s="982"/>
      <c r="CV176" s="982"/>
      <c r="CW176" s="982"/>
      <c r="CX176" s="982"/>
      <c r="CY176" s="982"/>
      <c r="CZ176" s="982"/>
      <c r="DA176" s="982"/>
      <c r="DB176" s="982"/>
      <c r="DC176" s="982"/>
      <c r="DD176" s="982"/>
      <c r="DE176" s="982"/>
      <c r="DF176" s="982"/>
      <c r="DG176" s="982"/>
      <c r="DH176" s="982"/>
      <c r="DI176" s="982"/>
      <c r="DJ176" s="982"/>
      <c r="DK176" s="982"/>
      <c r="DL176" s="982"/>
      <c r="DM176" s="982"/>
      <c r="DN176" s="982"/>
      <c r="DO176" s="982"/>
      <c r="DP176" s="982"/>
      <c r="DQ176" s="982"/>
      <c r="DR176" s="982"/>
      <c r="DS176" s="982"/>
      <c r="DT176" s="982"/>
      <c r="DU176" s="982"/>
      <c r="DV176" s="982"/>
      <c r="DW176" s="982"/>
      <c r="DX176" s="982"/>
      <c r="DY176" s="982"/>
      <c r="DZ176" s="982"/>
      <c r="EA176" s="982"/>
      <c r="EB176" s="982"/>
      <c r="EC176" s="982"/>
      <c r="ED176" s="982"/>
      <c r="EE176" s="982"/>
      <c r="EF176" s="982"/>
      <c r="EG176" s="982"/>
      <c r="EH176" s="982"/>
      <c r="EI176" s="982"/>
      <c r="EJ176" s="982"/>
      <c r="EK176" s="982"/>
      <c r="EL176" s="982"/>
      <c r="EM176" s="982"/>
      <c r="EN176" s="982"/>
      <c r="EO176" s="982"/>
      <c r="EP176" s="982"/>
      <c r="EQ176" s="982"/>
      <c r="ER176" s="982"/>
      <c r="ES176" s="982"/>
      <c r="ET176" s="982"/>
      <c r="EU176" s="982"/>
      <c r="EV176" s="982"/>
      <c r="EW176" s="982"/>
      <c r="EX176" s="982"/>
      <c r="EY176" s="982"/>
      <c r="EZ176" s="982"/>
      <c r="FA176" s="982"/>
      <c r="FB176" s="982"/>
      <c r="FC176" s="982"/>
      <c r="FD176" s="982"/>
      <c r="FE176" s="982"/>
      <c r="FF176" s="982"/>
      <c r="FG176" s="982"/>
      <c r="FH176" s="982"/>
      <c r="FI176" s="982"/>
      <c r="FJ176" s="982"/>
      <c r="FK176" s="982"/>
      <c r="FL176" s="982"/>
      <c r="FM176" s="982"/>
      <c r="FN176" s="982"/>
      <c r="FO176" s="982"/>
      <c r="FP176" s="982"/>
      <c r="FQ176" s="982"/>
      <c r="FR176" s="982"/>
      <c r="FS176" s="982"/>
      <c r="FT176" s="982"/>
      <c r="FU176" s="982"/>
      <c r="FV176" s="982"/>
      <c r="FW176" s="982"/>
      <c r="FX176" s="982"/>
      <c r="FY176" s="982"/>
      <c r="FZ176" s="982"/>
      <c r="GA176" s="982"/>
      <c r="GB176" s="982"/>
      <c r="GC176" s="982"/>
      <c r="GD176" s="982"/>
      <c r="GE176" s="982"/>
      <c r="GF176" s="982"/>
      <c r="GG176" s="982"/>
      <c r="GH176" s="982"/>
      <c r="GI176" s="982"/>
      <c r="GJ176" s="982"/>
      <c r="GK176" s="982"/>
      <c r="GL176" s="982"/>
      <c r="GM176" s="982"/>
      <c r="GN176" s="982"/>
      <c r="GO176" s="982"/>
      <c r="GP176" s="982"/>
      <c r="GQ176" s="982"/>
      <c r="GR176" s="982"/>
      <c r="GS176" s="982"/>
      <c r="GT176" s="982"/>
      <c r="GU176" s="982"/>
      <c r="GV176" s="982"/>
      <c r="GW176" s="982"/>
      <c r="GX176" s="982"/>
      <c r="GY176" s="982"/>
      <c r="GZ176" s="982"/>
      <c r="HA176" s="982"/>
      <c r="HB176" s="982"/>
      <c r="HC176" s="982"/>
      <c r="HD176" s="982"/>
      <c r="HE176" s="982"/>
      <c r="HF176" s="982"/>
      <c r="HG176" s="982"/>
      <c r="HH176" s="982"/>
      <c r="HI176" s="982"/>
      <c r="HJ176" s="982"/>
      <c r="HK176" s="982"/>
      <c r="HL176" s="982"/>
      <c r="HM176" s="982"/>
      <c r="HN176" s="982"/>
      <c r="HO176" s="982"/>
      <c r="HP176" s="982"/>
      <c r="HQ176" s="982"/>
      <c r="HR176" s="982"/>
      <c r="HS176" s="982"/>
      <c r="HT176" s="982"/>
      <c r="HU176" s="982"/>
      <c r="HV176" s="982"/>
      <c r="HW176" s="982"/>
      <c r="HX176" s="982"/>
      <c r="HY176" s="982"/>
      <c r="HZ176" s="982"/>
      <c r="IA176" s="982"/>
      <c r="IB176" s="982"/>
      <c r="IC176" s="982"/>
      <c r="ID176" s="982"/>
      <c r="IE176" s="982"/>
      <c r="IF176" s="982"/>
      <c r="IG176" s="982"/>
      <c r="IH176" s="982"/>
      <c r="II176" s="982"/>
      <c r="IJ176" s="982"/>
      <c r="IK176" s="982"/>
      <c r="IL176" s="982"/>
      <c r="IM176" s="982"/>
      <c r="IN176" s="982"/>
      <c r="IO176" s="982"/>
      <c r="IP176" s="982"/>
      <c r="IQ176" s="982"/>
      <c r="IR176" s="982"/>
      <c r="IS176" s="982"/>
      <c r="IT176" s="982"/>
      <c r="IU176" s="982"/>
      <c r="IV176" s="982"/>
      <c r="IW176" s="982"/>
      <c r="IX176" s="982"/>
    </row>
    <row r="177" spans="66:258" ht="30" hidden="1" customHeight="1">
      <c r="BN177" s="982"/>
      <c r="BO177" s="982"/>
      <c r="BP177" s="982"/>
      <c r="BQ177" s="982"/>
      <c r="BR177" s="982"/>
      <c r="BS177" s="982"/>
      <c r="BT177" s="982"/>
      <c r="BU177" s="982"/>
      <c r="BV177" s="982"/>
      <c r="BW177" s="982"/>
      <c r="BX177" s="982"/>
      <c r="BY177" s="982"/>
      <c r="BZ177" s="982"/>
      <c r="CA177" s="982"/>
      <c r="CB177" s="982"/>
      <c r="CC177" s="982"/>
      <c r="CD177" s="982"/>
      <c r="CE177" s="982"/>
      <c r="CF177" s="982"/>
      <c r="CG177" s="982"/>
      <c r="CH177" s="982"/>
      <c r="CI177" s="982"/>
      <c r="CJ177" s="982"/>
      <c r="CK177" s="982"/>
      <c r="CL177" s="982"/>
      <c r="CM177" s="982"/>
      <c r="CN177" s="982"/>
      <c r="CO177" s="982"/>
      <c r="CP177" s="982"/>
      <c r="CQ177" s="982"/>
      <c r="CR177" s="982"/>
      <c r="CS177" s="982"/>
      <c r="CT177" s="982"/>
      <c r="CU177" s="982"/>
      <c r="CV177" s="982"/>
      <c r="CW177" s="982"/>
      <c r="CX177" s="982"/>
      <c r="CY177" s="982"/>
      <c r="CZ177" s="982"/>
      <c r="DA177" s="982"/>
      <c r="DB177" s="982"/>
      <c r="DC177" s="982"/>
      <c r="DD177" s="982"/>
      <c r="DE177" s="982"/>
      <c r="DF177" s="982"/>
      <c r="DG177" s="1431"/>
      <c r="DH177" s="1930" t="s">
        <v>245</v>
      </c>
      <c r="DI177" s="1931"/>
      <c r="DJ177" s="1931"/>
      <c r="DK177" s="1931"/>
      <c r="DL177" s="1931"/>
      <c r="DM177" s="1931"/>
      <c r="DN177" s="1931"/>
      <c r="DO177" s="1931"/>
      <c r="DP177" s="1931"/>
      <c r="DQ177" s="1931"/>
      <c r="DR177" s="1931"/>
      <c r="DS177" s="1931"/>
      <c r="DT177" s="1931"/>
      <c r="DU177" s="1931"/>
      <c r="DV177" s="1931"/>
      <c r="DW177" s="1931"/>
      <c r="DX177" s="1931"/>
      <c r="DY177" s="1931"/>
      <c r="DZ177" s="1931"/>
      <c r="EA177" s="1931"/>
      <c r="EB177" s="1932"/>
      <c r="EC177" s="1936" t="s">
        <v>247</v>
      </c>
      <c r="ED177" s="1931"/>
      <c r="EE177" s="1931"/>
      <c r="EF177" s="1931"/>
      <c r="EG177" s="1931"/>
      <c r="EH177" s="1931"/>
      <c r="EI177" s="1931"/>
      <c r="EJ177" s="1931"/>
      <c r="EK177" s="1931"/>
      <c r="EL177" s="1931"/>
      <c r="EM177" s="1931"/>
      <c r="EN177" s="1931"/>
      <c r="EO177" s="1931"/>
      <c r="EP177" s="1931"/>
      <c r="EQ177" s="1931"/>
      <c r="ER177" s="1931"/>
      <c r="ES177" s="1931"/>
      <c r="ET177" s="1931"/>
      <c r="EU177" s="1931"/>
      <c r="EV177" s="1931"/>
      <c r="EW177" s="1932"/>
      <c r="EX177" s="1931" t="s">
        <v>61</v>
      </c>
      <c r="EY177" s="1931"/>
      <c r="EZ177" s="1931"/>
      <c r="FA177" s="1931"/>
      <c r="FB177" s="1931"/>
      <c r="FC177" s="1931"/>
      <c r="FD177" s="1931"/>
      <c r="FE177" s="1931"/>
      <c r="FF177" s="1931"/>
      <c r="FG177" s="1931"/>
      <c r="FH177" s="1931"/>
      <c r="FI177" s="1931"/>
      <c r="FJ177" s="1931"/>
      <c r="FK177" s="1931"/>
      <c r="FL177" s="1931"/>
      <c r="FM177" s="1931"/>
      <c r="FN177" s="1931"/>
      <c r="FO177" s="1931"/>
      <c r="FP177" s="1931"/>
      <c r="FQ177" s="1931"/>
      <c r="FR177" s="1932"/>
      <c r="FS177" s="1930" t="s">
        <v>62</v>
      </c>
      <c r="FT177" s="1931"/>
      <c r="FU177" s="1931"/>
      <c r="FV177" s="1931"/>
      <c r="FW177" s="1931"/>
      <c r="FX177" s="1931"/>
      <c r="FY177" s="1931"/>
      <c r="FZ177" s="1931"/>
      <c r="GA177" s="1931"/>
      <c r="GB177" s="1931"/>
      <c r="GC177" s="1931"/>
      <c r="GD177" s="1931"/>
      <c r="GE177" s="1931"/>
      <c r="GF177" s="1931"/>
      <c r="GG177" s="1931"/>
      <c r="GH177" s="1931"/>
      <c r="GI177" s="1931"/>
      <c r="GJ177" s="1931"/>
      <c r="GK177" s="1931"/>
      <c r="GL177" s="1931"/>
      <c r="GM177" s="1932"/>
      <c r="GN177" s="1930" t="s">
        <v>250</v>
      </c>
      <c r="GO177" s="1931"/>
      <c r="GP177" s="1931"/>
      <c r="GQ177" s="1931"/>
      <c r="GR177" s="1931"/>
      <c r="GS177" s="1931"/>
      <c r="GT177" s="1931"/>
      <c r="GU177" s="1931"/>
      <c r="GV177" s="1931"/>
      <c r="GW177" s="1931"/>
      <c r="GX177" s="1931"/>
      <c r="GY177" s="1931"/>
      <c r="GZ177" s="1931"/>
      <c r="HA177" s="1931"/>
      <c r="HB177" s="1931"/>
      <c r="HC177" s="1931"/>
      <c r="HD177" s="1931"/>
      <c r="HE177" s="1931"/>
      <c r="HF177" s="1931"/>
      <c r="HG177" s="1931"/>
      <c r="HH177" s="1932"/>
      <c r="HI177" s="1930" t="s">
        <v>65</v>
      </c>
      <c r="HJ177" s="1931"/>
      <c r="HK177" s="1931"/>
      <c r="HL177" s="1931"/>
      <c r="HM177" s="1931"/>
      <c r="HN177" s="1931"/>
      <c r="HO177" s="1931"/>
      <c r="HP177" s="1931"/>
      <c r="HQ177" s="1931"/>
      <c r="HR177" s="1931"/>
      <c r="HS177" s="1931"/>
      <c r="HT177" s="1931"/>
      <c r="HU177" s="1931"/>
      <c r="HV177" s="1931"/>
      <c r="HW177" s="1931"/>
      <c r="HX177" s="1931"/>
      <c r="HY177" s="1931"/>
      <c r="HZ177" s="1931"/>
      <c r="IA177" s="1931"/>
      <c r="IB177" s="1931"/>
      <c r="IC177" s="1932"/>
      <c r="ID177" s="1930" t="s">
        <v>257</v>
      </c>
      <c r="IE177" s="1931"/>
      <c r="IF177" s="1931"/>
      <c r="IG177" s="1931"/>
      <c r="IH177" s="1931"/>
      <c r="II177" s="1931"/>
      <c r="IJ177" s="1931"/>
      <c r="IK177" s="1931"/>
      <c r="IL177" s="1931"/>
      <c r="IM177" s="1931"/>
      <c r="IN177" s="1931"/>
      <c r="IO177" s="1931"/>
      <c r="IP177" s="1931"/>
      <c r="IQ177" s="1931"/>
      <c r="IR177" s="1931"/>
      <c r="IS177" s="1931"/>
      <c r="IT177" s="1931"/>
      <c r="IU177" s="1931"/>
      <c r="IV177" s="1931"/>
      <c r="IW177" s="1931"/>
      <c r="IX177" s="1932"/>
    </row>
    <row r="178" spans="66:258" ht="30" hidden="1" customHeight="1">
      <c r="BN178" s="982"/>
      <c r="BO178" s="982"/>
      <c r="BP178" s="982"/>
      <c r="BQ178" s="982"/>
      <c r="BR178" s="982"/>
      <c r="BS178" s="982"/>
      <c r="BT178" s="982"/>
      <c r="BU178" s="982"/>
      <c r="BV178" s="982"/>
      <c r="BW178" s="982"/>
      <c r="BX178" s="982"/>
      <c r="BY178" s="982"/>
      <c r="BZ178" s="982"/>
      <c r="CA178" s="982"/>
      <c r="CB178" s="982"/>
      <c r="CC178" s="982"/>
      <c r="CD178" s="982"/>
      <c r="CE178" s="982"/>
      <c r="CF178" s="982"/>
      <c r="CG178" s="982"/>
      <c r="CH178" s="982"/>
      <c r="CI178" s="982"/>
      <c r="CJ178" s="982"/>
      <c r="CK178" s="982"/>
      <c r="CL178" s="982"/>
      <c r="CM178" s="982"/>
      <c r="CN178" s="982"/>
      <c r="CO178" s="982"/>
      <c r="CP178" s="982"/>
      <c r="CQ178" s="982"/>
      <c r="CR178" s="982"/>
      <c r="CS178" s="982"/>
      <c r="CT178" s="982"/>
      <c r="CU178" s="982"/>
      <c r="CV178" s="982"/>
      <c r="CW178" s="982"/>
      <c r="CX178" s="982"/>
      <c r="CY178" s="982"/>
      <c r="CZ178" s="982"/>
      <c r="DA178" s="982"/>
      <c r="DB178" s="982"/>
      <c r="DC178" s="982"/>
      <c r="DD178" s="982"/>
      <c r="DE178" s="982"/>
      <c r="DF178" s="982"/>
      <c r="DG178" s="1432"/>
      <c r="DH178" s="1937" t="s">
        <v>172</v>
      </c>
      <c r="DI178" s="1927" t="s">
        <v>321</v>
      </c>
      <c r="DJ178" s="1928"/>
      <c r="DK178" s="1928"/>
      <c r="DL178" s="1928"/>
      <c r="DM178" s="1928"/>
      <c r="DN178" s="1928"/>
      <c r="DO178" s="1928"/>
      <c r="DP178" s="1928"/>
      <c r="DQ178" s="1928"/>
      <c r="DR178" s="1928"/>
      <c r="DS178" s="1928"/>
      <c r="DT178" s="1928"/>
      <c r="DU178" s="1928"/>
      <c r="DV178" s="1928"/>
      <c r="DW178" s="1928"/>
      <c r="DX178" s="1928"/>
      <c r="DY178" s="1928"/>
      <c r="DZ178" s="1928"/>
      <c r="EA178" s="1928"/>
      <c r="EB178" s="1929"/>
      <c r="EC178" s="1925" t="s">
        <v>172</v>
      </c>
      <c r="ED178" s="1927" t="s">
        <v>321</v>
      </c>
      <c r="EE178" s="1928"/>
      <c r="EF178" s="1928"/>
      <c r="EG178" s="1928"/>
      <c r="EH178" s="1928"/>
      <c r="EI178" s="1928"/>
      <c r="EJ178" s="1928"/>
      <c r="EK178" s="1928"/>
      <c r="EL178" s="1928"/>
      <c r="EM178" s="1928"/>
      <c r="EN178" s="1928"/>
      <c r="EO178" s="1928"/>
      <c r="EP178" s="1928"/>
      <c r="EQ178" s="1928"/>
      <c r="ER178" s="1928"/>
      <c r="ES178" s="1928"/>
      <c r="ET178" s="1928"/>
      <c r="EU178" s="1928"/>
      <c r="EV178" s="1928"/>
      <c r="EW178" s="1929"/>
      <c r="EX178" s="1925" t="s">
        <v>172</v>
      </c>
      <c r="EY178" s="1927" t="s">
        <v>321</v>
      </c>
      <c r="EZ178" s="1928"/>
      <c r="FA178" s="1928"/>
      <c r="FB178" s="1928"/>
      <c r="FC178" s="1928"/>
      <c r="FD178" s="1928"/>
      <c r="FE178" s="1928"/>
      <c r="FF178" s="1928"/>
      <c r="FG178" s="1928"/>
      <c r="FH178" s="1928"/>
      <c r="FI178" s="1928"/>
      <c r="FJ178" s="1928"/>
      <c r="FK178" s="1928"/>
      <c r="FL178" s="1928"/>
      <c r="FM178" s="1928"/>
      <c r="FN178" s="1928"/>
      <c r="FO178" s="1928"/>
      <c r="FP178" s="1928"/>
      <c r="FQ178" s="1928"/>
      <c r="FR178" s="1929"/>
      <c r="FS178" s="1925" t="s">
        <v>172</v>
      </c>
      <c r="FT178" s="1927" t="s">
        <v>321</v>
      </c>
      <c r="FU178" s="1928"/>
      <c r="FV178" s="1928"/>
      <c r="FW178" s="1928"/>
      <c r="FX178" s="1928"/>
      <c r="FY178" s="1928"/>
      <c r="FZ178" s="1928"/>
      <c r="GA178" s="1928"/>
      <c r="GB178" s="1928"/>
      <c r="GC178" s="1928"/>
      <c r="GD178" s="1928"/>
      <c r="GE178" s="1928"/>
      <c r="GF178" s="1928"/>
      <c r="GG178" s="1928"/>
      <c r="GH178" s="1928"/>
      <c r="GI178" s="1928"/>
      <c r="GJ178" s="1928"/>
      <c r="GK178" s="1928"/>
      <c r="GL178" s="1928"/>
      <c r="GM178" s="1929"/>
      <c r="GN178" s="1925" t="s">
        <v>172</v>
      </c>
      <c r="GO178" s="1927" t="s">
        <v>321</v>
      </c>
      <c r="GP178" s="1928"/>
      <c r="GQ178" s="1928"/>
      <c r="GR178" s="1928"/>
      <c r="GS178" s="1928"/>
      <c r="GT178" s="1928"/>
      <c r="GU178" s="1928"/>
      <c r="GV178" s="1928"/>
      <c r="GW178" s="1928"/>
      <c r="GX178" s="1928"/>
      <c r="GY178" s="1928"/>
      <c r="GZ178" s="1928"/>
      <c r="HA178" s="1928"/>
      <c r="HB178" s="1928"/>
      <c r="HC178" s="1928"/>
      <c r="HD178" s="1928"/>
      <c r="HE178" s="1928"/>
      <c r="HF178" s="1928"/>
      <c r="HG178" s="1928"/>
      <c r="HH178" s="1929"/>
      <c r="HI178" s="1925" t="s">
        <v>172</v>
      </c>
      <c r="HJ178" s="1927" t="s">
        <v>321</v>
      </c>
      <c r="HK178" s="1928"/>
      <c r="HL178" s="1928"/>
      <c r="HM178" s="1928"/>
      <c r="HN178" s="1928"/>
      <c r="HO178" s="1928"/>
      <c r="HP178" s="1928"/>
      <c r="HQ178" s="1928"/>
      <c r="HR178" s="1928"/>
      <c r="HS178" s="1928"/>
      <c r="HT178" s="1928"/>
      <c r="HU178" s="1928"/>
      <c r="HV178" s="1928"/>
      <c r="HW178" s="1928"/>
      <c r="HX178" s="1928"/>
      <c r="HY178" s="1928"/>
      <c r="HZ178" s="1928"/>
      <c r="IA178" s="1928"/>
      <c r="IB178" s="1928"/>
      <c r="IC178" s="1929"/>
      <c r="ID178" s="1925" t="s">
        <v>172</v>
      </c>
      <c r="IE178" s="1927" t="s">
        <v>321</v>
      </c>
      <c r="IF178" s="1928"/>
      <c r="IG178" s="1928"/>
      <c r="IH178" s="1928"/>
      <c r="II178" s="1928"/>
      <c r="IJ178" s="1928"/>
      <c r="IK178" s="1928"/>
      <c r="IL178" s="1928"/>
      <c r="IM178" s="1928"/>
      <c r="IN178" s="1928"/>
      <c r="IO178" s="1928"/>
      <c r="IP178" s="1928"/>
      <c r="IQ178" s="1928"/>
      <c r="IR178" s="1928"/>
      <c r="IS178" s="1928"/>
      <c r="IT178" s="1928"/>
      <c r="IU178" s="1928"/>
      <c r="IV178" s="1928"/>
      <c r="IW178" s="1928"/>
      <c r="IX178" s="1929"/>
    </row>
    <row r="179" spans="66:258" ht="50.1" hidden="1" customHeight="1">
      <c r="BN179" s="982"/>
      <c r="BO179" s="982"/>
      <c r="BP179" s="982"/>
      <c r="BQ179" s="982"/>
      <c r="BR179" s="982"/>
      <c r="BS179" s="982"/>
      <c r="BT179" s="982"/>
      <c r="BU179" s="982"/>
      <c r="BV179" s="982"/>
      <c r="BW179" s="982"/>
      <c r="BX179" s="982"/>
      <c r="BY179" s="982"/>
      <c r="BZ179" s="982"/>
      <c r="CA179" s="982"/>
      <c r="CB179" s="982"/>
      <c r="CC179" s="982"/>
      <c r="CD179" s="982"/>
      <c r="CE179" s="982"/>
      <c r="CF179" s="982"/>
      <c r="CG179" s="982"/>
      <c r="CH179" s="982"/>
      <c r="CI179" s="982"/>
      <c r="CJ179" s="982"/>
      <c r="CK179" s="982"/>
      <c r="CL179" s="982"/>
      <c r="CM179" s="982"/>
      <c r="CN179" s="982"/>
      <c r="CO179" s="982"/>
      <c r="CP179" s="982"/>
      <c r="CQ179" s="982"/>
      <c r="CR179" s="982"/>
      <c r="CS179" s="982"/>
      <c r="CT179" s="982"/>
      <c r="CU179" s="982"/>
      <c r="CV179" s="982"/>
      <c r="CW179" s="982"/>
      <c r="CX179" s="982"/>
      <c r="CY179" s="982"/>
      <c r="CZ179" s="982"/>
      <c r="DA179" s="982"/>
      <c r="DB179" s="982"/>
      <c r="DC179" s="982"/>
      <c r="DD179" s="982"/>
      <c r="DE179" s="982"/>
      <c r="DF179" s="982"/>
      <c r="DG179" s="1433" t="s">
        <v>322</v>
      </c>
      <c r="DH179" s="1938"/>
      <c r="DI179" s="1039" t="s">
        <v>176</v>
      </c>
      <c r="DJ179" s="1040" t="s">
        <v>177</v>
      </c>
      <c r="DK179" s="1744" t="s">
        <v>178</v>
      </c>
      <c r="DL179" s="1040" t="s">
        <v>179</v>
      </c>
      <c r="DM179" s="1040" t="s">
        <v>180</v>
      </c>
      <c r="DN179" s="1040" t="s">
        <v>181</v>
      </c>
      <c r="DO179" s="1040" t="s">
        <v>182</v>
      </c>
      <c r="DP179" s="1040" t="s">
        <v>183</v>
      </c>
      <c r="DQ179" s="1040" t="s">
        <v>184</v>
      </c>
      <c r="DR179" s="1040" t="s">
        <v>185</v>
      </c>
      <c r="DS179" s="1744" t="s">
        <v>186</v>
      </c>
      <c r="DT179" s="1040" t="s">
        <v>187</v>
      </c>
      <c r="DU179" s="1744" t="s">
        <v>188</v>
      </c>
      <c r="DV179" s="1744" t="s">
        <v>189</v>
      </c>
      <c r="DW179" s="1040" t="s">
        <v>190</v>
      </c>
      <c r="DX179" s="1744" t="s">
        <v>191</v>
      </c>
      <c r="DY179" s="1040" t="s">
        <v>192</v>
      </c>
      <c r="DZ179" s="1744" t="s">
        <v>193</v>
      </c>
      <c r="EA179" s="1744" t="s">
        <v>194</v>
      </c>
      <c r="EB179" s="1041" t="s">
        <v>195</v>
      </c>
      <c r="EC179" s="1926"/>
      <c r="ED179" s="1039" t="s">
        <v>176</v>
      </c>
      <c r="EE179" s="1040" t="s">
        <v>177</v>
      </c>
      <c r="EF179" s="1744" t="s">
        <v>178</v>
      </c>
      <c r="EG179" s="1040" t="s">
        <v>179</v>
      </c>
      <c r="EH179" s="1040" t="s">
        <v>180</v>
      </c>
      <c r="EI179" s="1040" t="s">
        <v>181</v>
      </c>
      <c r="EJ179" s="1040" t="s">
        <v>182</v>
      </c>
      <c r="EK179" s="1040" t="s">
        <v>183</v>
      </c>
      <c r="EL179" s="1040" t="s">
        <v>184</v>
      </c>
      <c r="EM179" s="1040" t="s">
        <v>185</v>
      </c>
      <c r="EN179" s="1744" t="s">
        <v>186</v>
      </c>
      <c r="EO179" s="1040" t="s">
        <v>187</v>
      </c>
      <c r="EP179" s="1744" t="s">
        <v>188</v>
      </c>
      <c r="EQ179" s="1744" t="s">
        <v>189</v>
      </c>
      <c r="ER179" s="1040" t="s">
        <v>190</v>
      </c>
      <c r="ES179" s="1744" t="s">
        <v>191</v>
      </c>
      <c r="ET179" s="1040" t="s">
        <v>192</v>
      </c>
      <c r="EU179" s="1744" t="s">
        <v>193</v>
      </c>
      <c r="EV179" s="1744" t="s">
        <v>194</v>
      </c>
      <c r="EW179" s="1041" t="s">
        <v>195</v>
      </c>
      <c r="EX179" s="1926"/>
      <c r="EY179" s="1039" t="s">
        <v>176</v>
      </c>
      <c r="EZ179" s="1040" t="s">
        <v>177</v>
      </c>
      <c r="FA179" s="1744" t="s">
        <v>178</v>
      </c>
      <c r="FB179" s="1040" t="s">
        <v>179</v>
      </c>
      <c r="FC179" s="1040" t="s">
        <v>180</v>
      </c>
      <c r="FD179" s="1040" t="s">
        <v>181</v>
      </c>
      <c r="FE179" s="1040" t="s">
        <v>182</v>
      </c>
      <c r="FF179" s="1040" t="s">
        <v>183</v>
      </c>
      <c r="FG179" s="1040" t="s">
        <v>184</v>
      </c>
      <c r="FH179" s="1040" t="s">
        <v>185</v>
      </c>
      <c r="FI179" s="1744" t="s">
        <v>186</v>
      </c>
      <c r="FJ179" s="1040" t="s">
        <v>187</v>
      </c>
      <c r="FK179" s="1744" t="s">
        <v>188</v>
      </c>
      <c r="FL179" s="1744" t="s">
        <v>189</v>
      </c>
      <c r="FM179" s="1040" t="s">
        <v>190</v>
      </c>
      <c r="FN179" s="1744" t="s">
        <v>191</v>
      </c>
      <c r="FO179" s="1040" t="s">
        <v>192</v>
      </c>
      <c r="FP179" s="1744" t="s">
        <v>193</v>
      </c>
      <c r="FQ179" s="1744" t="s">
        <v>194</v>
      </c>
      <c r="FR179" s="1041" t="s">
        <v>195</v>
      </c>
      <c r="FS179" s="1926"/>
      <c r="FT179" s="1039" t="s">
        <v>176</v>
      </c>
      <c r="FU179" s="1040" t="s">
        <v>177</v>
      </c>
      <c r="FV179" s="1744" t="s">
        <v>178</v>
      </c>
      <c r="FW179" s="1040" t="s">
        <v>179</v>
      </c>
      <c r="FX179" s="1040" t="s">
        <v>180</v>
      </c>
      <c r="FY179" s="1040" t="s">
        <v>181</v>
      </c>
      <c r="FZ179" s="1040" t="s">
        <v>182</v>
      </c>
      <c r="GA179" s="1040" t="s">
        <v>183</v>
      </c>
      <c r="GB179" s="1040" t="s">
        <v>184</v>
      </c>
      <c r="GC179" s="1040" t="s">
        <v>185</v>
      </c>
      <c r="GD179" s="1744" t="s">
        <v>186</v>
      </c>
      <c r="GE179" s="1040" t="s">
        <v>187</v>
      </c>
      <c r="GF179" s="1744" t="s">
        <v>188</v>
      </c>
      <c r="GG179" s="1744" t="s">
        <v>189</v>
      </c>
      <c r="GH179" s="1040" t="s">
        <v>190</v>
      </c>
      <c r="GI179" s="1744" t="s">
        <v>191</v>
      </c>
      <c r="GJ179" s="1040" t="s">
        <v>192</v>
      </c>
      <c r="GK179" s="1744" t="s">
        <v>193</v>
      </c>
      <c r="GL179" s="1744" t="s">
        <v>194</v>
      </c>
      <c r="GM179" s="1041" t="s">
        <v>195</v>
      </c>
      <c r="GN179" s="1926"/>
      <c r="GO179" s="1039" t="s">
        <v>176</v>
      </c>
      <c r="GP179" s="1040" t="s">
        <v>177</v>
      </c>
      <c r="GQ179" s="1744" t="s">
        <v>178</v>
      </c>
      <c r="GR179" s="1040" t="s">
        <v>179</v>
      </c>
      <c r="GS179" s="1040" t="s">
        <v>180</v>
      </c>
      <c r="GT179" s="1040" t="s">
        <v>181</v>
      </c>
      <c r="GU179" s="1040" t="s">
        <v>182</v>
      </c>
      <c r="GV179" s="1040" t="s">
        <v>183</v>
      </c>
      <c r="GW179" s="1040" t="s">
        <v>184</v>
      </c>
      <c r="GX179" s="1040" t="s">
        <v>185</v>
      </c>
      <c r="GY179" s="1744" t="s">
        <v>186</v>
      </c>
      <c r="GZ179" s="1040" t="s">
        <v>187</v>
      </c>
      <c r="HA179" s="1744" t="s">
        <v>188</v>
      </c>
      <c r="HB179" s="1744" t="s">
        <v>189</v>
      </c>
      <c r="HC179" s="1040" t="s">
        <v>190</v>
      </c>
      <c r="HD179" s="1744" t="s">
        <v>191</v>
      </c>
      <c r="HE179" s="1040" t="s">
        <v>192</v>
      </c>
      <c r="HF179" s="1744" t="s">
        <v>193</v>
      </c>
      <c r="HG179" s="1744" t="s">
        <v>194</v>
      </c>
      <c r="HH179" s="1041" t="s">
        <v>195</v>
      </c>
      <c r="HI179" s="1926"/>
      <c r="HJ179" s="1039" t="s">
        <v>176</v>
      </c>
      <c r="HK179" s="1040" t="s">
        <v>177</v>
      </c>
      <c r="HL179" s="1744" t="s">
        <v>178</v>
      </c>
      <c r="HM179" s="1040" t="s">
        <v>179</v>
      </c>
      <c r="HN179" s="1040" t="s">
        <v>180</v>
      </c>
      <c r="HO179" s="1040" t="s">
        <v>181</v>
      </c>
      <c r="HP179" s="1040" t="s">
        <v>182</v>
      </c>
      <c r="HQ179" s="1040" t="s">
        <v>183</v>
      </c>
      <c r="HR179" s="1040" t="s">
        <v>184</v>
      </c>
      <c r="HS179" s="1040" t="s">
        <v>185</v>
      </c>
      <c r="HT179" s="1744" t="s">
        <v>186</v>
      </c>
      <c r="HU179" s="1040" t="s">
        <v>187</v>
      </c>
      <c r="HV179" s="1744" t="s">
        <v>188</v>
      </c>
      <c r="HW179" s="1744" t="s">
        <v>189</v>
      </c>
      <c r="HX179" s="1040" t="s">
        <v>190</v>
      </c>
      <c r="HY179" s="1744" t="s">
        <v>191</v>
      </c>
      <c r="HZ179" s="1040" t="s">
        <v>192</v>
      </c>
      <c r="IA179" s="1744" t="s">
        <v>193</v>
      </c>
      <c r="IB179" s="1744" t="s">
        <v>194</v>
      </c>
      <c r="IC179" s="1041" t="s">
        <v>195</v>
      </c>
      <c r="ID179" s="1926"/>
      <c r="IE179" s="1039" t="s">
        <v>176</v>
      </c>
      <c r="IF179" s="1040" t="s">
        <v>177</v>
      </c>
      <c r="IG179" s="1744" t="s">
        <v>178</v>
      </c>
      <c r="IH179" s="1040" t="s">
        <v>179</v>
      </c>
      <c r="II179" s="1040" t="s">
        <v>180</v>
      </c>
      <c r="IJ179" s="1040" t="s">
        <v>181</v>
      </c>
      <c r="IK179" s="1040" t="s">
        <v>182</v>
      </c>
      <c r="IL179" s="1040" t="s">
        <v>183</v>
      </c>
      <c r="IM179" s="1040" t="s">
        <v>184</v>
      </c>
      <c r="IN179" s="1040" t="s">
        <v>185</v>
      </c>
      <c r="IO179" s="1744" t="s">
        <v>186</v>
      </c>
      <c r="IP179" s="1040" t="s">
        <v>187</v>
      </c>
      <c r="IQ179" s="1744" t="s">
        <v>188</v>
      </c>
      <c r="IR179" s="1744" t="s">
        <v>189</v>
      </c>
      <c r="IS179" s="1040" t="s">
        <v>190</v>
      </c>
      <c r="IT179" s="1744" t="s">
        <v>191</v>
      </c>
      <c r="IU179" s="1040" t="s">
        <v>192</v>
      </c>
      <c r="IV179" s="1744" t="s">
        <v>193</v>
      </c>
      <c r="IW179" s="1744" t="s">
        <v>194</v>
      </c>
      <c r="IX179" s="1041" t="s">
        <v>195</v>
      </c>
    </row>
    <row r="180" spans="66:258" ht="24.95" hidden="1" customHeight="1">
      <c r="BN180" s="982"/>
      <c r="BO180" s="982"/>
      <c r="BP180" s="982"/>
      <c r="BQ180" s="982"/>
      <c r="BR180" s="982"/>
      <c r="BS180" s="982"/>
      <c r="BT180" s="982"/>
      <c r="BU180" s="982"/>
      <c r="BV180" s="982"/>
      <c r="BW180" s="982"/>
      <c r="BX180" s="982"/>
      <c r="BY180" s="982"/>
      <c r="BZ180" s="982"/>
      <c r="CA180" s="982"/>
      <c r="CB180" s="982"/>
      <c r="CC180" s="982"/>
      <c r="CD180" s="982"/>
      <c r="CE180" s="982"/>
      <c r="CF180" s="982"/>
      <c r="CG180" s="982"/>
      <c r="CH180" s="982"/>
      <c r="CI180" s="982"/>
      <c r="CJ180" s="982"/>
      <c r="CK180" s="982"/>
      <c r="CL180" s="982"/>
      <c r="CM180" s="982"/>
      <c r="CN180" s="982"/>
      <c r="CO180" s="982"/>
      <c r="CP180" s="982"/>
      <c r="CQ180" s="982"/>
      <c r="CR180" s="982"/>
      <c r="CS180" s="982"/>
      <c r="CT180" s="982"/>
      <c r="CU180" s="982"/>
      <c r="CV180" s="982"/>
      <c r="CW180" s="982"/>
      <c r="CX180" s="982"/>
      <c r="CY180" s="982"/>
      <c r="CZ180" s="982"/>
      <c r="DA180" s="982"/>
      <c r="DB180" s="982"/>
      <c r="DC180" s="982"/>
      <c r="DD180" s="982"/>
      <c r="DE180" s="982"/>
      <c r="DF180" s="982"/>
      <c r="DG180" s="1432"/>
      <c r="DH180" s="1038" t="s">
        <v>26</v>
      </c>
      <c r="DI180" s="1038" t="s">
        <v>26</v>
      </c>
      <c r="DJ180" s="1042" t="s">
        <v>26</v>
      </c>
      <c r="DK180" s="1042" t="s">
        <v>26</v>
      </c>
      <c r="DL180" s="1042" t="s">
        <v>26</v>
      </c>
      <c r="DM180" s="1042" t="s">
        <v>26</v>
      </c>
      <c r="DN180" s="1042" t="s">
        <v>26</v>
      </c>
      <c r="DO180" s="1042" t="s">
        <v>26</v>
      </c>
      <c r="DP180" s="1042" t="s">
        <v>26</v>
      </c>
      <c r="DQ180" s="1042" t="s">
        <v>26</v>
      </c>
      <c r="DR180" s="1042" t="s">
        <v>26</v>
      </c>
      <c r="DS180" s="1042" t="s">
        <v>26</v>
      </c>
      <c r="DT180" s="1042" t="s">
        <v>26</v>
      </c>
      <c r="DU180" s="1042" t="s">
        <v>26</v>
      </c>
      <c r="DV180" s="1042" t="s">
        <v>26</v>
      </c>
      <c r="DW180" s="1042" t="s">
        <v>26</v>
      </c>
      <c r="DX180" s="1042" t="s">
        <v>26</v>
      </c>
      <c r="DY180" s="1042" t="s">
        <v>26</v>
      </c>
      <c r="DZ180" s="1042" t="s">
        <v>26</v>
      </c>
      <c r="EA180" s="1042" t="s">
        <v>26</v>
      </c>
      <c r="EB180" s="1043" t="s">
        <v>26</v>
      </c>
      <c r="EC180" s="1044" t="s">
        <v>26</v>
      </c>
      <c r="ED180" s="1038" t="s">
        <v>26</v>
      </c>
      <c r="EE180" s="1042" t="s">
        <v>26</v>
      </c>
      <c r="EF180" s="1042" t="s">
        <v>26</v>
      </c>
      <c r="EG180" s="1042" t="s">
        <v>26</v>
      </c>
      <c r="EH180" s="1042" t="s">
        <v>26</v>
      </c>
      <c r="EI180" s="1042" t="s">
        <v>26</v>
      </c>
      <c r="EJ180" s="1042" t="s">
        <v>26</v>
      </c>
      <c r="EK180" s="1042" t="s">
        <v>26</v>
      </c>
      <c r="EL180" s="1042" t="s">
        <v>26</v>
      </c>
      <c r="EM180" s="1042" t="s">
        <v>26</v>
      </c>
      <c r="EN180" s="1042" t="s">
        <v>26</v>
      </c>
      <c r="EO180" s="1042" t="s">
        <v>26</v>
      </c>
      <c r="EP180" s="1042" t="s">
        <v>26</v>
      </c>
      <c r="EQ180" s="1042" t="s">
        <v>26</v>
      </c>
      <c r="ER180" s="1042" t="s">
        <v>26</v>
      </c>
      <c r="ES180" s="1042" t="s">
        <v>26</v>
      </c>
      <c r="ET180" s="1042" t="s">
        <v>26</v>
      </c>
      <c r="EU180" s="1042" t="s">
        <v>26</v>
      </c>
      <c r="EV180" s="1042" t="s">
        <v>26</v>
      </c>
      <c r="EW180" s="1043" t="s">
        <v>26</v>
      </c>
      <c r="EX180" s="1044" t="s">
        <v>26</v>
      </c>
      <c r="EY180" s="1038" t="s">
        <v>26</v>
      </c>
      <c r="EZ180" s="1042" t="s">
        <v>26</v>
      </c>
      <c r="FA180" s="1042" t="s">
        <v>26</v>
      </c>
      <c r="FB180" s="1042" t="s">
        <v>26</v>
      </c>
      <c r="FC180" s="1042" t="s">
        <v>26</v>
      </c>
      <c r="FD180" s="1042" t="s">
        <v>26</v>
      </c>
      <c r="FE180" s="1042" t="s">
        <v>26</v>
      </c>
      <c r="FF180" s="1042" t="s">
        <v>26</v>
      </c>
      <c r="FG180" s="1042" t="s">
        <v>26</v>
      </c>
      <c r="FH180" s="1042" t="s">
        <v>26</v>
      </c>
      <c r="FI180" s="1042" t="s">
        <v>26</v>
      </c>
      <c r="FJ180" s="1042" t="s">
        <v>26</v>
      </c>
      <c r="FK180" s="1042" t="s">
        <v>26</v>
      </c>
      <c r="FL180" s="1042" t="s">
        <v>26</v>
      </c>
      <c r="FM180" s="1042" t="s">
        <v>26</v>
      </c>
      <c r="FN180" s="1042" t="s">
        <v>26</v>
      </c>
      <c r="FO180" s="1042" t="s">
        <v>26</v>
      </c>
      <c r="FP180" s="1042" t="s">
        <v>26</v>
      </c>
      <c r="FQ180" s="1042" t="s">
        <v>26</v>
      </c>
      <c r="FR180" s="1043" t="s">
        <v>26</v>
      </c>
      <c r="FS180" s="1044" t="s">
        <v>26</v>
      </c>
      <c r="FT180" s="1038" t="s">
        <v>26</v>
      </c>
      <c r="FU180" s="1042" t="s">
        <v>26</v>
      </c>
      <c r="FV180" s="1042" t="s">
        <v>26</v>
      </c>
      <c r="FW180" s="1042" t="s">
        <v>26</v>
      </c>
      <c r="FX180" s="1042" t="s">
        <v>26</v>
      </c>
      <c r="FY180" s="1042" t="s">
        <v>26</v>
      </c>
      <c r="FZ180" s="1042" t="s">
        <v>26</v>
      </c>
      <c r="GA180" s="1042" t="s">
        <v>26</v>
      </c>
      <c r="GB180" s="1042" t="s">
        <v>26</v>
      </c>
      <c r="GC180" s="1042" t="s">
        <v>26</v>
      </c>
      <c r="GD180" s="1042" t="s">
        <v>26</v>
      </c>
      <c r="GE180" s="1042" t="s">
        <v>26</v>
      </c>
      <c r="GF180" s="1042" t="s">
        <v>26</v>
      </c>
      <c r="GG180" s="1042" t="s">
        <v>26</v>
      </c>
      <c r="GH180" s="1042" t="s">
        <v>26</v>
      </c>
      <c r="GI180" s="1042" t="s">
        <v>26</v>
      </c>
      <c r="GJ180" s="1042" t="s">
        <v>26</v>
      </c>
      <c r="GK180" s="1042" t="s">
        <v>26</v>
      </c>
      <c r="GL180" s="1042" t="s">
        <v>26</v>
      </c>
      <c r="GM180" s="1043" t="s">
        <v>26</v>
      </c>
      <c r="GN180" s="1044" t="s">
        <v>26</v>
      </c>
      <c r="GO180" s="1038" t="s">
        <v>26</v>
      </c>
      <c r="GP180" s="1042" t="s">
        <v>26</v>
      </c>
      <c r="GQ180" s="1042" t="s">
        <v>26</v>
      </c>
      <c r="GR180" s="1042" t="s">
        <v>26</v>
      </c>
      <c r="GS180" s="1042" t="s">
        <v>26</v>
      </c>
      <c r="GT180" s="1042" t="s">
        <v>26</v>
      </c>
      <c r="GU180" s="1042" t="s">
        <v>26</v>
      </c>
      <c r="GV180" s="1042" t="s">
        <v>26</v>
      </c>
      <c r="GW180" s="1042" t="s">
        <v>26</v>
      </c>
      <c r="GX180" s="1042" t="s">
        <v>26</v>
      </c>
      <c r="GY180" s="1042" t="s">
        <v>26</v>
      </c>
      <c r="GZ180" s="1042" t="s">
        <v>26</v>
      </c>
      <c r="HA180" s="1042" t="s">
        <v>26</v>
      </c>
      <c r="HB180" s="1042" t="s">
        <v>26</v>
      </c>
      <c r="HC180" s="1042" t="s">
        <v>26</v>
      </c>
      <c r="HD180" s="1042" t="s">
        <v>26</v>
      </c>
      <c r="HE180" s="1042" t="s">
        <v>26</v>
      </c>
      <c r="HF180" s="1042" t="s">
        <v>26</v>
      </c>
      <c r="HG180" s="1042" t="s">
        <v>26</v>
      </c>
      <c r="HH180" s="1043" t="s">
        <v>26</v>
      </c>
      <c r="HI180" s="1044" t="s">
        <v>26</v>
      </c>
      <c r="HJ180" s="1038" t="s">
        <v>26</v>
      </c>
      <c r="HK180" s="1042" t="s">
        <v>26</v>
      </c>
      <c r="HL180" s="1042" t="s">
        <v>26</v>
      </c>
      <c r="HM180" s="1042" t="s">
        <v>26</v>
      </c>
      <c r="HN180" s="1042" t="s">
        <v>26</v>
      </c>
      <c r="HO180" s="1042" t="s">
        <v>26</v>
      </c>
      <c r="HP180" s="1042" t="s">
        <v>26</v>
      </c>
      <c r="HQ180" s="1042" t="s">
        <v>26</v>
      </c>
      <c r="HR180" s="1042" t="s">
        <v>26</v>
      </c>
      <c r="HS180" s="1042" t="s">
        <v>26</v>
      </c>
      <c r="HT180" s="1042" t="s">
        <v>26</v>
      </c>
      <c r="HU180" s="1042" t="s">
        <v>26</v>
      </c>
      <c r="HV180" s="1042" t="s">
        <v>26</v>
      </c>
      <c r="HW180" s="1042" t="s">
        <v>26</v>
      </c>
      <c r="HX180" s="1042" t="s">
        <v>26</v>
      </c>
      <c r="HY180" s="1042" t="s">
        <v>26</v>
      </c>
      <c r="HZ180" s="1042" t="s">
        <v>26</v>
      </c>
      <c r="IA180" s="1042" t="s">
        <v>26</v>
      </c>
      <c r="IB180" s="1042" t="s">
        <v>26</v>
      </c>
      <c r="IC180" s="1043" t="s">
        <v>26</v>
      </c>
      <c r="ID180" s="1044" t="s">
        <v>26</v>
      </c>
      <c r="IE180" s="1038" t="s">
        <v>26</v>
      </c>
      <c r="IF180" s="1042" t="s">
        <v>26</v>
      </c>
      <c r="IG180" s="1042" t="s">
        <v>26</v>
      </c>
      <c r="IH180" s="1042" t="s">
        <v>26</v>
      </c>
      <c r="II180" s="1042" t="s">
        <v>26</v>
      </c>
      <c r="IJ180" s="1042" t="s">
        <v>26</v>
      </c>
      <c r="IK180" s="1042" t="s">
        <v>26</v>
      </c>
      <c r="IL180" s="1042" t="s">
        <v>26</v>
      </c>
      <c r="IM180" s="1042" t="s">
        <v>26</v>
      </c>
      <c r="IN180" s="1042" t="s">
        <v>26</v>
      </c>
      <c r="IO180" s="1042" t="s">
        <v>26</v>
      </c>
      <c r="IP180" s="1042" t="s">
        <v>26</v>
      </c>
      <c r="IQ180" s="1042" t="s">
        <v>26</v>
      </c>
      <c r="IR180" s="1042" t="s">
        <v>26</v>
      </c>
      <c r="IS180" s="1042" t="s">
        <v>26</v>
      </c>
      <c r="IT180" s="1042" t="s">
        <v>26</v>
      </c>
      <c r="IU180" s="1042" t="s">
        <v>26</v>
      </c>
      <c r="IV180" s="1042" t="s">
        <v>26</v>
      </c>
      <c r="IW180" s="1042" t="s">
        <v>26</v>
      </c>
      <c r="IX180" s="1043" t="s">
        <v>26</v>
      </c>
    </row>
    <row r="181" spans="66:258" ht="24.95" hidden="1" customHeight="1">
      <c r="BN181" s="982"/>
      <c r="BO181" s="982"/>
      <c r="BP181" s="982"/>
      <c r="BQ181" s="982"/>
      <c r="BR181" s="982"/>
      <c r="BS181" s="982"/>
      <c r="BT181" s="982"/>
      <c r="BU181" s="982"/>
      <c r="BV181" s="982"/>
      <c r="BW181" s="982"/>
      <c r="BX181" s="982"/>
      <c r="BY181" s="982"/>
      <c r="BZ181" s="982"/>
      <c r="CA181" s="982"/>
      <c r="CB181" s="982"/>
      <c r="CC181" s="982"/>
      <c r="CD181" s="982"/>
      <c r="CE181" s="982"/>
      <c r="CF181" s="982"/>
      <c r="CG181" s="982"/>
      <c r="CH181" s="982"/>
      <c r="CI181" s="982"/>
      <c r="CJ181" s="982"/>
      <c r="CK181" s="982"/>
      <c r="CL181" s="982"/>
      <c r="CM181" s="982"/>
      <c r="CN181" s="982"/>
      <c r="CO181" s="982"/>
      <c r="CP181" s="982"/>
      <c r="CQ181" s="982"/>
      <c r="CR181" s="982"/>
      <c r="CS181" s="982"/>
      <c r="CT181" s="982"/>
      <c r="CU181" s="982"/>
      <c r="CV181" s="982"/>
      <c r="CW181" s="982"/>
      <c r="CX181" s="982"/>
      <c r="CY181" s="982"/>
      <c r="CZ181" s="982"/>
      <c r="DA181" s="982"/>
      <c r="DB181" s="982"/>
      <c r="DC181" s="982"/>
      <c r="DD181" s="982"/>
      <c r="DE181" s="982"/>
      <c r="DF181" s="982"/>
      <c r="DG181" s="1484">
        <v>1</v>
      </c>
      <c r="DH181" s="1046">
        <v>2</v>
      </c>
      <c r="DI181" s="1046">
        <v>3</v>
      </c>
      <c r="DJ181" s="1046">
        <v>4</v>
      </c>
      <c r="DK181" s="1046">
        <v>5</v>
      </c>
      <c r="DL181" s="1046">
        <v>6</v>
      </c>
      <c r="DM181" s="1046">
        <v>7</v>
      </c>
      <c r="DN181" s="1046">
        <v>8</v>
      </c>
      <c r="DO181" s="1046">
        <v>9</v>
      </c>
      <c r="DP181" s="1046">
        <v>10</v>
      </c>
      <c r="DQ181" s="1046">
        <v>11</v>
      </c>
      <c r="DR181" s="1046">
        <v>12</v>
      </c>
      <c r="DS181" s="1046">
        <v>13</v>
      </c>
      <c r="DT181" s="1046">
        <v>14</v>
      </c>
      <c r="DU181" s="1046">
        <v>15</v>
      </c>
      <c r="DV181" s="1046">
        <v>16</v>
      </c>
      <c r="DW181" s="1046">
        <v>17</v>
      </c>
      <c r="DX181" s="1046">
        <v>18</v>
      </c>
      <c r="DY181" s="1046">
        <v>19</v>
      </c>
      <c r="DZ181" s="1046">
        <v>20</v>
      </c>
      <c r="EA181" s="1046">
        <v>21</v>
      </c>
      <c r="EB181" s="1047">
        <v>22</v>
      </c>
      <c r="EC181" s="1048">
        <v>23</v>
      </c>
      <c r="ED181" s="1049">
        <v>24</v>
      </c>
      <c r="EE181" s="1046">
        <v>25</v>
      </c>
      <c r="EF181" s="1049">
        <v>26</v>
      </c>
      <c r="EG181" s="1046">
        <v>27</v>
      </c>
      <c r="EH181" s="1049">
        <v>28</v>
      </c>
      <c r="EI181" s="1046">
        <v>29</v>
      </c>
      <c r="EJ181" s="1049">
        <v>30</v>
      </c>
      <c r="EK181" s="1046">
        <v>31</v>
      </c>
      <c r="EL181" s="1049">
        <v>32</v>
      </c>
      <c r="EM181" s="1046">
        <v>33</v>
      </c>
      <c r="EN181" s="1049">
        <v>34</v>
      </c>
      <c r="EO181" s="1046">
        <v>35</v>
      </c>
      <c r="EP181" s="1049">
        <v>36</v>
      </c>
      <c r="EQ181" s="1046">
        <v>37</v>
      </c>
      <c r="ER181" s="1049">
        <v>38</v>
      </c>
      <c r="ES181" s="1046">
        <v>39</v>
      </c>
      <c r="ET181" s="1049">
        <v>40</v>
      </c>
      <c r="EU181" s="1046">
        <v>41</v>
      </c>
      <c r="EV181" s="1049">
        <v>42</v>
      </c>
      <c r="EW181" s="1047">
        <v>43</v>
      </c>
      <c r="EX181" s="1048">
        <v>44</v>
      </c>
      <c r="EY181" s="1049">
        <v>45</v>
      </c>
      <c r="EZ181" s="1046">
        <v>46</v>
      </c>
      <c r="FA181" s="1049">
        <v>47</v>
      </c>
      <c r="FB181" s="1046">
        <v>48</v>
      </c>
      <c r="FC181" s="1049">
        <v>49</v>
      </c>
      <c r="FD181" s="1046">
        <v>50</v>
      </c>
      <c r="FE181" s="1049">
        <v>51</v>
      </c>
      <c r="FF181" s="1046">
        <v>52</v>
      </c>
      <c r="FG181" s="1049">
        <v>53</v>
      </c>
      <c r="FH181" s="1046">
        <v>54</v>
      </c>
      <c r="FI181" s="1049">
        <v>55</v>
      </c>
      <c r="FJ181" s="1046">
        <v>56</v>
      </c>
      <c r="FK181" s="1049">
        <v>57</v>
      </c>
      <c r="FL181" s="1046">
        <v>58</v>
      </c>
      <c r="FM181" s="1049">
        <v>59</v>
      </c>
      <c r="FN181" s="1046">
        <v>60</v>
      </c>
      <c r="FO181" s="1049">
        <v>61</v>
      </c>
      <c r="FP181" s="1046">
        <v>62</v>
      </c>
      <c r="FQ181" s="1049">
        <v>63</v>
      </c>
      <c r="FR181" s="1047">
        <v>64</v>
      </c>
      <c r="FS181" s="1048">
        <v>65</v>
      </c>
      <c r="FT181" s="1049">
        <v>66</v>
      </c>
      <c r="FU181" s="1046">
        <v>67</v>
      </c>
      <c r="FV181" s="1049">
        <v>68</v>
      </c>
      <c r="FW181" s="1046">
        <v>69</v>
      </c>
      <c r="FX181" s="1049">
        <v>70</v>
      </c>
      <c r="FY181" s="1046">
        <v>71</v>
      </c>
      <c r="FZ181" s="1049">
        <v>72</v>
      </c>
      <c r="GA181" s="1046">
        <v>73</v>
      </c>
      <c r="GB181" s="1049">
        <v>74</v>
      </c>
      <c r="GC181" s="1046">
        <v>75</v>
      </c>
      <c r="GD181" s="1049">
        <v>76</v>
      </c>
      <c r="GE181" s="1046">
        <v>77</v>
      </c>
      <c r="GF181" s="1049">
        <v>78</v>
      </c>
      <c r="GG181" s="1046">
        <v>79</v>
      </c>
      <c r="GH181" s="1049">
        <v>80</v>
      </c>
      <c r="GI181" s="1046">
        <v>81</v>
      </c>
      <c r="GJ181" s="1049">
        <v>82</v>
      </c>
      <c r="GK181" s="1046">
        <v>83</v>
      </c>
      <c r="GL181" s="1049">
        <v>84</v>
      </c>
      <c r="GM181" s="1047">
        <v>85</v>
      </c>
      <c r="GN181" s="1048">
        <v>86</v>
      </c>
      <c r="GO181" s="1049">
        <v>87</v>
      </c>
      <c r="GP181" s="1046">
        <v>88</v>
      </c>
      <c r="GQ181" s="1049">
        <v>89</v>
      </c>
      <c r="GR181" s="1046">
        <v>90</v>
      </c>
      <c r="GS181" s="1049">
        <v>91</v>
      </c>
      <c r="GT181" s="1046">
        <v>92</v>
      </c>
      <c r="GU181" s="1049">
        <v>93</v>
      </c>
      <c r="GV181" s="1046">
        <v>94</v>
      </c>
      <c r="GW181" s="1049">
        <v>95</v>
      </c>
      <c r="GX181" s="1046">
        <v>96</v>
      </c>
      <c r="GY181" s="1049">
        <v>97</v>
      </c>
      <c r="GZ181" s="1046">
        <v>98</v>
      </c>
      <c r="HA181" s="1049">
        <v>99</v>
      </c>
      <c r="HB181" s="1046">
        <v>100</v>
      </c>
      <c r="HC181" s="1049">
        <v>101</v>
      </c>
      <c r="HD181" s="1046">
        <v>102</v>
      </c>
      <c r="HE181" s="1049">
        <v>103</v>
      </c>
      <c r="HF181" s="1046">
        <v>104</v>
      </c>
      <c r="HG181" s="1049">
        <v>105</v>
      </c>
      <c r="HH181" s="1047">
        <v>106</v>
      </c>
      <c r="HI181" s="1048">
        <v>107</v>
      </c>
      <c r="HJ181" s="1049">
        <v>108</v>
      </c>
      <c r="HK181" s="1046">
        <v>109</v>
      </c>
      <c r="HL181" s="1049">
        <v>110</v>
      </c>
      <c r="HM181" s="1046">
        <v>111</v>
      </c>
      <c r="HN181" s="1049">
        <v>112</v>
      </c>
      <c r="HO181" s="1046">
        <v>113</v>
      </c>
      <c r="HP181" s="1049">
        <v>114</v>
      </c>
      <c r="HQ181" s="1046">
        <v>115</v>
      </c>
      <c r="HR181" s="1049">
        <v>116</v>
      </c>
      <c r="HS181" s="1046">
        <v>117</v>
      </c>
      <c r="HT181" s="1049">
        <v>118</v>
      </c>
      <c r="HU181" s="1046">
        <v>119</v>
      </c>
      <c r="HV181" s="1049">
        <v>120</v>
      </c>
      <c r="HW181" s="1046">
        <v>121</v>
      </c>
      <c r="HX181" s="1049">
        <v>122</v>
      </c>
      <c r="HY181" s="1046">
        <v>123</v>
      </c>
      <c r="HZ181" s="1049">
        <v>124</v>
      </c>
      <c r="IA181" s="1046">
        <v>125</v>
      </c>
      <c r="IB181" s="1049">
        <v>126</v>
      </c>
      <c r="IC181" s="1047">
        <v>127</v>
      </c>
      <c r="ID181" s="1048">
        <v>128</v>
      </c>
      <c r="IE181" s="1049">
        <v>129</v>
      </c>
      <c r="IF181" s="1046">
        <v>130</v>
      </c>
      <c r="IG181" s="1049">
        <v>131</v>
      </c>
      <c r="IH181" s="1046">
        <v>132</v>
      </c>
      <c r="II181" s="1049">
        <v>133</v>
      </c>
      <c r="IJ181" s="1046">
        <v>134</v>
      </c>
      <c r="IK181" s="1049">
        <v>135</v>
      </c>
      <c r="IL181" s="1046">
        <v>136</v>
      </c>
      <c r="IM181" s="1049">
        <v>137</v>
      </c>
      <c r="IN181" s="1046">
        <v>138</v>
      </c>
      <c r="IO181" s="1049">
        <v>139</v>
      </c>
      <c r="IP181" s="1046">
        <v>140</v>
      </c>
      <c r="IQ181" s="1049">
        <v>141</v>
      </c>
      <c r="IR181" s="1046">
        <v>142</v>
      </c>
      <c r="IS181" s="1049">
        <v>143</v>
      </c>
      <c r="IT181" s="1046">
        <v>144</v>
      </c>
      <c r="IU181" s="1049">
        <v>145</v>
      </c>
      <c r="IV181" s="1046">
        <v>146</v>
      </c>
      <c r="IW181" s="1049">
        <v>147</v>
      </c>
      <c r="IX181" s="1047">
        <v>148</v>
      </c>
    </row>
    <row r="182" spans="66:258" ht="24.95" hidden="1" customHeight="1">
      <c r="BN182" s="982"/>
      <c r="BO182" s="982"/>
      <c r="BP182" s="982"/>
      <c r="BQ182" s="982"/>
      <c r="BR182" s="982"/>
      <c r="BS182" s="982"/>
      <c r="BT182" s="982"/>
      <c r="BU182" s="982"/>
      <c r="BV182" s="982"/>
      <c r="BW182" s="982"/>
      <c r="BX182" s="982"/>
      <c r="BY182" s="982"/>
      <c r="BZ182" s="982"/>
      <c r="CA182" s="982"/>
      <c r="CB182" s="982"/>
      <c r="CC182" s="982"/>
      <c r="CD182" s="982"/>
      <c r="CE182" s="982"/>
      <c r="CF182" s="982"/>
      <c r="CG182" s="982"/>
      <c r="CH182" s="982"/>
      <c r="CI182" s="982"/>
      <c r="CJ182" s="982"/>
      <c r="CK182" s="982"/>
      <c r="CL182" s="982"/>
      <c r="CM182" s="982"/>
      <c r="CN182" s="982"/>
      <c r="CO182" s="982"/>
      <c r="CP182" s="982"/>
      <c r="CQ182" s="982"/>
      <c r="CR182" s="982"/>
      <c r="CS182" s="982"/>
      <c r="CT182" s="982"/>
      <c r="CU182" s="982"/>
      <c r="CV182" s="982"/>
      <c r="CW182" s="982"/>
      <c r="CX182" s="982"/>
      <c r="CY182" s="982"/>
      <c r="CZ182" s="982"/>
      <c r="DA182" s="982"/>
      <c r="DB182" s="982"/>
      <c r="DC182" s="982"/>
      <c r="DD182" s="982"/>
      <c r="DE182" s="982"/>
      <c r="DF182" s="982"/>
      <c r="DG182" s="1434" t="s">
        <v>176</v>
      </c>
      <c r="DH182" s="1051">
        <v>0</v>
      </c>
      <c r="DI182" s="1051">
        <v>0</v>
      </c>
      <c r="DJ182" s="1052">
        <v>0</v>
      </c>
      <c r="DK182" s="1052">
        <v>0</v>
      </c>
      <c r="DL182" s="1052">
        <v>0</v>
      </c>
      <c r="DM182" s="1052">
        <v>0</v>
      </c>
      <c r="DN182" s="1052">
        <v>0</v>
      </c>
      <c r="DO182" s="1052">
        <v>0</v>
      </c>
      <c r="DP182" s="1052">
        <v>0</v>
      </c>
      <c r="DQ182" s="1052">
        <v>0</v>
      </c>
      <c r="DR182" s="1052">
        <v>0</v>
      </c>
      <c r="DS182" s="1052">
        <v>0</v>
      </c>
      <c r="DT182" s="1052">
        <v>0</v>
      </c>
      <c r="DU182" s="1052">
        <v>0</v>
      </c>
      <c r="DV182" s="1052">
        <v>0</v>
      </c>
      <c r="DW182" s="1052">
        <v>0</v>
      </c>
      <c r="DX182" s="1052">
        <v>0</v>
      </c>
      <c r="DY182" s="1052">
        <v>0</v>
      </c>
      <c r="DZ182" s="1052">
        <v>0</v>
      </c>
      <c r="EA182" s="1052">
        <v>0</v>
      </c>
      <c r="EB182" s="1053">
        <v>0</v>
      </c>
      <c r="EC182" s="1051">
        <v>0</v>
      </c>
      <c r="ED182" s="1051">
        <v>0</v>
      </c>
      <c r="EE182" s="1052">
        <v>0</v>
      </c>
      <c r="EF182" s="1052">
        <v>0</v>
      </c>
      <c r="EG182" s="1052">
        <v>0</v>
      </c>
      <c r="EH182" s="1052">
        <v>0</v>
      </c>
      <c r="EI182" s="1052">
        <v>0</v>
      </c>
      <c r="EJ182" s="1052">
        <v>0</v>
      </c>
      <c r="EK182" s="1052">
        <v>0</v>
      </c>
      <c r="EL182" s="1052">
        <v>0</v>
      </c>
      <c r="EM182" s="1052">
        <v>0</v>
      </c>
      <c r="EN182" s="1052">
        <v>0</v>
      </c>
      <c r="EO182" s="1052">
        <v>0</v>
      </c>
      <c r="EP182" s="1052">
        <v>0</v>
      </c>
      <c r="EQ182" s="1052">
        <v>0</v>
      </c>
      <c r="ER182" s="1052">
        <v>0</v>
      </c>
      <c r="ES182" s="1052">
        <v>0</v>
      </c>
      <c r="ET182" s="1052">
        <v>0</v>
      </c>
      <c r="EU182" s="1052">
        <v>0</v>
      </c>
      <c r="EV182" s="1052">
        <v>0</v>
      </c>
      <c r="EW182" s="1053">
        <v>0</v>
      </c>
      <c r="EX182" s="1051">
        <v>18</v>
      </c>
      <c r="EY182" s="1051">
        <v>0</v>
      </c>
      <c r="EZ182" s="1052">
        <v>0</v>
      </c>
      <c r="FA182" s="1052">
        <v>0</v>
      </c>
      <c r="FB182" s="1052">
        <v>0</v>
      </c>
      <c r="FC182" s="1052">
        <v>0</v>
      </c>
      <c r="FD182" s="1052">
        <v>0</v>
      </c>
      <c r="FE182" s="1052">
        <v>0</v>
      </c>
      <c r="FF182" s="1052">
        <v>0</v>
      </c>
      <c r="FG182" s="1052">
        <v>0</v>
      </c>
      <c r="FH182" s="1052">
        <v>0</v>
      </c>
      <c r="FI182" s="1052">
        <v>0</v>
      </c>
      <c r="FJ182" s="1052">
        <v>0</v>
      </c>
      <c r="FK182" s="1052">
        <v>0</v>
      </c>
      <c r="FL182" s="1052">
        <v>0</v>
      </c>
      <c r="FM182" s="1052">
        <v>0</v>
      </c>
      <c r="FN182" s="1052">
        <v>0</v>
      </c>
      <c r="FO182" s="1052">
        <v>0</v>
      </c>
      <c r="FP182" s="1052">
        <v>0</v>
      </c>
      <c r="FQ182" s="1052">
        <v>0</v>
      </c>
      <c r="FR182" s="1053">
        <v>0</v>
      </c>
      <c r="FS182" s="1051">
        <v>20</v>
      </c>
      <c r="FT182" s="1051">
        <v>0</v>
      </c>
      <c r="FU182" s="1052">
        <v>0</v>
      </c>
      <c r="FV182" s="1052">
        <v>0</v>
      </c>
      <c r="FW182" s="1052">
        <v>0</v>
      </c>
      <c r="FX182" s="1052">
        <v>0</v>
      </c>
      <c r="FY182" s="1052">
        <v>0</v>
      </c>
      <c r="FZ182" s="1052">
        <v>0</v>
      </c>
      <c r="GA182" s="1052">
        <v>0</v>
      </c>
      <c r="GB182" s="1052">
        <v>0</v>
      </c>
      <c r="GC182" s="1052">
        <v>0</v>
      </c>
      <c r="GD182" s="1052">
        <v>0</v>
      </c>
      <c r="GE182" s="1052">
        <v>0</v>
      </c>
      <c r="GF182" s="1052">
        <v>0</v>
      </c>
      <c r="GG182" s="1052">
        <v>0</v>
      </c>
      <c r="GH182" s="1052">
        <v>0</v>
      </c>
      <c r="GI182" s="1052">
        <v>0</v>
      </c>
      <c r="GJ182" s="1052">
        <v>0</v>
      </c>
      <c r="GK182" s="1052">
        <v>0</v>
      </c>
      <c r="GL182" s="1052">
        <v>0</v>
      </c>
      <c r="GM182" s="1053">
        <v>0</v>
      </c>
      <c r="GN182" s="1051">
        <v>0</v>
      </c>
      <c r="GO182" s="1051">
        <v>0</v>
      </c>
      <c r="GP182" s="1052">
        <v>0</v>
      </c>
      <c r="GQ182" s="1052">
        <v>0</v>
      </c>
      <c r="GR182" s="1052">
        <v>0</v>
      </c>
      <c r="GS182" s="1052">
        <v>0</v>
      </c>
      <c r="GT182" s="1052">
        <v>0</v>
      </c>
      <c r="GU182" s="1052">
        <v>0</v>
      </c>
      <c r="GV182" s="1052">
        <v>0</v>
      </c>
      <c r="GW182" s="1052">
        <v>0</v>
      </c>
      <c r="GX182" s="1052">
        <v>0</v>
      </c>
      <c r="GY182" s="1052">
        <v>0</v>
      </c>
      <c r="GZ182" s="1052">
        <v>0</v>
      </c>
      <c r="HA182" s="1052">
        <v>0</v>
      </c>
      <c r="HB182" s="1052">
        <v>0</v>
      </c>
      <c r="HC182" s="1052">
        <v>0</v>
      </c>
      <c r="HD182" s="1052">
        <v>0</v>
      </c>
      <c r="HE182" s="1052">
        <v>0</v>
      </c>
      <c r="HF182" s="1052">
        <v>0</v>
      </c>
      <c r="HG182" s="1052">
        <v>0</v>
      </c>
      <c r="HH182" s="1053">
        <v>0</v>
      </c>
      <c r="HI182" s="1051">
        <v>42.5</v>
      </c>
      <c r="HJ182" s="1051">
        <v>0</v>
      </c>
      <c r="HK182" s="1052">
        <v>0</v>
      </c>
      <c r="HL182" s="1052">
        <v>0</v>
      </c>
      <c r="HM182" s="1052">
        <v>0</v>
      </c>
      <c r="HN182" s="1052">
        <v>0</v>
      </c>
      <c r="HO182" s="1052">
        <v>0</v>
      </c>
      <c r="HP182" s="1052">
        <v>0</v>
      </c>
      <c r="HQ182" s="1052">
        <v>0</v>
      </c>
      <c r="HR182" s="1052">
        <v>0</v>
      </c>
      <c r="HS182" s="1052">
        <v>0</v>
      </c>
      <c r="HT182" s="1052">
        <v>0</v>
      </c>
      <c r="HU182" s="1052">
        <v>0</v>
      </c>
      <c r="HV182" s="1052">
        <v>0</v>
      </c>
      <c r="HW182" s="1052">
        <v>0</v>
      </c>
      <c r="HX182" s="1052">
        <v>0</v>
      </c>
      <c r="HY182" s="1052">
        <v>0</v>
      </c>
      <c r="HZ182" s="1052">
        <v>0</v>
      </c>
      <c r="IA182" s="1052">
        <v>0</v>
      </c>
      <c r="IB182" s="1052">
        <v>0</v>
      </c>
      <c r="IC182" s="1053">
        <v>0</v>
      </c>
      <c r="ID182" s="1051">
        <v>15</v>
      </c>
      <c r="IE182" s="1051">
        <v>0</v>
      </c>
      <c r="IF182" s="1052">
        <v>0</v>
      </c>
      <c r="IG182" s="1052">
        <v>0</v>
      </c>
      <c r="IH182" s="1052">
        <v>0</v>
      </c>
      <c r="II182" s="1052">
        <v>0</v>
      </c>
      <c r="IJ182" s="1052">
        <v>0</v>
      </c>
      <c r="IK182" s="1052">
        <v>0</v>
      </c>
      <c r="IL182" s="1052">
        <v>0</v>
      </c>
      <c r="IM182" s="1052">
        <v>0</v>
      </c>
      <c r="IN182" s="1052">
        <v>0</v>
      </c>
      <c r="IO182" s="1052">
        <v>0</v>
      </c>
      <c r="IP182" s="1052">
        <v>0</v>
      </c>
      <c r="IQ182" s="1052">
        <v>0</v>
      </c>
      <c r="IR182" s="1052">
        <v>0</v>
      </c>
      <c r="IS182" s="1052">
        <v>0</v>
      </c>
      <c r="IT182" s="1052">
        <v>0</v>
      </c>
      <c r="IU182" s="1052">
        <v>0</v>
      </c>
      <c r="IV182" s="1052">
        <v>0</v>
      </c>
      <c r="IW182" s="1052">
        <v>0</v>
      </c>
      <c r="IX182" s="1053">
        <v>0</v>
      </c>
    </row>
    <row r="183" spans="66:258" ht="20.100000000000001" hidden="1" customHeight="1">
      <c r="BN183" s="982"/>
      <c r="BO183" s="982"/>
      <c r="BP183" s="982"/>
      <c r="BQ183" s="982"/>
      <c r="BR183" s="982"/>
      <c r="BS183" s="982"/>
      <c r="BT183" s="982"/>
      <c r="BU183" s="982"/>
      <c r="BV183" s="982"/>
      <c r="BW183" s="982"/>
      <c r="BX183" s="982"/>
      <c r="BY183" s="982"/>
      <c r="BZ183" s="982"/>
      <c r="CA183" s="982"/>
      <c r="CB183" s="982"/>
      <c r="CC183" s="982"/>
      <c r="CD183" s="982"/>
      <c r="CE183" s="982"/>
      <c r="CF183" s="982"/>
      <c r="CG183" s="982"/>
      <c r="CH183" s="982"/>
      <c r="CI183" s="982"/>
      <c r="CJ183" s="982"/>
      <c r="CK183" s="982"/>
      <c r="CL183" s="982"/>
      <c r="CM183" s="982"/>
      <c r="CN183" s="982"/>
      <c r="CO183" s="982"/>
      <c r="CP183" s="982"/>
      <c r="CQ183" s="982"/>
      <c r="CR183" s="982"/>
      <c r="CS183" s="982"/>
      <c r="CT183" s="982"/>
      <c r="CU183" s="982"/>
      <c r="CV183" s="982"/>
      <c r="CW183" s="982"/>
      <c r="CX183" s="982"/>
      <c r="CY183" s="982"/>
      <c r="CZ183" s="982"/>
      <c r="DA183" s="982"/>
      <c r="DB183" s="982"/>
      <c r="DC183" s="982"/>
      <c r="DD183" s="982"/>
      <c r="DE183" s="982"/>
      <c r="DF183" s="982"/>
      <c r="DG183" s="1434" t="s">
        <v>177</v>
      </c>
      <c r="DH183" s="1051">
        <v>12</v>
      </c>
      <c r="DI183" s="1051">
        <v>0</v>
      </c>
      <c r="DJ183" s="1052">
        <v>0</v>
      </c>
      <c r="DK183" s="1052">
        <v>0</v>
      </c>
      <c r="DL183" s="1052">
        <v>0</v>
      </c>
      <c r="DM183" s="1052">
        <v>0</v>
      </c>
      <c r="DN183" s="1052">
        <v>0</v>
      </c>
      <c r="DO183" s="1052">
        <v>0</v>
      </c>
      <c r="DP183" s="1052">
        <v>0</v>
      </c>
      <c r="DQ183" s="1052">
        <v>0</v>
      </c>
      <c r="DR183" s="1052">
        <v>0</v>
      </c>
      <c r="DS183" s="1052">
        <v>0</v>
      </c>
      <c r="DT183" s="1052">
        <v>0</v>
      </c>
      <c r="DU183" s="1052">
        <v>0</v>
      </c>
      <c r="DV183" s="1052">
        <v>0</v>
      </c>
      <c r="DW183" s="1052">
        <v>0</v>
      </c>
      <c r="DX183" s="1052">
        <v>0</v>
      </c>
      <c r="DY183" s="1052">
        <v>0</v>
      </c>
      <c r="DZ183" s="1052">
        <v>0</v>
      </c>
      <c r="EA183" s="1052">
        <v>0</v>
      </c>
      <c r="EB183" s="1053">
        <v>0</v>
      </c>
      <c r="EC183" s="1051">
        <v>0</v>
      </c>
      <c r="ED183" s="1051">
        <v>0</v>
      </c>
      <c r="EE183" s="1052">
        <v>0</v>
      </c>
      <c r="EF183" s="1052">
        <v>0</v>
      </c>
      <c r="EG183" s="1052">
        <v>0</v>
      </c>
      <c r="EH183" s="1052">
        <v>0</v>
      </c>
      <c r="EI183" s="1052">
        <v>0</v>
      </c>
      <c r="EJ183" s="1052">
        <v>0</v>
      </c>
      <c r="EK183" s="1052">
        <v>0</v>
      </c>
      <c r="EL183" s="1052">
        <v>0</v>
      </c>
      <c r="EM183" s="1052">
        <v>0</v>
      </c>
      <c r="EN183" s="1052">
        <v>0</v>
      </c>
      <c r="EO183" s="1052">
        <v>0</v>
      </c>
      <c r="EP183" s="1052">
        <v>0</v>
      </c>
      <c r="EQ183" s="1052">
        <v>0</v>
      </c>
      <c r="ER183" s="1052">
        <v>0</v>
      </c>
      <c r="ES183" s="1052">
        <v>0</v>
      </c>
      <c r="ET183" s="1052">
        <v>0</v>
      </c>
      <c r="EU183" s="1052">
        <v>0</v>
      </c>
      <c r="EV183" s="1052">
        <v>0</v>
      </c>
      <c r="EW183" s="1053">
        <v>0</v>
      </c>
      <c r="EX183" s="1051">
        <v>14</v>
      </c>
      <c r="EY183" s="1051">
        <v>0</v>
      </c>
      <c r="EZ183" s="1052">
        <v>0</v>
      </c>
      <c r="FA183" s="1052">
        <v>0</v>
      </c>
      <c r="FB183" s="1052">
        <v>0</v>
      </c>
      <c r="FC183" s="1052">
        <v>0</v>
      </c>
      <c r="FD183" s="1052">
        <v>0</v>
      </c>
      <c r="FE183" s="1052">
        <v>0</v>
      </c>
      <c r="FF183" s="1052">
        <v>0</v>
      </c>
      <c r="FG183" s="1052">
        <v>0</v>
      </c>
      <c r="FH183" s="1052">
        <v>0</v>
      </c>
      <c r="FI183" s="1052">
        <v>0</v>
      </c>
      <c r="FJ183" s="1052">
        <v>0</v>
      </c>
      <c r="FK183" s="1052">
        <v>0</v>
      </c>
      <c r="FL183" s="1052">
        <v>0</v>
      </c>
      <c r="FM183" s="1052">
        <v>0</v>
      </c>
      <c r="FN183" s="1052">
        <v>0</v>
      </c>
      <c r="FO183" s="1052">
        <v>0</v>
      </c>
      <c r="FP183" s="1052">
        <v>0</v>
      </c>
      <c r="FQ183" s="1052">
        <v>0</v>
      </c>
      <c r="FR183" s="1053">
        <v>0</v>
      </c>
      <c r="FS183" s="1051">
        <v>17</v>
      </c>
      <c r="FT183" s="1051">
        <v>0</v>
      </c>
      <c r="FU183" s="1052">
        <v>0</v>
      </c>
      <c r="FV183" s="1052">
        <v>0</v>
      </c>
      <c r="FW183" s="1052">
        <v>0</v>
      </c>
      <c r="FX183" s="1052">
        <v>0</v>
      </c>
      <c r="FY183" s="1052">
        <v>0</v>
      </c>
      <c r="FZ183" s="1052">
        <v>0</v>
      </c>
      <c r="GA183" s="1052">
        <v>0</v>
      </c>
      <c r="GB183" s="1052">
        <v>0</v>
      </c>
      <c r="GC183" s="1052">
        <v>0</v>
      </c>
      <c r="GD183" s="1052">
        <v>0</v>
      </c>
      <c r="GE183" s="1052">
        <v>0</v>
      </c>
      <c r="GF183" s="1052">
        <v>0</v>
      </c>
      <c r="GG183" s="1052">
        <v>0</v>
      </c>
      <c r="GH183" s="1052">
        <v>0</v>
      </c>
      <c r="GI183" s="1052">
        <v>0</v>
      </c>
      <c r="GJ183" s="1052">
        <v>0</v>
      </c>
      <c r="GK183" s="1052">
        <v>0</v>
      </c>
      <c r="GL183" s="1052">
        <v>0</v>
      </c>
      <c r="GM183" s="1053">
        <v>0</v>
      </c>
      <c r="GN183" s="1051">
        <v>0</v>
      </c>
      <c r="GO183" s="1051">
        <v>0</v>
      </c>
      <c r="GP183" s="1052">
        <v>0</v>
      </c>
      <c r="GQ183" s="1052">
        <v>0</v>
      </c>
      <c r="GR183" s="1052">
        <v>0</v>
      </c>
      <c r="GS183" s="1052">
        <v>0</v>
      </c>
      <c r="GT183" s="1052">
        <v>0</v>
      </c>
      <c r="GU183" s="1052">
        <v>0</v>
      </c>
      <c r="GV183" s="1052">
        <v>0</v>
      </c>
      <c r="GW183" s="1052">
        <v>0</v>
      </c>
      <c r="GX183" s="1052">
        <v>0</v>
      </c>
      <c r="GY183" s="1052">
        <v>0</v>
      </c>
      <c r="GZ183" s="1052">
        <v>0</v>
      </c>
      <c r="HA183" s="1052">
        <v>0</v>
      </c>
      <c r="HB183" s="1052">
        <v>0</v>
      </c>
      <c r="HC183" s="1052">
        <v>0</v>
      </c>
      <c r="HD183" s="1052">
        <v>0</v>
      </c>
      <c r="HE183" s="1052">
        <v>0</v>
      </c>
      <c r="HF183" s="1052">
        <v>0</v>
      </c>
      <c r="HG183" s="1052">
        <v>0</v>
      </c>
      <c r="HH183" s="1053">
        <v>0</v>
      </c>
      <c r="HI183" s="1051">
        <v>43</v>
      </c>
      <c r="HJ183" s="1051">
        <v>0</v>
      </c>
      <c r="HK183" s="1052">
        <v>0</v>
      </c>
      <c r="HL183" s="1052">
        <v>0</v>
      </c>
      <c r="HM183" s="1052">
        <v>5</v>
      </c>
      <c r="HN183" s="1052">
        <v>0</v>
      </c>
      <c r="HO183" s="1052">
        <v>0</v>
      </c>
      <c r="HP183" s="1052">
        <v>0</v>
      </c>
      <c r="HQ183" s="1052">
        <v>0</v>
      </c>
      <c r="HR183" s="1052">
        <v>0</v>
      </c>
      <c r="HS183" s="1052">
        <v>0</v>
      </c>
      <c r="HT183" s="1052">
        <v>0</v>
      </c>
      <c r="HU183" s="1052">
        <v>0</v>
      </c>
      <c r="HV183" s="1052">
        <v>0</v>
      </c>
      <c r="HW183" s="1052">
        <v>0</v>
      </c>
      <c r="HX183" s="1052">
        <v>0</v>
      </c>
      <c r="HY183" s="1052">
        <v>0</v>
      </c>
      <c r="HZ183" s="1052">
        <v>0</v>
      </c>
      <c r="IA183" s="1052">
        <v>0</v>
      </c>
      <c r="IB183" s="1052">
        <v>0</v>
      </c>
      <c r="IC183" s="1053">
        <v>0</v>
      </c>
      <c r="ID183" s="1051">
        <v>15</v>
      </c>
      <c r="IE183" s="1051">
        <v>0</v>
      </c>
      <c r="IF183" s="1052">
        <v>0</v>
      </c>
      <c r="IG183" s="1052">
        <v>0</v>
      </c>
      <c r="IH183" s="1052">
        <v>0</v>
      </c>
      <c r="II183" s="1052">
        <v>0</v>
      </c>
      <c r="IJ183" s="1052">
        <v>0</v>
      </c>
      <c r="IK183" s="1052">
        <v>0</v>
      </c>
      <c r="IL183" s="1052">
        <v>0</v>
      </c>
      <c r="IM183" s="1052">
        <v>0</v>
      </c>
      <c r="IN183" s="1052">
        <v>0</v>
      </c>
      <c r="IO183" s="1052">
        <v>0</v>
      </c>
      <c r="IP183" s="1052">
        <v>0</v>
      </c>
      <c r="IQ183" s="1052">
        <v>0</v>
      </c>
      <c r="IR183" s="1052">
        <v>0</v>
      </c>
      <c r="IS183" s="1052">
        <v>0</v>
      </c>
      <c r="IT183" s="1052">
        <v>0</v>
      </c>
      <c r="IU183" s="1052">
        <v>0</v>
      </c>
      <c r="IV183" s="1052">
        <v>0</v>
      </c>
      <c r="IW183" s="1052">
        <v>0</v>
      </c>
      <c r="IX183" s="1053">
        <v>0</v>
      </c>
    </row>
    <row r="184" spans="66:258" ht="20.100000000000001" hidden="1" customHeight="1">
      <c r="BN184" s="982"/>
      <c r="BO184" s="982"/>
      <c r="BP184" s="982"/>
      <c r="BQ184" s="982"/>
      <c r="BR184" s="982"/>
      <c r="BS184" s="982"/>
      <c r="BT184" s="982"/>
      <c r="BU184" s="982"/>
      <c r="BV184" s="982"/>
      <c r="BW184" s="982"/>
      <c r="BX184" s="982"/>
      <c r="BY184" s="982"/>
      <c r="BZ184" s="982"/>
      <c r="CA184" s="982"/>
      <c r="CB184" s="982"/>
      <c r="CC184" s="982"/>
      <c r="CD184" s="982"/>
      <c r="CE184" s="982"/>
      <c r="CF184" s="982"/>
      <c r="CG184" s="982"/>
      <c r="CH184" s="982"/>
      <c r="CI184" s="982"/>
      <c r="CJ184" s="982"/>
      <c r="CK184" s="982"/>
      <c r="CL184" s="982"/>
      <c r="CM184" s="982"/>
      <c r="CN184" s="982"/>
      <c r="CO184" s="982"/>
      <c r="CP184" s="982"/>
      <c r="CQ184" s="982"/>
      <c r="CR184" s="982"/>
      <c r="CS184" s="982"/>
      <c r="CT184" s="982"/>
      <c r="CU184" s="982"/>
      <c r="CV184" s="982"/>
      <c r="CW184" s="982"/>
      <c r="CX184" s="982"/>
      <c r="CY184" s="982"/>
      <c r="CZ184" s="982"/>
      <c r="DA184" s="982"/>
      <c r="DB184" s="982"/>
      <c r="DC184" s="982"/>
      <c r="DD184" s="982"/>
      <c r="DE184" s="982"/>
      <c r="DF184" s="982"/>
      <c r="DG184" s="1434" t="s">
        <v>197</v>
      </c>
      <c r="DH184" s="1051">
        <v>9.33</v>
      </c>
      <c r="DI184" s="1051">
        <v>0</v>
      </c>
      <c r="DJ184" s="1052">
        <v>0</v>
      </c>
      <c r="DK184" s="1052">
        <v>0</v>
      </c>
      <c r="DL184" s="1052">
        <v>0</v>
      </c>
      <c r="DM184" s="1052">
        <v>0</v>
      </c>
      <c r="DN184" s="1052">
        <v>0</v>
      </c>
      <c r="DO184" s="1052">
        <v>0</v>
      </c>
      <c r="DP184" s="1052">
        <v>0</v>
      </c>
      <c r="DQ184" s="1052">
        <v>0</v>
      </c>
      <c r="DR184" s="1052">
        <v>0</v>
      </c>
      <c r="DS184" s="1052">
        <v>0</v>
      </c>
      <c r="DT184" s="1052">
        <v>0</v>
      </c>
      <c r="DU184" s="1052">
        <v>0</v>
      </c>
      <c r="DV184" s="1052">
        <v>0</v>
      </c>
      <c r="DW184" s="1052">
        <v>0</v>
      </c>
      <c r="DX184" s="1052">
        <v>0</v>
      </c>
      <c r="DY184" s="1052">
        <v>0</v>
      </c>
      <c r="DZ184" s="1052">
        <v>0</v>
      </c>
      <c r="EA184" s="1052">
        <v>0</v>
      </c>
      <c r="EB184" s="1053">
        <v>0</v>
      </c>
      <c r="EC184" s="1051">
        <v>0</v>
      </c>
      <c r="ED184" s="1051">
        <v>0</v>
      </c>
      <c r="EE184" s="1052">
        <v>0</v>
      </c>
      <c r="EF184" s="1052">
        <v>0</v>
      </c>
      <c r="EG184" s="1052">
        <v>0</v>
      </c>
      <c r="EH184" s="1052">
        <v>0</v>
      </c>
      <c r="EI184" s="1052">
        <v>0</v>
      </c>
      <c r="EJ184" s="1052">
        <v>0</v>
      </c>
      <c r="EK184" s="1052">
        <v>0</v>
      </c>
      <c r="EL184" s="1052">
        <v>0</v>
      </c>
      <c r="EM184" s="1052">
        <v>0</v>
      </c>
      <c r="EN184" s="1052">
        <v>0</v>
      </c>
      <c r="EO184" s="1052">
        <v>0</v>
      </c>
      <c r="EP184" s="1052">
        <v>0</v>
      </c>
      <c r="EQ184" s="1052">
        <v>0</v>
      </c>
      <c r="ER184" s="1052">
        <v>0</v>
      </c>
      <c r="ES184" s="1052">
        <v>0</v>
      </c>
      <c r="ET184" s="1052">
        <v>0</v>
      </c>
      <c r="EU184" s="1052">
        <v>0</v>
      </c>
      <c r="EV184" s="1052">
        <v>0</v>
      </c>
      <c r="EW184" s="1053">
        <v>0</v>
      </c>
      <c r="EX184" s="1051">
        <v>0</v>
      </c>
      <c r="EY184" s="1051">
        <v>0</v>
      </c>
      <c r="EZ184" s="1052">
        <v>0</v>
      </c>
      <c r="FA184" s="1052">
        <v>0</v>
      </c>
      <c r="FB184" s="1052">
        <v>0</v>
      </c>
      <c r="FC184" s="1052">
        <v>0</v>
      </c>
      <c r="FD184" s="1052">
        <v>0</v>
      </c>
      <c r="FE184" s="1052">
        <v>0</v>
      </c>
      <c r="FF184" s="1052">
        <v>0</v>
      </c>
      <c r="FG184" s="1052">
        <v>0</v>
      </c>
      <c r="FH184" s="1052">
        <v>0</v>
      </c>
      <c r="FI184" s="1052">
        <v>0</v>
      </c>
      <c r="FJ184" s="1052">
        <v>0</v>
      </c>
      <c r="FK184" s="1052">
        <v>0</v>
      </c>
      <c r="FL184" s="1052">
        <v>0</v>
      </c>
      <c r="FM184" s="1052">
        <v>0</v>
      </c>
      <c r="FN184" s="1052">
        <v>0</v>
      </c>
      <c r="FO184" s="1052">
        <v>0</v>
      </c>
      <c r="FP184" s="1052">
        <v>0</v>
      </c>
      <c r="FQ184" s="1052">
        <v>0</v>
      </c>
      <c r="FR184" s="1053">
        <v>0</v>
      </c>
      <c r="FS184" s="1051">
        <v>24</v>
      </c>
      <c r="FT184" s="1051">
        <v>0</v>
      </c>
      <c r="FU184" s="1052">
        <v>0</v>
      </c>
      <c r="FV184" s="1052">
        <v>0</v>
      </c>
      <c r="FW184" s="1052">
        <v>0</v>
      </c>
      <c r="FX184" s="1052">
        <v>0</v>
      </c>
      <c r="FY184" s="1052">
        <v>0</v>
      </c>
      <c r="FZ184" s="1052">
        <v>0</v>
      </c>
      <c r="GA184" s="1052">
        <v>0</v>
      </c>
      <c r="GB184" s="1052">
        <v>0</v>
      </c>
      <c r="GC184" s="1052">
        <v>0</v>
      </c>
      <c r="GD184" s="1052">
        <v>0</v>
      </c>
      <c r="GE184" s="1052">
        <v>0</v>
      </c>
      <c r="GF184" s="1052">
        <v>0</v>
      </c>
      <c r="GG184" s="1052">
        <v>0</v>
      </c>
      <c r="GH184" s="1052">
        <v>0</v>
      </c>
      <c r="GI184" s="1052">
        <v>0</v>
      </c>
      <c r="GJ184" s="1052">
        <v>0</v>
      </c>
      <c r="GK184" s="1052">
        <v>0</v>
      </c>
      <c r="GL184" s="1052">
        <v>0</v>
      </c>
      <c r="GM184" s="1053">
        <v>0</v>
      </c>
      <c r="GN184" s="1051">
        <v>5</v>
      </c>
      <c r="GO184" s="1051">
        <v>0</v>
      </c>
      <c r="GP184" s="1052">
        <v>0</v>
      </c>
      <c r="GQ184" s="1052">
        <v>0</v>
      </c>
      <c r="GR184" s="1052">
        <v>0</v>
      </c>
      <c r="GS184" s="1052">
        <v>0</v>
      </c>
      <c r="GT184" s="1052">
        <v>0</v>
      </c>
      <c r="GU184" s="1052">
        <v>0</v>
      </c>
      <c r="GV184" s="1052">
        <v>0</v>
      </c>
      <c r="GW184" s="1052">
        <v>0</v>
      </c>
      <c r="GX184" s="1052">
        <v>0</v>
      </c>
      <c r="GY184" s="1052">
        <v>0</v>
      </c>
      <c r="GZ184" s="1052">
        <v>0</v>
      </c>
      <c r="HA184" s="1052">
        <v>0</v>
      </c>
      <c r="HB184" s="1052">
        <v>0</v>
      </c>
      <c r="HC184" s="1052">
        <v>0</v>
      </c>
      <c r="HD184" s="1052">
        <v>0</v>
      </c>
      <c r="HE184" s="1052">
        <v>0</v>
      </c>
      <c r="HF184" s="1052">
        <v>0</v>
      </c>
      <c r="HG184" s="1052">
        <v>0</v>
      </c>
      <c r="HH184" s="1053">
        <v>0</v>
      </c>
      <c r="HI184" s="1051">
        <v>41.1</v>
      </c>
      <c r="HJ184" s="1051">
        <v>0</v>
      </c>
      <c r="HK184" s="1052">
        <v>0</v>
      </c>
      <c r="HL184" s="1052">
        <v>0</v>
      </c>
      <c r="HM184" s="1052">
        <v>0</v>
      </c>
      <c r="HN184" s="1052">
        <v>0</v>
      </c>
      <c r="HO184" s="1052">
        <v>0</v>
      </c>
      <c r="HP184" s="1052">
        <v>0</v>
      </c>
      <c r="HQ184" s="1052">
        <v>0</v>
      </c>
      <c r="HR184" s="1052">
        <v>0</v>
      </c>
      <c r="HS184" s="1052">
        <v>0</v>
      </c>
      <c r="HT184" s="1052">
        <v>0</v>
      </c>
      <c r="HU184" s="1052">
        <v>0</v>
      </c>
      <c r="HV184" s="1052">
        <v>0</v>
      </c>
      <c r="HW184" s="1052">
        <v>0</v>
      </c>
      <c r="HX184" s="1052">
        <v>0</v>
      </c>
      <c r="HY184" s="1052">
        <v>0</v>
      </c>
      <c r="HZ184" s="1052">
        <v>0</v>
      </c>
      <c r="IA184" s="1052">
        <v>0</v>
      </c>
      <c r="IB184" s="1052">
        <v>0</v>
      </c>
      <c r="IC184" s="1053">
        <v>0</v>
      </c>
      <c r="ID184" s="1051">
        <v>0</v>
      </c>
      <c r="IE184" s="1051">
        <v>0</v>
      </c>
      <c r="IF184" s="1052">
        <v>0</v>
      </c>
      <c r="IG184" s="1052">
        <v>0</v>
      </c>
      <c r="IH184" s="1052">
        <v>0</v>
      </c>
      <c r="II184" s="1052">
        <v>0</v>
      </c>
      <c r="IJ184" s="1052">
        <v>0</v>
      </c>
      <c r="IK184" s="1052">
        <v>0</v>
      </c>
      <c r="IL184" s="1052">
        <v>0</v>
      </c>
      <c r="IM184" s="1052">
        <v>0</v>
      </c>
      <c r="IN184" s="1052">
        <v>0</v>
      </c>
      <c r="IO184" s="1052">
        <v>0</v>
      </c>
      <c r="IP184" s="1052">
        <v>0</v>
      </c>
      <c r="IQ184" s="1052">
        <v>0</v>
      </c>
      <c r="IR184" s="1052">
        <v>0</v>
      </c>
      <c r="IS184" s="1052">
        <v>0</v>
      </c>
      <c r="IT184" s="1052">
        <v>0</v>
      </c>
      <c r="IU184" s="1052">
        <v>0</v>
      </c>
      <c r="IV184" s="1052">
        <v>0</v>
      </c>
      <c r="IW184" s="1052">
        <v>0</v>
      </c>
      <c r="IX184" s="1053">
        <v>0</v>
      </c>
    </row>
    <row r="185" spans="66:258" ht="20.100000000000001" hidden="1" customHeight="1">
      <c r="BN185" s="982"/>
      <c r="BO185" s="982"/>
      <c r="BP185" s="982"/>
      <c r="BQ185" s="982"/>
      <c r="BR185" s="982"/>
      <c r="BS185" s="982"/>
      <c r="BT185" s="982"/>
      <c r="BU185" s="982"/>
      <c r="BV185" s="982"/>
      <c r="BW185" s="982"/>
      <c r="BX185" s="982"/>
      <c r="BY185" s="982"/>
      <c r="BZ185" s="982"/>
      <c r="CA185" s="982"/>
      <c r="CB185" s="982"/>
      <c r="CC185" s="982"/>
      <c r="CD185" s="982"/>
      <c r="CE185" s="982"/>
      <c r="CF185" s="982"/>
      <c r="CG185" s="982"/>
      <c r="CH185" s="982"/>
      <c r="CI185" s="982"/>
      <c r="CJ185" s="982"/>
      <c r="CK185" s="982"/>
      <c r="CL185" s="982"/>
      <c r="CM185" s="982"/>
      <c r="CN185" s="982"/>
      <c r="CO185" s="982"/>
      <c r="CP185" s="982"/>
      <c r="CQ185" s="982"/>
      <c r="CR185" s="982"/>
      <c r="CS185" s="982"/>
      <c r="CT185" s="982"/>
      <c r="CU185" s="982"/>
      <c r="CV185" s="982"/>
      <c r="CW185" s="982"/>
      <c r="CX185" s="982"/>
      <c r="CY185" s="982"/>
      <c r="CZ185" s="982"/>
      <c r="DA185" s="982"/>
      <c r="DB185" s="982"/>
      <c r="DC185" s="982"/>
      <c r="DD185" s="982"/>
      <c r="DE185" s="982"/>
      <c r="DF185" s="982"/>
      <c r="DG185" s="1434" t="s">
        <v>179</v>
      </c>
      <c r="DH185" s="1051">
        <v>6.8</v>
      </c>
      <c r="DI185" s="1051">
        <v>0</v>
      </c>
      <c r="DJ185" s="1052">
        <v>0</v>
      </c>
      <c r="DK185" s="1052">
        <v>0</v>
      </c>
      <c r="DL185" s="1052">
        <v>0</v>
      </c>
      <c r="DM185" s="1052">
        <v>0</v>
      </c>
      <c r="DN185" s="1052">
        <v>0</v>
      </c>
      <c r="DO185" s="1052">
        <v>0</v>
      </c>
      <c r="DP185" s="1052">
        <v>0</v>
      </c>
      <c r="DQ185" s="1052">
        <v>0</v>
      </c>
      <c r="DR185" s="1052">
        <v>0</v>
      </c>
      <c r="DS185" s="1052">
        <v>0</v>
      </c>
      <c r="DT185" s="1052">
        <v>0</v>
      </c>
      <c r="DU185" s="1052">
        <v>0</v>
      </c>
      <c r="DV185" s="1052">
        <v>0</v>
      </c>
      <c r="DW185" s="1052">
        <v>0</v>
      </c>
      <c r="DX185" s="1052">
        <v>0</v>
      </c>
      <c r="DY185" s="1052">
        <v>0</v>
      </c>
      <c r="DZ185" s="1052">
        <v>0</v>
      </c>
      <c r="EA185" s="1052">
        <v>0</v>
      </c>
      <c r="EB185" s="1053">
        <v>0</v>
      </c>
      <c r="EC185" s="1051">
        <v>9</v>
      </c>
      <c r="ED185" s="1051">
        <v>0</v>
      </c>
      <c r="EE185" s="1052">
        <v>0</v>
      </c>
      <c r="EF185" s="1052">
        <v>0</v>
      </c>
      <c r="EG185" s="1052">
        <v>0</v>
      </c>
      <c r="EH185" s="1052">
        <v>0</v>
      </c>
      <c r="EI185" s="1052">
        <v>0</v>
      </c>
      <c r="EJ185" s="1052">
        <v>0</v>
      </c>
      <c r="EK185" s="1052">
        <v>0</v>
      </c>
      <c r="EL185" s="1052">
        <v>0</v>
      </c>
      <c r="EM185" s="1052">
        <v>0</v>
      </c>
      <c r="EN185" s="1052">
        <v>0</v>
      </c>
      <c r="EO185" s="1052">
        <v>0</v>
      </c>
      <c r="EP185" s="1052">
        <v>0</v>
      </c>
      <c r="EQ185" s="1052">
        <v>0</v>
      </c>
      <c r="ER185" s="1052">
        <v>0</v>
      </c>
      <c r="ES185" s="1052">
        <v>0</v>
      </c>
      <c r="ET185" s="1052">
        <v>0</v>
      </c>
      <c r="EU185" s="1052">
        <v>0</v>
      </c>
      <c r="EV185" s="1052">
        <v>0</v>
      </c>
      <c r="EW185" s="1053">
        <v>0</v>
      </c>
      <c r="EX185" s="1051">
        <v>9</v>
      </c>
      <c r="EY185" s="1051">
        <v>0</v>
      </c>
      <c r="EZ185" s="1052">
        <v>0</v>
      </c>
      <c r="FA185" s="1052">
        <v>0</v>
      </c>
      <c r="FB185" s="1052">
        <v>0</v>
      </c>
      <c r="FC185" s="1052">
        <v>0</v>
      </c>
      <c r="FD185" s="1052">
        <v>0</v>
      </c>
      <c r="FE185" s="1052">
        <v>0</v>
      </c>
      <c r="FF185" s="1052">
        <v>0</v>
      </c>
      <c r="FG185" s="1052">
        <v>0</v>
      </c>
      <c r="FH185" s="1052">
        <v>0</v>
      </c>
      <c r="FI185" s="1052">
        <v>0</v>
      </c>
      <c r="FJ185" s="1052">
        <v>0</v>
      </c>
      <c r="FK185" s="1052">
        <v>0</v>
      </c>
      <c r="FL185" s="1052">
        <v>0</v>
      </c>
      <c r="FM185" s="1052">
        <v>0</v>
      </c>
      <c r="FN185" s="1052">
        <v>0</v>
      </c>
      <c r="FO185" s="1052">
        <v>0</v>
      </c>
      <c r="FP185" s="1052">
        <v>0</v>
      </c>
      <c r="FQ185" s="1052">
        <v>0</v>
      </c>
      <c r="FR185" s="1053">
        <v>0</v>
      </c>
      <c r="FS185" s="1051">
        <v>10</v>
      </c>
      <c r="FT185" s="1051">
        <v>0</v>
      </c>
      <c r="FU185" s="1052">
        <v>0</v>
      </c>
      <c r="FV185" s="1052">
        <v>0</v>
      </c>
      <c r="FW185" s="1052">
        <v>0</v>
      </c>
      <c r="FX185" s="1052">
        <v>0</v>
      </c>
      <c r="FY185" s="1052">
        <v>0</v>
      </c>
      <c r="FZ185" s="1052">
        <v>0</v>
      </c>
      <c r="GA185" s="1052">
        <v>0</v>
      </c>
      <c r="GB185" s="1052">
        <v>0</v>
      </c>
      <c r="GC185" s="1052">
        <v>0</v>
      </c>
      <c r="GD185" s="1052">
        <v>0</v>
      </c>
      <c r="GE185" s="1052">
        <v>0</v>
      </c>
      <c r="GF185" s="1052">
        <v>0</v>
      </c>
      <c r="GG185" s="1052">
        <v>0</v>
      </c>
      <c r="GH185" s="1052">
        <v>0</v>
      </c>
      <c r="GI185" s="1052">
        <v>0</v>
      </c>
      <c r="GJ185" s="1052">
        <v>0</v>
      </c>
      <c r="GK185" s="1052">
        <v>0</v>
      </c>
      <c r="GL185" s="1052">
        <v>0</v>
      </c>
      <c r="GM185" s="1053">
        <v>0</v>
      </c>
      <c r="GN185" s="1051">
        <v>4</v>
      </c>
      <c r="GO185" s="1051">
        <v>0</v>
      </c>
      <c r="GP185" s="1052">
        <v>0</v>
      </c>
      <c r="GQ185" s="1052">
        <v>0</v>
      </c>
      <c r="GR185" s="1052">
        <v>0</v>
      </c>
      <c r="GS185" s="1052">
        <v>0</v>
      </c>
      <c r="GT185" s="1052">
        <v>0</v>
      </c>
      <c r="GU185" s="1052">
        <v>0</v>
      </c>
      <c r="GV185" s="1052">
        <v>0</v>
      </c>
      <c r="GW185" s="1052">
        <v>0</v>
      </c>
      <c r="GX185" s="1052">
        <v>0</v>
      </c>
      <c r="GY185" s="1052">
        <v>0</v>
      </c>
      <c r="GZ185" s="1052">
        <v>0</v>
      </c>
      <c r="HA185" s="1052">
        <v>0</v>
      </c>
      <c r="HB185" s="1052">
        <v>0</v>
      </c>
      <c r="HC185" s="1052">
        <v>0</v>
      </c>
      <c r="HD185" s="1052">
        <v>0</v>
      </c>
      <c r="HE185" s="1052">
        <v>0</v>
      </c>
      <c r="HF185" s="1052">
        <v>0</v>
      </c>
      <c r="HG185" s="1052">
        <v>0</v>
      </c>
      <c r="HH185" s="1053">
        <v>0</v>
      </c>
      <c r="HI185" s="1051">
        <v>26</v>
      </c>
      <c r="HJ185" s="1051">
        <v>0</v>
      </c>
      <c r="HK185" s="1052">
        <v>0</v>
      </c>
      <c r="HL185" s="1052">
        <v>0</v>
      </c>
      <c r="HM185" s="1052">
        <v>0</v>
      </c>
      <c r="HN185" s="1052">
        <v>0</v>
      </c>
      <c r="HO185" s="1052">
        <v>0</v>
      </c>
      <c r="HP185" s="1052">
        <v>0</v>
      </c>
      <c r="HQ185" s="1052">
        <v>0</v>
      </c>
      <c r="HR185" s="1052">
        <v>0</v>
      </c>
      <c r="HS185" s="1052">
        <v>0</v>
      </c>
      <c r="HT185" s="1052">
        <v>0</v>
      </c>
      <c r="HU185" s="1052">
        <v>0</v>
      </c>
      <c r="HV185" s="1052">
        <v>0</v>
      </c>
      <c r="HW185" s="1052">
        <v>0</v>
      </c>
      <c r="HX185" s="1052">
        <v>0</v>
      </c>
      <c r="HY185" s="1052">
        <v>0</v>
      </c>
      <c r="HZ185" s="1052">
        <v>0</v>
      </c>
      <c r="IA185" s="1052">
        <v>0</v>
      </c>
      <c r="IB185" s="1052">
        <v>0</v>
      </c>
      <c r="IC185" s="1053">
        <v>0</v>
      </c>
      <c r="ID185" s="1051">
        <v>5</v>
      </c>
      <c r="IE185" s="1051">
        <v>0</v>
      </c>
      <c r="IF185" s="1052">
        <v>0</v>
      </c>
      <c r="IG185" s="1052">
        <v>0</v>
      </c>
      <c r="IH185" s="1052">
        <v>0</v>
      </c>
      <c r="II185" s="1052">
        <v>0</v>
      </c>
      <c r="IJ185" s="1052">
        <v>0</v>
      </c>
      <c r="IK185" s="1052">
        <v>0</v>
      </c>
      <c r="IL185" s="1052">
        <v>0</v>
      </c>
      <c r="IM185" s="1052">
        <v>0</v>
      </c>
      <c r="IN185" s="1052">
        <v>0</v>
      </c>
      <c r="IO185" s="1052">
        <v>0</v>
      </c>
      <c r="IP185" s="1052">
        <v>0</v>
      </c>
      <c r="IQ185" s="1052">
        <v>0</v>
      </c>
      <c r="IR185" s="1052">
        <v>0</v>
      </c>
      <c r="IS185" s="1052">
        <v>0</v>
      </c>
      <c r="IT185" s="1052">
        <v>0</v>
      </c>
      <c r="IU185" s="1052">
        <v>0</v>
      </c>
      <c r="IV185" s="1052">
        <v>0</v>
      </c>
      <c r="IW185" s="1052">
        <v>0</v>
      </c>
      <c r="IX185" s="1053">
        <v>0</v>
      </c>
    </row>
    <row r="186" spans="66:258" ht="20.100000000000001" hidden="1" customHeight="1">
      <c r="BN186" s="982"/>
      <c r="BO186" s="982"/>
      <c r="BP186" s="982"/>
      <c r="BQ186" s="982"/>
      <c r="BR186" s="982"/>
      <c r="BS186" s="982"/>
      <c r="BT186" s="982"/>
      <c r="BU186" s="982"/>
      <c r="BV186" s="982"/>
      <c r="BW186" s="982"/>
      <c r="BX186" s="982"/>
      <c r="BY186" s="982"/>
      <c r="BZ186" s="982"/>
      <c r="CA186" s="982"/>
      <c r="CB186" s="982"/>
      <c r="CC186" s="982"/>
      <c r="CD186" s="982"/>
      <c r="CE186" s="982"/>
      <c r="CF186" s="982"/>
      <c r="CG186" s="982"/>
      <c r="CH186" s="982"/>
      <c r="CI186" s="982"/>
      <c r="CJ186" s="982"/>
      <c r="CK186" s="982"/>
      <c r="CL186" s="982"/>
      <c r="CM186" s="982"/>
      <c r="CN186" s="982"/>
      <c r="CO186" s="982"/>
      <c r="CP186" s="982"/>
      <c r="CQ186" s="982"/>
      <c r="CR186" s="982"/>
      <c r="CS186" s="982"/>
      <c r="CT186" s="982"/>
      <c r="CU186" s="982"/>
      <c r="CV186" s="982"/>
      <c r="CW186" s="982"/>
      <c r="CX186" s="982"/>
      <c r="CY186" s="982"/>
      <c r="CZ186" s="982"/>
      <c r="DA186" s="982"/>
      <c r="DB186" s="982"/>
      <c r="DC186" s="982"/>
      <c r="DD186" s="982"/>
      <c r="DE186" s="982"/>
      <c r="DF186" s="982"/>
      <c r="DG186" s="1434" t="s">
        <v>180</v>
      </c>
      <c r="DH186" s="1051">
        <v>0</v>
      </c>
      <c r="DI186" s="1051">
        <v>0</v>
      </c>
      <c r="DJ186" s="1052">
        <v>0</v>
      </c>
      <c r="DK186" s="1052">
        <v>0</v>
      </c>
      <c r="DL186" s="1052">
        <v>0</v>
      </c>
      <c r="DM186" s="1052">
        <v>0</v>
      </c>
      <c r="DN186" s="1052">
        <v>0</v>
      </c>
      <c r="DO186" s="1052">
        <v>0</v>
      </c>
      <c r="DP186" s="1052">
        <v>0</v>
      </c>
      <c r="DQ186" s="1052">
        <v>0</v>
      </c>
      <c r="DR186" s="1052">
        <v>0</v>
      </c>
      <c r="DS186" s="1052">
        <v>0</v>
      </c>
      <c r="DT186" s="1052">
        <v>0</v>
      </c>
      <c r="DU186" s="1052">
        <v>0</v>
      </c>
      <c r="DV186" s="1052">
        <v>0</v>
      </c>
      <c r="DW186" s="1052">
        <v>0</v>
      </c>
      <c r="DX186" s="1052">
        <v>0</v>
      </c>
      <c r="DY186" s="1052">
        <v>0</v>
      </c>
      <c r="DZ186" s="1052">
        <v>0</v>
      </c>
      <c r="EA186" s="1052">
        <v>0</v>
      </c>
      <c r="EB186" s="1053">
        <v>0</v>
      </c>
      <c r="EC186" s="1051">
        <v>1</v>
      </c>
      <c r="ED186" s="1051">
        <v>0</v>
      </c>
      <c r="EE186" s="1052">
        <v>0</v>
      </c>
      <c r="EF186" s="1052">
        <v>0</v>
      </c>
      <c r="EG186" s="1052">
        <v>0</v>
      </c>
      <c r="EH186" s="1052">
        <v>0</v>
      </c>
      <c r="EI186" s="1052">
        <v>0</v>
      </c>
      <c r="EJ186" s="1052">
        <v>0</v>
      </c>
      <c r="EK186" s="1052">
        <v>0</v>
      </c>
      <c r="EL186" s="1052">
        <v>0</v>
      </c>
      <c r="EM186" s="1052">
        <v>0</v>
      </c>
      <c r="EN186" s="1052">
        <v>0</v>
      </c>
      <c r="EO186" s="1052">
        <v>0</v>
      </c>
      <c r="EP186" s="1052">
        <v>0</v>
      </c>
      <c r="EQ186" s="1052">
        <v>0</v>
      </c>
      <c r="ER186" s="1052">
        <v>0</v>
      </c>
      <c r="ES186" s="1052">
        <v>0</v>
      </c>
      <c r="ET186" s="1052">
        <v>0</v>
      </c>
      <c r="EU186" s="1052">
        <v>0</v>
      </c>
      <c r="EV186" s="1052">
        <v>0</v>
      </c>
      <c r="EW186" s="1053">
        <v>0</v>
      </c>
      <c r="EX186" s="1051">
        <v>0</v>
      </c>
      <c r="EY186" s="1051">
        <v>0</v>
      </c>
      <c r="EZ186" s="1052">
        <v>0</v>
      </c>
      <c r="FA186" s="1052">
        <v>0</v>
      </c>
      <c r="FB186" s="1052">
        <v>0</v>
      </c>
      <c r="FC186" s="1052">
        <v>0</v>
      </c>
      <c r="FD186" s="1052">
        <v>0</v>
      </c>
      <c r="FE186" s="1052">
        <v>0</v>
      </c>
      <c r="FF186" s="1052">
        <v>0</v>
      </c>
      <c r="FG186" s="1052">
        <v>0</v>
      </c>
      <c r="FH186" s="1052">
        <v>0</v>
      </c>
      <c r="FI186" s="1052">
        <v>0</v>
      </c>
      <c r="FJ186" s="1052">
        <v>0</v>
      </c>
      <c r="FK186" s="1052">
        <v>0</v>
      </c>
      <c r="FL186" s="1052">
        <v>0</v>
      </c>
      <c r="FM186" s="1052">
        <v>0</v>
      </c>
      <c r="FN186" s="1052">
        <v>0</v>
      </c>
      <c r="FO186" s="1052">
        <v>0</v>
      </c>
      <c r="FP186" s="1052">
        <v>0</v>
      </c>
      <c r="FQ186" s="1052">
        <v>0</v>
      </c>
      <c r="FR186" s="1053">
        <v>0</v>
      </c>
      <c r="FS186" s="1051">
        <v>16</v>
      </c>
      <c r="FT186" s="1051">
        <v>0</v>
      </c>
      <c r="FU186" s="1052">
        <v>0</v>
      </c>
      <c r="FV186" s="1052">
        <v>0</v>
      </c>
      <c r="FW186" s="1052">
        <v>0</v>
      </c>
      <c r="FX186" s="1052">
        <v>0</v>
      </c>
      <c r="FY186" s="1052">
        <v>0</v>
      </c>
      <c r="FZ186" s="1052">
        <v>0</v>
      </c>
      <c r="GA186" s="1052">
        <v>0</v>
      </c>
      <c r="GB186" s="1052">
        <v>0</v>
      </c>
      <c r="GC186" s="1052">
        <v>0</v>
      </c>
      <c r="GD186" s="1052">
        <v>0</v>
      </c>
      <c r="GE186" s="1052">
        <v>0</v>
      </c>
      <c r="GF186" s="1052">
        <v>0</v>
      </c>
      <c r="GG186" s="1052">
        <v>0</v>
      </c>
      <c r="GH186" s="1052">
        <v>0</v>
      </c>
      <c r="GI186" s="1052">
        <v>0</v>
      </c>
      <c r="GJ186" s="1052">
        <v>0</v>
      </c>
      <c r="GK186" s="1052">
        <v>0</v>
      </c>
      <c r="GL186" s="1052">
        <v>0</v>
      </c>
      <c r="GM186" s="1053">
        <v>0</v>
      </c>
      <c r="GN186" s="1051">
        <v>0</v>
      </c>
      <c r="GO186" s="1051">
        <v>0</v>
      </c>
      <c r="GP186" s="1052">
        <v>0</v>
      </c>
      <c r="GQ186" s="1052">
        <v>0</v>
      </c>
      <c r="GR186" s="1052">
        <v>0</v>
      </c>
      <c r="GS186" s="1052">
        <v>0</v>
      </c>
      <c r="GT186" s="1052">
        <v>0</v>
      </c>
      <c r="GU186" s="1052">
        <v>0</v>
      </c>
      <c r="GV186" s="1052">
        <v>0</v>
      </c>
      <c r="GW186" s="1052">
        <v>0</v>
      </c>
      <c r="GX186" s="1052">
        <v>0</v>
      </c>
      <c r="GY186" s="1052">
        <v>0</v>
      </c>
      <c r="GZ186" s="1052">
        <v>0</v>
      </c>
      <c r="HA186" s="1052">
        <v>0</v>
      </c>
      <c r="HB186" s="1052">
        <v>0</v>
      </c>
      <c r="HC186" s="1052">
        <v>0</v>
      </c>
      <c r="HD186" s="1052">
        <v>0</v>
      </c>
      <c r="HE186" s="1052">
        <v>0</v>
      </c>
      <c r="HF186" s="1052">
        <v>0</v>
      </c>
      <c r="HG186" s="1052">
        <v>0</v>
      </c>
      <c r="HH186" s="1053">
        <v>0</v>
      </c>
      <c r="HI186" s="1051">
        <v>24.5</v>
      </c>
      <c r="HJ186" s="1051">
        <v>0</v>
      </c>
      <c r="HK186" s="1052">
        <v>0</v>
      </c>
      <c r="HL186" s="1052">
        <v>0</v>
      </c>
      <c r="HM186" s="1052">
        <v>0</v>
      </c>
      <c r="HN186" s="1052">
        <v>0</v>
      </c>
      <c r="HO186" s="1052">
        <v>0</v>
      </c>
      <c r="HP186" s="1052">
        <v>0</v>
      </c>
      <c r="HQ186" s="1052">
        <v>0</v>
      </c>
      <c r="HR186" s="1052">
        <v>0</v>
      </c>
      <c r="HS186" s="1052">
        <v>0</v>
      </c>
      <c r="HT186" s="1052">
        <v>0</v>
      </c>
      <c r="HU186" s="1052">
        <v>0</v>
      </c>
      <c r="HV186" s="1052">
        <v>0</v>
      </c>
      <c r="HW186" s="1052">
        <v>0</v>
      </c>
      <c r="HX186" s="1052">
        <v>0</v>
      </c>
      <c r="HY186" s="1052">
        <v>0</v>
      </c>
      <c r="HZ186" s="1052">
        <v>0</v>
      </c>
      <c r="IA186" s="1052">
        <v>0</v>
      </c>
      <c r="IB186" s="1052">
        <v>0</v>
      </c>
      <c r="IC186" s="1053">
        <v>0</v>
      </c>
      <c r="ID186" s="1051">
        <v>0</v>
      </c>
      <c r="IE186" s="1051">
        <v>0</v>
      </c>
      <c r="IF186" s="1052">
        <v>0</v>
      </c>
      <c r="IG186" s="1052">
        <v>0</v>
      </c>
      <c r="IH186" s="1052">
        <v>0</v>
      </c>
      <c r="II186" s="1052">
        <v>0</v>
      </c>
      <c r="IJ186" s="1052">
        <v>0</v>
      </c>
      <c r="IK186" s="1052">
        <v>0</v>
      </c>
      <c r="IL186" s="1052">
        <v>0</v>
      </c>
      <c r="IM186" s="1052">
        <v>0</v>
      </c>
      <c r="IN186" s="1052">
        <v>0</v>
      </c>
      <c r="IO186" s="1052">
        <v>0</v>
      </c>
      <c r="IP186" s="1052">
        <v>0</v>
      </c>
      <c r="IQ186" s="1052">
        <v>0</v>
      </c>
      <c r="IR186" s="1052">
        <v>0</v>
      </c>
      <c r="IS186" s="1052">
        <v>0</v>
      </c>
      <c r="IT186" s="1052">
        <v>0</v>
      </c>
      <c r="IU186" s="1052">
        <v>0</v>
      </c>
      <c r="IV186" s="1052">
        <v>0</v>
      </c>
      <c r="IW186" s="1052">
        <v>0</v>
      </c>
      <c r="IX186" s="1053">
        <v>0</v>
      </c>
    </row>
    <row r="187" spans="66:258" ht="20.100000000000001" hidden="1" customHeight="1">
      <c r="BN187" s="982"/>
      <c r="BO187" s="982"/>
      <c r="BP187" s="982"/>
      <c r="BQ187" s="982"/>
      <c r="BR187" s="982"/>
      <c r="BS187" s="982"/>
      <c r="BT187" s="982"/>
      <c r="BU187" s="982"/>
      <c r="BV187" s="982"/>
      <c r="BW187" s="982"/>
      <c r="BX187" s="982"/>
      <c r="BY187" s="982"/>
      <c r="BZ187" s="982"/>
      <c r="CA187" s="982"/>
      <c r="CB187" s="982"/>
      <c r="CC187" s="982"/>
      <c r="CD187" s="982"/>
      <c r="CE187" s="982"/>
      <c r="CF187" s="982"/>
      <c r="CG187" s="982"/>
      <c r="CH187" s="982"/>
      <c r="CI187" s="982"/>
      <c r="CJ187" s="982"/>
      <c r="CK187" s="982"/>
      <c r="CL187" s="982"/>
      <c r="CM187" s="982"/>
      <c r="CN187" s="982"/>
      <c r="CO187" s="982"/>
      <c r="CP187" s="982"/>
      <c r="CQ187" s="982"/>
      <c r="CR187" s="982"/>
      <c r="CS187" s="982"/>
      <c r="CT187" s="982"/>
      <c r="CU187" s="982"/>
      <c r="CV187" s="982"/>
      <c r="CW187" s="982"/>
      <c r="CX187" s="982"/>
      <c r="CY187" s="982"/>
      <c r="CZ187" s="982"/>
      <c r="DA187" s="982"/>
      <c r="DB187" s="982"/>
      <c r="DC187" s="982"/>
      <c r="DD187" s="982"/>
      <c r="DE187" s="982"/>
      <c r="DF187" s="982"/>
      <c r="DG187" s="1434" t="s">
        <v>181</v>
      </c>
      <c r="DH187" s="1051">
        <v>12</v>
      </c>
      <c r="DI187" s="1051">
        <v>0</v>
      </c>
      <c r="DJ187" s="1052">
        <v>0</v>
      </c>
      <c r="DK187" s="1052">
        <v>0</v>
      </c>
      <c r="DL187" s="1052">
        <v>0</v>
      </c>
      <c r="DM187" s="1052">
        <v>0</v>
      </c>
      <c r="DN187" s="1052">
        <v>0</v>
      </c>
      <c r="DO187" s="1052">
        <v>0</v>
      </c>
      <c r="DP187" s="1052">
        <v>0</v>
      </c>
      <c r="DQ187" s="1052">
        <v>0</v>
      </c>
      <c r="DR187" s="1052">
        <v>0</v>
      </c>
      <c r="DS187" s="1052">
        <v>0</v>
      </c>
      <c r="DT187" s="1052">
        <v>0</v>
      </c>
      <c r="DU187" s="1052">
        <v>0</v>
      </c>
      <c r="DV187" s="1052">
        <v>0</v>
      </c>
      <c r="DW187" s="1052">
        <v>0</v>
      </c>
      <c r="DX187" s="1052">
        <v>0</v>
      </c>
      <c r="DY187" s="1052">
        <v>0</v>
      </c>
      <c r="DZ187" s="1052">
        <v>0</v>
      </c>
      <c r="EA187" s="1052">
        <v>0</v>
      </c>
      <c r="EB187" s="1053">
        <v>0</v>
      </c>
      <c r="EC187" s="1051">
        <v>0</v>
      </c>
      <c r="ED187" s="1051">
        <v>0</v>
      </c>
      <c r="EE187" s="1052">
        <v>0</v>
      </c>
      <c r="EF187" s="1052">
        <v>0</v>
      </c>
      <c r="EG187" s="1052">
        <v>0</v>
      </c>
      <c r="EH187" s="1052">
        <v>0</v>
      </c>
      <c r="EI187" s="1052">
        <v>0</v>
      </c>
      <c r="EJ187" s="1052">
        <v>0</v>
      </c>
      <c r="EK187" s="1052">
        <v>0</v>
      </c>
      <c r="EL187" s="1052">
        <v>0</v>
      </c>
      <c r="EM187" s="1052">
        <v>0</v>
      </c>
      <c r="EN187" s="1052">
        <v>0</v>
      </c>
      <c r="EO187" s="1052">
        <v>0</v>
      </c>
      <c r="EP187" s="1052">
        <v>0</v>
      </c>
      <c r="EQ187" s="1052">
        <v>0</v>
      </c>
      <c r="ER187" s="1052">
        <v>0</v>
      </c>
      <c r="ES187" s="1052">
        <v>0</v>
      </c>
      <c r="ET187" s="1052">
        <v>0</v>
      </c>
      <c r="EU187" s="1052">
        <v>0</v>
      </c>
      <c r="EV187" s="1052">
        <v>0</v>
      </c>
      <c r="EW187" s="1053">
        <v>0</v>
      </c>
      <c r="EX187" s="1051">
        <v>16</v>
      </c>
      <c r="EY187" s="1051">
        <v>0</v>
      </c>
      <c r="EZ187" s="1052">
        <v>0</v>
      </c>
      <c r="FA187" s="1052">
        <v>0</v>
      </c>
      <c r="FB187" s="1052">
        <v>0</v>
      </c>
      <c r="FC187" s="1052">
        <v>0</v>
      </c>
      <c r="FD187" s="1052">
        <v>0</v>
      </c>
      <c r="FE187" s="1052">
        <v>0</v>
      </c>
      <c r="FF187" s="1052">
        <v>0</v>
      </c>
      <c r="FG187" s="1052">
        <v>0</v>
      </c>
      <c r="FH187" s="1052">
        <v>0</v>
      </c>
      <c r="FI187" s="1052">
        <v>0</v>
      </c>
      <c r="FJ187" s="1052">
        <v>0</v>
      </c>
      <c r="FK187" s="1052">
        <v>0</v>
      </c>
      <c r="FL187" s="1052">
        <v>0</v>
      </c>
      <c r="FM187" s="1052">
        <v>0</v>
      </c>
      <c r="FN187" s="1052">
        <v>0</v>
      </c>
      <c r="FO187" s="1052">
        <v>0</v>
      </c>
      <c r="FP187" s="1052">
        <v>0</v>
      </c>
      <c r="FQ187" s="1052">
        <v>0</v>
      </c>
      <c r="FR187" s="1053">
        <v>0</v>
      </c>
      <c r="FS187" s="1051">
        <v>0</v>
      </c>
      <c r="FT187" s="1051">
        <v>0</v>
      </c>
      <c r="FU187" s="1052">
        <v>0</v>
      </c>
      <c r="FV187" s="1052">
        <v>0</v>
      </c>
      <c r="FW187" s="1052">
        <v>0</v>
      </c>
      <c r="FX187" s="1052">
        <v>0</v>
      </c>
      <c r="FY187" s="1052">
        <v>0</v>
      </c>
      <c r="FZ187" s="1052">
        <v>0</v>
      </c>
      <c r="GA187" s="1052">
        <v>0</v>
      </c>
      <c r="GB187" s="1052">
        <v>0</v>
      </c>
      <c r="GC187" s="1052">
        <v>0</v>
      </c>
      <c r="GD187" s="1052">
        <v>0</v>
      </c>
      <c r="GE187" s="1052">
        <v>0</v>
      </c>
      <c r="GF187" s="1052">
        <v>0</v>
      </c>
      <c r="GG187" s="1052">
        <v>0</v>
      </c>
      <c r="GH187" s="1052">
        <v>0</v>
      </c>
      <c r="GI187" s="1052">
        <v>0</v>
      </c>
      <c r="GJ187" s="1052">
        <v>0</v>
      </c>
      <c r="GK187" s="1052">
        <v>0</v>
      </c>
      <c r="GL187" s="1052">
        <v>0</v>
      </c>
      <c r="GM187" s="1053">
        <v>0</v>
      </c>
      <c r="GN187" s="1051">
        <v>0</v>
      </c>
      <c r="GO187" s="1051">
        <v>0</v>
      </c>
      <c r="GP187" s="1052">
        <v>0</v>
      </c>
      <c r="GQ187" s="1052">
        <v>0</v>
      </c>
      <c r="GR187" s="1052">
        <v>0</v>
      </c>
      <c r="GS187" s="1052">
        <v>0</v>
      </c>
      <c r="GT187" s="1052">
        <v>0</v>
      </c>
      <c r="GU187" s="1052">
        <v>0</v>
      </c>
      <c r="GV187" s="1052">
        <v>0</v>
      </c>
      <c r="GW187" s="1052">
        <v>0</v>
      </c>
      <c r="GX187" s="1052">
        <v>0</v>
      </c>
      <c r="GY187" s="1052">
        <v>0</v>
      </c>
      <c r="GZ187" s="1052">
        <v>0</v>
      </c>
      <c r="HA187" s="1052">
        <v>0</v>
      </c>
      <c r="HB187" s="1052">
        <v>0</v>
      </c>
      <c r="HC187" s="1052">
        <v>0</v>
      </c>
      <c r="HD187" s="1052">
        <v>0</v>
      </c>
      <c r="HE187" s="1052">
        <v>0</v>
      </c>
      <c r="HF187" s="1052">
        <v>0</v>
      </c>
      <c r="HG187" s="1052">
        <v>0</v>
      </c>
      <c r="HH187" s="1053">
        <v>0</v>
      </c>
      <c r="HI187" s="1051">
        <v>0</v>
      </c>
      <c r="HJ187" s="1051">
        <v>0</v>
      </c>
      <c r="HK187" s="1052">
        <v>0</v>
      </c>
      <c r="HL187" s="1052">
        <v>0</v>
      </c>
      <c r="HM187" s="1052">
        <v>0</v>
      </c>
      <c r="HN187" s="1052">
        <v>0</v>
      </c>
      <c r="HO187" s="1052">
        <v>0</v>
      </c>
      <c r="HP187" s="1052">
        <v>0</v>
      </c>
      <c r="HQ187" s="1052">
        <v>0</v>
      </c>
      <c r="HR187" s="1052">
        <v>0</v>
      </c>
      <c r="HS187" s="1052">
        <v>0</v>
      </c>
      <c r="HT187" s="1052">
        <v>0</v>
      </c>
      <c r="HU187" s="1052">
        <v>0</v>
      </c>
      <c r="HV187" s="1052">
        <v>0</v>
      </c>
      <c r="HW187" s="1052">
        <v>0</v>
      </c>
      <c r="HX187" s="1052">
        <v>0</v>
      </c>
      <c r="HY187" s="1052">
        <v>0</v>
      </c>
      <c r="HZ187" s="1052">
        <v>0</v>
      </c>
      <c r="IA187" s="1052">
        <v>0</v>
      </c>
      <c r="IB187" s="1052">
        <v>0</v>
      </c>
      <c r="IC187" s="1053">
        <v>0</v>
      </c>
      <c r="ID187" s="1051">
        <v>0</v>
      </c>
      <c r="IE187" s="1051">
        <v>0</v>
      </c>
      <c r="IF187" s="1052">
        <v>0</v>
      </c>
      <c r="IG187" s="1052">
        <v>0</v>
      </c>
      <c r="IH187" s="1052">
        <v>0</v>
      </c>
      <c r="II187" s="1052">
        <v>0</v>
      </c>
      <c r="IJ187" s="1052">
        <v>0</v>
      </c>
      <c r="IK187" s="1052">
        <v>0</v>
      </c>
      <c r="IL187" s="1052">
        <v>0</v>
      </c>
      <c r="IM187" s="1052">
        <v>0</v>
      </c>
      <c r="IN187" s="1052">
        <v>0</v>
      </c>
      <c r="IO187" s="1052">
        <v>0</v>
      </c>
      <c r="IP187" s="1052">
        <v>0</v>
      </c>
      <c r="IQ187" s="1052">
        <v>0</v>
      </c>
      <c r="IR187" s="1052">
        <v>0</v>
      </c>
      <c r="IS187" s="1052">
        <v>0</v>
      </c>
      <c r="IT187" s="1052">
        <v>0</v>
      </c>
      <c r="IU187" s="1052">
        <v>0</v>
      </c>
      <c r="IV187" s="1052">
        <v>0</v>
      </c>
      <c r="IW187" s="1052">
        <v>0</v>
      </c>
      <c r="IX187" s="1053">
        <v>0</v>
      </c>
    </row>
    <row r="188" spans="66:258" ht="20.100000000000001" hidden="1" customHeight="1">
      <c r="BN188" s="982"/>
      <c r="BO188" s="982"/>
      <c r="BP188" s="982"/>
      <c r="BQ188" s="982"/>
      <c r="BR188" s="982"/>
      <c r="BS188" s="982"/>
      <c r="BT188" s="982"/>
      <c r="BU188" s="982"/>
      <c r="BV188" s="982"/>
      <c r="BW188" s="982"/>
      <c r="BX188" s="982"/>
      <c r="BY188" s="982"/>
      <c r="BZ188" s="982"/>
      <c r="CA188" s="982"/>
      <c r="CB188" s="982"/>
      <c r="CC188" s="982"/>
      <c r="CD188" s="982"/>
      <c r="CE188" s="982"/>
      <c r="CF188" s="982"/>
      <c r="CG188" s="982"/>
      <c r="CH188" s="982"/>
      <c r="CI188" s="982"/>
      <c r="CJ188" s="982"/>
      <c r="CK188" s="982"/>
      <c r="CL188" s="982"/>
      <c r="CM188" s="982"/>
      <c r="CN188" s="982"/>
      <c r="CO188" s="982"/>
      <c r="CP188" s="982"/>
      <c r="CQ188" s="982"/>
      <c r="CR188" s="982"/>
      <c r="CS188" s="982"/>
      <c r="CT188" s="982"/>
      <c r="CU188" s="982"/>
      <c r="CV188" s="982"/>
      <c r="CW188" s="982"/>
      <c r="CX188" s="982"/>
      <c r="CY188" s="982"/>
      <c r="CZ188" s="982"/>
      <c r="DA188" s="982"/>
      <c r="DB188" s="982"/>
      <c r="DC188" s="982"/>
      <c r="DD188" s="982"/>
      <c r="DE188" s="982"/>
      <c r="DF188" s="982"/>
      <c r="DG188" s="1434" t="s">
        <v>182</v>
      </c>
      <c r="DH188" s="1051">
        <v>28</v>
      </c>
      <c r="DI188" s="1051">
        <v>0</v>
      </c>
      <c r="DJ188" s="1052">
        <v>0</v>
      </c>
      <c r="DK188" s="1052">
        <v>0</v>
      </c>
      <c r="DL188" s="1052">
        <v>0</v>
      </c>
      <c r="DM188" s="1052">
        <v>0</v>
      </c>
      <c r="DN188" s="1052">
        <v>0</v>
      </c>
      <c r="DO188" s="1052">
        <v>0</v>
      </c>
      <c r="DP188" s="1052">
        <v>0</v>
      </c>
      <c r="DQ188" s="1052">
        <v>0</v>
      </c>
      <c r="DR188" s="1052">
        <v>0</v>
      </c>
      <c r="DS188" s="1052">
        <v>0</v>
      </c>
      <c r="DT188" s="1052">
        <v>0</v>
      </c>
      <c r="DU188" s="1052">
        <v>0</v>
      </c>
      <c r="DV188" s="1052">
        <v>0</v>
      </c>
      <c r="DW188" s="1052">
        <v>0</v>
      </c>
      <c r="DX188" s="1052">
        <v>0</v>
      </c>
      <c r="DY188" s="1052">
        <v>0</v>
      </c>
      <c r="DZ188" s="1052">
        <v>0</v>
      </c>
      <c r="EA188" s="1052">
        <v>0</v>
      </c>
      <c r="EB188" s="1053">
        <v>0</v>
      </c>
      <c r="EC188" s="1051">
        <v>0</v>
      </c>
      <c r="ED188" s="1051">
        <v>0</v>
      </c>
      <c r="EE188" s="1052">
        <v>0</v>
      </c>
      <c r="EF188" s="1052">
        <v>0</v>
      </c>
      <c r="EG188" s="1052">
        <v>0</v>
      </c>
      <c r="EH188" s="1052">
        <v>0</v>
      </c>
      <c r="EI188" s="1052">
        <v>0</v>
      </c>
      <c r="EJ188" s="1052">
        <v>0</v>
      </c>
      <c r="EK188" s="1052">
        <v>0</v>
      </c>
      <c r="EL188" s="1052">
        <v>0</v>
      </c>
      <c r="EM188" s="1052">
        <v>0</v>
      </c>
      <c r="EN188" s="1052">
        <v>0</v>
      </c>
      <c r="EO188" s="1052">
        <v>0</v>
      </c>
      <c r="EP188" s="1052">
        <v>0</v>
      </c>
      <c r="EQ188" s="1052">
        <v>0</v>
      </c>
      <c r="ER188" s="1052">
        <v>0</v>
      </c>
      <c r="ES188" s="1052">
        <v>0</v>
      </c>
      <c r="ET188" s="1052">
        <v>0</v>
      </c>
      <c r="EU188" s="1052">
        <v>0</v>
      </c>
      <c r="EV188" s="1052">
        <v>0</v>
      </c>
      <c r="EW188" s="1053">
        <v>0</v>
      </c>
      <c r="EX188" s="1051">
        <v>26</v>
      </c>
      <c r="EY188" s="1051">
        <v>0</v>
      </c>
      <c r="EZ188" s="1052">
        <v>0</v>
      </c>
      <c r="FA188" s="1052">
        <v>0</v>
      </c>
      <c r="FB188" s="1052">
        <v>0</v>
      </c>
      <c r="FC188" s="1052">
        <v>0</v>
      </c>
      <c r="FD188" s="1052">
        <v>0</v>
      </c>
      <c r="FE188" s="1052">
        <v>0</v>
      </c>
      <c r="FF188" s="1052">
        <v>0</v>
      </c>
      <c r="FG188" s="1052">
        <v>0</v>
      </c>
      <c r="FH188" s="1052">
        <v>0</v>
      </c>
      <c r="FI188" s="1052">
        <v>0</v>
      </c>
      <c r="FJ188" s="1052">
        <v>0</v>
      </c>
      <c r="FK188" s="1052">
        <v>0</v>
      </c>
      <c r="FL188" s="1052">
        <v>0</v>
      </c>
      <c r="FM188" s="1052">
        <v>0</v>
      </c>
      <c r="FN188" s="1052">
        <v>0</v>
      </c>
      <c r="FO188" s="1052">
        <v>0</v>
      </c>
      <c r="FP188" s="1052">
        <v>0</v>
      </c>
      <c r="FQ188" s="1052">
        <v>0</v>
      </c>
      <c r="FR188" s="1053">
        <v>0</v>
      </c>
      <c r="FS188" s="1051">
        <v>25</v>
      </c>
      <c r="FT188" s="1051">
        <v>0</v>
      </c>
      <c r="FU188" s="1052">
        <v>0</v>
      </c>
      <c r="FV188" s="1052">
        <v>0</v>
      </c>
      <c r="FW188" s="1052">
        <v>0</v>
      </c>
      <c r="FX188" s="1052">
        <v>0</v>
      </c>
      <c r="FY188" s="1052">
        <v>0</v>
      </c>
      <c r="FZ188" s="1052">
        <v>0</v>
      </c>
      <c r="GA188" s="1052">
        <v>0</v>
      </c>
      <c r="GB188" s="1052">
        <v>0</v>
      </c>
      <c r="GC188" s="1052">
        <v>0</v>
      </c>
      <c r="GD188" s="1052">
        <v>0</v>
      </c>
      <c r="GE188" s="1052">
        <v>0</v>
      </c>
      <c r="GF188" s="1052">
        <v>0</v>
      </c>
      <c r="GG188" s="1052">
        <v>0</v>
      </c>
      <c r="GH188" s="1052">
        <v>0</v>
      </c>
      <c r="GI188" s="1052">
        <v>0</v>
      </c>
      <c r="GJ188" s="1052">
        <v>0</v>
      </c>
      <c r="GK188" s="1052">
        <v>0</v>
      </c>
      <c r="GL188" s="1052">
        <v>0</v>
      </c>
      <c r="GM188" s="1053">
        <v>0</v>
      </c>
      <c r="GN188" s="1051">
        <v>0</v>
      </c>
      <c r="GO188" s="1051">
        <v>0</v>
      </c>
      <c r="GP188" s="1052">
        <v>0</v>
      </c>
      <c r="GQ188" s="1052">
        <v>0</v>
      </c>
      <c r="GR188" s="1052">
        <v>0</v>
      </c>
      <c r="GS188" s="1052">
        <v>0</v>
      </c>
      <c r="GT188" s="1052">
        <v>0</v>
      </c>
      <c r="GU188" s="1052">
        <v>0</v>
      </c>
      <c r="GV188" s="1052">
        <v>0</v>
      </c>
      <c r="GW188" s="1052">
        <v>0</v>
      </c>
      <c r="GX188" s="1052">
        <v>0</v>
      </c>
      <c r="GY188" s="1052">
        <v>0</v>
      </c>
      <c r="GZ188" s="1052">
        <v>0</v>
      </c>
      <c r="HA188" s="1052">
        <v>0</v>
      </c>
      <c r="HB188" s="1052">
        <v>0</v>
      </c>
      <c r="HC188" s="1052">
        <v>0</v>
      </c>
      <c r="HD188" s="1052">
        <v>0</v>
      </c>
      <c r="HE188" s="1052">
        <v>0</v>
      </c>
      <c r="HF188" s="1052">
        <v>0</v>
      </c>
      <c r="HG188" s="1052">
        <v>0</v>
      </c>
      <c r="HH188" s="1053">
        <v>0</v>
      </c>
      <c r="HI188" s="1051">
        <v>64.5</v>
      </c>
      <c r="HJ188" s="1051">
        <v>0</v>
      </c>
      <c r="HK188" s="1052">
        <v>0</v>
      </c>
      <c r="HL188" s="1052">
        <v>0</v>
      </c>
      <c r="HM188" s="1052">
        <v>0</v>
      </c>
      <c r="HN188" s="1052">
        <v>0</v>
      </c>
      <c r="HO188" s="1052">
        <v>0</v>
      </c>
      <c r="HP188" s="1052">
        <v>0</v>
      </c>
      <c r="HQ188" s="1052">
        <v>0</v>
      </c>
      <c r="HR188" s="1052">
        <v>0</v>
      </c>
      <c r="HS188" s="1052">
        <v>0</v>
      </c>
      <c r="HT188" s="1052">
        <v>0</v>
      </c>
      <c r="HU188" s="1052">
        <v>0</v>
      </c>
      <c r="HV188" s="1052">
        <v>0</v>
      </c>
      <c r="HW188" s="1052">
        <v>0</v>
      </c>
      <c r="HX188" s="1052">
        <v>0</v>
      </c>
      <c r="HY188" s="1052">
        <v>0</v>
      </c>
      <c r="HZ188" s="1052">
        <v>0</v>
      </c>
      <c r="IA188" s="1052">
        <v>0</v>
      </c>
      <c r="IB188" s="1052">
        <v>0</v>
      </c>
      <c r="IC188" s="1053">
        <v>0</v>
      </c>
      <c r="ID188" s="1051">
        <v>10</v>
      </c>
      <c r="IE188" s="1051">
        <v>0</v>
      </c>
      <c r="IF188" s="1052">
        <v>0</v>
      </c>
      <c r="IG188" s="1052">
        <v>0</v>
      </c>
      <c r="IH188" s="1052">
        <v>0</v>
      </c>
      <c r="II188" s="1052">
        <v>0</v>
      </c>
      <c r="IJ188" s="1052">
        <v>0</v>
      </c>
      <c r="IK188" s="1052">
        <v>0</v>
      </c>
      <c r="IL188" s="1052">
        <v>0</v>
      </c>
      <c r="IM188" s="1052">
        <v>0</v>
      </c>
      <c r="IN188" s="1052">
        <v>0</v>
      </c>
      <c r="IO188" s="1052">
        <v>0</v>
      </c>
      <c r="IP188" s="1052">
        <v>0</v>
      </c>
      <c r="IQ188" s="1052">
        <v>0</v>
      </c>
      <c r="IR188" s="1052">
        <v>0</v>
      </c>
      <c r="IS188" s="1052">
        <v>0</v>
      </c>
      <c r="IT188" s="1052">
        <v>0</v>
      </c>
      <c r="IU188" s="1052">
        <v>0</v>
      </c>
      <c r="IV188" s="1052">
        <v>0</v>
      </c>
      <c r="IW188" s="1052">
        <v>0</v>
      </c>
      <c r="IX188" s="1053">
        <v>0</v>
      </c>
    </row>
    <row r="189" spans="66:258" ht="20.100000000000001" hidden="1" customHeight="1">
      <c r="BN189" s="982"/>
      <c r="BO189" s="982"/>
      <c r="BP189" s="982"/>
      <c r="BQ189" s="982"/>
      <c r="BR189" s="982"/>
      <c r="BS189" s="982"/>
      <c r="BT189" s="982"/>
      <c r="BU189" s="982"/>
      <c r="BV189" s="982"/>
      <c r="BW189" s="982"/>
      <c r="BX189" s="982"/>
      <c r="BY189" s="982"/>
      <c r="BZ189" s="982"/>
      <c r="CA189" s="982"/>
      <c r="CB189" s="982"/>
      <c r="CC189" s="982"/>
      <c r="CD189" s="982"/>
      <c r="CE189" s="982"/>
      <c r="CF189" s="982"/>
      <c r="CG189" s="982"/>
      <c r="CH189" s="982"/>
      <c r="CI189" s="982"/>
      <c r="CJ189" s="982"/>
      <c r="CK189" s="982"/>
      <c r="CL189" s="982"/>
      <c r="CM189" s="982"/>
      <c r="CN189" s="982"/>
      <c r="CO189" s="982"/>
      <c r="CP189" s="982"/>
      <c r="CQ189" s="982"/>
      <c r="CR189" s="982"/>
      <c r="CS189" s="982"/>
      <c r="CT189" s="982"/>
      <c r="CU189" s="982"/>
      <c r="CV189" s="982"/>
      <c r="CW189" s="982"/>
      <c r="CX189" s="982"/>
      <c r="CY189" s="982"/>
      <c r="CZ189" s="982"/>
      <c r="DA189" s="982"/>
      <c r="DB189" s="982"/>
      <c r="DC189" s="982"/>
      <c r="DD189" s="982"/>
      <c r="DE189" s="982"/>
      <c r="DF189" s="982"/>
      <c r="DG189" s="1434" t="s">
        <v>183</v>
      </c>
      <c r="DH189" s="1051">
        <v>0</v>
      </c>
      <c r="DI189" s="1051">
        <v>0</v>
      </c>
      <c r="DJ189" s="1052">
        <v>0</v>
      </c>
      <c r="DK189" s="1052">
        <v>0</v>
      </c>
      <c r="DL189" s="1052">
        <v>0</v>
      </c>
      <c r="DM189" s="1052">
        <v>0</v>
      </c>
      <c r="DN189" s="1052">
        <v>0</v>
      </c>
      <c r="DO189" s="1052">
        <v>0</v>
      </c>
      <c r="DP189" s="1052">
        <v>0</v>
      </c>
      <c r="DQ189" s="1052">
        <v>0</v>
      </c>
      <c r="DR189" s="1052">
        <v>0</v>
      </c>
      <c r="DS189" s="1052">
        <v>0</v>
      </c>
      <c r="DT189" s="1052">
        <v>0</v>
      </c>
      <c r="DU189" s="1052">
        <v>0</v>
      </c>
      <c r="DV189" s="1052">
        <v>0</v>
      </c>
      <c r="DW189" s="1052">
        <v>0</v>
      </c>
      <c r="DX189" s="1052">
        <v>0</v>
      </c>
      <c r="DY189" s="1052">
        <v>0</v>
      </c>
      <c r="DZ189" s="1052">
        <v>0</v>
      </c>
      <c r="EA189" s="1052">
        <v>0</v>
      </c>
      <c r="EB189" s="1053">
        <v>0</v>
      </c>
      <c r="EC189" s="1051">
        <v>0</v>
      </c>
      <c r="ED189" s="1051">
        <v>0</v>
      </c>
      <c r="EE189" s="1052">
        <v>0</v>
      </c>
      <c r="EF189" s="1052">
        <v>0</v>
      </c>
      <c r="EG189" s="1052">
        <v>0</v>
      </c>
      <c r="EH189" s="1052">
        <v>0</v>
      </c>
      <c r="EI189" s="1052">
        <v>0</v>
      </c>
      <c r="EJ189" s="1052">
        <v>0</v>
      </c>
      <c r="EK189" s="1052">
        <v>0</v>
      </c>
      <c r="EL189" s="1052">
        <v>0</v>
      </c>
      <c r="EM189" s="1052">
        <v>0</v>
      </c>
      <c r="EN189" s="1052">
        <v>0</v>
      </c>
      <c r="EO189" s="1052">
        <v>0</v>
      </c>
      <c r="EP189" s="1052">
        <v>0</v>
      </c>
      <c r="EQ189" s="1052">
        <v>0</v>
      </c>
      <c r="ER189" s="1052">
        <v>0</v>
      </c>
      <c r="ES189" s="1052">
        <v>0</v>
      </c>
      <c r="ET189" s="1052">
        <v>0</v>
      </c>
      <c r="EU189" s="1052">
        <v>0</v>
      </c>
      <c r="EV189" s="1052">
        <v>0</v>
      </c>
      <c r="EW189" s="1053">
        <v>0</v>
      </c>
      <c r="EX189" s="1051">
        <v>0</v>
      </c>
      <c r="EY189" s="1051">
        <v>0</v>
      </c>
      <c r="EZ189" s="1052">
        <v>0</v>
      </c>
      <c r="FA189" s="1052">
        <v>0</v>
      </c>
      <c r="FB189" s="1052">
        <v>0</v>
      </c>
      <c r="FC189" s="1052">
        <v>0</v>
      </c>
      <c r="FD189" s="1052">
        <v>0</v>
      </c>
      <c r="FE189" s="1052">
        <v>0</v>
      </c>
      <c r="FF189" s="1052">
        <v>0</v>
      </c>
      <c r="FG189" s="1052">
        <v>0</v>
      </c>
      <c r="FH189" s="1052">
        <v>0</v>
      </c>
      <c r="FI189" s="1052">
        <v>0</v>
      </c>
      <c r="FJ189" s="1052">
        <v>0</v>
      </c>
      <c r="FK189" s="1052">
        <v>0</v>
      </c>
      <c r="FL189" s="1052">
        <v>0</v>
      </c>
      <c r="FM189" s="1052">
        <v>0</v>
      </c>
      <c r="FN189" s="1052">
        <v>0</v>
      </c>
      <c r="FO189" s="1052">
        <v>0</v>
      </c>
      <c r="FP189" s="1052">
        <v>0</v>
      </c>
      <c r="FQ189" s="1052">
        <v>0</v>
      </c>
      <c r="FR189" s="1053">
        <v>0</v>
      </c>
      <c r="FS189" s="1051">
        <v>0</v>
      </c>
      <c r="FT189" s="1051">
        <v>0</v>
      </c>
      <c r="FU189" s="1052">
        <v>0</v>
      </c>
      <c r="FV189" s="1052">
        <v>0</v>
      </c>
      <c r="FW189" s="1052">
        <v>0</v>
      </c>
      <c r="FX189" s="1052">
        <v>0</v>
      </c>
      <c r="FY189" s="1052">
        <v>0</v>
      </c>
      <c r="FZ189" s="1052">
        <v>0</v>
      </c>
      <c r="GA189" s="1052">
        <v>0</v>
      </c>
      <c r="GB189" s="1052">
        <v>0</v>
      </c>
      <c r="GC189" s="1052">
        <v>0</v>
      </c>
      <c r="GD189" s="1052">
        <v>0</v>
      </c>
      <c r="GE189" s="1052">
        <v>0</v>
      </c>
      <c r="GF189" s="1052">
        <v>0</v>
      </c>
      <c r="GG189" s="1052">
        <v>0</v>
      </c>
      <c r="GH189" s="1052">
        <v>0</v>
      </c>
      <c r="GI189" s="1052">
        <v>0</v>
      </c>
      <c r="GJ189" s="1052">
        <v>0</v>
      </c>
      <c r="GK189" s="1052">
        <v>0</v>
      </c>
      <c r="GL189" s="1052">
        <v>0</v>
      </c>
      <c r="GM189" s="1053">
        <v>0</v>
      </c>
      <c r="GN189" s="1051">
        <v>0</v>
      </c>
      <c r="GO189" s="1051">
        <v>0</v>
      </c>
      <c r="GP189" s="1052">
        <v>0</v>
      </c>
      <c r="GQ189" s="1052">
        <v>0</v>
      </c>
      <c r="GR189" s="1052">
        <v>0</v>
      </c>
      <c r="GS189" s="1052">
        <v>0</v>
      </c>
      <c r="GT189" s="1052">
        <v>0</v>
      </c>
      <c r="GU189" s="1052">
        <v>0</v>
      </c>
      <c r="GV189" s="1052">
        <v>0</v>
      </c>
      <c r="GW189" s="1052">
        <v>0</v>
      </c>
      <c r="GX189" s="1052">
        <v>0</v>
      </c>
      <c r="GY189" s="1052">
        <v>0</v>
      </c>
      <c r="GZ189" s="1052">
        <v>0</v>
      </c>
      <c r="HA189" s="1052">
        <v>0</v>
      </c>
      <c r="HB189" s="1052">
        <v>0</v>
      </c>
      <c r="HC189" s="1052">
        <v>0</v>
      </c>
      <c r="HD189" s="1052">
        <v>0</v>
      </c>
      <c r="HE189" s="1052">
        <v>0</v>
      </c>
      <c r="HF189" s="1052">
        <v>0</v>
      </c>
      <c r="HG189" s="1052">
        <v>0</v>
      </c>
      <c r="HH189" s="1053">
        <v>0</v>
      </c>
      <c r="HI189" s="1051">
        <v>0</v>
      </c>
      <c r="HJ189" s="1051">
        <v>0</v>
      </c>
      <c r="HK189" s="1052">
        <v>0</v>
      </c>
      <c r="HL189" s="1052">
        <v>0</v>
      </c>
      <c r="HM189" s="1052">
        <v>0</v>
      </c>
      <c r="HN189" s="1052">
        <v>0</v>
      </c>
      <c r="HO189" s="1052">
        <v>0</v>
      </c>
      <c r="HP189" s="1052">
        <v>0</v>
      </c>
      <c r="HQ189" s="1052">
        <v>0</v>
      </c>
      <c r="HR189" s="1052">
        <v>0</v>
      </c>
      <c r="HS189" s="1052">
        <v>0</v>
      </c>
      <c r="HT189" s="1052">
        <v>0</v>
      </c>
      <c r="HU189" s="1052">
        <v>1</v>
      </c>
      <c r="HV189" s="1052">
        <v>0</v>
      </c>
      <c r="HW189" s="1052">
        <v>0</v>
      </c>
      <c r="HX189" s="1052">
        <v>0</v>
      </c>
      <c r="HY189" s="1052">
        <v>0</v>
      </c>
      <c r="HZ189" s="1052">
        <v>0</v>
      </c>
      <c r="IA189" s="1052">
        <v>0</v>
      </c>
      <c r="IB189" s="1052">
        <v>0</v>
      </c>
      <c r="IC189" s="1053">
        <v>0</v>
      </c>
      <c r="ID189" s="1051">
        <v>0</v>
      </c>
      <c r="IE189" s="1051">
        <v>0</v>
      </c>
      <c r="IF189" s="1052">
        <v>0</v>
      </c>
      <c r="IG189" s="1052">
        <v>0</v>
      </c>
      <c r="IH189" s="1052">
        <v>0</v>
      </c>
      <c r="II189" s="1052">
        <v>0</v>
      </c>
      <c r="IJ189" s="1052">
        <v>0</v>
      </c>
      <c r="IK189" s="1052">
        <v>0</v>
      </c>
      <c r="IL189" s="1052">
        <v>0</v>
      </c>
      <c r="IM189" s="1052">
        <v>0</v>
      </c>
      <c r="IN189" s="1052">
        <v>0</v>
      </c>
      <c r="IO189" s="1052">
        <v>0</v>
      </c>
      <c r="IP189" s="1052">
        <v>0</v>
      </c>
      <c r="IQ189" s="1052">
        <v>0</v>
      </c>
      <c r="IR189" s="1052">
        <v>0</v>
      </c>
      <c r="IS189" s="1052">
        <v>0</v>
      </c>
      <c r="IT189" s="1052">
        <v>0</v>
      </c>
      <c r="IU189" s="1052">
        <v>0</v>
      </c>
      <c r="IV189" s="1052">
        <v>0</v>
      </c>
      <c r="IW189" s="1052">
        <v>0</v>
      </c>
      <c r="IX189" s="1053">
        <v>0</v>
      </c>
    </row>
    <row r="190" spans="66:258" ht="20.100000000000001" hidden="1" customHeight="1">
      <c r="BN190" s="982"/>
      <c r="BO190" s="982"/>
      <c r="BP190" s="982"/>
      <c r="BQ190" s="982"/>
      <c r="BR190" s="982"/>
      <c r="BS190" s="982"/>
      <c r="BT190" s="982"/>
      <c r="BU190" s="982"/>
      <c r="BV190" s="982"/>
      <c r="BW190" s="982"/>
      <c r="BX190" s="982"/>
      <c r="BY190" s="982"/>
      <c r="BZ190" s="982"/>
      <c r="CA190" s="982"/>
      <c r="CB190" s="982"/>
      <c r="CC190" s="982"/>
      <c r="CD190" s="982"/>
      <c r="CE190" s="982"/>
      <c r="CF190" s="982"/>
      <c r="CG190" s="982"/>
      <c r="CH190" s="982"/>
      <c r="CI190" s="982"/>
      <c r="CJ190" s="982"/>
      <c r="CK190" s="982"/>
      <c r="CL190" s="982"/>
      <c r="CM190" s="982"/>
      <c r="CN190" s="982"/>
      <c r="CO190" s="982"/>
      <c r="CP190" s="982"/>
      <c r="CQ190" s="982"/>
      <c r="CR190" s="982"/>
      <c r="CS190" s="982"/>
      <c r="CT190" s="982"/>
      <c r="CU190" s="982"/>
      <c r="CV190" s="982"/>
      <c r="CW190" s="982"/>
      <c r="CX190" s="982"/>
      <c r="CY190" s="982"/>
      <c r="CZ190" s="982"/>
      <c r="DA190" s="982"/>
      <c r="DB190" s="982"/>
      <c r="DC190" s="982"/>
      <c r="DD190" s="982"/>
      <c r="DE190" s="982"/>
      <c r="DF190" s="982"/>
      <c r="DG190" s="1434" t="s">
        <v>184</v>
      </c>
      <c r="DH190" s="1051">
        <v>6</v>
      </c>
      <c r="DI190" s="1051">
        <v>0</v>
      </c>
      <c r="DJ190" s="1052">
        <v>0</v>
      </c>
      <c r="DK190" s="1052">
        <v>0</v>
      </c>
      <c r="DL190" s="1052">
        <v>0</v>
      </c>
      <c r="DM190" s="1052">
        <v>0</v>
      </c>
      <c r="DN190" s="1052">
        <v>0</v>
      </c>
      <c r="DO190" s="1052">
        <v>0</v>
      </c>
      <c r="DP190" s="1052">
        <v>0</v>
      </c>
      <c r="DQ190" s="1052">
        <v>0</v>
      </c>
      <c r="DR190" s="1052">
        <v>0</v>
      </c>
      <c r="DS190" s="1052">
        <v>0</v>
      </c>
      <c r="DT190" s="1052">
        <v>0</v>
      </c>
      <c r="DU190" s="1052">
        <v>0</v>
      </c>
      <c r="DV190" s="1052">
        <v>2</v>
      </c>
      <c r="DW190" s="1052">
        <v>0</v>
      </c>
      <c r="DX190" s="1052">
        <v>0</v>
      </c>
      <c r="DY190" s="1052">
        <v>0</v>
      </c>
      <c r="DZ190" s="1052">
        <v>0</v>
      </c>
      <c r="EA190" s="1052">
        <v>0</v>
      </c>
      <c r="EB190" s="1053">
        <v>0</v>
      </c>
      <c r="EC190" s="1051">
        <v>0</v>
      </c>
      <c r="ED190" s="1051">
        <v>0</v>
      </c>
      <c r="EE190" s="1052">
        <v>0</v>
      </c>
      <c r="EF190" s="1052">
        <v>0</v>
      </c>
      <c r="EG190" s="1052">
        <v>0</v>
      </c>
      <c r="EH190" s="1052">
        <v>0</v>
      </c>
      <c r="EI190" s="1052">
        <v>0</v>
      </c>
      <c r="EJ190" s="1052">
        <v>0</v>
      </c>
      <c r="EK190" s="1052">
        <v>0</v>
      </c>
      <c r="EL190" s="1052">
        <v>0</v>
      </c>
      <c r="EM190" s="1052">
        <v>0</v>
      </c>
      <c r="EN190" s="1052">
        <v>0</v>
      </c>
      <c r="EO190" s="1052">
        <v>0</v>
      </c>
      <c r="EP190" s="1052">
        <v>0</v>
      </c>
      <c r="EQ190" s="1052">
        <v>0</v>
      </c>
      <c r="ER190" s="1052">
        <v>0</v>
      </c>
      <c r="ES190" s="1052">
        <v>0</v>
      </c>
      <c r="ET190" s="1052">
        <v>0</v>
      </c>
      <c r="EU190" s="1052">
        <v>0</v>
      </c>
      <c r="EV190" s="1052">
        <v>0</v>
      </c>
      <c r="EW190" s="1053">
        <v>0</v>
      </c>
      <c r="EX190" s="1051">
        <v>12</v>
      </c>
      <c r="EY190" s="1051">
        <v>0</v>
      </c>
      <c r="EZ190" s="1052">
        <v>0</v>
      </c>
      <c r="FA190" s="1052">
        <v>0</v>
      </c>
      <c r="FB190" s="1052">
        <v>0</v>
      </c>
      <c r="FC190" s="1052">
        <v>0</v>
      </c>
      <c r="FD190" s="1052">
        <v>0</v>
      </c>
      <c r="FE190" s="1052">
        <v>0</v>
      </c>
      <c r="FF190" s="1052">
        <v>0</v>
      </c>
      <c r="FG190" s="1052">
        <v>0</v>
      </c>
      <c r="FH190" s="1052">
        <v>0</v>
      </c>
      <c r="FI190" s="1052">
        <v>0</v>
      </c>
      <c r="FJ190" s="1052">
        <v>0</v>
      </c>
      <c r="FK190" s="1052">
        <v>0</v>
      </c>
      <c r="FL190" s="1052">
        <v>0</v>
      </c>
      <c r="FM190" s="1052">
        <v>0</v>
      </c>
      <c r="FN190" s="1052">
        <v>0</v>
      </c>
      <c r="FO190" s="1052">
        <v>0</v>
      </c>
      <c r="FP190" s="1052">
        <v>0</v>
      </c>
      <c r="FQ190" s="1052">
        <v>0</v>
      </c>
      <c r="FR190" s="1053">
        <v>0</v>
      </c>
      <c r="FS190" s="1051">
        <v>5</v>
      </c>
      <c r="FT190" s="1051">
        <v>0</v>
      </c>
      <c r="FU190" s="1052">
        <v>0</v>
      </c>
      <c r="FV190" s="1052">
        <v>0</v>
      </c>
      <c r="FW190" s="1052">
        <v>0</v>
      </c>
      <c r="FX190" s="1052">
        <v>0</v>
      </c>
      <c r="FY190" s="1052">
        <v>0</v>
      </c>
      <c r="FZ190" s="1052">
        <v>0</v>
      </c>
      <c r="GA190" s="1052">
        <v>0</v>
      </c>
      <c r="GB190" s="1052">
        <v>0</v>
      </c>
      <c r="GC190" s="1052">
        <v>0</v>
      </c>
      <c r="GD190" s="1052">
        <v>0</v>
      </c>
      <c r="GE190" s="1052">
        <v>0</v>
      </c>
      <c r="GF190" s="1052">
        <v>0</v>
      </c>
      <c r="GG190" s="1052">
        <v>0</v>
      </c>
      <c r="GH190" s="1052">
        <v>0</v>
      </c>
      <c r="GI190" s="1052">
        <v>0</v>
      </c>
      <c r="GJ190" s="1052">
        <v>0</v>
      </c>
      <c r="GK190" s="1052">
        <v>0</v>
      </c>
      <c r="GL190" s="1052">
        <v>0</v>
      </c>
      <c r="GM190" s="1053">
        <v>0</v>
      </c>
      <c r="GN190" s="1051">
        <v>0</v>
      </c>
      <c r="GO190" s="1051">
        <v>0</v>
      </c>
      <c r="GP190" s="1052">
        <v>0</v>
      </c>
      <c r="GQ190" s="1052">
        <v>0</v>
      </c>
      <c r="GR190" s="1052">
        <v>0</v>
      </c>
      <c r="GS190" s="1052">
        <v>0</v>
      </c>
      <c r="GT190" s="1052">
        <v>0</v>
      </c>
      <c r="GU190" s="1052">
        <v>0</v>
      </c>
      <c r="GV190" s="1052">
        <v>0</v>
      </c>
      <c r="GW190" s="1052">
        <v>0</v>
      </c>
      <c r="GX190" s="1052">
        <v>0</v>
      </c>
      <c r="GY190" s="1052">
        <v>0</v>
      </c>
      <c r="GZ190" s="1052">
        <v>0</v>
      </c>
      <c r="HA190" s="1052">
        <v>0</v>
      </c>
      <c r="HB190" s="1052">
        <v>0</v>
      </c>
      <c r="HC190" s="1052">
        <v>0</v>
      </c>
      <c r="HD190" s="1052">
        <v>0</v>
      </c>
      <c r="HE190" s="1052">
        <v>0</v>
      </c>
      <c r="HF190" s="1052">
        <v>0</v>
      </c>
      <c r="HG190" s="1052">
        <v>0</v>
      </c>
      <c r="HH190" s="1053">
        <v>0</v>
      </c>
      <c r="HI190" s="1051">
        <v>25</v>
      </c>
      <c r="HJ190" s="1051">
        <v>0</v>
      </c>
      <c r="HK190" s="1052">
        <v>0</v>
      </c>
      <c r="HL190" s="1052">
        <v>0</v>
      </c>
      <c r="HM190" s="1052">
        <v>0</v>
      </c>
      <c r="HN190" s="1052">
        <v>0</v>
      </c>
      <c r="HO190" s="1052">
        <v>0</v>
      </c>
      <c r="HP190" s="1052">
        <v>0</v>
      </c>
      <c r="HQ190" s="1052">
        <v>0</v>
      </c>
      <c r="HR190" s="1052">
        <v>0</v>
      </c>
      <c r="HS190" s="1052">
        <v>3</v>
      </c>
      <c r="HT190" s="1052">
        <v>0</v>
      </c>
      <c r="HU190" s="1052">
        <v>0</v>
      </c>
      <c r="HV190" s="1052">
        <v>0</v>
      </c>
      <c r="HW190" s="1052">
        <v>0</v>
      </c>
      <c r="HX190" s="1052">
        <v>0</v>
      </c>
      <c r="HY190" s="1052">
        <v>0</v>
      </c>
      <c r="HZ190" s="1052">
        <v>0</v>
      </c>
      <c r="IA190" s="1052">
        <v>0</v>
      </c>
      <c r="IB190" s="1052">
        <v>0</v>
      </c>
      <c r="IC190" s="1053">
        <v>0</v>
      </c>
      <c r="ID190" s="1051">
        <v>0</v>
      </c>
      <c r="IE190" s="1051">
        <v>0</v>
      </c>
      <c r="IF190" s="1052">
        <v>0</v>
      </c>
      <c r="IG190" s="1052">
        <v>0</v>
      </c>
      <c r="IH190" s="1052">
        <v>0</v>
      </c>
      <c r="II190" s="1052">
        <v>0</v>
      </c>
      <c r="IJ190" s="1052">
        <v>0</v>
      </c>
      <c r="IK190" s="1052">
        <v>0</v>
      </c>
      <c r="IL190" s="1052">
        <v>0</v>
      </c>
      <c r="IM190" s="1052">
        <v>0</v>
      </c>
      <c r="IN190" s="1052">
        <v>0</v>
      </c>
      <c r="IO190" s="1052">
        <v>0</v>
      </c>
      <c r="IP190" s="1052">
        <v>0</v>
      </c>
      <c r="IQ190" s="1052">
        <v>0</v>
      </c>
      <c r="IR190" s="1052">
        <v>0</v>
      </c>
      <c r="IS190" s="1052">
        <v>0</v>
      </c>
      <c r="IT190" s="1052">
        <v>0</v>
      </c>
      <c r="IU190" s="1052">
        <v>0</v>
      </c>
      <c r="IV190" s="1052">
        <v>0</v>
      </c>
      <c r="IW190" s="1052">
        <v>0</v>
      </c>
      <c r="IX190" s="1053">
        <v>0</v>
      </c>
    </row>
    <row r="191" spans="66:258" ht="20.100000000000001" hidden="1" customHeight="1">
      <c r="BN191" s="982"/>
      <c r="BO191" s="982"/>
      <c r="BP191" s="982"/>
      <c r="BQ191" s="982"/>
      <c r="BR191" s="982"/>
      <c r="BS191" s="982"/>
      <c r="BT191" s="982"/>
      <c r="BU191" s="982"/>
      <c r="BV191" s="982"/>
      <c r="BW191" s="982"/>
      <c r="BX191" s="982"/>
      <c r="BY191" s="982"/>
      <c r="BZ191" s="982"/>
      <c r="CA191" s="982"/>
      <c r="CB191" s="982"/>
      <c r="CC191" s="982"/>
      <c r="CD191" s="982"/>
      <c r="CE191" s="982"/>
      <c r="CF191" s="982"/>
      <c r="CG191" s="982"/>
      <c r="CH191" s="982"/>
      <c r="CI191" s="982"/>
      <c r="CJ191" s="982"/>
      <c r="CK191" s="982"/>
      <c r="CL191" s="982"/>
      <c r="CM191" s="982"/>
      <c r="CN191" s="982"/>
      <c r="CO191" s="982"/>
      <c r="CP191" s="982"/>
      <c r="CQ191" s="982"/>
      <c r="CR191" s="982"/>
      <c r="CS191" s="982"/>
      <c r="CT191" s="982"/>
      <c r="CU191" s="982"/>
      <c r="CV191" s="982"/>
      <c r="CW191" s="982"/>
      <c r="CX191" s="982"/>
      <c r="CY191" s="982"/>
      <c r="CZ191" s="982"/>
      <c r="DA191" s="982"/>
      <c r="DB191" s="982"/>
      <c r="DC191" s="982"/>
      <c r="DD191" s="982"/>
      <c r="DE191" s="982"/>
      <c r="DF191" s="982"/>
      <c r="DG191" s="1434" t="s">
        <v>185</v>
      </c>
      <c r="DH191" s="1051">
        <v>12</v>
      </c>
      <c r="DI191" s="1051">
        <v>0</v>
      </c>
      <c r="DJ191" s="1052">
        <v>0</v>
      </c>
      <c r="DK191" s="1052">
        <v>0</v>
      </c>
      <c r="DL191" s="1052">
        <v>0</v>
      </c>
      <c r="DM191" s="1052">
        <v>0</v>
      </c>
      <c r="DN191" s="1052">
        <v>0</v>
      </c>
      <c r="DO191" s="1052">
        <v>0</v>
      </c>
      <c r="DP191" s="1052">
        <v>0</v>
      </c>
      <c r="DQ191" s="1052">
        <v>0</v>
      </c>
      <c r="DR191" s="1052">
        <v>0</v>
      </c>
      <c r="DS191" s="1052">
        <v>0</v>
      </c>
      <c r="DT191" s="1052">
        <v>0</v>
      </c>
      <c r="DU191" s="1052">
        <v>0</v>
      </c>
      <c r="DV191" s="1052">
        <v>12</v>
      </c>
      <c r="DW191" s="1052">
        <v>0</v>
      </c>
      <c r="DX191" s="1052">
        <v>0</v>
      </c>
      <c r="DY191" s="1052">
        <v>0</v>
      </c>
      <c r="DZ191" s="1052">
        <v>0</v>
      </c>
      <c r="EA191" s="1052">
        <v>0</v>
      </c>
      <c r="EB191" s="1053">
        <v>0</v>
      </c>
      <c r="EC191" s="1051">
        <v>0</v>
      </c>
      <c r="ED191" s="1051">
        <v>0</v>
      </c>
      <c r="EE191" s="1052">
        <v>0</v>
      </c>
      <c r="EF191" s="1052">
        <v>0</v>
      </c>
      <c r="EG191" s="1052">
        <v>0</v>
      </c>
      <c r="EH191" s="1052">
        <v>0</v>
      </c>
      <c r="EI191" s="1052">
        <v>0</v>
      </c>
      <c r="EJ191" s="1052">
        <v>0</v>
      </c>
      <c r="EK191" s="1052">
        <v>0</v>
      </c>
      <c r="EL191" s="1052">
        <v>0</v>
      </c>
      <c r="EM191" s="1052">
        <v>0</v>
      </c>
      <c r="EN191" s="1052">
        <v>0</v>
      </c>
      <c r="EO191" s="1052">
        <v>0</v>
      </c>
      <c r="EP191" s="1052">
        <v>0</v>
      </c>
      <c r="EQ191" s="1052">
        <v>0</v>
      </c>
      <c r="ER191" s="1052">
        <v>0</v>
      </c>
      <c r="ES191" s="1052">
        <v>0</v>
      </c>
      <c r="ET191" s="1052">
        <v>0</v>
      </c>
      <c r="EU191" s="1052">
        <v>0</v>
      </c>
      <c r="EV191" s="1052">
        <v>0</v>
      </c>
      <c r="EW191" s="1053">
        <v>0</v>
      </c>
      <c r="EX191" s="1051">
        <v>9</v>
      </c>
      <c r="EY191" s="1051">
        <v>0</v>
      </c>
      <c r="EZ191" s="1052">
        <v>0</v>
      </c>
      <c r="FA191" s="1052">
        <v>0</v>
      </c>
      <c r="FB191" s="1052">
        <v>0</v>
      </c>
      <c r="FC191" s="1052">
        <v>0</v>
      </c>
      <c r="FD191" s="1052">
        <v>0</v>
      </c>
      <c r="FE191" s="1052">
        <v>0</v>
      </c>
      <c r="FF191" s="1052">
        <v>0</v>
      </c>
      <c r="FG191" s="1052">
        <v>0</v>
      </c>
      <c r="FH191" s="1052">
        <v>0</v>
      </c>
      <c r="FI191" s="1052">
        <v>0</v>
      </c>
      <c r="FJ191" s="1052">
        <v>0</v>
      </c>
      <c r="FK191" s="1052">
        <v>0</v>
      </c>
      <c r="FL191" s="1052">
        <v>0</v>
      </c>
      <c r="FM191" s="1052">
        <v>0</v>
      </c>
      <c r="FN191" s="1052">
        <v>0</v>
      </c>
      <c r="FO191" s="1052">
        <v>0</v>
      </c>
      <c r="FP191" s="1052">
        <v>0</v>
      </c>
      <c r="FQ191" s="1052">
        <v>0</v>
      </c>
      <c r="FR191" s="1053">
        <v>0</v>
      </c>
      <c r="FS191" s="1051">
        <v>17</v>
      </c>
      <c r="FT191" s="1051">
        <v>0</v>
      </c>
      <c r="FU191" s="1052">
        <v>0</v>
      </c>
      <c r="FV191" s="1052">
        <v>0</v>
      </c>
      <c r="FW191" s="1052">
        <v>0</v>
      </c>
      <c r="FX191" s="1052">
        <v>0</v>
      </c>
      <c r="FY191" s="1052">
        <v>0</v>
      </c>
      <c r="FZ191" s="1052">
        <v>0</v>
      </c>
      <c r="GA191" s="1052">
        <v>0</v>
      </c>
      <c r="GB191" s="1052">
        <v>0</v>
      </c>
      <c r="GC191" s="1052">
        <v>0</v>
      </c>
      <c r="GD191" s="1052">
        <v>0</v>
      </c>
      <c r="GE191" s="1052">
        <v>0</v>
      </c>
      <c r="GF191" s="1052">
        <v>0</v>
      </c>
      <c r="GG191" s="1052">
        <v>0</v>
      </c>
      <c r="GH191" s="1052">
        <v>0</v>
      </c>
      <c r="GI191" s="1052">
        <v>0</v>
      </c>
      <c r="GJ191" s="1052">
        <v>0</v>
      </c>
      <c r="GK191" s="1052">
        <v>0</v>
      </c>
      <c r="GL191" s="1052">
        <v>0</v>
      </c>
      <c r="GM191" s="1053">
        <v>0</v>
      </c>
      <c r="GN191" s="1051">
        <v>0</v>
      </c>
      <c r="GO191" s="1051">
        <v>0</v>
      </c>
      <c r="GP191" s="1052">
        <v>0</v>
      </c>
      <c r="GQ191" s="1052">
        <v>0</v>
      </c>
      <c r="GR191" s="1052">
        <v>0</v>
      </c>
      <c r="GS191" s="1052">
        <v>0</v>
      </c>
      <c r="GT191" s="1052">
        <v>0</v>
      </c>
      <c r="GU191" s="1052">
        <v>0</v>
      </c>
      <c r="GV191" s="1052">
        <v>0</v>
      </c>
      <c r="GW191" s="1052">
        <v>0</v>
      </c>
      <c r="GX191" s="1052">
        <v>0</v>
      </c>
      <c r="GY191" s="1052">
        <v>0</v>
      </c>
      <c r="GZ191" s="1052">
        <v>0</v>
      </c>
      <c r="HA191" s="1052">
        <v>0</v>
      </c>
      <c r="HB191" s="1052">
        <v>0</v>
      </c>
      <c r="HC191" s="1052">
        <v>0</v>
      </c>
      <c r="HD191" s="1052">
        <v>0</v>
      </c>
      <c r="HE191" s="1052">
        <v>0</v>
      </c>
      <c r="HF191" s="1052">
        <v>0</v>
      </c>
      <c r="HG191" s="1052">
        <v>0</v>
      </c>
      <c r="HH191" s="1053">
        <v>0</v>
      </c>
      <c r="HI191" s="1051">
        <v>20</v>
      </c>
      <c r="HJ191" s="1051">
        <v>0</v>
      </c>
      <c r="HK191" s="1052">
        <v>0</v>
      </c>
      <c r="HL191" s="1052">
        <v>0</v>
      </c>
      <c r="HM191" s="1052">
        <v>0</v>
      </c>
      <c r="HN191" s="1052">
        <v>0</v>
      </c>
      <c r="HO191" s="1052">
        <v>0</v>
      </c>
      <c r="HP191" s="1052">
        <v>0</v>
      </c>
      <c r="HQ191" s="1052">
        <v>0</v>
      </c>
      <c r="HR191" s="1052">
        <v>0</v>
      </c>
      <c r="HS191" s="1052">
        <v>0</v>
      </c>
      <c r="HT191" s="1052">
        <v>0</v>
      </c>
      <c r="HU191" s="1052">
        <v>0</v>
      </c>
      <c r="HV191" s="1052">
        <v>0</v>
      </c>
      <c r="HW191" s="1052">
        <v>7</v>
      </c>
      <c r="HX191" s="1052">
        <v>0</v>
      </c>
      <c r="HY191" s="1052">
        <v>0</v>
      </c>
      <c r="HZ191" s="1052">
        <v>0</v>
      </c>
      <c r="IA191" s="1052">
        <v>0</v>
      </c>
      <c r="IB191" s="1052">
        <v>0</v>
      </c>
      <c r="IC191" s="1053">
        <v>0</v>
      </c>
      <c r="ID191" s="1051">
        <v>0</v>
      </c>
      <c r="IE191" s="1051">
        <v>0</v>
      </c>
      <c r="IF191" s="1052">
        <v>0</v>
      </c>
      <c r="IG191" s="1052">
        <v>0</v>
      </c>
      <c r="IH191" s="1052">
        <v>0</v>
      </c>
      <c r="II191" s="1052">
        <v>0</v>
      </c>
      <c r="IJ191" s="1052">
        <v>0</v>
      </c>
      <c r="IK191" s="1052">
        <v>0</v>
      </c>
      <c r="IL191" s="1052">
        <v>0</v>
      </c>
      <c r="IM191" s="1052">
        <v>0</v>
      </c>
      <c r="IN191" s="1052">
        <v>0</v>
      </c>
      <c r="IO191" s="1052">
        <v>0</v>
      </c>
      <c r="IP191" s="1052">
        <v>0</v>
      </c>
      <c r="IQ191" s="1052">
        <v>0</v>
      </c>
      <c r="IR191" s="1052">
        <v>0</v>
      </c>
      <c r="IS191" s="1052">
        <v>0</v>
      </c>
      <c r="IT191" s="1052">
        <v>0</v>
      </c>
      <c r="IU191" s="1052">
        <v>0</v>
      </c>
      <c r="IV191" s="1052">
        <v>0</v>
      </c>
      <c r="IW191" s="1052">
        <v>0</v>
      </c>
      <c r="IX191" s="1053">
        <v>0</v>
      </c>
    </row>
    <row r="192" spans="66:258" ht="20.100000000000001" hidden="1" customHeight="1">
      <c r="BN192" s="982"/>
      <c r="BO192" s="982"/>
      <c r="BP192" s="982"/>
      <c r="BQ192" s="982"/>
      <c r="BR192" s="982"/>
      <c r="BS192" s="982"/>
      <c r="BT192" s="982"/>
      <c r="BU192" s="982"/>
      <c r="BV192" s="982"/>
      <c r="BW192" s="982"/>
      <c r="BX192" s="982"/>
      <c r="BY192" s="982"/>
      <c r="BZ192" s="982"/>
      <c r="CA192" s="982"/>
      <c r="CB192" s="982"/>
      <c r="CC192" s="982"/>
      <c r="CD192" s="982"/>
      <c r="CE192" s="982"/>
      <c r="CF192" s="982"/>
      <c r="CG192" s="982"/>
      <c r="CH192" s="982"/>
      <c r="CI192" s="982"/>
      <c r="CJ192" s="982"/>
      <c r="CK192" s="982"/>
      <c r="CL192" s="982"/>
      <c r="CM192" s="982"/>
      <c r="CN192" s="982"/>
      <c r="CO192" s="982"/>
      <c r="CP192" s="982"/>
      <c r="CQ192" s="982"/>
      <c r="CR192" s="982"/>
      <c r="CS192" s="982"/>
      <c r="CT192" s="982"/>
      <c r="CU192" s="982"/>
      <c r="CV192" s="982"/>
      <c r="CW192" s="982"/>
      <c r="CX192" s="982"/>
      <c r="CY192" s="982"/>
      <c r="CZ192" s="982"/>
      <c r="DA192" s="982"/>
      <c r="DB192" s="982"/>
      <c r="DC192" s="982"/>
      <c r="DD192" s="982"/>
      <c r="DE192" s="982"/>
      <c r="DF192" s="982"/>
      <c r="DG192" s="1434" t="s">
        <v>198</v>
      </c>
      <c r="DH192" s="1051">
        <v>9</v>
      </c>
      <c r="DI192" s="1051">
        <v>0</v>
      </c>
      <c r="DJ192" s="1052">
        <v>0</v>
      </c>
      <c r="DK192" s="1052">
        <v>0</v>
      </c>
      <c r="DL192" s="1052">
        <v>0</v>
      </c>
      <c r="DM192" s="1052">
        <v>0</v>
      </c>
      <c r="DN192" s="1052">
        <v>0</v>
      </c>
      <c r="DO192" s="1052">
        <v>0</v>
      </c>
      <c r="DP192" s="1052">
        <v>0</v>
      </c>
      <c r="DQ192" s="1052">
        <v>0</v>
      </c>
      <c r="DR192" s="1052">
        <v>0</v>
      </c>
      <c r="DS192" s="1052">
        <v>0</v>
      </c>
      <c r="DT192" s="1052">
        <v>0</v>
      </c>
      <c r="DU192" s="1052">
        <v>0</v>
      </c>
      <c r="DV192" s="1052">
        <v>0</v>
      </c>
      <c r="DW192" s="1052">
        <v>0</v>
      </c>
      <c r="DX192" s="1052">
        <v>0</v>
      </c>
      <c r="DY192" s="1052">
        <v>0</v>
      </c>
      <c r="DZ192" s="1052">
        <v>0</v>
      </c>
      <c r="EA192" s="1052">
        <v>0</v>
      </c>
      <c r="EB192" s="1053">
        <v>0</v>
      </c>
      <c r="EC192" s="1051">
        <v>19</v>
      </c>
      <c r="ED192" s="1051">
        <v>0</v>
      </c>
      <c r="EE192" s="1052">
        <v>0</v>
      </c>
      <c r="EF192" s="1052">
        <v>0</v>
      </c>
      <c r="EG192" s="1052">
        <v>0</v>
      </c>
      <c r="EH192" s="1052">
        <v>0</v>
      </c>
      <c r="EI192" s="1052">
        <v>0</v>
      </c>
      <c r="EJ192" s="1052">
        <v>0</v>
      </c>
      <c r="EK192" s="1052">
        <v>0</v>
      </c>
      <c r="EL192" s="1052">
        <v>0</v>
      </c>
      <c r="EM192" s="1052">
        <v>0</v>
      </c>
      <c r="EN192" s="1052">
        <v>0</v>
      </c>
      <c r="EO192" s="1052">
        <v>0</v>
      </c>
      <c r="EP192" s="1052">
        <v>0</v>
      </c>
      <c r="EQ192" s="1052">
        <v>0</v>
      </c>
      <c r="ER192" s="1052">
        <v>0</v>
      </c>
      <c r="ES192" s="1052">
        <v>0</v>
      </c>
      <c r="ET192" s="1052">
        <v>0</v>
      </c>
      <c r="EU192" s="1052">
        <v>0</v>
      </c>
      <c r="EV192" s="1052">
        <v>0</v>
      </c>
      <c r="EW192" s="1053">
        <v>0</v>
      </c>
      <c r="EX192" s="1051">
        <v>0</v>
      </c>
      <c r="EY192" s="1051">
        <v>0</v>
      </c>
      <c r="EZ192" s="1052">
        <v>0</v>
      </c>
      <c r="FA192" s="1052">
        <v>0</v>
      </c>
      <c r="FB192" s="1052">
        <v>0</v>
      </c>
      <c r="FC192" s="1052">
        <v>0</v>
      </c>
      <c r="FD192" s="1052">
        <v>0</v>
      </c>
      <c r="FE192" s="1052">
        <v>0</v>
      </c>
      <c r="FF192" s="1052">
        <v>0</v>
      </c>
      <c r="FG192" s="1052">
        <v>0</v>
      </c>
      <c r="FH192" s="1052">
        <v>0</v>
      </c>
      <c r="FI192" s="1052">
        <v>0</v>
      </c>
      <c r="FJ192" s="1052">
        <v>0</v>
      </c>
      <c r="FK192" s="1052">
        <v>0</v>
      </c>
      <c r="FL192" s="1052">
        <v>0</v>
      </c>
      <c r="FM192" s="1052">
        <v>0</v>
      </c>
      <c r="FN192" s="1052">
        <v>0</v>
      </c>
      <c r="FO192" s="1052">
        <v>0</v>
      </c>
      <c r="FP192" s="1052">
        <v>0</v>
      </c>
      <c r="FQ192" s="1052">
        <v>0</v>
      </c>
      <c r="FR192" s="1053">
        <v>0</v>
      </c>
      <c r="FS192" s="1051">
        <v>0</v>
      </c>
      <c r="FT192" s="1051">
        <v>0</v>
      </c>
      <c r="FU192" s="1052">
        <v>0</v>
      </c>
      <c r="FV192" s="1052">
        <v>0</v>
      </c>
      <c r="FW192" s="1052">
        <v>0</v>
      </c>
      <c r="FX192" s="1052">
        <v>0</v>
      </c>
      <c r="FY192" s="1052">
        <v>0</v>
      </c>
      <c r="FZ192" s="1052">
        <v>0</v>
      </c>
      <c r="GA192" s="1052">
        <v>0</v>
      </c>
      <c r="GB192" s="1052">
        <v>0</v>
      </c>
      <c r="GC192" s="1052">
        <v>0</v>
      </c>
      <c r="GD192" s="1052">
        <v>0</v>
      </c>
      <c r="GE192" s="1052">
        <v>0</v>
      </c>
      <c r="GF192" s="1052">
        <v>0</v>
      </c>
      <c r="GG192" s="1052">
        <v>0</v>
      </c>
      <c r="GH192" s="1052">
        <v>0</v>
      </c>
      <c r="GI192" s="1052">
        <v>0</v>
      </c>
      <c r="GJ192" s="1052">
        <v>0</v>
      </c>
      <c r="GK192" s="1052">
        <v>0</v>
      </c>
      <c r="GL192" s="1052">
        <v>0</v>
      </c>
      <c r="GM192" s="1053">
        <v>0</v>
      </c>
      <c r="GN192" s="1051">
        <v>6</v>
      </c>
      <c r="GO192" s="1051">
        <v>0</v>
      </c>
      <c r="GP192" s="1052">
        <v>0</v>
      </c>
      <c r="GQ192" s="1052">
        <v>0</v>
      </c>
      <c r="GR192" s="1052">
        <v>0</v>
      </c>
      <c r="GS192" s="1052">
        <v>0</v>
      </c>
      <c r="GT192" s="1052">
        <v>0</v>
      </c>
      <c r="GU192" s="1052">
        <v>0</v>
      </c>
      <c r="GV192" s="1052">
        <v>0</v>
      </c>
      <c r="GW192" s="1052">
        <v>0</v>
      </c>
      <c r="GX192" s="1052">
        <v>0</v>
      </c>
      <c r="GY192" s="1052">
        <v>0</v>
      </c>
      <c r="GZ192" s="1052">
        <v>0</v>
      </c>
      <c r="HA192" s="1052">
        <v>0</v>
      </c>
      <c r="HB192" s="1052">
        <v>0</v>
      </c>
      <c r="HC192" s="1052">
        <v>0</v>
      </c>
      <c r="HD192" s="1052">
        <v>0</v>
      </c>
      <c r="HE192" s="1052">
        <v>0</v>
      </c>
      <c r="HF192" s="1052">
        <v>0</v>
      </c>
      <c r="HG192" s="1052">
        <v>0</v>
      </c>
      <c r="HH192" s="1053">
        <v>0</v>
      </c>
      <c r="HI192" s="1051">
        <v>29</v>
      </c>
      <c r="HJ192" s="1051">
        <v>0</v>
      </c>
      <c r="HK192" s="1052">
        <v>0</v>
      </c>
      <c r="HL192" s="1052">
        <v>0</v>
      </c>
      <c r="HM192" s="1052">
        <v>0</v>
      </c>
      <c r="HN192" s="1052">
        <v>0</v>
      </c>
      <c r="HO192" s="1052">
        <v>0</v>
      </c>
      <c r="HP192" s="1052">
        <v>0</v>
      </c>
      <c r="HQ192" s="1052">
        <v>0</v>
      </c>
      <c r="HR192" s="1052">
        <v>0</v>
      </c>
      <c r="HS192" s="1052">
        <v>0</v>
      </c>
      <c r="HT192" s="1052">
        <v>0</v>
      </c>
      <c r="HU192" s="1052">
        <v>0</v>
      </c>
      <c r="HV192" s="1052">
        <v>0</v>
      </c>
      <c r="HW192" s="1052">
        <v>0</v>
      </c>
      <c r="HX192" s="1052">
        <v>0</v>
      </c>
      <c r="HY192" s="1052">
        <v>0</v>
      </c>
      <c r="HZ192" s="1052">
        <v>0</v>
      </c>
      <c r="IA192" s="1052">
        <v>0</v>
      </c>
      <c r="IB192" s="1052">
        <v>0</v>
      </c>
      <c r="IC192" s="1053">
        <v>0</v>
      </c>
      <c r="ID192" s="1051">
        <v>0</v>
      </c>
      <c r="IE192" s="1051">
        <v>0</v>
      </c>
      <c r="IF192" s="1052">
        <v>0</v>
      </c>
      <c r="IG192" s="1052">
        <v>0</v>
      </c>
      <c r="IH192" s="1052">
        <v>0</v>
      </c>
      <c r="II192" s="1052">
        <v>0</v>
      </c>
      <c r="IJ192" s="1052">
        <v>0</v>
      </c>
      <c r="IK192" s="1052">
        <v>0</v>
      </c>
      <c r="IL192" s="1052">
        <v>0</v>
      </c>
      <c r="IM192" s="1052">
        <v>0</v>
      </c>
      <c r="IN192" s="1052">
        <v>0</v>
      </c>
      <c r="IO192" s="1052">
        <v>0</v>
      </c>
      <c r="IP192" s="1052">
        <v>0</v>
      </c>
      <c r="IQ192" s="1052">
        <v>0</v>
      </c>
      <c r="IR192" s="1052">
        <v>0</v>
      </c>
      <c r="IS192" s="1052">
        <v>0</v>
      </c>
      <c r="IT192" s="1052">
        <v>0</v>
      </c>
      <c r="IU192" s="1052">
        <v>0</v>
      </c>
      <c r="IV192" s="1052">
        <v>0</v>
      </c>
      <c r="IW192" s="1052">
        <v>0</v>
      </c>
      <c r="IX192" s="1053">
        <v>0</v>
      </c>
    </row>
    <row r="193" spans="66:275" ht="20.100000000000001" hidden="1" customHeight="1">
      <c r="BN193" s="982"/>
      <c r="BO193" s="982"/>
      <c r="BP193" s="982"/>
      <c r="BQ193" s="982"/>
      <c r="BR193" s="982"/>
      <c r="BS193" s="982"/>
      <c r="BT193" s="982"/>
      <c r="BU193" s="982"/>
      <c r="BV193" s="982"/>
      <c r="BW193" s="982"/>
      <c r="BX193" s="982"/>
      <c r="BY193" s="982"/>
      <c r="BZ193" s="982"/>
      <c r="CA193" s="982"/>
      <c r="CB193" s="982"/>
      <c r="CC193" s="982"/>
      <c r="CD193" s="982"/>
      <c r="CE193" s="982"/>
      <c r="CF193" s="982"/>
      <c r="CG193" s="982"/>
      <c r="CH193" s="982"/>
      <c r="CI193" s="982"/>
      <c r="CJ193" s="982"/>
      <c r="CK193" s="982"/>
      <c r="CL193" s="982"/>
      <c r="CM193" s="982"/>
      <c r="CN193" s="982"/>
      <c r="CO193" s="982"/>
      <c r="CP193" s="982"/>
      <c r="CQ193" s="982"/>
      <c r="CR193" s="982"/>
      <c r="CS193" s="982"/>
      <c r="CT193" s="982"/>
      <c r="CU193" s="982"/>
      <c r="CV193" s="982"/>
      <c r="CW193" s="982"/>
      <c r="CX193" s="982"/>
      <c r="CY193" s="982"/>
      <c r="CZ193" s="982"/>
      <c r="DA193" s="982"/>
      <c r="DB193" s="982"/>
      <c r="DC193" s="982"/>
      <c r="DD193" s="982"/>
      <c r="DE193" s="982"/>
      <c r="DF193" s="982"/>
      <c r="DG193" s="1434" t="s">
        <v>187</v>
      </c>
      <c r="DH193" s="1051">
        <v>8</v>
      </c>
      <c r="DI193" s="1051">
        <v>0</v>
      </c>
      <c r="DJ193" s="1052">
        <v>0</v>
      </c>
      <c r="DK193" s="1052">
        <v>0</v>
      </c>
      <c r="DL193" s="1052">
        <v>0</v>
      </c>
      <c r="DM193" s="1052">
        <v>0</v>
      </c>
      <c r="DN193" s="1052">
        <v>0</v>
      </c>
      <c r="DO193" s="1052">
        <v>0</v>
      </c>
      <c r="DP193" s="1052">
        <v>0</v>
      </c>
      <c r="DQ193" s="1052">
        <v>0</v>
      </c>
      <c r="DR193" s="1052">
        <v>0</v>
      </c>
      <c r="DS193" s="1052">
        <v>0</v>
      </c>
      <c r="DT193" s="1052">
        <v>0</v>
      </c>
      <c r="DU193" s="1052">
        <v>0</v>
      </c>
      <c r="DV193" s="1052">
        <v>0</v>
      </c>
      <c r="DW193" s="1052">
        <v>0</v>
      </c>
      <c r="DX193" s="1052">
        <v>0</v>
      </c>
      <c r="DY193" s="1052">
        <v>0</v>
      </c>
      <c r="DZ193" s="1052">
        <v>0</v>
      </c>
      <c r="EA193" s="1052">
        <v>0</v>
      </c>
      <c r="EB193" s="1053">
        <v>0</v>
      </c>
      <c r="EC193" s="1051">
        <v>11</v>
      </c>
      <c r="ED193" s="1051">
        <v>0</v>
      </c>
      <c r="EE193" s="1052">
        <v>0</v>
      </c>
      <c r="EF193" s="1052">
        <v>0</v>
      </c>
      <c r="EG193" s="1052">
        <v>0</v>
      </c>
      <c r="EH193" s="1052">
        <v>0</v>
      </c>
      <c r="EI193" s="1052">
        <v>0</v>
      </c>
      <c r="EJ193" s="1052">
        <v>0</v>
      </c>
      <c r="EK193" s="1052">
        <v>0</v>
      </c>
      <c r="EL193" s="1052">
        <v>0</v>
      </c>
      <c r="EM193" s="1052">
        <v>0</v>
      </c>
      <c r="EN193" s="1052">
        <v>0</v>
      </c>
      <c r="EO193" s="1052">
        <v>0</v>
      </c>
      <c r="EP193" s="1052">
        <v>0</v>
      </c>
      <c r="EQ193" s="1052">
        <v>0</v>
      </c>
      <c r="ER193" s="1052">
        <v>0</v>
      </c>
      <c r="ES193" s="1052">
        <v>0</v>
      </c>
      <c r="ET193" s="1052">
        <v>0</v>
      </c>
      <c r="EU193" s="1052">
        <v>0</v>
      </c>
      <c r="EV193" s="1052">
        <v>0</v>
      </c>
      <c r="EW193" s="1053">
        <v>0</v>
      </c>
      <c r="EX193" s="1051">
        <v>18</v>
      </c>
      <c r="EY193" s="1051">
        <v>0</v>
      </c>
      <c r="EZ193" s="1052">
        <v>0</v>
      </c>
      <c r="FA193" s="1052">
        <v>0</v>
      </c>
      <c r="FB193" s="1052">
        <v>0</v>
      </c>
      <c r="FC193" s="1052">
        <v>0</v>
      </c>
      <c r="FD193" s="1052">
        <v>0</v>
      </c>
      <c r="FE193" s="1052">
        <v>0</v>
      </c>
      <c r="FF193" s="1052">
        <v>0</v>
      </c>
      <c r="FG193" s="1052">
        <v>0</v>
      </c>
      <c r="FH193" s="1052">
        <v>0</v>
      </c>
      <c r="FI193" s="1052">
        <v>0</v>
      </c>
      <c r="FJ193" s="1052">
        <v>0</v>
      </c>
      <c r="FK193" s="1052">
        <v>0</v>
      </c>
      <c r="FL193" s="1052">
        <v>0</v>
      </c>
      <c r="FM193" s="1052">
        <v>0</v>
      </c>
      <c r="FN193" s="1052">
        <v>0</v>
      </c>
      <c r="FO193" s="1052">
        <v>0</v>
      </c>
      <c r="FP193" s="1052">
        <v>0</v>
      </c>
      <c r="FQ193" s="1052">
        <v>0</v>
      </c>
      <c r="FR193" s="1053">
        <v>0</v>
      </c>
      <c r="FS193" s="1051">
        <v>20</v>
      </c>
      <c r="FT193" s="1051">
        <v>0</v>
      </c>
      <c r="FU193" s="1052">
        <v>0</v>
      </c>
      <c r="FV193" s="1052">
        <v>0</v>
      </c>
      <c r="FW193" s="1052">
        <v>0</v>
      </c>
      <c r="FX193" s="1052">
        <v>0</v>
      </c>
      <c r="FY193" s="1052">
        <v>0</v>
      </c>
      <c r="FZ193" s="1052">
        <v>0</v>
      </c>
      <c r="GA193" s="1052">
        <v>0</v>
      </c>
      <c r="GB193" s="1052">
        <v>0</v>
      </c>
      <c r="GC193" s="1052">
        <v>0</v>
      </c>
      <c r="GD193" s="1052">
        <v>0</v>
      </c>
      <c r="GE193" s="1052">
        <v>0</v>
      </c>
      <c r="GF193" s="1052">
        <v>0</v>
      </c>
      <c r="GG193" s="1052">
        <v>0</v>
      </c>
      <c r="GH193" s="1052">
        <v>0</v>
      </c>
      <c r="GI193" s="1052">
        <v>0</v>
      </c>
      <c r="GJ193" s="1052">
        <v>0</v>
      </c>
      <c r="GK193" s="1052">
        <v>0</v>
      </c>
      <c r="GL193" s="1052">
        <v>0</v>
      </c>
      <c r="GM193" s="1053">
        <v>0</v>
      </c>
      <c r="GN193" s="1051">
        <v>4</v>
      </c>
      <c r="GO193" s="1051">
        <v>0</v>
      </c>
      <c r="GP193" s="1052">
        <v>0</v>
      </c>
      <c r="GQ193" s="1052">
        <v>0</v>
      </c>
      <c r="GR193" s="1052">
        <v>0</v>
      </c>
      <c r="GS193" s="1052">
        <v>0</v>
      </c>
      <c r="GT193" s="1052">
        <v>0</v>
      </c>
      <c r="GU193" s="1052">
        <v>0</v>
      </c>
      <c r="GV193" s="1052">
        <v>0</v>
      </c>
      <c r="GW193" s="1052">
        <v>0</v>
      </c>
      <c r="GX193" s="1052">
        <v>0</v>
      </c>
      <c r="GY193" s="1052">
        <v>0</v>
      </c>
      <c r="GZ193" s="1052">
        <v>0</v>
      </c>
      <c r="HA193" s="1052">
        <v>0</v>
      </c>
      <c r="HB193" s="1052">
        <v>0</v>
      </c>
      <c r="HC193" s="1052">
        <v>0</v>
      </c>
      <c r="HD193" s="1052">
        <v>0</v>
      </c>
      <c r="HE193" s="1052">
        <v>0</v>
      </c>
      <c r="HF193" s="1052">
        <v>0</v>
      </c>
      <c r="HG193" s="1052">
        <v>0</v>
      </c>
      <c r="HH193" s="1053">
        <v>0</v>
      </c>
      <c r="HI193" s="1051">
        <v>49.2</v>
      </c>
      <c r="HJ193" s="1051">
        <v>0</v>
      </c>
      <c r="HK193" s="1052">
        <v>0</v>
      </c>
      <c r="HL193" s="1052">
        <v>0</v>
      </c>
      <c r="HM193" s="1052">
        <v>0</v>
      </c>
      <c r="HN193" s="1052">
        <v>0</v>
      </c>
      <c r="HO193" s="1052">
        <v>0</v>
      </c>
      <c r="HP193" s="1052">
        <v>0</v>
      </c>
      <c r="HQ193" s="1052">
        <v>0</v>
      </c>
      <c r="HR193" s="1052">
        <v>0</v>
      </c>
      <c r="HS193" s="1052">
        <v>0</v>
      </c>
      <c r="HT193" s="1052">
        <v>0</v>
      </c>
      <c r="HU193" s="1052">
        <v>0</v>
      </c>
      <c r="HV193" s="1052">
        <v>0</v>
      </c>
      <c r="HW193" s="1052">
        <v>0</v>
      </c>
      <c r="HX193" s="1052">
        <v>0</v>
      </c>
      <c r="HY193" s="1052">
        <v>0</v>
      </c>
      <c r="HZ193" s="1052">
        <v>2</v>
      </c>
      <c r="IA193" s="1052">
        <v>0</v>
      </c>
      <c r="IB193" s="1052">
        <v>1</v>
      </c>
      <c r="IC193" s="1053">
        <v>0</v>
      </c>
      <c r="ID193" s="1051">
        <v>2</v>
      </c>
      <c r="IE193" s="1051">
        <v>0</v>
      </c>
      <c r="IF193" s="1052">
        <v>0</v>
      </c>
      <c r="IG193" s="1052">
        <v>0</v>
      </c>
      <c r="IH193" s="1052">
        <v>0</v>
      </c>
      <c r="II193" s="1052">
        <v>0</v>
      </c>
      <c r="IJ193" s="1052">
        <v>0</v>
      </c>
      <c r="IK193" s="1052">
        <v>0</v>
      </c>
      <c r="IL193" s="1052">
        <v>0</v>
      </c>
      <c r="IM193" s="1052">
        <v>0</v>
      </c>
      <c r="IN193" s="1052">
        <v>0</v>
      </c>
      <c r="IO193" s="1052">
        <v>0</v>
      </c>
      <c r="IP193" s="1052">
        <v>0</v>
      </c>
      <c r="IQ193" s="1052">
        <v>0</v>
      </c>
      <c r="IR193" s="1052">
        <v>0</v>
      </c>
      <c r="IS193" s="1052">
        <v>0</v>
      </c>
      <c r="IT193" s="1052">
        <v>0</v>
      </c>
      <c r="IU193" s="1052">
        <v>0</v>
      </c>
      <c r="IV193" s="1052">
        <v>0</v>
      </c>
      <c r="IW193" s="1052">
        <v>0</v>
      </c>
      <c r="IX193" s="1053">
        <v>0</v>
      </c>
    </row>
    <row r="194" spans="66:275" ht="20.100000000000001" hidden="1" customHeight="1">
      <c r="BN194" s="982"/>
      <c r="BO194" s="982"/>
      <c r="BP194" s="982"/>
      <c r="BQ194" s="982"/>
      <c r="BR194" s="982"/>
      <c r="BS194" s="982"/>
      <c r="BT194" s="982"/>
      <c r="BU194" s="982"/>
      <c r="BV194" s="982"/>
      <c r="BW194" s="982"/>
      <c r="BX194" s="982"/>
      <c r="BY194" s="982"/>
      <c r="BZ194" s="982"/>
      <c r="CA194" s="982"/>
      <c r="CB194" s="982"/>
      <c r="CC194" s="982"/>
      <c r="CD194" s="982"/>
      <c r="CE194" s="982"/>
      <c r="CF194" s="982"/>
      <c r="CG194" s="982"/>
      <c r="CH194" s="982"/>
      <c r="CI194" s="982"/>
      <c r="CJ194" s="982"/>
      <c r="CK194" s="982"/>
      <c r="CL194" s="982"/>
      <c r="CM194" s="982"/>
      <c r="CN194" s="982"/>
      <c r="CO194" s="982"/>
      <c r="CP194" s="982"/>
      <c r="CQ194" s="982"/>
      <c r="CR194" s="982"/>
      <c r="CS194" s="982"/>
      <c r="CT194" s="982"/>
      <c r="CU194" s="982"/>
      <c r="CV194" s="982"/>
      <c r="CW194" s="982"/>
      <c r="CX194" s="982"/>
      <c r="CY194" s="982"/>
      <c r="CZ194" s="982"/>
      <c r="DA194" s="982"/>
      <c r="DB194" s="982"/>
      <c r="DC194" s="982"/>
      <c r="DD194" s="982"/>
      <c r="DE194" s="982"/>
      <c r="DF194" s="982"/>
      <c r="DG194" s="1434" t="s">
        <v>199</v>
      </c>
      <c r="DH194" s="1051">
        <v>4.3</v>
      </c>
      <c r="DI194" s="1051">
        <v>0</v>
      </c>
      <c r="DJ194" s="1052">
        <v>0</v>
      </c>
      <c r="DK194" s="1052">
        <v>0</v>
      </c>
      <c r="DL194" s="1052">
        <v>0</v>
      </c>
      <c r="DM194" s="1052">
        <v>0</v>
      </c>
      <c r="DN194" s="1052">
        <v>0</v>
      </c>
      <c r="DO194" s="1052">
        <v>0</v>
      </c>
      <c r="DP194" s="1052">
        <v>0</v>
      </c>
      <c r="DQ194" s="1052">
        <v>0</v>
      </c>
      <c r="DR194" s="1052">
        <v>0</v>
      </c>
      <c r="DS194" s="1052">
        <v>0</v>
      </c>
      <c r="DT194" s="1052">
        <v>0</v>
      </c>
      <c r="DU194" s="1052">
        <v>0</v>
      </c>
      <c r="DV194" s="1052">
        <v>0</v>
      </c>
      <c r="DW194" s="1052">
        <v>0</v>
      </c>
      <c r="DX194" s="1052">
        <v>0</v>
      </c>
      <c r="DY194" s="1052">
        <v>0</v>
      </c>
      <c r="DZ194" s="1052">
        <v>0</v>
      </c>
      <c r="EA194" s="1052">
        <v>0</v>
      </c>
      <c r="EB194" s="1053">
        <v>0</v>
      </c>
      <c r="EC194" s="1051">
        <v>0</v>
      </c>
      <c r="ED194" s="1051">
        <v>0</v>
      </c>
      <c r="EE194" s="1052">
        <v>0</v>
      </c>
      <c r="EF194" s="1052">
        <v>0</v>
      </c>
      <c r="EG194" s="1052">
        <v>0</v>
      </c>
      <c r="EH194" s="1052">
        <v>0</v>
      </c>
      <c r="EI194" s="1052">
        <v>0</v>
      </c>
      <c r="EJ194" s="1052">
        <v>0</v>
      </c>
      <c r="EK194" s="1052">
        <v>0</v>
      </c>
      <c r="EL194" s="1052">
        <v>0</v>
      </c>
      <c r="EM194" s="1052">
        <v>0</v>
      </c>
      <c r="EN194" s="1052">
        <v>0</v>
      </c>
      <c r="EO194" s="1052">
        <v>0</v>
      </c>
      <c r="EP194" s="1052">
        <v>0</v>
      </c>
      <c r="EQ194" s="1052">
        <v>0</v>
      </c>
      <c r="ER194" s="1052">
        <v>0</v>
      </c>
      <c r="ES194" s="1052">
        <v>0</v>
      </c>
      <c r="ET194" s="1052">
        <v>0</v>
      </c>
      <c r="EU194" s="1052">
        <v>0</v>
      </c>
      <c r="EV194" s="1052">
        <v>0</v>
      </c>
      <c r="EW194" s="1053">
        <v>0</v>
      </c>
      <c r="EX194" s="1051">
        <v>18</v>
      </c>
      <c r="EY194" s="1051">
        <v>0</v>
      </c>
      <c r="EZ194" s="1052">
        <v>0</v>
      </c>
      <c r="FA194" s="1052">
        <v>0</v>
      </c>
      <c r="FB194" s="1052">
        <v>0</v>
      </c>
      <c r="FC194" s="1052">
        <v>0</v>
      </c>
      <c r="FD194" s="1052">
        <v>0</v>
      </c>
      <c r="FE194" s="1052">
        <v>0</v>
      </c>
      <c r="FF194" s="1052">
        <v>0</v>
      </c>
      <c r="FG194" s="1052">
        <v>0</v>
      </c>
      <c r="FH194" s="1052">
        <v>0</v>
      </c>
      <c r="FI194" s="1052">
        <v>0</v>
      </c>
      <c r="FJ194" s="1052">
        <v>0</v>
      </c>
      <c r="FK194" s="1052">
        <v>0</v>
      </c>
      <c r="FL194" s="1052">
        <v>0</v>
      </c>
      <c r="FM194" s="1052">
        <v>0</v>
      </c>
      <c r="FN194" s="1052">
        <v>0</v>
      </c>
      <c r="FO194" s="1052">
        <v>0</v>
      </c>
      <c r="FP194" s="1052">
        <v>0</v>
      </c>
      <c r="FQ194" s="1052">
        <v>0</v>
      </c>
      <c r="FR194" s="1053">
        <v>0</v>
      </c>
      <c r="FS194" s="1051">
        <v>21</v>
      </c>
      <c r="FT194" s="1051">
        <v>0</v>
      </c>
      <c r="FU194" s="1052">
        <v>0</v>
      </c>
      <c r="FV194" s="1052">
        <v>0</v>
      </c>
      <c r="FW194" s="1052">
        <v>0</v>
      </c>
      <c r="FX194" s="1052">
        <v>0</v>
      </c>
      <c r="FY194" s="1052">
        <v>0</v>
      </c>
      <c r="FZ194" s="1052">
        <v>0</v>
      </c>
      <c r="GA194" s="1052">
        <v>0</v>
      </c>
      <c r="GB194" s="1052">
        <v>0</v>
      </c>
      <c r="GC194" s="1052">
        <v>0</v>
      </c>
      <c r="GD194" s="1052">
        <v>0</v>
      </c>
      <c r="GE194" s="1052">
        <v>0</v>
      </c>
      <c r="GF194" s="1052">
        <v>0</v>
      </c>
      <c r="GG194" s="1052">
        <v>0</v>
      </c>
      <c r="GH194" s="1052">
        <v>0</v>
      </c>
      <c r="GI194" s="1052">
        <v>0</v>
      </c>
      <c r="GJ194" s="1052">
        <v>0</v>
      </c>
      <c r="GK194" s="1052">
        <v>0</v>
      </c>
      <c r="GL194" s="1052">
        <v>0</v>
      </c>
      <c r="GM194" s="1053">
        <v>0</v>
      </c>
      <c r="GN194" s="1051">
        <v>0</v>
      </c>
      <c r="GO194" s="1051">
        <v>0</v>
      </c>
      <c r="GP194" s="1052">
        <v>0</v>
      </c>
      <c r="GQ194" s="1052">
        <v>0</v>
      </c>
      <c r="GR194" s="1052">
        <v>0</v>
      </c>
      <c r="GS194" s="1052">
        <v>0</v>
      </c>
      <c r="GT194" s="1052">
        <v>0</v>
      </c>
      <c r="GU194" s="1052">
        <v>0</v>
      </c>
      <c r="GV194" s="1052">
        <v>0</v>
      </c>
      <c r="GW194" s="1052">
        <v>0</v>
      </c>
      <c r="GX194" s="1052">
        <v>0</v>
      </c>
      <c r="GY194" s="1052">
        <v>0</v>
      </c>
      <c r="GZ194" s="1052">
        <v>0</v>
      </c>
      <c r="HA194" s="1052">
        <v>0</v>
      </c>
      <c r="HB194" s="1052">
        <v>0</v>
      </c>
      <c r="HC194" s="1052">
        <v>0</v>
      </c>
      <c r="HD194" s="1052">
        <v>0</v>
      </c>
      <c r="HE194" s="1052">
        <v>0</v>
      </c>
      <c r="HF194" s="1052">
        <v>0</v>
      </c>
      <c r="HG194" s="1052">
        <v>0</v>
      </c>
      <c r="HH194" s="1053">
        <v>0</v>
      </c>
      <c r="HI194" s="1051">
        <v>38</v>
      </c>
      <c r="HJ194" s="1051">
        <v>0</v>
      </c>
      <c r="HK194" s="1052">
        <v>0</v>
      </c>
      <c r="HL194" s="1052">
        <v>0</v>
      </c>
      <c r="HM194" s="1052">
        <v>0</v>
      </c>
      <c r="HN194" s="1052">
        <v>0</v>
      </c>
      <c r="HO194" s="1052">
        <v>0</v>
      </c>
      <c r="HP194" s="1052">
        <v>0</v>
      </c>
      <c r="HQ194" s="1052">
        <v>0</v>
      </c>
      <c r="HR194" s="1052">
        <v>0</v>
      </c>
      <c r="HS194" s="1052">
        <v>0</v>
      </c>
      <c r="HT194" s="1052">
        <v>0</v>
      </c>
      <c r="HU194" s="1052">
        <v>0</v>
      </c>
      <c r="HV194" s="1052">
        <v>0</v>
      </c>
      <c r="HW194" s="1052">
        <v>0</v>
      </c>
      <c r="HX194" s="1052">
        <v>0</v>
      </c>
      <c r="HY194" s="1052">
        <v>0</v>
      </c>
      <c r="HZ194" s="1052">
        <v>0</v>
      </c>
      <c r="IA194" s="1052">
        <v>0</v>
      </c>
      <c r="IB194" s="1052">
        <v>0</v>
      </c>
      <c r="IC194" s="1053">
        <v>0</v>
      </c>
      <c r="ID194" s="1051">
        <v>11</v>
      </c>
      <c r="IE194" s="1051">
        <v>0</v>
      </c>
      <c r="IF194" s="1052">
        <v>0</v>
      </c>
      <c r="IG194" s="1052">
        <v>0</v>
      </c>
      <c r="IH194" s="1052">
        <v>0</v>
      </c>
      <c r="II194" s="1052">
        <v>0</v>
      </c>
      <c r="IJ194" s="1052">
        <v>0</v>
      </c>
      <c r="IK194" s="1052">
        <v>0</v>
      </c>
      <c r="IL194" s="1052">
        <v>0</v>
      </c>
      <c r="IM194" s="1052">
        <v>0</v>
      </c>
      <c r="IN194" s="1052">
        <v>0</v>
      </c>
      <c r="IO194" s="1052">
        <v>0</v>
      </c>
      <c r="IP194" s="1052">
        <v>0</v>
      </c>
      <c r="IQ194" s="1052">
        <v>0</v>
      </c>
      <c r="IR194" s="1052">
        <v>0</v>
      </c>
      <c r="IS194" s="1052">
        <v>0</v>
      </c>
      <c r="IT194" s="1052">
        <v>0</v>
      </c>
      <c r="IU194" s="1052">
        <v>0</v>
      </c>
      <c r="IV194" s="1052">
        <v>0</v>
      </c>
      <c r="IW194" s="1052">
        <v>0</v>
      </c>
      <c r="IX194" s="1053">
        <v>0</v>
      </c>
    </row>
    <row r="195" spans="66:275" ht="20.100000000000001" hidden="1" customHeight="1">
      <c r="BN195" s="982"/>
      <c r="BO195" s="982"/>
      <c r="BP195" s="982"/>
      <c r="BQ195" s="982"/>
      <c r="BR195" s="982"/>
      <c r="BS195" s="982"/>
      <c r="BT195" s="982"/>
      <c r="BU195" s="982"/>
      <c r="BV195" s="982"/>
      <c r="BW195" s="982"/>
      <c r="BX195" s="982"/>
      <c r="BY195" s="982"/>
      <c r="BZ195" s="982"/>
      <c r="CA195" s="982"/>
      <c r="CB195" s="982"/>
      <c r="CC195" s="982"/>
      <c r="CD195" s="982"/>
      <c r="CE195" s="982"/>
      <c r="CF195" s="982"/>
      <c r="CG195" s="982"/>
      <c r="CH195" s="982"/>
      <c r="CI195" s="982"/>
      <c r="CJ195" s="982"/>
      <c r="CK195" s="982"/>
      <c r="CL195" s="982"/>
      <c r="CM195" s="982"/>
      <c r="CN195" s="982"/>
      <c r="CO195" s="982"/>
      <c r="CP195" s="982"/>
      <c r="CQ195" s="982"/>
      <c r="CR195" s="982"/>
      <c r="CS195" s="982"/>
      <c r="CT195" s="982"/>
      <c r="CU195" s="982"/>
      <c r="CV195" s="982"/>
      <c r="CW195" s="982"/>
      <c r="CX195" s="982"/>
      <c r="CY195" s="982"/>
      <c r="CZ195" s="982"/>
      <c r="DA195" s="982"/>
      <c r="DB195" s="982"/>
      <c r="DC195" s="982"/>
      <c r="DD195" s="982"/>
      <c r="DE195" s="982"/>
      <c r="DF195" s="982"/>
      <c r="DG195" s="1434" t="s">
        <v>200</v>
      </c>
      <c r="DH195" s="1051">
        <v>12</v>
      </c>
      <c r="DI195" s="1051">
        <v>0</v>
      </c>
      <c r="DJ195" s="1052">
        <v>0</v>
      </c>
      <c r="DK195" s="1052">
        <v>0</v>
      </c>
      <c r="DL195" s="1052">
        <v>0</v>
      </c>
      <c r="DM195" s="1052">
        <v>0</v>
      </c>
      <c r="DN195" s="1052">
        <v>0</v>
      </c>
      <c r="DO195" s="1052">
        <v>0</v>
      </c>
      <c r="DP195" s="1052">
        <v>0</v>
      </c>
      <c r="DQ195" s="1052">
        <v>0</v>
      </c>
      <c r="DR195" s="1052">
        <v>0</v>
      </c>
      <c r="DS195" s="1052">
        <v>0</v>
      </c>
      <c r="DT195" s="1052">
        <v>0</v>
      </c>
      <c r="DU195" s="1052">
        <v>0</v>
      </c>
      <c r="DV195" s="1052">
        <v>0</v>
      </c>
      <c r="DW195" s="1052">
        <v>0</v>
      </c>
      <c r="DX195" s="1052">
        <v>0</v>
      </c>
      <c r="DY195" s="1052">
        <v>0</v>
      </c>
      <c r="DZ195" s="1052">
        <v>0</v>
      </c>
      <c r="EA195" s="1052">
        <v>0</v>
      </c>
      <c r="EB195" s="1053">
        <v>0</v>
      </c>
      <c r="EC195" s="1051">
        <v>0</v>
      </c>
      <c r="ED195" s="1051">
        <v>0</v>
      </c>
      <c r="EE195" s="1052">
        <v>0</v>
      </c>
      <c r="EF195" s="1052">
        <v>0</v>
      </c>
      <c r="EG195" s="1052">
        <v>0</v>
      </c>
      <c r="EH195" s="1052">
        <v>0</v>
      </c>
      <c r="EI195" s="1052">
        <v>0</v>
      </c>
      <c r="EJ195" s="1052">
        <v>0</v>
      </c>
      <c r="EK195" s="1052">
        <v>0</v>
      </c>
      <c r="EL195" s="1052">
        <v>0</v>
      </c>
      <c r="EM195" s="1052">
        <v>0</v>
      </c>
      <c r="EN195" s="1052">
        <v>0</v>
      </c>
      <c r="EO195" s="1052">
        <v>0</v>
      </c>
      <c r="EP195" s="1052">
        <v>0</v>
      </c>
      <c r="EQ195" s="1052">
        <v>0</v>
      </c>
      <c r="ER195" s="1052">
        <v>0</v>
      </c>
      <c r="ES195" s="1052">
        <v>0</v>
      </c>
      <c r="ET195" s="1052">
        <v>0</v>
      </c>
      <c r="EU195" s="1052">
        <v>0</v>
      </c>
      <c r="EV195" s="1052">
        <v>0</v>
      </c>
      <c r="EW195" s="1053">
        <v>0</v>
      </c>
      <c r="EX195" s="1051">
        <v>0</v>
      </c>
      <c r="EY195" s="1051">
        <v>0</v>
      </c>
      <c r="EZ195" s="1052">
        <v>0</v>
      </c>
      <c r="FA195" s="1052">
        <v>0</v>
      </c>
      <c r="FB195" s="1052">
        <v>0</v>
      </c>
      <c r="FC195" s="1052">
        <v>0</v>
      </c>
      <c r="FD195" s="1052">
        <v>0</v>
      </c>
      <c r="FE195" s="1052">
        <v>0</v>
      </c>
      <c r="FF195" s="1052">
        <v>0</v>
      </c>
      <c r="FG195" s="1052">
        <v>0</v>
      </c>
      <c r="FH195" s="1052">
        <v>0</v>
      </c>
      <c r="FI195" s="1052">
        <v>0</v>
      </c>
      <c r="FJ195" s="1052">
        <v>0</v>
      </c>
      <c r="FK195" s="1052">
        <v>0</v>
      </c>
      <c r="FL195" s="1052">
        <v>0</v>
      </c>
      <c r="FM195" s="1052">
        <v>0</v>
      </c>
      <c r="FN195" s="1052">
        <v>0</v>
      </c>
      <c r="FO195" s="1052">
        <v>0</v>
      </c>
      <c r="FP195" s="1052">
        <v>0</v>
      </c>
      <c r="FQ195" s="1052">
        <v>0</v>
      </c>
      <c r="FR195" s="1053">
        <v>0</v>
      </c>
      <c r="FS195" s="1051">
        <v>14</v>
      </c>
      <c r="FT195" s="1051">
        <v>0</v>
      </c>
      <c r="FU195" s="1052">
        <v>0</v>
      </c>
      <c r="FV195" s="1052">
        <v>0</v>
      </c>
      <c r="FW195" s="1052">
        <v>0</v>
      </c>
      <c r="FX195" s="1052">
        <v>0</v>
      </c>
      <c r="FY195" s="1052">
        <v>0</v>
      </c>
      <c r="FZ195" s="1052">
        <v>0</v>
      </c>
      <c r="GA195" s="1052">
        <v>0</v>
      </c>
      <c r="GB195" s="1052">
        <v>0</v>
      </c>
      <c r="GC195" s="1052">
        <v>0</v>
      </c>
      <c r="GD195" s="1052">
        <v>0</v>
      </c>
      <c r="GE195" s="1052">
        <v>0</v>
      </c>
      <c r="GF195" s="1052">
        <v>0</v>
      </c>
      <c r="GG195" s="1052">
        <v>0</v>
      </c>
      <c r="GH195" s="1052">
        <v>0</v>
      </c>
      <c r="GI195" s="1052">
        <v>0</v>
      </c>
      <c r="GJ195" s="1052">
        <v>0</v>
      </c>
      <c r="GK195" s="1052">
        <v>0</v>
      </c>
      <c r="GL195" s="1052">
        <v>0</v>
      </c>
      <c r="GM195" s="1053">
        <v>0</v>
      </c>
      <c r="GN195" s="1051">
        <v>0</v>
      </c>
      <c r="GO195" s="1051">
        <v>0</v>
      </c>
      <c r="GP195" s="1052">
        <v>0</v>
      </c>
      <c r="GQ195" s="1052">
        <v>0</v>
      </c>
      <c r="GR195" s="1052">
        <v>0</v>
      </c>
      <c r="GS195" s="1052">
        <v>0</v>
      </c>
      <c r="GT195" s="1052">
        <v>0</v>
      </c>
      <c r="GU195" s="1052">
        <v>0</v>
      </c>
      <c r="GV195" s="1052">
        <v>0</v>
      </c>
      <c r="GW195" s="1052">
        <v>0</v>
      </c>
      <c r="GX195" s="1052">
        <v>0</v>
      </c>
      <c r="GY195" s="1052">
        <v>0</v>
      </c>
      <c r="GZ195" s="1052">
        <v>0</v>
      </c>
      <c r="HA195" s="1052">
        <v>0</v>
      </c>
      <c r="HB195" s="1052">
        <v>0</v>
      </c>
      <c r="HC195" s="1052">
        <v>0</v>
      </c>
      <c r="HD195" s="1052">
        <v>0</v>
      </c>
      <c r="HE195" s="1052">
        <v>0</v>
      </c>
      <c r="HF195" s="1052">
        <v>0</v>
      </c>
      <c r="HG195" s="1052">
        <v>0</v>
      </c>
      <c r="HH195" s="1053">
        <v>0</v>
      </c>
      <c r="HI195" s="1051">
        <v>25</v>
      </c>
      <c r="HJ195" s="1051">
        <v>0</v>
      </c>
      <c r="HK195" s="1052">
        <v>0</v>
      </c>
      <c r="HL195" s="1052">
        <v>0</v>
      </c>
      <c r="HM195" s="1052">
        <v>0</v>
      </c>
      <c r="HN195" s="1052">
        <v>0</v>
      </c>
      <c r="HO195" s="1052">
        <v>0</v>
      </c>
      <c r="HP195" s="1052">
        <v>0</v>
      </c>
      <c r="HQ195" s="1052">
        <v>0</v>
      </c>
      <c r="HR195" s="1052">
        <v>0</v>
      </c>
      <c r="HS195" s="1052">
        <v>0</v>
      </c>
      <c r="HT195" s="1052">
        <v>0</v>
      </c>
      <c r="HU195" s="1052">
        <v>0</v>
      </c>
      <c r="HV195" s="1052">
        <v>0</v>
      </c>
      <c r="HW195" s="1052">
        <v>0</v>
      </c>
      <c r="HX195" s="1052">
        <v>0</v>
      </c>
      <c r="HY195" s="1052">
        <v>0</v>
      </c>
      <c r="HZ195" s="1052">
        <v>0</v>
      </c>
      <c r="IA195" s="1052">
        <v>0</v>
      </c>
      <c r="IB195" s="1052">
        <v>0</v>
      </c>
      <c r="IC195" s="1053">
        <v>0</v>
      </c>
      <c r="ID195" s="1051">
        <v>0</v>
      </c>
      <c r="IE195" s="1051">
        <v>0</v>
      </c>
      <c r="IF195" s="1052">
        <v>0</v>
      </c>
      <c r="IG195" s="1052">
        <v>0</v>
      </c>
      <c r="IH195" s="1052">
        <v>0</v>
      </c>
      <c r="II195" s="1052">
        <v>0</v>
      </c>
      <c r="IJ195" s="1052">
        <v>0</v>
      </c>
      <c r="IK195" s="1052">
        <v>0</v>
      </c>
      <c r="IL195" s="1052">
        <v>0</v>
      </c>
      <c r="IM195" s="1052">
        <v>0</v>
      </c>
      <c r="IN195" s="1052">
        <v>0</v>
      </c>
      <c r="IO195" s="1052">
        <v>0</v>
      </c>
      <c r="IP195" s="1052">
        <v>0</v>
      </c>
      <c r="IQ195" s="1052">
        <v>0</v>
      </c>
      <c r="IR195" s="1052">
        <v>0</v>
      </c>
      <c r="IS195" s="1052">
        <v>0</v>
      </c>
      <c r="IT195" s="1052">
        <v>0</v>
      </c>
      <c r="IU195" s="1052">
        <v>0</v>
      </c>
      <c r="IV195" s="1052">
        <v>0</v>
      </c>
      <c r="IW195" s="1052">
        <v>0</v>
      </c>
      <c r="IX195" s="1053">
        <v>0</v>
      </c>
    </row>
    <row r="196" spans="66:275" ht="20.100000000000001" hidden="1" customHeight="1">
      <c r="BN196" s="982"/>
      <c r="BO196" s="982"/>
      <c r="BP196" s="982"/>
      <c r="BQ196" s="982"/>
      <c r="BR196" s="982"/>
      <c r="BS196" s="982"/>
      <c r="BT196" s="982"/>
      <c r="BU196" s="982"/>
      <c r="BV196" s="982"/>
      <c r="BW196" s="982"/>
      <c r="BX196" s="982"/>
      <c r="BY196" s="982"/>
      <c r="BZ196" s="982"/>
      <c r="CA196" s="982"/>
      <c r="CB196" s="982"/>
      <c r="CC196" s="982"/>
      <c r="CD196" s="982"/>
      <c r="CE196" s="982"/>
      <c r="CF196" s="982"/>
      <c r="CG196" s="982"/>
      <c r="CH196" s="982"/>
      <c r="CI196" s="982"/>
      <c r="CJ196" s="982"/>
      <c r="CK196" s="982"/>
      <c r="CL196" s="982"/>
      <c r="CM196" s="982"/>
      <c r="CN196" s="982"/>
      <c r="CO196" s="982"/>
      <c r="CP196" s="982"/>
      <c r="CQ196" s="982"/>
      <c r="CR196" s="982"/>
      <c r="CS196" s="982"/>
      <c r="CT196" s="982"/>
      <c r="CU196" s="982"/>
      <c r="CV196" s="982"/>
      <c r="CW196" s="982"/>
      <c r="CX196" s="982"/>
      <c r="CY196" s="982"/>
      <c r="CZ196" s="982"/>
      <c r="DA196" s="982"/>
      <c r="DB196" s="982"/>
      <c r="DC196" s="982"/>
      <c r="DD196" s="982"/>
      <c r="DE196" s="982"/>
      <c r="DF196" s="982"/>
      <c r="DG196" s="1434" t="s">
        <v>190</v>
      </c>
      <c r="DH196" s="1051">
        <v>6</v>
      </c>
      <c r="DI196" s="1051">
        <v>0</v>
      </c>
      <c r="DJ196" s="1052">
        <v>0</v>
      </c>
      <c r="DK196" s="1052">
        <v>0</v>
      </c>
      <c r="DL196" s="1052">
        <v>0</v>
      </c>
      <c r="DM196" s="1052">
        <v>0</v>
      </c>
      <c r="DN196" s="1052">
        <v>0</v>
      </c>
      <c r="DO196" s="1052">
        <v>0</v>
      </c>
      <c r="DP196" s="1052">
        <v>0</v>
      </c>
      <c r="DQ196" s="1052">
        <v>0</v>
      </c>
      <c r="DR196" s="1052">
        <v>0</v>
      </c>
      <c r="DS196" s="1052">
        <v>0</v>
      </c>
      <c r="DT196" s="1052">
        <v>0</v>
      </c>
      <c r="DU196" s="1052">
        <v>0</v>
      </c>
      <c r="DV196" s="1052">
        <v>0</v>
      </c>
      <c r="DW196" s="1052">
        <v>0</v>
      </c>
      <c r="DX196" s="1052">
        <v>0</v>
      </c>
      <c r="DY196" s="1052">
        <v>0</v>
      </c>
      <c r="DZ196" s="1052">
        <v>0</v>
      </c>
      <c r="EA196" s="1052">
        <v>0</v>
      </c>
      <c r="EB196" s="1053">
        <v>0</v>
      </c>
      <c r="EC196" s="1051">
        <v>0</v>
      </c>
      <c r="ED196" s="1051">
        <v>0</v>
      </c>
      <c r="EE196" s="1052">
        <v>0</v>
      </c>
      <c r="EF196" s="1052">
        <v>0</v>
      </c>
      <c r="EG196" s="1052">
        <v>0</v>
      </c>
      <c r="EH196" s="1052">
        <v>0</v>
      </c>
      <c r="EI196" s="1052">
        <v>0</v>
      </c>
      <c r="EJ196" s="1052">
        <v>0</v>
      </c>
      <c r="EK196" s="1052">
        <v>0</v>
      </c>
      <c r="EL196" s="1052">
        <v>0</v>
      </c>
      <c r="EM196" s="1052">
        <v>0</v>
      </c>
      <c r="EN196" s="1052">
        <v>0</v>
      </c>
      <c r="EO196" s="1052">
        <v>0</v>
      </c>
      <c r="EP196" s="1052">
        <v>0</v>
      </c>
      <c r="EQ196" s="1052">
        <v>0</v>
      </c>
      <c r="ER196" s="1052">
        <v>0</v>
      </c>
      <c r="ES196" s="1052">
        <v>0</v>
      </c>
      <c r="ET196" s="1052">
        <v>0</v>
      </c>
      <c r="EU196" s="1052">
        <v>0</v>
      </c>
      <c r="EV196" s="1052">
        <v>0</v>
      </c>
      <c r="EW196" s="1053">
        <v>0</v>
      </c>
      <c r="EX196" s="1051">
        <v>10</v>
      </c>
      <c r="EY196" s="1051">
        <v>0</v>
      </c>
      <c r="EZ196" s="1052">
        <v>0</v>
      </c>
      <c r="FA196" s="1052">
        <v>0</v>
      </c>
      <c r="FB196" s="1052">
        <v>0</v>
      </c>
      <c r="FC196" s="1052">
        <v>0</v>
      </c>
      <c r="FD196" s="1052">
        <v>0</v>
      </c>
      <c r="FE196" s="1052">
        <v>0</v>
      </c>
      <c r="FF196" s="1052">
        <v>0</v>
      </c>
      <c r="FG196" s="1052">
        <v>0</v>
      </c>
      <c r="FH196" s="1052">
        <v>0</v>
      </c>
      <c r="FI196" s="1052">
        <v>0</v>
      </c>
      <c r="FJ196" s="1052">
        <v>0</v>
      </c>
      <c r="FK196" s="1052">
        <v>0</v>
      </c>
      <c r="FL196" s="1052">
        <v>0</v>
      </c>
      <c r="FM196" s="1052">
        <v>0</v>
      </c>
      <c r="FN196" s="1052">
        <v>0</v>
      </c>
      <c r="FO196" s="1052">
        <v>0</v>
      </c>
      <c r="FP196" s="1052">
        <v>0</v>
      </c>
      <c r="FQ196" s="1052">
        <v>0</v>
      </c>
      <c r="FR196" s="1053">
        <v>0</v>
      </c>
      <c r="FS196" s="1051">
        <v>0</v>
      </c>
      <c r="FT196" s="1051">
        <v>0</v>
      </c>
      <c r="FU196" s="1052">
        <v>0</v>
      </c>
      <c r="FV196" s="1052">
        <v>0</v>
      </c>
      <c r="FW196" s="1052">
        <v>0</v>
      </c>
      <c r="FX196" s="1052">
        <v>0</v>
      </c>
      <c r="FY196" s="1052">
        <v>0</v>
      </c>
      <c r="FZ196" s="1052">
        <v>0</v>
      </c>
      <c r="GA196" s="1052">
        <v>0</v>
      </c>
      <c r="GB196" s="1052">
        <v>0</v>
      </c>
      <c r="GC196" s="1052">
        <v>0</v>
      </c>
      <c r="GD196" s="1052">
        <v>0</v>
      </c>
      <c r="GE196" s="1052">
        <v>0</v>
      </c>
      <c r="GF196" s="1052">
        <v>0</v>
      </c>
      <c r="GG196" s="1052">
        <v>0</v>
      </c>
      <c r="GH196" s="1052">
        <v>0</v>
      </c>
      <c r="GI196" s="1052">
        <v>0</v>
      </c>
      <c r="GJ196" s="1052">
        <v>0</v>
      </c>
      <c r="GK196" s="1052">
        <v>0</v>
      </c>
      <c r="GL196" s="1052">
        <v>0</v>
      </c>
      <c r="GM196" s="1053">
        <v>0</v>
      </c>
      <c r="GN196" s="1051">
        <v>0</v>
      </c>
      <c r="GO196" s="1051">
        <v>0</v>
      </c>
      <c r="GP196" s="1052">
        <v>0</v>
      </c>
      <c r="GQ196" s="1052">
        <v>0</v>
      </c>
      <c r="GR196" s="1052">
        <v>0</v>
      </c>
      <c r="GS196" s="1052">
        <v>0</v>
      </c>
      <c r="GT196" s="1052">
        <v>0</v>
      </c>
      <c r="GU196" s="1052">
        <v>0</v>
      </c>
      <c r="GV196" s="1052">
        <v>0</v>
      </c>
      <c r="GW196" s="1052">
        <v>0</v>
      </c>
      <c r="GX196" s="1052">
        <v>0</v>
      </c>
      <c r="GY196" s="1052">
        <v>0</v>
      </c>
      <c r="GZ196" s="1052">
        <v>0</v>
      </c>
      <c r="HA196" s="1052">
        <v>0</v>
      </c>
      <c r="HB196" s="1052">
        <v>0</v>
      </c>
      <c r="HC196" s="1052">
        <v>0</v>
      </c>
      <c r="HD196" s="1052">
        <v>0</v>
      </c>
      <c r="HE196" s="1052">
        <v>0</v>
      </c>
      <c r="HF196" s="1052">
        <v>0</v>
      </c>
      <c r="HG196" s="1052">
        <v>0</v>
      </c>
      <c r="HH196" s="1053">
        <v>0</v>
      </c>
      <c r="HI196" s="1051">
        <v>18.5</v>
      </c>
      <c r="HJ196" s="1051">
        <v>0</v>
      </c>
      <c r="HK196" s="1052">
        <v>0</v>
      </c>
      <c r="HL196" s="1052">
        <v>0</v>
      </c>
      <c r="HM196" s="1052">
        <v>0</v>
      </c>
      <c r="HN196" s="1052">
        <v>0</v>
      </c>
      <c r="HO196" s="1052">
        <v>0</v>
      </c>
      <c r="HP196" s="1052">
        <v>0</v>
      </c>
      <c r="HQ196" s="1052">
        <v>0</v>
      </c>
      <c r="HR196" s="1052">
        <v>0</v>
      </c>
      <c r="HS196" s="1052">
        <v>0</v>
      </c>
      <c r="HT196" s="1052">
        <v>0</v>
      </c>
      <c r="HU196" s="1052">
        <v>0</v>
      </c>
      <c r="HV196" s="1052">
        <v>0</v>
      </c>
      <c r="HW196" s="1052">
        <v>0</v>
      </c>
      <c r="HX196" s="1052">
        <v>0</v>
      </c>
      <c r="HY196" s="1052">
        <v>0</v>
      </c>
      <c r="HZ196" s="1052">
        <v>0</v>
      </c>
      <c r="IA196" s="1052">
        <v>0</v>
      </c>
      <c r="IB196" s="1052">
        <v>0</v>
      </c>
      <c r="IC196" s="1053">
        <v>0</v>
      </c>
      <c r="ID196" s="1051">
        <v>0</v>
      </c>
      <c r="IE196" s="1051">
        <v>0</v>
      </c>
      <c r="IF196" s="1052">
        <v>0</v>
      </c>
      <c r="IG196" s="1052">
        <v>0</v>
      </c>
      <c r="IH196" s="1052">
        <v>0</v>
      </c>
      <c r="II196" s="1052">
        <v>0</v>
      </c>
      <c r="IJ196" s="1052">
        <v>0</v>
      </c>
      <c r="IK196" s="1052">
        <v>0</v>
      </c>
      <c r="IL196" s="1052">
        <v>0</v>
      </c>
      <c r="IM196" s="1052">
        <v>0</v>
      </c>
      <c r="IN196" s="1052">
        <v>0</v>
      </c>
      <c r="IO196" s="1052">
        <v>0</v>
      </c>
      <c r="IP196" s="1052">
        <v>0</v>
      </c>
      <c r="IQ196" s="1052">
        <v>0</v>
      </c>
      <c r="IR196" s="1052">
        <v>0</v>
      </c>
      <c r="IS196" s="1052">
        <v>0</v>
      </c>
      <c r="IT196" s="1052">
        <v>0</v>
      </c>
      <c r="IU196" s="1052">
        <v>0</v>
      </c>
      <c r="IV196" s="1052">
        <v>0</v>
      </c>
      <c r="IW196" s="1052">
        <v>0</v>
      </c>
      <c r="IX196" s="1053">
        <v>0</v>
      </c>
    </row>
    <row r="197" spans="66:275" ht="20.100000000000001" hidden="1" customHeight="1">
      <c r="BN197" s="982"/>
      <c r="BO197" s="982"/>
      <c r="BP197" s="982"/>
      <c r="BQ197" s="982"/>
      <c r="BR197" s="982"/>
      <c r="BS197" s="982"/>
      <c r="BT197" s="982"/>
      <c r="BU197" s="982"/>
      <c r="BV197" s="982"/>
      <c r="BW197" s="982"/>
      <c r="BX197" s="982"/>
      <c r="BY197" s="982"/>
      <c r="BZ197" s="982"/>
      <c r="CA197" s="982"/>
      <c r="CB197" s="982"/>
      <c r="CC197" s="982"/>
      <c r="CD197" s="982"/>
      <c r="CE197" s="982"/>
      <c r="CF197" s="982"/>
      <c r="CG197" s="982"/>
      <c r="CH197" s="982"/>
      <c r="CI197" s="982"/>
      <c r="CJ197" s="982"/>
      <c r="CK197" s="982"/>
      <c r="CL197" s="982"/>
      <c r="CM197" s="982"/>
      <c r="CN197" s="982"/>
      <c r="CO197" s="982"/>
      <c r="CP197" s="982"/>
      <c r="CQ197" s="982"/>
      <c r="CR197" s="982"/>
      <c r="CS197" s="982"/>
      <c r="CT197" s="982"/>
      <c r="CU197" s="982"/>
      <c r="CV197" s="982"/>
      <c r="CW197" s="982"/>
      <c r="CX197" s="982"/>
      <c r="CY197" s="982"/>
      <c r="CZ197" s="982"/>
      <c r="DA197" s="982"/>
      <c r="DB197" s="982"/>
      <c r="DC197" s="982"/>
      <c r="DD197" s="982"/>
      <c r="DE197" s="982"/>
      <c r="DF197" s="982"/>
      <c r="DG197" s="1434" t="s">
        <v>201</v>
      </c>
      <c r="DH197" s="1051">
        <v>0</v>
      </c>
      <c r="DI197" s="1051">
        <v>0</v>
      </c>
      <c r="DJ197" s="1052">
        <v>0</v>
      </c>
      <c r="DK197" s="1052">
        <v>0</v>
      </c>
      <c r="DL197" s="1052">
        <v>0</v>
      </c>
      <c r="DM197" s="1052">
        <v>0</v>
      </c>
      <c r="DN197" s="1052">
        <v>0</v>
      </c>
      <c r="DO197" s="1052">
        <v>0</v>
      </c>
      <c r="DP197" s="1052">
        <v>0</v>
      </c>
      <c r="DQ197" s="1052">
        <v>0</v>
      </c>
      <c r="DR197" s="1052">
        <v>0</v>
      </c>
      <c r="DS197" s="1052">
        <v>0</v>
      </c>
      <c r="DT197" s="1052">
        <v>0</v>
      </c>
      <c r="DU197" s="1052">
        <v>0</v>
      </c>
      <c r="DV197" s="1052">
        <v>0</v>
      </c>
      <c r="DW197" s="1052">
        <v>0</v>
      </c>
      <c r="DX197" s="1052">
        <v>0</v>
      </c>
      <c r="DY197" s="1052">
        <v>0</v>
      </c>
      <c r="DZ197" s="1052">
        <v>0</v>
      </c>
      <c r="EA197" s="1052">
        <v>0</v>
      </c>
      <c r="EB197" s="1053">
        <v>0</v>
      </c>
      <c r="EC197" s="1051">
        <v>0</v>
      </c>
      <c r="ED197" s="1051">
        <v>0</v>
      </c>
      <c r="EE197" s="1052">
        <v>0</v>
      </c>
      <c r="EF197" s="1052">
        <v>0</v>
      </c>
      <c r="EG197" s="1052">
        <v>0</v>
      </c>
      <c r="EH197" s="1052">
        <v>0</v>
      </c>
      <c r="EI197" s="1052">
        <v>0</v>
      </c>
      <c r="EJ197" s="1052">
        <v>0</v>
      </c>
      <c r="EK197" s="1052">
        <v>0</v>
      </c>
      <c r="EL197" s="1052">
        <v>0</v>
      </c>
      <c r="EM197" s="1052">
        <v>0</v>
      </c>
      <c r="EN197" s="1052">
        <v>0</v>
      </c>
      <c r="EO197" s="1052">
        <v>0</v>
      </c>
      <c r="EP197" s="1052">
        <v>0</v>
      </c>
      <c r="EQ197" s="1052">
        <v>0</v>
      </c>
      <c r="ER197" s="1052">
        <v>0</v>
      </c>
      <c r="ES197" s="1052">
        <v>0</v>
      </c>
      <c r="ET197" s="1052">
        <v>0</v>
      </c>
      <c r="EU197" s="1052">
        <v>0</v>
      </c>
      <c r="EV197" s="1052">
        <v>0</v>
      </c>
      <c r="EW197" s="1053">
        <v>0</v>
      </c>
      <c r="EX197" s="1051">
        <v>14</v>
      </c>
      <c r="EY197" s="1051">
        <v>0</v>
      </c>
      <c r="EZ197" s="1052">
        <v>0</v>
      </c>
      <c r="FA197" s="1052">
        <v>0</v>
      </c>
      <c r="FB197" s="1052">
        <v>0</v>
      </c>
      <c r="FC197" s="1052">
        <v>0</v>
      </c>
      <c r="FD197" s="1052">
        <v>0</v>
      </c>
      <c r="FE197" s="1052">
        <v>0</v>
      </c>
      <c r="FF197" s="1052">
        <v>0</v>
      </c>
      <c r="FG197" s="1052">
        <v>0</v>
      </c>
      <c r="FH197" s="1052">
        <v>0</v>
      </c>
      <c r="FI197" s="1052">
        <v>0</v>
      </c>
      <c r="FJ197" s="1052">
        <v>0</v>
      </c>
      <c r="FK197" s="1052">
        <v>0</v>
      </c>
      <c r="FL197" s="1052">
        <v>0</v>
      </c>
      <c r="FM197" s="1052">
        <v>0</v>
      </c>
      <c r="FN197" s="1052">
        <v>0</v>
      </c>
      <c r="FO197" s="1052">
        <v>0</v>
      </c>
      <c r="FP197" s="1052">
        <v>0</v>
      </c>
      <c r="FQ197" s="1052">
        <v>0</v>
      </c>
      <c r="FR197" s="1053">
        <v>0</v>
      </c>
      <c r="FS197" s="1051">
        <v>0</v>
      </c>
      <c r="FT197" s="1051">
        <v>0</v>
      </c>
      <c r="FU197" s="1052">
        <v>0</v>
      </c>
      <c r="FV197" s="1052">
        <v>0</v>
      </c>
      <c r="FW197" s="1052">
        <v>0</v>
      </c>
      <c r="FX197" s="1052">
        <v>0</v>
      </c>
      <c r="FY197" s="1052">
        <v>0</v>
      </c>
      <c r="FZ197" s="1052">
        <v>0</v>
      </c>
      <c r="GA197" s="1052">
        <v>0</v>
      </c>
      <c r="GB197" s="1052">
        <v>0</v>
      </c>
      <c r="GC197" s="1052">
        <v>0</v>
      </c>
      <c r="GD197" s="1052">
        <v>0</v>
      </c>
      <c r="GE197" s="1052">
        <v>0</v>
      </c>
      <c r="GF197" s="1052">
        <v>0</v>
      </c>
      <c r="GG197" s="1052">
        <v>0</v>
      </c>
      <c r="GH197" s="1052">
        <v>0</v>
      </c>
      <c r="GI197" s="1052">
        <v>0</v>
      </c>
      <c r="GJ197" s="1052">
        <v>0</v>
      </c>
      <c r="GK197" s="1052">
        <v>0</v>
      </c>
      <c r="GL197" s="1052">
        <v>0</v>
      </c>
      <c r="GM197" s="1053">
        <v>0</v>
      </c>
      <c r="GN197" s="1051">
        <v>0</v>
      </c>
      <c r="GO197" s="1051">
        <v>0</v>
      </c>
      <c r="GP197" s="1052">
        <v>0</v>
      </c>
      <c r="GQ197" s="1052">
        <v>0</v>
      </c>
      <c r="GR197" s="1052">
        <v>0</v>
      </c>
      <c r="GS197" s="1052">
        <v>0</v>
      </c>
      <c r="GT197" s="1052">
        <v>0</v>
      </c>
      <c r="GU197" s="1052">
        <v>0</v>
      </c>
      <c r="GV197" s="1052">
        <v>0</v>
      </c>
      <c r="GW197" s="1052">
        <v>0</v>
      </c>
      <c r="GX197" s="1052">
        <v>0</v>
      </c>
      <c r="GY197" s="1052">
        <v>0</v>
      </c>
      <c r="GZ197" s="1052">
        <v>0</v>
      </c>
      <c r="HA197" s="1052">
        <v>0</v>
      </c>
      <c r="HB197" s="1052">
        <v>0</v>
      </c>
      <c r="HC197" s="1052">
        <v>0</v>
      </c>
      <c r="HD197" s="1052">
        <v>0</v>
      </c>
      <c r="HE197" s="1052">
        <v>0</v>
      </c>
      <c r="HF197" s="1052">
        <v>0</v>
      </c>
      <c r="HG197" s="1052">
        <v>0</v>
      </c>
      <c r="HH197" s="1053">
        <v>0</v>
      </c>
      <c r="HI197" s="1051">
        <v>17</v>
      </c>
      <c r="HJ197" s="1051">
        <v>0</v>
      </c>
      <c r="HK197" s="1052">
        <v>0</v>
      </c>
      <c r="HL197" s="1052">
        <v>0</v>
      </c>
      <c r="HM197" s="1052">
        <v>0</v>
      </c>
      <c r="HN197" s="1052">
        <v>0</v>
      </c>
      <c r="HO197" s="1052">
        <v>0</v>
      </c>
      <c r="HP197" s="1052">
        <v>0</v>
      </c>
      <c r="HQ197" s="1052">
        <v>0</v>
      </c>
      <c r="HR197" s="1052">
        <v>0</v>
      </c>
      <c r="HS197" s="1052">
        <v>0</v>
      </c>
      <c r="HT197" s="1052">
        <v>0</v>
      </c>
      <c r="HU197" s="1052">
        <v>0</v>
      </c>
      <c r="HV197" s="1052">
        <v>0</v>
      </c>
      <c r="HW197" s="1052">
        <v>0</v>
      </c>
      <c r="HX197" s="1052">
        <v>0</v>
      </c>
      <c r="HY197" s="1052">
        <v>0</v>
      </c>
      <c r="HZ197" s="1052">
        <v>0</v>
      </c>
      <c r="IA197" s="1052">
        <v>0</v>
      </c>
      <c r="IB197" s="1052">
        <v>0</v>
      </c>
      <c r="IC197" s="1053">
        <v>0</v>
      </c>
      <c r="ID197" s="1051">
        <v>17</v>
      </c>
      <c r="IE197" s="1051">
        <v>0</v>
      </c>
      <c r="IF197" s="1052">
        <v>0</v>
      </c>
      <c r="IG197" s="1052">
        <v>0</v>
      </c>
      <c r="IH197" s="1052">
        <v>0</v>
      </c>
      <c r="II197" s="1052">
        <v>0</v>
      </c>
      <c r="IJ197" s="1052">
        <v>0</v>
      </c>
      <c r="IK197" s="1052">
        <v>0</v>
      </c>
      <c r="IL197" s="1052">
        <v>0</v>
      </c>
      <c r="IM197" s="1052">
        <v>0</v>
      </c>
      <c r="IN197" s="1052">
        <v>0</v>
      </c>
      <c r="IO197" s="1052">
        <v>0</v>
      </c>
      <c r="IP197" s="1052">
        <v>0</v>
      </c>
      <c r="IQ197" s="1052">
        <v>0</v>
      </c>
      <c r="IR197" s="1052">
        <v>0</v>
      </c>
      <c r="IS197" s="1052">
        <v>0</v>
      </c>
      <c r="IT197" s="1052">
        <v>0</v>
      </c>
      <c r="IU197" s="1052">
        <v>0</v>
      </c>
      <c r="IV197" s="1052">
        <v>0</v>
      </c>
      <c r="IW197" s="1052">
        <v>0</v>
      </c>
      <c r="IX197" s="1053">
        <v>0</v>
      </c>
    </row>
    <row r="198" spans="66:275" ht="20.100000000000001" hidden="1" customHeight="1">
      <c r="BN198" s="982"/>
      <c r="BO198" s="982"/>
      <c r="BP198" s="982"/>
      <c r="BQ198" s="982"/>
      <c r="BR198" s="982"/>
      <c r="BS198" s="982"/>
      <c r="BT198" s="982"/>
      <c r="BU198" s="982"/>
      <c r="BV198" s="982"/>
      <c r="BW198" s="982"/>
      <c r="BX198" s="982"/>
      <c r="BY198" s="982"/>
      <c r="BZ198" s="982"/>
      <c r="CA198" s="982"/>
      <c r="CB198" s="982"/>
      <c r="CC198" s="982"/>
      <c r="CD198" s="982"/>
      <c r="CE198" s="982"/>
      <c r="CF198" s="982"/>
      <c r="CG198" s="982"/>
      <c r="CH198" s="982"/>
      <c r="CI198" s="982"/>
      <c r="CJ198" s="982"/>
      <c r="CK198" s="982"/>
      <c r="CL198" s="982"/>
      <c r="CM198" s="982"/>
      <c r="CN198" s="982"/>
      <c r="CO198" s="982"/>
      <c r="CP198" s="982"/>
      <c r="CQ198" s="982"/>
      <c r="CR198" s="982"/>
      <c r="CS198" s="982"/>
      <c r="CT198" s="982"/>
      <c r="CU198" s="982"/>
      <c r="CV198" s="982"/>
      <c r="CW198" s="982"/>
      <c r="CX198" s="982"/>
      <c r="CY198" s="982"/>
      <c r="CZ198" s="982"/>
      <c r="DA198" s="982"/>
      <c r="DB198" s="982"/>
      <c r="DC198" s="982"/>
      <c r="DD198" s="982"/>
      <c r="DE198" s="982"/>
      <c r="DF198" s="982"/>
      <c r="DG198" s="1434" t="s">
        <v>192</v>
      </c>
      <c r="DH198" s="1051">
        <v>4.33</v>
      </c>
      <c r="DI198" s="1051">
        <v>0</v>
      </c>
      <c r="DJ198" s="1052">
        <v>0</v>
      </c>
      <c r="DK198" s="1052">
        <v>0</v>
      </c>
      <c r="DL198" s="1052">
        <v>0</v>
      </c>
      <c r="DM198" s="1052">
        <v>0</v>
      </c>
      <c r="DN198" s="1052">
        <v>0</v>
      </c>
      <c r="DO198" s="1052">
        <v>0</v>
      </c>
      <c r="DP198" s="1052">
        <v>0</v>
      </c>
      <c r="DQ198" s="1052">
        <v>0</v>
      </c>
      <c r="DR198" s="1052">
        <v>0</v>
      </c>
      <c r="DS198" s="1052">
        <v>0</v>
      </c>
      <c r="DT198" s="1052">
        <v>0</v>
      </c>
      <c r="DU198" s="1052">
        <v>0</v>
      </c>
      <c r="DV198" s="1052">
        <v>0</v>
      </c>
      <c r="DW198" s="1052">
        <v>0</v>
      </c>
      <c r="DX198" s="1052">
        <v>0</v>
      </c>
      <c r="DY198" s="1052">
        <v>0</v>
      </c>
      <c r="DZ198" s="1052">
        <v>0</v>
      </c>
      <c r="EA198" s="1052">
        <v>0</v>
      </c>
      <c r="EB198" s="1053">
        <v>0</v>
      </c>
      <c r="EC198" s="1051">
        <v>2</v>
      </c>
      <c r="ED198" s="1051">
        <v>0</v>
      </c>
      <c r="EE198" s="1052">
        <v>0</v>
      </c>
      <c r="EF198" s="1052">
        <v>0</v>
      </c>
      <c r="EG198" s="1052">
        <v>0</v>
      </c>
      <c r="EH198" s="1052">
        <v>0</v>
      </c>
      <c r="EI198" s="1052">
        <v>0</v>
      </c>
      <c r="EJ198" s="1052">
        <v>0</v>
      </c>
      <c r="EK198" s="1052">
        <v>0</v>
      </c>
      <c r="EL198" s="1052">
        <v>0</v>
      </c>
      <c r="EM198" s="1052">
        <v>0</v>
      </c>
      <c r="EN198" s="1052">
        <v>0</v>
      </c>
      <c r="EO198" s="1052">
        <v>0</v>
      </c>
      <c r="EP198" s="1052">
        <v>0</v>
      </c>
      <c r="EQ198" s="1052">
        <v>0</v>
      </c>
      <c r="ER198" s="1052">
        <v>0</v>
      </c>
      <c r="ES198" s="1052">
        <v>0</v>
      </c>
      <c r="ET198" s="1052">
        <v>0</v>
      </c>
      <c r="EU198" s="1052">
        <v>0</v>
      </c>
      <c r="EV198" s="1052">
        <v>0</v>
      </c>
      <c r="EW198" s="1053">
        <v>0</v>
      </c>
      <c r="EX198" s="1051">
        <v>15</v>
      </c>
      <c r="EY198" s="1051">
        <v>0</v>
      </c>
      <c r="EZ198" s="1052">
        <v>0</v>
      </c>
      <c r="FA198" s="1052">
        <v>0</v>
      </c>
      <c r="FB198" s="1052">
        <v>0</v>
      </c>
      <c r="FC198" s="1052">
        <v>0</v>
      </c>
      <c r="FD198" s="1052">
        <v>0</v>
      </c>
      <c r="FE198" s="1052">
        <v>0</v>
      </c>
      <c r="FF198" s="1052">
        <v>0</v>
      </c>
      <c r="FG198" s="1052">
        <v>0</v>
      </c>
      <c r="FH198" s="1052">
        <v>0</v>
      </c>
      <c r="FI198" s="1052">
        <v>0</v>
      </c>
      <c r="FJ198" s="1052">
        <v>0</v>
      </c>
      <c r="FK198" s="1052">
        <v>0</v>
      </c>
      <c r="FL198" s="1052">
        <v>0</v>
      </c>
      <c r="FM198" s="1052">
        <v>0</v>
      </c>
      <c r="FN198" s="1052">
        <v>0</v>
      </c>
      <c r="FO198" s="1052">
        <v>0</v>
      </c>
      <c r="FP198" s="1052">
        <v>0</v>
      </c>
      <c r="FQ198" s="1052">
        <v>0</v>
      </c>
      <c r="FR198" s="1053">
        <v>0</v>
      </c>
      <c r="FS198" s="1051">
        <v>8</v>
      </c>
      <c r="FT198" s="1051">
        <v>0</v>
      </c>
      <c r="FU198" s="1052">
        <v>0</v>
      </c>
      <c r="FV198" s="1052">
        <v>0</v>
      </c>
      <c r="FW198" s="1052">
        <v>0</v>
      </c>
      <c r="FX198" s="1052">
        <v>0</v>
      </c>
      <c r="FY198" s="1052">
        <v>0</v>
      </c>
      <c r="FZ198" s="1052">
        <v>0</v>
      </c>
      <c r="GA198" s="1052">
        <v>0</v>
      </c>
      <c r="GB198" s="1052">
        <v>0</v>
      </c>
      <c r="GC198" s="1052">
        <v>0</v>
      </c>
      <c r="GD198" s="1052">
        <v>0</v>
      </c>
      <c r="GE198" s="1052">
        <v>0</v>
      </c>
      <c r="GF198" s="1052">
        <v>0</v>
      </c>
      <c r="GG198" s="1052">
        <v>0</v>
      </c>
      <c r="GH198" s="1052">
        <v>0</v>
      </c>
      <c r="GI198" s="1052">
        <v>0</v>
      </c>
      <c r="GJ198" s="1052">
        <v>0</v>
      </c>
      <c r="GK198" s="1052">
        <v>0</v>
      </c>
      <c r="GL198" s="1052">
        <v>0</v>
      </c>
      <c r="GM198" s="1053">
        <v>0</v>
      </c>
      <c r="GN198" s="1051">
        <v>3</v>
      </c>
      <c r="GO198" s="1051">
        <v>0</v>
      </c>
      <c r="GP198" s="1052">
        <v>0</v>
      </c>
      <c r="GQ198" s="1052">
        <v>0</v>
      </c>
      <c r="GR198" s="1052">
        <v>0</v>
      </c>
      <c r="GS198" s="1052">
        <v>0</v>
      </c>
      <c r="GT198" s="1052">
        <v>0</v>
      </c>
      <c r="GU198" s="1052">
        <v>0</v>
      </c>
      <c r="GV198" s="1052">
        <v>0</v>
      </c>
      <c r="GW198" s="1052">
        <v>0</v>
      </c>
      <c r="GX198" s="1052">
        <v>0</v>
      </c>
      <c r="GY198" s="1052">
        <v>0</v>
      </c>
      <c r="GZ198" s="1052">
        <v>0</v>
      </c>
      <c r="HA198" s="1052">
        <v>0</v>
      </c>
      <c r="HB198" s="1052">
        <v>0</v>
      </c>
      <c r="HC198" s="1052">
        <v>0</v>
      </c>
      <c r="HD198" s="1052">
        <v>0</v>
      </c>
      <c r="HE198" s="1052">
        <v>0</v>
      </c>
      <c r="HF198" s="1052">
        <v>0</v>
      </c>
      <c r="HG198" s="1052">
        <v>0</v>
      </c>
      <c r="HH198" s="1053">
        <v>0</v>
      </c>
      <c r="HI198" s="1051">
        <v>16</v>
      </c>
      <c r="HJ198" s="1051">
        <v>0</v>
      </c>
      <c r="HK198" s="1052">
        <v>0</v>
      </c>
      <c r="HL198" s="1052">
        <v>0</v>
      </c>
      <c r="HM198" s="1052">
        <v>0</v>
      </c>
      <c r="HN198" s="1052">
        <v>0</v>
      </c>
      <c r="HO198" s="1052">
        <v>0</v>
      </c>
      <c r="HP198" s="1052">
        <v>0</v>
      </c>
      <c r="HQ198" s="1052">
        <v>0</v>
      </c>
      <c r="HR198" s="1052">
        <v>0</v>
      </c>
      <c r="HS198" s="1052">
        <v>0</v>
      </c>
      <c r="HT198" s="1052">
        <v>0</v>
      </c>
      <c r="HU198" s="1052">
        <v>0</v>
      </c>
      <c r="HV198" s="1052">
        <v>0</v>
      </c>
      <c r="HW198" s="1052">
        <v>0</v>
      </c>
      <c r="HX198" s="1052">
        <v>0</v>
      </c>
      <c r="HY198" s="1052">
        <v>0</v>
      </c>
      <c r="HZ198" s="1052">
        <v>0</v>
      </c>
      <c r="IA198" s="1052">
        <v>0</v>
      </c>
      <c r="IB198" s="1052">
        <v>0</v>
      </c>
      <c r="IC198" s="1053">
        <v>0</v>
      </c>
      <c r="ID198" s="1051">
        <v>5</v>
      </c>
      <c r="IE198" s="1051">
        <v>0</v>
      </c>
      <c r="IF198" s="1052">
        <v>0</v>
      </c>
      <c r="IG198" s="1052">
        <v>0</v>
      </c>
      <c r="IH198" s="1052">
        <v>0</v>
      </c>
      <c r="II198" s="1052">
        <v>0</v>
      </c>
      <c r="IJ198" s="1052">
        <v>0</v>
      </c>
      <c r="IK198" s="1052">
        <v>0</v>
      </c>
      <c r="IL198" s="1052">
        <v>0</v>
      </c>
      <c r="IM198" s="1052">
        <v>0</v>
      </c>
      <c r="IN198" s="1052">
        <v>0</v>
      </c>
      <c r="IO198" s="1052">
        <v>0</v>
      </c>
      <c r="IP198" s="1052">
        <v>0</v>
      </c>
      <c r="IQ198" s="1052">
        <v>0</v>
      </c>
      <c r="IR198" s="1052">
        <v>0</v>
      </c>
      <c r="IS198" s="1052">
        <v>0</v>
      </c>
      <c r="IT198" s="1052">
        <v>0</v>
      </c>
      <c r="IU198" s="1052">
        <v>0</v>
      </c>
      <c r="IV198" s="1052">
        <v>0</v>
      </c>
      <c r="IW198" s="1052">
        <v>0</v>
      </c>
      <c r="IX198" s="1053">
        <v>0</v>
      </c>
    </row>
    <row r="199" spans="66:275" ht="20.100000000000001" hidden="1" customHeight="1">
      <c r="BN199" s="982"/>
      <c r="BO199" s="982"/>
      <c r="BP199" s="982"/>
      <c r="BQ199" s="982"/>
      <c r="BR199" s="982"/>
      <c r="BS199" s="982"/>
      <c r="BT199" s="982"/>
      <c r="BU199" s="982"/>
      <c r="BV199" s="982"/>
      <c r="BW199" s="982"/>
      <c r="BX199" s="982"/>
      <c r="BY199" s="982"/>
      <c r="BZ199" s="982"/>
      <c r="CA199" s="982"/>
      <c r="CB199" s="982"/>
      <c r="CC199" s="982"/>
      <c r="CD199" s="982"/>
      <c r="CE199" s="982"/>
      <c r="CF199" s="982"/>
      <c r="CG199" s="982"/>
      <c r="CH199" s="982"/>
      <c r="CI199" s="982"/>
      <c r="CJ199" s="982"/>
      <c r="CK199" s="982"/>
      <c r="CL199" s="982"/>
      <c r="CM199" s="982"/>
      <c r="CN199" s="982"/>
      <c r="CO199" s="982"/>
      <c r="CP199" s="982"/>
      <c r="CQ199" s="982"/>
      <c r="CR199" s="982"/>
      <c r="CS199" s="982"/>
      <c r="CT199" s="982"/>
      <c r="CU199" s="982"/>
      <c r="CV199" s="982"/>
      <c r="CW199" s="982"/>
      <c r="CX199" s="982"/>
      <c r="CY199" s="982"/>
      <c r="CZ199" s="982"/>
      <c r="DA199" s="982"/>
      <c r="DB199" s="982"/>
      <c r="DC199" s="982"/>
      <c r="DD199" s="982"/>
      <c r="DE199" s="982"/>
      <c r="DF199" s="982"/>
      <c r="DG199" s="1434" t="s">
        <v>202</v>
      </c>
      <c r="DH199" s="1051">
        <v>0</v>
      </c>
      <c r="DI199" s="1051">
        <v>0</v>
      </c>
      <c r="DJ199" s="1052">
        <v>0</v>
      </c>
      <c r="DK199" s="1052">
        <v>0</v>
      </c>
      <c r="DL199" s="1052">
        <v>0</v>
      </c>
      <c r="DM199" s="1052">
        <v>0</v>
      </c>
      <c r="DN199" s="1052">
        <v>0</v>
      </c>
      <c r="DO199" s="1052">
        <v>0</v>
      </c>
      <c r="DP199" s="1052">
        <v>0</v>
      </c>
      <c r="DQ199" s="1052">
        <v>0</v>
      </c>
      <c r="DR199" s="1052">
        <v>0</v>
      </c>
      <c r="DS199" s="1052">
        <v>0</v>
      </c>
      <c r="DT199" s="1052">
        <v>0</v>
      </c>
      <c r="DU199" s="1052">
        <v>0</v>
      </c>
      <c r="DV199" s="1052">
        <v>0</v>
      </c>
      <c r="DW199" s="1052">
        <v>0</v>
      </c>
      <c r="DX199" s="1052">
        <v>0</v>
      </c>
      <c r="DY199" s="1052">
        <v>0</v>
      </c>
      <c r="DZ199" s="1052">
        <v>0</v>
      </c>
      <c r="EA199" s="1052">
        <v>0</v>
      </c>
      <c r="EB199" s="1053">
        <v>0</v>
      </c>
      <c r="EC199" s="1051">
        <v>0</v>
      </c>
      <c r="ED199" s="1051">
        <v>0</v>
      </c>
      <c r="EE199" s="1052">
        <v>0</v>
      </c>
      <c r="EF199" s="1052">
        <v>0</v>
      </c>
      <c r="EG199" s="1052">
        <v>0</v>
      </c>
      <c r="EH199" s="1052">
        <v>0</v>
      </c>
      <c r="EI199" s="1052">
        <v>0</v>
      </c>
      <c r="EJ199" s="1052">
        <v>0</v>
      </c>
      <c r="EK199" s="1052">
        <v>0</v>
      </c>
      <c r="EL199" s="1052">
        <v>0</v>
      </c>
      <c r="EM199" s="1052">
        <v>0</v>
      </c>
      <c r="EN199" s="1052">
        <v>0</v>
      </c>
      <c r="EO199" s="1052">
        <v>0</v>
      </c>
      <c r="EP199" s="1052">
        <v>0</v>
      </c>
      <c r="EQ199" s="1052">
        <v>0</v>
      </c>
      <c r="ER199" s="1052">
        <v>0</v>
      </c>
      <c r="ES199" s="1052">
        <v>0</v>
      </c>
      <c r="ET199" s="1052">
        <v>0</v>
      </c>
      <c r="EU199" s="1052">
        <v>0</v>
      </c>
      <c r="EV199" s="1052">
        <v>0</v>
      </c>
      <c r="EW199" s="1053">
        <v>0</v>
      </c>
      <c r="EX199" s="1051">
        <v>0</v>
      </c>
      <c r="EY199" s="1051">
        <v>0</v>
      </c>
      <c r="EZ199" s="1052">
        <v>0</v>
      </c>
      <c r="FA199" s="1052">
        <v>0</v>
      </c>
      <c r="FB199" s="1052">
        <v>0</v>
      </c>
      <c r="FC199" s="1052">
        <v>0</v>
      </c>
      <c r="FD199" s="1052">
        <v>0</v>
      </c>
      <c r="FE199" s="1052">
        <v>0</v>
      </c>
      <c r="FF199" s="1052">
        <v>0</v>
      </c>
      <c r="FG199" s="1052">
        <v>0</v>
      </c>
      <c r="FH199" s="1052">
        <v>0</v>
      </c>
      <c r="FI199" s="1052">
        <v>0</v>
      </c>
      <c r="FJ199" s="1052">
        <v>0</v>
      </c>
      <c r="FK199" s="1052">
        <v>0</v>
      </c>
      <c r="FL199" s="1052">
        <v>0</v>
      </c>
      <c r="FM199" s="1052">
        <v>0</v>
      </c>
      <c r="FN199" s="1052">
        <v>0</v>
      </c>
      <c r="FO199" s="1052">
        <v>0</v>
      </c>
      <c r="FP199" s="1052">
        <v>0</v>
      </c>
      <c r="FQ199" s="1052">
        <v>0</v>
      </c>
      <c r="FR199" s="1053">
        <v>0</v>
      </c>
      <c r="FS199" s="1051">
        <v>0</v>
      </c>
      <c r="FT199" s="1051">
        <v>0</v>
      </c>
      <c r="FU199" s="1052">
        <v>0</v>
      </c>
      <c r="FV199" s="1052">
        <v>0</v>
      </c>
      <c r="FW199" s="1052">
        <v>0</v>
      </c>
      <c r="FX199" s="1052">
        <v>0</v>
      </c>
      <c r="FY199" s="1052">
        <v>0</v>
      </c>
      <c r="FZ199" s="1052">
        <v>0</v>
      </c>
      <c r="GA199" s="1052">
        <v>0</v>
      </c>
      <c r="GB199" s="1052">
        <v>0</v>
      </c>
      <c r="GC199" s="1052">
        <v>0</v>
      </c>
      <c r="GD199" s="1052">
        <v>0</v>
      </c>
      <c r="GE199" s="1052">
        <v>0</v>
      </c>
      <c r="GF199" s="1052">
        <v>0</v>
      </c>
      <c r="GG199" s="1052">
        <v>0</v>
      </c>
      <c r="GH199" s="1052">
        <v>0</v>
      </c>
      <c r="GI199" s="1052">
        <v>0</v>
      </c>
      <c r="GJ199" s="1052">
        <v>0</v>
      </c>
      <c r="GK199" s="1052">
        <v>0</v>
      </c>
      <c r="GL199" s="1052">
        <v>0</v>
      </c>
      <c r="GM199" s="1053">
        <v>0</v>
      </c>
      <c r="GN199" s="1051">
        <v>0</v>
      </c>
      <c r="GO199" s="1051">
        <v>0</v>
      </c>
      <c r="GP199" s="1052">
        <v>0</v>
      </c>
      <c r="GQ199" s="1052">
        <v>0</v>
      </c>
      <c r="GR199" s="1052">
        <v>0</v>
      </c>
      <c r="GS199" s="1052">
        <v>0</v>
      </c>
      <c r="GT199" s="1052">
        <v>0</v>
      </c>
      <c r="GU199" s="1052">
        <v>0</v>
      </c>
      <c r="GV199" s="1052">
        <v>0</v>
      </c>
      <c r="GW199" s="1052">
        <v>0</v>
      </c>
      <c r="GX199" s="1052">
        <v>0</v>
      </c>
      <c r="GY199" s="1052">
        <v>0</v>
      </c>
      <c r="GZ199" s="1052">
        <v>0</v>
      </c>
      <c r="HA199" s="1052">
        <v>0</v>
      </c>
      <c r="HB199" s="1052">
        <v>0</v>
      </c>
      <c r="HC199" s="1052">
        <v>0</v>
      </c>
      <c r="HD199" s="1052">
        <v>0</v>
      </c>
      <c r="HE199" s="1052">
        <v>0</v>
      </c>
      <c r="HF199" s="1052">
        <v>0</v>
      </c>
      <c r="HG199" s="1052">
        <v>0</v>
      </c>
      <c r="HH199" s="1053">
        <v>0</v>
      </c>
      <c r="HI199" s="1051">
        <v>9</v>
      </c>
      <c r="HJ199" s="1051">
        <v>0</v>
      </c>
      <c r="HK199" s="1052">
        <v>0</v>
      </c>
      <c r="HL199" s="1052">
        <v>0</v>
      </c>
      <c r="HM199" s="1052">
        <v>0</v>
      </c>
      <c r="HN199" s="1052">
        <v>0</v>
      </c>
      <c r="HO199" s="1052">
        <v>0</v>
      </c>
      <c r="HP199" s="1052">
        <v>0</v>
      </c>
      <c r="HQ199" s="1052">
        <v>0</v>
      </c>
      <c r="HR199" s="1052">
        <v>0</v>
      </c>
      <c r="HS199" s="1052">
        <v>0</v>
      </c>
      <c r="HT199" s="1052">
        <v>0</v>
      </c>
      <c r="HU199" s="1052">
        <v>0</v>
      </c>
      <c r="HV199" s="1052">
        <v>0</v>
      </c>
      <c r="HW199" s="1052">
        <v>0</v>
      </c>
      <c r="HX199" s="1052">
        <v>0</v>
      </c>
      <c r="HY199" s="1052">
        <v>0</v>
      </c>
      <c r="HZ199" s="1052">
        <v>0</v>
      </c>
      <c r="IA199" s="1052">
        <v>0</v>
      </c>
      <c r="IB199" s="1052">
        <v>0</v>
      </c>
      <c r="IC199" s="1053">
        <v>0</v>
      </c>
      <c r="ID199" s="1051">
        <v>0</v>
      </c>
      <c r="IE199" s="1051">
        <v>0</v>
      </c>
      <c r="IF199" s="1052">
        <v>0</v>
      </c>
      <c r="IG199" s="1052">
        <v>0</v>
      </c>
      <c r="IH199" s="1052">
        <v>0</v>
      </c>
      <c r="II199" s="1052">
        <v>0</v>
      </c>
      <c r="IJ199" s="1052">
        <v>0</v>
      </c>
      <c r="IK199" s="1052">
        <v>0</v>
      </c>
      <c r="IL199" s="1052">
        <v>0</v>
      </c>
      <c r="IM199" s="1052">
        <v>0</v>
      </c>
      <c r="IN199" s="1052">
        <v>0</v>
      </c>
      <c r="IO199" s="1052">
        <v>0</v>
      </c>
      <c r="IP199" s="1052">
        <v>0</v>
      </c>
      <c r="IQ199" s="1052">
        <v>0</v>
      </c>
      <c r="IR199" s="1052">
        <v>0</v>
      </c>
      <c r="IS199" s="1052">
        <v>0</v>
      </c>
      <c r="IT199" s="1052">
        <v>0</v>
      </c>
      <c r="IU199" s="1052">
        <v>0</v>
      </c>
      <c r="IV199" s="1052">
        <v>0</v>
      </c>
      <c r="IW199" s="1052">
        <v>0</v>
      </c>
      <c r="IX199" s="1053">
        <v>0</v>
      </c>
    </row>
    <row r="200" spans="66:275" ht="20.100000000000001" hidden="1" customHeight="1">
      <c r="BN200" s="982"/>
      <c r="BO200" s="982"/>
      <c r="BP200" s="982"/>
      <c r="BQ200" s="982"/>
      <c r="BR200" s="982"/>
      <c r="BS200" s="982"/>
      <c r="BT200" s="982"/>
      <c r="BU200" s="982"/>
      <c r="BV200" s="982"/>
      <c r="BW200" s="982"/>
      <c r="BX200" s="982"/>
      <c r="BY200" s="982"/>
      <c r="BZ200" s="982"/>
      <c r="CA200" s="982"/>
      <c r="CB200" s="982"/>
      <c r="CC200" s="982"/>
      <c r="CD200" s="982"/>
      <c r="CE200" s="982"/>
      <c r="CF200" s="982"/>
      <c r="CG200" s="982"/>
      <c r="CH200" s="982"/>
      <c r="CI200" s="982"/>
      <c r="CJ200" s="982"/>
      <c r="CK200" s="982"/>
      <c r="CL200" s="982"/>
      <c r="CM200" s="982"/>
      <c r="CN200" s="982"/>
      <c r="CO200" s="982"/>
      <c r="CP200" s="982"/>
      <c r="CQ200" s="982"/>
      <c r="CR200" s="982"/>
      <c r="CS200" s="982"/>
      <c r="CT200" s="982"/>
      <c r="CU200" s="982"/>
      <c r="CV200" s="982"/>
      <c r="CW200" s="982"/>
      <c r="CX200" s="982"/>
      <c r="CY200" s="982"/>
      <c r="CZ200" s="982"/>
      <c r="DA200" s="982"/>
      <c r="DB200" s="982"/>
      <c r="DC200" s="982"/>
      <c r="DD200" s="982"/>
      <c r="DE200" s="982"/>
      <c r="DF200" s="982"/>
      <c r="DG200" s="1434" t="s">
        <v>203</v>
      </c>
      <c r="DH200" s="1051">
        <v>5.2</v>
      </c>
      <c r="DI200" s="1051">
        <v>0</v>
      </c>
      <c r="DJ200" s="1052">
        <v>0</v>
      </c>
      <c r="DK200" s="1052">
        <v>0</v>
      </c>
      <c r="DL200" s="1052">
        <v>0</v>
      </c>
      <c r="DM200" s="1052">
        <v>0</v>
      </c>
      <c r="DN200" s="1052">
        <v>0</v>
      </c>
      <c r="DO200" s="1052">
        <v>0</v>
      </c>
      <c r="DP200" s="1052">
        <v>0</v>
      </c>
      <c r="DQ200" s="1052">
        <v>0</v>
      </c>
      <c r="DR200" s="1052">
        <v>0</v>
      </c>
      <c r="DS200" s="1052">
        <v>0</v>
      </c>
      <c r="DT200" s="1052">
        <v>0</v>
      </c>
      <c r="DU200" s="1052">
        <v>0</v>
      </c>
      <c r="DV200" s="1052">
        <v>0</v>
      </c>
      <c r="DW200" s="1052">
        <v>0</v>
      </c>
      <c r="DX200" s="1052">
        <v>0</v>
      </c>
      <c r="DY200" s="1052">
        <v>0</v>
      </c>
      <c r="DZ200" s="1052">
        <v>0</v>
      </c>
      <c r="EA200" s="1052">
        <v>0</v>
      </c>
      <c r="EB200" s="1053">
        <v>0</v>
      </c>
      <c r="EC200" s="1051">
        <v>0</v>
      </c>
      <c r="ED200" s="1051">
        <v>0</v>
      </c>
      <c r="EE200" s="1052">
        <v>0</v>
      </c>
      <c r="EF200" s="1052">
        <v>0</v>
      </c>
      <c r="EG200" s="1052">
        <v>0</v>
      </c>
      <c r="EH200" s="1052">
        <v>0</v>
      </c>
      <c r="EI200" s="1052">
        <v>0</v>
      </c>
      <c r="EJ200" s="1052">
        <v>0</v>
      </c>
      <c r="EK200" s="1052">
        <v>0</v>
      </c>
      <c r="EL200" s="1052">
        <v>0</v>
      </c>
      <c r="EM200" s="1052">
        <v>0</v>
      </c>
      <c r="EN200" s="1052">
        <v>0</v>
      </c>
      <c r="EO200" s="1052">
        <v>0</v>
      </c>
      <c r="EP200" s="1052">
        <v>0</v>
      </c>
      <c r="EQ200" s="1052">
        <v>0</v>
      </c>
      <c r="ER200" s="1052">
        <v>0</v>
      </c>
      <c r="ES200" s="1052">
        <v>0</v>
      </c>
      <c r="ET200" s="1052">
        <v>0</v>
      </c>
      <c r="EU200" s="1052">
        <v>0</v>
      </c>
      <c r="EV200" s="1052">
        <v>0</v>
      </c>
      <c r="EW200" s="1053">
        <v>0</v>
      </c>
      <c r="EX200" s="1051">
        <v>0</v>
      </c>
      <c r="EY200" s="1051">
        <v>0</v>
      </c>
      <c r="EZ200" s="1052">
        <v>0</v>
      </c>
      <c r="FA200" s="1052">
        <v>0</v>
      </c>
      <c r="FB200" s="1052">
        <v>0</v>
      </c>
      <c r="FC200" s="1052">
        <v>0</v>
      </c>
      <c r="FD200" s="1052">
        <v>0</v>
      </c>
      <c r="FE200" s="1052">
        <v>0</v>
      </c>
      <c r="FF200" s="1052">
        <v>0</v>
      </c>
      <c r="FG200" s="1052">
        <v>0</v>
      </c>
      <c r="FH200" s="1052">
        <v>0</v>
      </c>
      <c r="FI200" s="1052">
        <v>0</v>
      </c>
      <c r="FJ200" s="1052">
        <v>0</v>
      </c>
      <c r="FK200" s="1052">
        <v>0</v>
      </c>
      <c r="FL200" s="1052">
        <v>0</v>
      </c>
      <c r="FM200" s="1052">
        <v>0</v>
      </c>
      <c r="FN200" s="1052">
        <v>0</v>
      </c>
      <c r="FO200" s="1052">
        <v>0</v>
      </c>
      <c r="FP200" s="1052">
        <v>0</v>
      </c>
      <c r="FQ200" s="1052">
        <v>0</v>
      </c>
      <c r="FR200" s="1053">
        <v>0</v>
      </c>
      <c r="FS200" s="1051">
        <v>9</v>
      </c>
      <c r="FT200" s="1051">
        <v>0</v>
      </c>
      <c r="FU200" s="1052">
        <v>0</v>
      </c>
      <c r="FV200" s="1052">
        <v>0</v>
      </c>
      <c r="FW200" s="1052">
        <v>0</v>
      </c>
      <c r="FX200" s="1052">
        <v>0</v>
      </c>
      <c r="FY200" s="1052">
        <v>0</v>
      </c>
      <c r="FZ200" s="1052">
        <v>0</v>
      </c>
      <c r="GA200" s="1052">
        <v>0</v>
      </c>
      <c r="GB200" s="1052">
        <v>0</v>
      </c>
      <c r="GC200" s="1052">
        <v>0</v>
      </c>
      <c r="GD200" s="1052">
        <v>0</v>
      </c>
      <c r="GE200" s="1052">
        <v>0</v>
      </c>
      <c r="GF200" s="1052">
        <v>0</v>
      </c>
      <c r="GG200" s="1052">
        <v>0</v>
      </c>
      <c r="GH200" s="1052">
        <v>0</v>
      </c>
      <c r="GI200" s="1052">
        <v>0</v>
      </c>
      <c r="GJ200" s="1052">
        <v>0</v>
      </c>
      <c r="GK200" s="1052">
        <v>0</v>
      </c>
      <c r="GL200" s="1052">
        <v>0</v>
      </c>
      <c r="GM200" s="1053">
        <v>0</v>
      </c>
      <c r="GN200" s="1051">
        <v>2</v>
      </c>
      <c r="GO200" s="1051">
        <v>0</v>
      </c>
      <c r="GP200" s="1052">
        <v>0</v>
      </c>
      <c r="GQ200" s="1052">
        <v>0</v>
      </c>
      <c r="GR200" s="1052">
        <v>0</v>
      </c>
      <c r="GS200" s="1052">
        <v>0</v>
      </c>
      <c r="GT200" s="1052">
        <v>0</v>
      </c>
      <c r="GU200" s="1052">
        <v>0</v>
      </c>
      <c r="GV200" s="1052">
        <v>0</v>
      </c>
      <c r="GW200" s="1052">
        <v>0</v>
      </c>
      <c r="GX200" s="1052">
        <v>0</v>
      </c>
      <c r="GY200" s="1052">
        <v>0</v>
      </c>
      <c r="GZ200" s="1052">
        <v>0</v>
      </c>
      <c r="HA200" s="1052">
        <v>0</v>
      </c>
      <c r="HB200" s="1052">
        <v>0</v>
      </c>
      <c r="HC200" s="1052">
        <v>0</v>
      </c>
      <c r="HD200" s="1052">
        <v>0</v>
      </c>
      <c r="HE200" s="1052">
        <v>0</v>
      </c>
      <c r="HF200" s="1052">
        <v>0</v>
      </c>
      <c r="HG200" s="1052">
        <v>0</v>
      </c>
      <c r="HH200" s="1053">
        <v>0</v>
      </c>
      <c r="HI200" s="1051">
        <v>19</v>
      </c>
      <c r="HJ200" s="1051">
        <v>0</v>
      </c>
      <c r="HK200" s="1052">
        <v>0</v>
      </c>
      <c r="HL200" s="1052">
        <v>0</v>
      </c>
      <c r="HM200" s="1052">
        <v>0</v>
      </c>
      <c r="HN200" s="1052">
        <v>0</v>
      </c>
      <c r="HO200" s="1052">
        <v>0</v>
      </c>
      <c r="HP200" s="1052">
        <v>0</v>
      </c>
      <c r="HQ200" s="1052">
        <v>0</v>
      </c>
      <c r="HR200" s="1052">
        <v>0</v>
      </c>
      <c r="HS200" s="1052">
        <v>0</v>
      </c>
      <c r="HT200" s="1052">
        <v>0</v>
      </c>
      <c r="HU200" s="1052">
        <v>0</v>
      </c>
      <c r="HV200" s="1052">
        <v>0</v>
      </c>
      <c r="HW200" s="1052">
        <v>0</v>
      </c>
      <c r="HX200" s="1052">
        <v>0</v>
      </c>
      <c r="HY200" s="1052">
        <v>0</v>
      </c>
      <c r="HZ200" s="1052">
        <v>0</v>
      </c>
      <c r="IA200" s="1052">
        <v>0</v>
      </c>
      <c r="IB200" s="1052">
        <v>0</v>
      </c>
      <c r="IC200" s="1053">
        <v>0</v>
      </c>
      <c r="ID200" s="1051">
        <v>0</v>
      </c>
      <c r="IE200" s="1051">
        <v>0</v>
      </c>
      <c r="IF200" s="1052">
        <v>0</v>
      </c>
      <c r="IG200" s="1052">
        <v>0</v>
      </c>
      <c r="IH200" s="1052">
        <v>0</v>
      </c>
      <c r="II200" s="1052">
        <v>0</v>
      </c>
      <c r="IJ200" s="1052">
        <v>0</v>
      </c>
      <c r="IK200" s="1052">
        <v>0</v>
      </c>
      <c r="IL200" s="1052">
        <v>0</v>
      </c>
      <c r="IM200" s="1052">
        <v>0</v>
      </c>
      <c r="IN200" s="1052">
        <v>0</v>
      </c>
      <c r="IO200" s="1052">
        <v>0</v>
      </c>
      <c r="IP200" s="1052">
        <v>0</v>
      </c>
      <c r="IQ200" s="1052">
        <v>0</v>
      </c>
      <c r="IR200" s="1052">
        <v>0</v>
      </c>
      <c r="IS200" s="1052">
        <v>0</v>
      </c>
      <c r="IT200" s="1052">
        <v>0</v>
      </c>
      <c r="IU200" s="1052">
        <v>0</v>
      </c>
      <c r="IV200" s="1052">
        <v>0</v>
      </c>
      <c r="IW200" s="1052">
        <v>0</v>
      </c>
      <c r="IX200" s="1053">
        <v>0</v>
      </c>
    </row>
    <row r="201" spans="66:275" ht="20.100000000000001" hidden="1" customHeight="1">
      <c r="BN201" s="982"/>
      <c r="BO201" s="982"/>
      <c r="BP201" s="982"/>
      <c r="BQ201" s="982"/>
      <c r="BR201" s="982"/>
      <c r="BS201" s="982"/>
      <c r="BT201" s="982"/>
      <c r="BU201" s="982"/>
      <c r="BV201" s="982"/>
      <c r="BW201" s="982"/>
      <c r="BX201" s="982"/>
      <c r="BY201" s="982"/>
      <c r="BZ201" s="982"/>
      <c r="CA201" s="982"/>
      <c r="CB201" s="982"/>
      <c r="CC201" s="982"/>
      <c r="CD201" s="982"/>
      <c r="CE201" s="982"/>
      <c r="CF201" s="982"/>
      <c r="CG201" s="982"/>
      <c r="CH201" s="982"/>
      <c r="CI201" s="982"/>
      <c r="CJ201" s="982"/>
      <c r="CK201" s="982"/>
      <c r="CL201" s="982"/>
      <c r="CM201" s="982"/>
      <c r="CN201" s="982"/>
      <c r="CO201" s="982"/>
      <c r="CP201" s="982"/>
      <c r="CQ201" s="982"/>
      <c r="CR201" s="982"/>
      <c r="CS201" s="982"/>
      <c r="CT201" s="982"/>
      <c r="CU201" s="982"/>
      <c r="CV201" s="982"/>
      <c r="CW201" s="982"/>
      <c r="CX201" s="982"/>
      <c r="CY201" s="982"/>
      <c r="CZ201" s="982"/>
      <c r="DA201" s="982"/>
      <c r="DB201" s="982"/>
      <c r="DC201" s="982"/>
      <c r="DD201" s="982"/>
      <c r="DE201" s="982"/>
      <c r="DF201" s="982"/>
      <c r="DG201" s="1434" t="s">
        <v>204</v>
      </c>
      <c r="DH201" s="1051">
        <v>0.36</v>
      </c>
      <c r="DI201" s="1051">
        <v>0</v>
      </c>
      <c r="DJ201" s="1052">
        <v>0</v>
      </c>
      <c r="DK201" s="1052">
        <v>0</v>
      </c>
      <c r="DL201" s="1052">
        <v>0</v>
      </c>
      <c r="DM201" s="1052">
        <v>0</v>
      </c>
      <c r="DN201" s="1052">
        <v>0</v>
      </c>
      <c r="DO201" s="1052">
        <v>0</v>
      </c>
      <c r="DP201" s="1052">
        <v>0</v>
      </c>
      <c r="DQ201" s="1052">
        <v>0</v>
      </c>
      <c r="DR201" s="1052">
        <v>0</v>
      </c>
      <c r="DS201" s="1052">
        <v>0</v>
      </c>
      <c r="DT201" s="1052">
        <v>0</v>
      </c>
      <c r="DU201" s="1052">
        <v>0</v>
      </c>
      <c r="DV201" s="1052">
        <v>0</v>
      </c>
      <c r="DW201" s="1052">
        <v>0</v>
      </c>
      <c r="DX201" s="1052">
        <v>0</v>
      </c>
      <c r="DY201" s="1052">
        <v>0</v>
      </c>
      <c r="DZ201" s="1052">
        <v>0</v>
      </c>
      <c r="EA201" s="1052">
        <v>0</v>
      </c>
      <c r="EB201" s="1053">
        <v>0</v>
      </c>
      <c r="EC201" s="1051">
        <v>0</v>
      </c>
      <c r="ED201" s="1051">
        <v>0</v>
      </c>
      <c r="EE201" s="1052">
        <v>0</v>
      </c>
      <c r="EF201" s="1052">
        <v>0</v>
      </c>
      <c r="EG201" s="1052">
        <v>0</v>
      </c>
      <c r="EH201" s="1052">
        <v>0</v>
      </c>
      <c r="EI201" s="1052">
        <v>0</v>
      </c>
      <c r="EJ201" s="1052">
        <v>0</v>
      </c>
      <c r="EK201" s="1052">
        <v>0</v>
      </c>
      <c r="EL201" s="1052">
        <v>0</v>
      </c>
      <c r="EM201" s="1052">
        <v>0</v>
      </c>
      <c r="EN201" s="1052">
        <v>0</v>
      </c>
      <c r="EO201" s="1052">
        <v>0</v>
      </c>
      <c r="EP201" s="1052">
        <v>0</v>
      </c>
      <c r="EQ201" s="1052">
        <v>0</v>
      </c>
      <c r="ER201" s="1052">
        <v>0</v>
      </c>
      <c r="ES201" s="1052">
        <v>0</v>
      </c>
      <c r="ET201" s="1052">
        <v>0</v>
      </c>
      <c r="EU201" s="1052">
        <v>0</v>
      </c>
      <c r="EV201" s="1052">
        <v>0</v>
      </c>
      <c r="EW201" s="1053">
        <v>0</v>
      </c>
      <c r="EX201" s="1051">
        <v>13</v>
      </c>
      <c r="EY201" s="1051">
        <v>0</v>
      </c>
      <c r="EZ201" s="1052">
        <v>0</v>
      </c>
      <c r="FA201" s="1052">
        <v>0</v>
      </c>
      <c r="FB201" s="1052">
        <v>0</v>
      </c>
      <c r="FC201" s="1052">
        <v>0</v>
      </c>
      <c r="FD201" s="1052">
        <v>0</v>
      </c>
      <c r="FE201" s="1052">
        <v>0</v>
      </c>
      <c r="FF201" s="1052">
        <v>0</v>
      </c>
      <c r="FG201" s="1052">
        <v>0</v>
      </c>
      <c r="FH201" s="1052">
        <v>0</v>
      </c>
      <c r="FI201" s="1052">
        <v>0</v>
      </c>
      <c r="FJ201" s="1052">
        <v>0</v>
      </c>
      <c r="FK201" s="1052">
        <v>0</v>
      </c>
      <c r="FL201" s="1052">
        <v>0</v>
      </c>
      <c r="FM201" s="1052">
        <v>0</v>
      </c>
      <c r="FN201" s="1052">
        <v>0</v>
      </c>
      <c r="FO201" s="1052">
        <v>0</v>
      </c>
      <c r="FP201" s="1052">
        <v>0</v>
      </c>
      <c r="FQ201" s="1052">
        <v>0</v>
      </c>
      <c r="FR201" s="1053">
        <v>0</v>
      </c>
      <c r="FS201" s="1051">
        <v>0</v>
      </c>
      <c r="FT201" s="1051">
        <v>0</v>
      </c>
      <c r="FU201" s="1052">
        <v>0</v>
      </c>
      <c r="FV201" s="1052">
        <v>0</v>
      </c>
      <c r="FW201" s="1052">
        <v>0</v>
      </c>
      <c r="FX201" s="1052">
        <v>0</v>
      </c>
      <c r="FY201" s="1052">
        <v>0</v>
      </c>
      <c r="FZ201" s="1052">
        <v>0</v>
      </c>
      <c r="GA201" s="1052">
        <v>0</v>
      </c>
      <c r="GB201" s="1052">
        <v>0</v>
      </c>
      <c r="GC201" s="1052">
        <v>0</v>
      </c>
      <c r="GD201" s="1052">
        <v>0</v>
      </c>
      <c r="GE201" s="1052">
        <v>0</v>
      </c>
      <c r="GF201" s="1052">
        <v>0</v>
      </c>
      <c r="GG201" s="1052">
        <v>0</v>
      </c>
      <c r="GH201" s="1052">
        <v>0</v>
      </c>
      <c r="GI201" s="1052">
        <v>0</v>
      </c>
      <c r="GJ201" s="1052">
        <v>0</v>
      </c>
      <c r="GK201" s="1052">
        <v>0</v>
      </c>
      <c r="GL201" s="1052">
        <v>0</v>
      </c>
      <c r="GM201" s="1053">
        <v>0</v>
      </c>
      <c r="GN201" s="1051">
        <v>0</v>
      </c>
      <c r="GO201" s="1051">
        <v>0</v>
      </c>
      <c r="GP201" s="1052">
        <v>0</v>
      </c>
      <c r="GQ201" s="1052">
        <v>0</v>
      </c>
      <c r="GR201" s="1052">
        <v>0</v>
      </c>
      <c r="GS201" s="1052">
        <v>0</v>
      </c>
      <c r="GT201" s="1052">
        <v>0</v>
      </c>
      <c r="GU201" s="1052">
        <v>0</v>
      </c>
      <c r="GV201" s="1052">
        <v>0</v>
      </c>
      <c r="GW201" s="1052">
        <v>0</v>
      </c>
      <c r="GX201" s="1052">
        <v>0</v>
      </c>
      <c r="GY201" s="1052">
        <v>0</v>
      </c>
      <c r="GZ201" s="1052">
        <v>0</v>
      </c>
      <c r="HA201" s="1052">
        <v>0</v>
      </c>
      <c r="HB201" s="1052">
        <v>0</v>
      </c>
      <c r="HC201" s="1052">
        <v>0</v>
      </c>
      <c r="HD201" s="1052">
        <v>0</v>
      </c>
      <c r="HE201" s="1052">
        <v>0</v>
      </c>
      <c r="HF201" s="1052">
        <v>0</v>
      </c>
      <c r="HG201" s="1052">
        <v>0</v>
      </c>
      <c r="HH201" s="1053">
        <v>0</v>
      </c>
      <c r="HI201" s="1051">
        <v>20</v>
      </c>
      <c r="HJ201" s="1051">
        <v>0</v>
      </c>
      <c r="HK201" s="1052">
        <v>0</v>
      </c>
      <c r="HL201" s="1052">
        <v>0</v>
      </c>
      <c r="HM201" s="1052">
        <v>0</v>
      </c>
      <c r="HN201" s="1052">
        <v>0</v>
      </c>
      <c r="HO201" s="1052">
        <v>0</v>
      </c>
      <c r="HP201" s="1052">
        <v>0</v>
      </c>
      <c r="HQ201" s="1052">
        <v>0</v>
      </c>
      <c r="HR201" s="1052">
        <v>0</v>
      </c>
      <c r="HS201" s="1052">
        <v>0</v>
      </c>
      <c r="HT201" s="1052">
        <v>0</v>
      </c>
      <c r="HU201" s="1052">
        <v>0</v>
      </c>
      <c r="HV201" s="1052">
        <v>0</v>
      </c>
      <c r="HW201" s="1052">
        <v>0</v>
      </c>
      <c r="HX201" s="1052">
        <v>0</v>
      </c>
      <c r="HY201" s="1052">
        <v>0</v>
      </c>
      <c r="HZ201" s="1052">
        <v>0</v>
      </c>
      <c r="IA201" s="1052">
        <v>0</v>
      </c>
      <c r="IB201" s="1052">
        <v>0</v>
      </c>
      <c r="IC201" s="1053">
        <v>0</v>
      </c>
      <c r="ID201" s="1051">
        <v>0</v>
      </c>
      <c r="IE201" s="1051">
        <v>0</v>
      </c>
      <c r="IF201" s="1052">
        <v>0</v>
      </c>
      <c r="IG201" s="1052">
        <v>0</v>
      </c>
      <c r="IH201" s="1052">
        <v>0</v>
      </c>
      <c r="II201" s="1052">
        <v>0</v>
      </c>
      <c r="IJ201" s="1052">
        <v>0</v>
      </c>
      <c r="IK201" s="1052">
        <v>0</v>
      </c>
      <c r="IL201" s="1052">
        <v>0</v>
      </c>
      <c r="IM201" s="1052">
        <v>0</v>
      </c>
      <c r="IN201" s="1052">
        <v>0</v>
      </c>
      <c r="IO201" s="1052">
        <v>0</v>
      </c>
      <c r="IP201" s="1052">
        <v>0</v>
      </c>
      <c r="IQ201" s="1052">
        <v>0</v>
      </c>
      <c r="IR201" s="1052">
        <v>0</v>
      </c>
      <c r="IS201" s="1052">
        <v>0</v>
      </c>
      <c r="IT201" s="1052">
        <v>0</v>
      </c>
      <c r="IU201" s="1052">
        <v>0</v>
      </c>
      <c r="IV201" s="1052">
        <v>0</v>
      </c>
      <c r="IW201" s="1052">
        <v>0</v>
      </c>
      <c r="IX201" s="1053">
        <v>0</v>
      </c>
    </row>
    <row r="202" spans="66:275" ht="30" hidden="1" customHeight="1" thickBot="1">
      <c r="BN202" s="982"/>
      <c r="BO202" s="982"/>
      <c r="BP202" s="982"/>
      <c r="BQ202" s="982"/>
      <c r="BR202" s="982"/>
      <c r="BS202" s="982"/>
      <c r="BT202" s="982"/>
      <c r="BU202" s="982"/>
      <c r="BV202" s="982"/>
      <c r="BW202" s="982"/>
      <c r="BX202" s="982"/>
      <c r="BY202" s="982"/>
      <c r="BZ202" s="982"/>
      <c r="CA202" s="982"/>
      <c r="CB202" s="982"/>
      <c r="CC202" s="982"/>
      <c r="CD202" s="982"/>
      <c r="CE202" s="982"/>
      <c r="CF202" s="982"/>
      <c r="CG202" s="982"/>
      <c r="CH202" s="982"/>
      <c r="CI202" s="982"/>
      <c r="CJ202" s="982"/>
      <c r="CK202" s="982"/>
      <c r="CL202" s="982"/>
      <c r="CM202" s="982"/>
      <c r="CN202" s="982"/>
      <c r="CO202" s="982"/>
      <c r="CP202" s="982"/>
      <c r="CQ202" s="982"/>
      <c r="CR202" s="982"/>
      <c r="CS202" s="982"/>
      <c r="CT202" s="982"/>
      <c r="CU202" s="982"/>
      <c r="CV202" s="982"/>
      <c r="CW202" s="982"/>
      <c r="CX202" s="982"/>
      <c r="CY202" s="982"/>
      <c r="CZ202" s="982"/>
      <c r="DA202" s="982"/>
      <c r="DB202" s="982"/>
      <c r="DC202" s="982"/>
      <c r="DD202" s="982"/>
      <c r="DE202" s="982"/>
      <c r="DF202" s="982"/>
      <c r="DG202" s="1435" t="s">
        <v>3</v>
      </c>
      <c r="DH202" s="1054">
        <v>135.32</v>
      </c>
      <c r="DI202" s="1055">
        <v>0</v>
      </c>
      <c r="DJ202" s="1055">
        <v>0</v>
      </c>
      <c r="DK202" s="1055">
        <v>0</v>
      </c>
      <c r="DL202" s="1055">
        <v>0</v>
      </c>
      <c r="DM202" s="1055">
        <v>0</v>
      </c>
      <c r="DN202" s="1055">
        <v>0</v>
      </c>
      <c r="DO202" s="1055">
        <v>0</v>
      </c>
      <c r="DP202" s="1055">
        <v>0</v>
      </c>
      <c r="DQ202" s="1055">
        <v>0</v>
      </c>
      <c r="DR202" s="1055">
        <v>0</v>
      </c>
      <c r="DS202" s="1055">
        <v>0</v>
      </c>
      <c r="DT202" s="1055">
        <v>0</v>
      </c>
      <c r="DU202" s="1055">
        <v>0</v>
      </c>
      <c r="DV202" s="1055">
        <v>14</v>
      </c>
      <c r="DW202" s="1055">
        <v>0</v>
      </c>
      <c r="DX202" s="1055">
        <v>0</v>
      </c>
      <c r="DY202" s="1055">
        <v>0</v>
      </c>
      <c r="DZ202" s="1055">
        <v>0</v>
      </c>
      <c r="EA202" s="1055">
        <v>0</v>
      </c>
      <c r="EB202" s="1014">
        <v>0</v>
      </c>
      <c r="EC202" s="1054">
        <v>42</v>
      </c>
      <c r="ED202" s="1055">
        <v>0</v>
      </c>
      <c r="EE202" s="1055">
        <v>0</v>
      </c>
      <c r="EF202" s="1055">
        <v>0</v>
      </c>
      <c r="EG202" s="1055">
        <v>0</v>
      </c>
      <c r="EH202" s="1055">
        <v>0</v>
      </c>
      <c r="EI202" s="1055">
        <v>0</v>
      </c>
      <c r="EJ202" s="1055">
        <v>0</v>
      </c>
      <c r="EK202" s="1055">
        <v>0</v>
      </c>
      <c r="EL202" s="1055">
        <v>0</v>
      </c>
      <c r="EM202" s="1055">
        <v>0</v>
      </c>
      <c r="EN202" s="1055">
        <v>0</v>
      </c>
      <c r="EO202" s="1055">
        <v>0</v>
      </c>
      <c r="EP202" s="1055">
        <v>0</v>
      </c>
      <c r="EQ202" s="1055">
        <v>0</v>
      </c>
      <c r="ER202" s="1055">
        <v>0</v>
      </c>
      <c r="ES202" s="1055">
        <v>0</v>
      </c>
      <c r="ET202" s="1055">
        <v>0</v>
      </c>
      <c r="EU202" s="1055">
        <v>0</v>
      </c>
      <c r="EV202" s="1055">
        <v>0</v>
      </c>
      <c r="EW202" s="1014">
        <v>0</v>
      </c>
      <c r="EX202" s="1054">
        <v>192</v>
      </c>
      <c r="EY202" s="1055">
        <v>0</v>
      </c>
      <c r="EZ202" s="1055">
        <v>0</v>
      </c>
      <c r="FA202" s="1055">
        <v>0</v>
      </c>
      <c r="FB202" s="1055">
        <v>0</v>
      </c>
      <c r="FC202" s="1055">
        <v>0</v>
      </c>
      <c r="FD202" s="1055">
        <v>0</v>
      </c>
      <c r="FE202" s="1055">
        <v>0</v>
      </c>
      <c r="FF202" s="1055">
        <v>0</v>
      </c>
      <c r="FG202" s="1055">
        <v>0</v>
      </c>
      <c r="FH202" s="1055">
        <v>0</v>
      </c>
      <c r="FI202" s="1055">
        <v>0</v>
      </c>
      <c r="FJ202" s="1055">
        <v>0</v>
      </c>
      <c r="FK202" s="1055">
        <v>0</v>
      </c>
      <c r="FL202" s="1055">
        <v>0</v>
      </c>
      <c r="FM202" s="1055">
        <v>0</v>
      </c>
      <c r="FN202" s="1055">
        <v>0</v>
      </c>
      <c r="FO202" s="1055">
        <v>0</v>
      </c>
      <c r="FP202" s="1055">
        <v>0</v>
      </c>
      <c r="FQ202" s="1055">
        <v>0</v>
      </c>
      <c r="FR202" s="1014">
        <v>0</v>
      </c>
      <c r="FS202" s="1054">
        <v>206</v>
      </c>
      <c r="FT202" s="1055">
        <v>0</v>
      </c>
      <c r="FU202" s="1055">
        <v>0</v>
      </c>
      <c r="FV202" s="1055">
        <v>0</v>
      </c>
      <c r="FW202" s="1055">
        <v>0</v>
      </c>
      <c r="FX202" s="1055">
        <v>0</v>
      </c>
      <c r="FY202" s="1055">
        <v>0</v>
      </c>
      <c r="FZ202" s="1055">
        <v>0</v>
      </c>
      <c r="GA202" s="1055">
        <v>0</v>
      </c>
      <c r="GB202" s="1055">
        <v>0</v>
      </c>
      <c r="GC202" s="1055">
        <v>0</v>
      </c>
      <c r="GD202" s="1055">
        <v>0</v>
      </c>
      <c r="GE202" s="1055">
        <v>0</v>
      </c>
      <c r="GF202" s="1055">
        <v>0</v>
      </c>
      <c r="GG202" s="1055">
        <v>0</v>
      </c>
      <c r="GH202" s="1055">
        <v>0</v>
      </c>
      <c r="GI202" s="1055">
        <v>0</v>
      </c>
      <c r="GJ202" s="1055">
        <v>0</v>
      </c>
      <c r="GK202" s="1055">
        <v>0</v>
      </c>
      <c r="GL202" s="1055">
        <v>0</v>
      </c>
      <c r="GM202" s="1014">
        <v>0</v>
      </c>
      <c r="GN202" s="1054">
        <v>24</v>
      </c>
      <c r="GO202" s="1055">
        <v>0</v>
      </c>
      <c r="GP202" s="1055">
        <v>0</v>
      </c>
      <c r="GQ202" s="1055">
        <v>0</v>
      </c>
      <c r="GR202" s="1055">
        <v>0</v>
      </c>
      <c r="GS202" s="1055">
        <v>0</v>
      </c>
      <c r="GT202" s="1055">
        <v>0</v>
      </c>
      <c r="GU202" s="1055">
        <v>0</v>
      </c>
      <c r="GV202" s="1055">
        <v>0</v>
      </c>
      <c r="GW202" s="1055">
        <v>0</v>
      </c>
      <c r="GX202" s="1055">
        <v>0</v>
      </c>
      <c r="GY202" s="1055">
        <v>0</v>
      </c>
      <c r="GZ202" s="1055">
        <v>0</v>
      </c>
      <c r="HA202" s="1055">
        <v>0</v>
      </c>
      <c r="HB202" s="1055">
        <v>0</v>
      </c>
      <c r="HC202" s="1055">
        <v>0</v>
      </c>
      <c r="HD202" s="1055">
        <v>0</v>
      </c>
      <c r="HE202" s="1055">
        <v>0</v>
      </c>
      <c r="HF202" s="1055">
        <v>0</v>
      </c>
      <c r="HG202" s="1055">
        <v>0</v>
      </c>
      <c r="HH202" s="1014">
        <v>0</v>
      </c>
      <c r="HI202" s="1054">
        <v>527.29999999999995</v>
      </c>
      <c r="HJ202" s="1055">
        <v>0</v>
      </c>
      <c r="HK202" s="1055">
        <v>0</v>
      </c>
      <c r="HL202" s="1055">
        <v>0</v>
      </c>
      <c r="HM202" s="1055">
        <v>5</v>
      </c>
      <c r="HN202" s="1055">
        <v>0</v>
      </c>
      <c r="HO202" s="1055">
        <v>0</v>
      </c>
      <c r="HP202" s="1055">
        <v>0</v>
      </c>
      <c r="HQ202" s="1055">
        <v>0</v>
      </c>
      <c r="HR202" s="1055">
        <v>0</v>
      </c>
      <c r="HS202" s="1055">
        <v>3</v>
      </c>
      <c r="HT202" s="1055">
        <v>0</v>
      </c>
      <c r="HU202" s="1055">
        <v>1</v>
      </c>
      <c r="HV202" s="1055">
        <v>0</v>
      </c>
      <c r="HW202" s="1055">
        <v>7</v>
      </c>
      <c r="HX202" s="1055">
        <v>0</v>
      </c>
      <c r="HY202" s="1055">
        <v>0</v>
      </c>
      <c r="HZ202" s="1055">
        <v>2</v>
      </c>
      <c r="IA202" s="1055">
        <v>0</v>
      </c>
      <c r="IB202" s="1055">
        <v>1</v>
      </c>
      <c r="IC202" s="1014">
        <v>0</v>
      </c>
      <c r="ID202" s="1054">
        <v>80</v>
      </c>
      <c r="IE202" s="1055">
        <v>0</v>
      </c>
      <c r="IF202" s="1055">
        <v>0</v>
      </c>
      <c r="IG202" s="1055">
        <v>0</v>
      </c>
      <c r="IH202" s="1055">
        <v>0</v>
      </c>
      <c r="II202" s="1055">
        <v>0</v>
      </c>
      <c r="IJ202" s="1055">
        <v>0</v>
      </c>
      <c r="IK202" s="1055">
        <v>0</v>
      </c>
      <c r="IL202" s="1055">
        <v>0</v>
      </c>
      <c r="IM202" s="1055">
        <v>0</v>
      </c>
      <c r="IN202" s="1055">
        <v>0</v>
      </c>
      <c r="IO202" s="1055">
        <v>0</v>
      </c>
      <c r="IP202" s="1055">
        <v>0</v>
      </c>
      <c r="IQ202" s="1055">
        <v>0</v>
      </c>
      <c r="IR202" s="1055">
        <v>0</v>
      </c>
      <c r="IS202" s="1055">
        <v>0</v>
      </c>
      <c r="IT202" s="1055">
        <v>0</v>
      </c>
      <c r="IU202" s="1055">
        <v>0</v>
      </c>
      <c r="IV202" s="1055">
        <v>0</v>
      </c>
      <c r="IW202" s="1055">
        <v>0</v>
      </c>
      <c r="IX202" s="1014">
        <v>0</v>
      </c>
    </row>
    <row r="203" spans="66:275" ht="15" hidden="1" customHeight="1">
      <c r="BN203" s="982"/>
      <c r="BO203" s="982"/>
      <c r="BP203" s="982"/>
      <c r="BQ203" s="982"/>
      <c r="BR203" s="982"/>
      <c r="BS203" s="982"/>
      <c r="BT203" s="982"/>
      <c r="BU203" s="982"/>
      <c r="BV203" s="982"/>
      <c r="BW203" s="982"/>
      <c r="BX203" s="982"/>
      <c r="BY203" s="982"/>
      <c r="BZ203" s="982"/>
      <c r="CA203" s="982"/>
      <c r="CB203" s="982"/>
      <c r="CC203" s="982"/>
      <c r="CD203" s="982"/>
      <c r="CE203" s="982"/>
      <c r="CF203" s="982"/>
      <c r="CG203" s="982"/>
      <c r="CH203" s="982"/>
      <c r="CI203" s="982"/>
      <c r="CJ203" s="982"/>
      <c r="CK203" s="982"/>
      <c r="CL203" s="982"/>
      <c r="CM203" s="982"/>
      <c r="CN203" s="982"/>
      <c r="CO203" s="982"/>
      <c r="CP203" s="982"/>
      <c r="CQ203" s="982"/>
      <c r="CR203" s="982"/>
      <c r="CS203" s="982"/>
      <c r="CT203" s="982"/>
      <c r="CU203" s="982"/>
      <c r="CV203" s="982"/>
      <c r="CW203" s="982"/>
      <c r="CX203" s="982"/>
      <c r="CY203" s="982"/>
      <c r="CZ203" s="982"/>
      <c r="DA203" s="982"/>
      <c r="DB203" s="982"/>
      <c r="DC203" s="982"/>
      <c r="DD203" s="982"/>
      <c r="DE203" s="982"/>
      <c r="DF203" s="982"/>
      <c r="DG203" s="982"/>
      <c r="DH203" s="982"/>
      <c r="DI203" s="982"/>
      <c r="DJ203" s="982"/>
      <c r="DK203" s="982"/>
      <c r="DL203" s="982"/>
      <c r="DM203" s="982"/>
      <c r="DN203" s="982"/>
      <c r="DO203" s="982"/>
      <c r="DP203" s="982"/>
      <c r="DQ203" s="982"/>
      <c r="DR203" s="982"/>
      <c r="DS203" s="982"/>
      <c r="DT203" s="982"/>
      <c r="DU203" s="982"/>
      <c r="DV203" s="982"/>
      <c r="DW203" s="982"/>
      <c r="DX203" s="982"/>
      <c r="DY203" s="982"/>
      <c r="DZ203" s="982"/>
      <c r="EA203" s="982"/>
      <c r="EB203" s="982"/>
      <c r="EC203" s="982"/>
      <c r="ED203" s="982"/>
      <c r="EE203" s="982"/>
      <c r="EF203" s="982"/>
      <c r="EG203" s="982"/>
      <c r="EH203" s="982"/>
      <c r="EI203" s="982"/>
      <c r="EJ203" s="982"/>
      <c r="EK203" s="982"/>
      <c r="EL203" s="982"/>
      <c r="EM203" s="982"/>
      <c r="EN203" s="982"/>
      <c r="EO203" s="982"/>
      <c r="EP203" s="982"/>
      <c r="EQ203" s="982"/>
      <c r="ER203" s="982"/>
      <c r="ES203" s="982"/>
      <c r="ET203" s="982"/>
      <c r="EU203" s="982"/>
      <c r="EV203" s="982"/>
      <c r="EW203" s="982"/>
      <c r="EX203" s="982"/>
      <c r="EY203" s="982"/>
      <c r="EZ203" s="982"/>
      <c r="FA203" s="982"/>
      <c r="FB203" s="982"/>
      <c r="FC203" s="982"/>
      <c r="FD203" s="982"/>
      <c r="FE203" s="982"/>
      <c r="FF203" s="982"/>
      <c r="FG203" s="982"/>
      <c r="FH203" s="982"/>
      <c r="FI203" s="982"/>
      <c r="FJ203" s="982"/>
      <c r="FK203" s="982"/>
      <c r="FL203" s="982"/>
      <c r="FM203" s="982"/>
      <c r="FN203" s="982"/>
      <c r="FO203" s="982"/>
      <c r="FP203" s="982"/>
      <c r="FQ203" s="982"/>
      <c r="FR203" s="982"/>
      <c r="FS203" s="982"/>
      <c r="FT203" s="982"/>
      <c r="FU203" s="982"/>
      <c r="FV203" s="982"/>
      <c r="FW203" s="982"/>
      <c r="FX203" s="982"/>
      <c r="FY203" s="982"/>
      <c r="FZ203" s="982"/>
      <c r="GA203" s="982"/>
      <c r="GB203" s="982"/>
      <c r="GC203" s="982"/>
      <c r="GD203" s="982"/>
      <c r="GE203" s="982"/>
      <c r="GF203" s="982"/>
      <c r="GG203" s="982"/>
      <c r="GH203" s="982"/>
      <c r="GI203" s="982"/>
      <c r="GJ203" s="982"/>
      <c r="GK203" s="982"/>
      <c r="GL203" s="982"/>
      <c r="GM203" s="982"/>
      <c r="GN203" s="982"/>
      <c r="GO203" s="982"/>
      <c r="GP203" s="982"/>
      <c r="GQ203" s="982"/>
      <c r="GR203" s="982"/>
      <c r="GS203" s="982"/>
      <c r="GT203" s="982"/>
      <c r="GU203" s="982"/>
      <c r="GV203" s="982"/>
      <c r="GW203" s="982"/>
      <c r="GX203" s="982"/>
      <c r="GY203" s="982"/>
      <c r="GZ203" s="982"/>
      <c r="HA203" s="982"/>
      <c r="HB203" s="982"/>
      <c r="HC203" s="982"/>
      <c r="HD203" s="982"/>
      <c r="HE203" s="982"/>
      <c r="HF203" s="982"/>
      <c r="HG203" s="982"/>
      <c r="HH203" s="982"/>
      <c r="HI203" s="982"/>
      <c r="HJ203" s="982"/>
      <c r="HK203" s="982"/>
      <c r="HL203" s="982"/>
      <c r="HM203" s="982"/>
      <c r="HN203" s="982"/>
      <c r="HO203" s="982"/>
      <c r="HP203" s="982"/>
      <c r="HQ203" s="982"/>
      <c r="HR203" s="982"/>
      <c r="HS203" s="982"/>
      <c r="HT203" s="982"/>
      <c r="HU203" s="982"/>
      <c r="HV203" s="982"/>
      <c r="HW203" s="982"/>
      <c r="HX203" s="982"/>
      <c r="HY203" s="982"/>
      <c r="HZ203" s="982"/>
      <c r="IA203" s="982"/>
      <c r="IB203" s="982"/>
      <c r="IC203" s="982"/>
      <c r="ID203" s="982"/>
      <c r="IE203" s="982"/>
      <c r="IF203" s="982"/>
      <c r="IG203" s="982"/>
      <c r="IH203" s="982"/>
      <c r="II203" s="982"/>
      <c r="IJ203" s="982"/>
      <c r="IK203" s="982"/>
      <c r="IL203" s="982"/>
      <c r="IM203" s="982"/>
      <c r="IN203" s="982"/>
      <c r="IO203" s="982"/>
      <c r="IP203" s="982"/>
      <c r="IQ203" s="982"/>
      <c r="IR203" s="982"/>
      <c r="IS203" s="982"/>
      <c r="IT203" s="982"/>
      <c r="IU203" s="982"/>
      <c r="IV203" s="982"/>
      <c r="IW203" s="982"/>
      <c r="IX203" s="982"/>
    </row>
    <row r="204" spans="66:275" ht="20.100000000000001" hidden="1" customHeight="1">
      <c r="BN204" s="982"/>
      <c r="BO204" s="982"/>
      <c r="BP204" s="982"/>
      <c r="BQ204" s="982"/>
      <c r="BR204" s="982"/>
      <c r="BS204" s="982"/>
      <c r="BT204" s="982"/>
      <c r="BU204" s="982"/>
      <c r="BV204" s="982"/>
      <c r="BW204" s="982"/>
      <c r="BX204" s="982"/>
      <c r="BY204" s="982"/>
      <c r="BZ204" s="982"/>
      <c r="CA204" s="982"/>
      <c r="CB204" s="982"/>
      <c r="CC204" s="982"/>
      <c r="CD204" s="982"/>
      <c r="CE204" s="982"/>
      <c r="CF204" s="982"/>
      <c r="CG204" s="982"/>
      <c r="CH204" s="982"/>
      <c r="CI204" s="982"/>
      <c r="CJ204" s="982"/>
      <c r="CK204" s="982"/>
      <c r="CL204" s="982"/>
      <c r="CM204" s="982"/>
      <c r="CN204" s="982"/>
      <c r="CO204" s="982"/>
      <c r="CP204" s="982"/>
      <c r="CQ204" s="982"/>
      <c r="CR204" s="982"/>
      <c r="CS204" s="982"/>
      <c r="CT204" s="982"/>
      <c r="CU204" s="982"/>
      <c r="CV204" s="982"/>
      <c r="CW204" s="982"/>
      <c r="CX204" s="982"/>
      <c r="CY204" s="982"/>
      <c r="CZ204" s="982"/>
      <c r="DA204" s="982"/>
      <c r="DB204" s="982"/>
      <c r="DC204" s="982"/>
      <c r="DD204" s="982"/>
      <c r="DE204" s="982"/>
      <c r="DF204" s="982"/>
      <c r="DG204" s="982"/>
      <c r="DH204" s="982"/>
      <c r="DI204" s="982"/>
      <c r="DJ204" s="982"/>
      <c r="DK204" s="982"/>
      <c r="DL204" s="982"/>
      <c r="DM204" s="982"/>
      <c r="DN204" s="982"/>
      <c r="DO204" s="982"/>
      <c r="DP204" s="982"/>
      <c r="DQ204" s="982"/>
      <c r="DR204" s="982"/>
      <c r="DS204" s="982"/>
      <c r="DT204" s="982"/>
      <c r="DU204" s="982"/>
      <c r="DV204" s="982"/>
      <c r="DW204" s="982"/>
      <c r="DX204" s="982"/>
      <c r="DY204" s="982"/>
      <c r="DZ204" s="982"/>
      <c r="EA204" s="982"/>
      <c r="EB204" s="982"/>
      <c r="EC204" s="982"/>
      <c r="ED204" s="982"/>
      <c r="EE204" s="982"/>
      <c r="EF204" s="982"/>
      <c r="EG204" s="982"/>
      <c r="EH204" s="982"/>
      <c r="EI204" s="982"/>
      <c r="EJ204" s="982"/>
      <c r="EK204" s="982"/>
      <c r="EL204" s="982"/>
      <c r="EM204" s="982"/>
      <c r="EN204" s="982"/>
      <c r="EO204" s="982"/>
      <c r="EP204" s="982"/>
      <c r="EQ204" s="982"/>
      <c r="ER204" s="982"/>
      <c r="ES204" s="982"/>
      <c r="ET204" s="982"/>
      <c r="EU204" s="982"/>
      <c r="EV204" s="982"/>
      <c r="EW204" s="982"/>
      <c r="EX204" s="982"/>
      <c r="EY204" s="982"/>
      <c r="EZ204" s="982"/>
      <c r="FA204" s="982"/>
      <c r="FB204" s="982"/>
      <c r="FC204" s="982"/>
      <c r="FD204" s="982"/>
      <c r="FE204" s="982"/>
      <c r="FF204" s="982"/>
      <c r="FG204" s="982"/>
      <c r="FH204" s="982"/>
      <c r="FI204" s="982"/>
      <c r="FJ204" s="982"/>
      <c r="FK204" s="982"/>
      <c r="FL204" s="982"/>
      <c r="FM204" s="982"/>
      <c r="FN204" s="982"/>
      <c r="FO204" s="982"/>
      <c r="FP204" s="982"/>
      <c r="FQ204" s="982"/>
      <c r="FR204" s="982"/>
      <c r="FS204" s="982"/>
      <c r="FT204" s="982"/>
      <c r="FU204" s="982"/>
      <c r="FV204" s="982"/>
      <c r="FW204" s="982"/>
      <c r="FX204" s="982"/>
      <c r="FY204" s="982"/>
      <c r="FZ204" s="982"/>
      <c r="GA204" s="982"/>
      <c r="GB204" s="982"/>
      <c r="GC204" s="982"/>
      <c r="GD204" s="982"/>
      <c r="GE204" s="982"/>
      <c r="GF204" s="982"/>
      <c r="GG204" s="982"/>
      <c r="GH204" s="982"/>
      <c r="GI204" s="982"/>
      <c r="GJ204" s="982"/>
      <c r="GK204" s="982"/>
      <c r="GL204" s="982"/>
      <c r="GM204" s="982"/>
      <c r="GN204" s="982"/>
      <c r="GO204" s="982"/>
      <c r="GP204" s="982"/>
      <c r="GQ204" s="982"/>
      <c r="GR204" s="982"/>
      <c r="GS204" s="982"/>
      <c r="GT204" s="982"/>
      <c r="GU204" s="982"/>
      <c r="GV204" s="982"/>
      <c r="GW204" s="982"/>
      <c r="GX204" s="982"/>
      <c r="GY204" s="982"/>
      <c r="GZ204" s="982"/>
      <c r="HA204" s="982"/>
      <c r="HB204" s="982"/>
      <c r="HC204" s="982"/>
      <c r="HD204" s="982"/>
      <c r="HE204" s="982"/>
      <c r="HF204" s="982"/>
      <c r="HG204" s="982"/>
      <c r="HH204" s="982"/>
      <c r="HI204" s="982"/>
      <c r="HJ204" s="982"/>
      <c r="HK204" s="982"/>
      <c r="HL204" s="982"/>
      <c r="HM204" s="982"/>
      <c r="HN204" s="982"/>
      <c r="HO204" s="982"/>
      <c r="HP204" s="982"/>
      <c r="HQ204" s="982"/>
      <c r="HR204" s="982"/>
      <c r="HS204" s="982"/>
      <c r="HT204" s="982"/>
      <c r="HU204" s="982"/>
      <c r="HV204" s="982"/>
      <c r="HW204" s="982"/>
      <c r="HX204" s="982"/>
      <c r="HY204" s="982"/>
      <c r="HZ204" s="982"/>
      <c r="IA204" s="982"/>
      <c r="IB204" s="982"/>
      <c r="IC204" s="982"/>
      <c r="ID204" s="982"/>
      <c r="IE204" s="982"/>
      <c r="IF204" s="982"/>
      <c r="IG204" s="982"/>
      <c r="IH204" s="982"/>
      <c r="II204" s="982"/>
      <c r="IJ204" s="982"/>
      <c r="IK204" s="982"/>
      <c r="IL204" s="982"/>
      <c r="IM204" s="982"/>
      <c r="IN204" s="982"/>
      <c r="IO204" s="982"/>
      <c r="IP204" s="982"/>
      <c r="IQ204" s="982"/>
      <c r="IR204" s="982"/>
      <c r="IS204" s="982"/>
      <c r="IT204" s="982"/>
      <c r="IU204" s="982"/>
      <c r="IV204" s="982"/>
      <c r="IW204" s="982"/>
      <c r="IX204" s="982"/>
      <c r="IZ204" s="1056" t="s">
        <v>163</v>
      </c>
    </row>
    <row r="205" spans="66:275" ht="9.9499999999999993" hidden="1" customHeight="1" thickBot="1">
      <c r="BN205" s="982"/>
      <c r="BO205" s="982"/>
      <c r="BP205" s="982"/>
      <c r="BQ205" s="982"/>
      <c r="BR205" s="982"/>
      <c r="BS205" s="982"/>
      <c r="BT205" s="982"/>
      <c r="BU205" s="982"/>
      <c r="BV205" s="982"/>
      <c r="BW205" s="982"/>
      <c r="BX205" s="982"/>
      <c r="BY205" s="982"/>
      <c r="BZ205" s="982"/>
      <c r="CA205" s="982"/>
      <c r="CB205" s="982"/>
      <c r="CC205" s="982"/>
      <c r="CD205" s="982"/>
      <c r="CE205" s="982"/>
      <c r="CF205" s="982"/>
      <c r="CG205" s="982"/>
      <c r="CH205" s="982"/>
      <c r="CI205" s="982"/>
      <c r="CJ205" s="982"/>
      <c r="CK205" s="982"/>
      <c r="CL205" s="982"/>
      <c r="CM205" s="982"/>
      <c r="CN205" s="982"/>
      <c r="CO205" s="982"/>
      <c r="CP205" s="982"/>
      <c r="CQ205" s="982"/>
      <c r="CR205" s="982"/>
      <c r="CS205" s="982"/>
      <c r="CT205" s="982"/>
      <c r="CU205" s="982"/>
      <c r="CV205" s="982"/>
      <c r="CW205" s="982"/>
      <c r="CX205" s="982"/>
      <c r="CY205" s="982"/>
      <c r="CZ205" s="982"/>
      <c r="DA205" s="982"/>
      <c r="DB205" s="982"/>
      <c r="DC205" s="982"/>
      <c r="DD205" s="982"/>
      <c r="DE205" s="982"/>
      <c r="DF205" s="982"/>
      <c r="DG205" s="982"/>
      <c r="DH205" s="982"/>
      <c r="DI205" s="982"/>
      <c r="DJ205" s="982"/>
      <c r="DK205" s="982"/>
      <c r="DL205" s="982"/>
      <c r="DM205" s="982"/>
      <c r="DN205" s="982"/>
      <c r="DO205" s="982"/>
      <c r="DP205" s="982"/>
      <c r="DQ205" s="982"/>
      <c r="DR205" s="982"/>
      <c r="DS205" s="982"/>
      <c r="DT205" s="982"/>
      <c r="DU205" s="982"/>
      <c r="DV205" s="982"/>
      <c r="DW205" s="982"/>
      <c r="DX205" s="982"/>
      <c r="DY205" s="982"/>
      <c r="DZ205" s="982"/>
      <c r="EA205" s="982"/>
      <c r="EB205" s="982"/>
      <c r="EC205" s="982"/>
      <c r="ED205" s="982"/>
      <c r="EE205" s="982"/>
      <c r="EF205" s="982"/>
      <c r="EG205" s="982"/>
      <c r="EH205" s="982"/>
      <c r="EI205" s="982"/>
      <c r="EJ205" s="982"/>
      <c r="EK205" s="982"/>
      <c r="EL205" s="982"/>
      <c r="EM205" s="982"/>
      <c r="EN205" s="982"/>
      <c r="EO205" s="982"/>
      <c r="EP205" s="982"/>
      <c r="EQ205" s="982"/>
      <c r="ER205" s="982"/>
      <c r="ES205" s="982"/>
      <c r="ET205" s="982"/>
      <c r="EU205" s="982"/>
      <c r="EV205" s="982"/>
      <c r="EW205" s="982"/>
      <c r="EX205" s="982"/>
      <c r="EY205" s="982"/>
      <c r="EZ205" s="982"/>
      <c r="FA205" s="982"/>
      <c r="FB205" s="982"/>
      <c r="FC205" s="982"/>
      <c r="FD205" s="982"/>
      <c r="FE205" s="982"/>
      <c r="FF205" s="982"/>
      <c r="FG205" s="982"/>
      <c r="FH205" s="982"/>
      <c r="FI205" s="982"/>
      <c r="FJ205" s="982"/>
      <c r="FK205" s="982"/>
      <c r="FL205" s="982"/>
      <c r="FM205" s="982"/>
      <c r="FN205" s="982"/>
      <c r="FO205" s="982"/>
      <c r="FP205" s="982"/>
      <c r="FQ205" s="982"/>
      <c r="FR205" s="982"/>
      <c r="FS205" s="982"/>
      <c r="FT205" s="982"/>
      <c r="FU205" s="982"/>
      <c r="FV205" s="982"/>
      <c r="FW205" s="982"/>
      <c r="FX205" s="982"/>
      <c r="FY205" s="982"/>
      <c r="FZ205" s="982"/>
      <c r="GA205" s="982"/>
      <c r="GB205" s="982"/>
      <c r="GC205" s="982"/>
      <c r="GD205" s="982"/>
      <c r="GE205" s="982"/>
      <c r="GF205" s="982"/>
      <c r="GG205" s="982"/>
      <c r="GH205" s="982"/>
      <c r="GI205" s="982"/>
      <c r="GJ205" s="982"/>
      <c r="GK205" s="982"/>
      <c r="GL205" s="982"/>
      <c r="GM205" s="982"/>
      <c r="GN205" s="982"/>
      <c r="GO205" s="982"/>
      <c r="GP205" s="982"/>
      <c r="GQ205" s="982"/>
      <c r="GR205" s="982"/>
      <c r="GS205" s="982"/>
      <c r="GT205" s="982"/>
      <c r="GU205" s="982"/>
      <c r="GV205" s="982"/>
      <c r="GW205" s="982"/>
      <c r="GX205" s="982"/>
      <c r="GY205" s="982"/>
      <c r="GZ205" s="982"/>
      <c r="HA205" s="982"/>
      <c r="HB205" s="982"/>
      <c r="HC205" s="982"/>
      <c r="HD205" s="982"/>
      <c r="HE205" s="982"/>
      <c r="HF205" s="982"/>
      <c r="HG205" s="982"/>
      <c r="HH205" s="982"/>
      <c r="HI205" s="982"/>
      <c r="HJ205" s="982"/>
      <c r="HK205" s="982"/>
      <c r="HL205" s="982"/>
      <c r="HM205" s="982"/>
      <c r="HN205" s="982"/>
      <c r="HO205" s="982"/>
      <c r="HP205" s="982"/>
      <c r="HQ205" s="982"/>
      <c r="HR205" s="982"/>
      <c r="HS205" s="982"/>
      <c r="HT205" s="982"/>
      <c r="HU205" s="982"/>
      <c r="HV205" s="982"/>
      <c r="HW205" s="982"/>
      <c r="HX205" s="982"/>
      <c r="HY205" s="982"/>
      <c r="HZ205" s="982"/>
      <c r="IA205" s="982"/>
      <c r="IB205" s="982"/>
      <c r="IC205" s="982"/>
      <c r="ID205" s="982"/>
      <c r="IE205" s="982"/>
      <c r="IF205" s="982"/>
      <c r="IG205" s="982"/>
      <c r="IH205" s="982"/>
      <c r="II205" s="982"/>
      <c r="IJ205" s="982"/>
      <c r="IK205" s="982"/>
      <c r="IL205" s="982"/>
      <c r="IM205" s="982"/>
      <c r="IN205" s="982"/>
      <c r="IO205" s="982"/>
      <c r="IP205" s="982"/>
      <c r="IQ205" s="982"/>
      <c r="IR205" s="982"/>
      <c r="IS205" s="982"/>
      <c r="IT205" s="982"/>
      <c r="IU205" s="982"/>
      <c r="IV205" s="982"/>
      <c r="IW205" s="982"/>
      <c r="IX205" s="982"/>
    </row>
    <row r="206" spans="66:275" ht="30" hidden="1" customHeight="1">
      <c r="BN206" s="982"/>
      <c r="BO206" s="982"/>
      <c r="BP206" s="982"/>
      <c r="BQ206" s="982"/>
      <c r="BR206" s="982"/>
      <c r="BS206" s="982"/>
      <c r="BT206" s="982"/>
      <c r="BU206" s="982"/>
      <c r="BV206" s="982"/>
      <c r="BW206" s="982"/>
      <c r="BX206" s="982"/>
      <c r="BY206" s="982"/>
      <c r="BZ206" s="982"/>
      <c r="CA206" s="982"/>
      <c r="CB206" s="982"/>
      <c r="CC206" s="982"/>
      <c r="CD206" s="982"/>
      <c r="CE206" s="982"/>
      <c r="CF206" s="982"/>
      <c r="CG206" s="982"/>
      <c r="CH206" s="982"/>
      <c r="CI206" s="982"/>
      <c r="CJ206" s="982"/>
      <c r="CK206" s="982"/>
      <c r="CL206" s="982"/>
      <c r="CM206" s="982"/>
      <c r="CN206" s="982"/>
      <c r="CO206" s="982"/>
      <c r="CP206" s="982"/>
      <c r="CQ206" s="982"/>
      <c r="CR206" s="982"/>
      <c r="CS206" s="982"/>
      <c r="CT206" s="982"/>
      <c r="CU206" s="982"/>
      <c r="CV206" s="982"/>
      <c r="CW206" s="982"/>
      <c r="CX206" s="982"/>
      <c r="CY206" s="982"/>
      <c r="CZ206" s="982"/>
      <c r="DA206" s="982"/>
      <c r="DB206" s="982"/>
      <c r="DC206" s="982"/>
      <c r="DD206" s="982"/>
      <c r="DE206" s="982"/>
      <c r="DF206" s="982"/>
      <c r="DG206" s="982"/>
      <c r="DH206" s="982"/>
      <c r="DI206" s="982"/>
      <c r="DJ206" s="982"/>
      <c r="DK206" s="982"/>
      <c r="DL206" s="982"/>
      <c r="DM206" s="982"/>
      <c r="DN206" s="982"/>
      <c r="DO206" s="982"/>
      <c r="DP206" s="982"/>
      <c r="DQ206" s="982"/>
      <c r="DR206" s="982"/>
      <c r="DS206" s="982"/>
      <c r="DT206" s="982"/>
      <c r="DU206" s="982"/>
      <c r="DV206" s="982"/>
      <c r="DW206" s="982"/>
      <c r="DX206" s="982"/>
      <c r="DY206" s="982"/>
      <c r="DZ206" s="982"/>
      <c r="EA206" s="982"/>
      <c r="EB206" s="982"/>
      <c r="EC206" s="982"/>
      <c r="ED206" s="982"/>
      <c r="EE206" s="982"/>
      <c r="EF206" s="982"/>
      <c r="EG206" s="982"/>
      <c r="EH206" s="982"/>
      <c r="EI206" s="982"/>
      <c r="EJ206" s="982"/>
      <c r="EK206" s="982"/>
      <c r="EL206" s="982"/>
      <c r="EM206" s="982"/>
      <c r="EN206" s="982"/>
      <c r="EO206" s="982"/>
      <c r="EP206" s="982"/>
      <c r="EQ206" s="982"/>
      <c r="ER206" s="982"/>
      <c r="ES206" s="982"/>
      <c r="ET206" s="982"/>
      <c r="EU206" s="982"/>
      <c r="EV206" s="982"/>
      <c r="EW206" s="982"/>
      <c r="EX206" s="982"/>
      <c r="EY206" s="982"/>
      <c r="EZ206" s="982"/>
      <c r="FA206" s="982"/>
      <c r="FB206" s="982"/>
      <c r="FC206" s="982"/>
      <c r="FD206" s="982"/>
      <c r="FE206" s="982"/>
      <c r="FF206" s="982"/>
      <c r="FG206" s="982"/>
      <c r="FH206" s="982"/>
      <c r="FI206" s="982"/>
      <c r="FJ206" s="982"/>
      <c r="FK206" s="982"/>
      <c r="FL206" s="982"/>
      <c r="FM206" s="982"/>
      <c r="FN206" s="982"/>
      <c r="FO206" s="982"/>
      <c r="FP206" s="982"/>
      <c r="FQ206" s="982"/>
      <c r="FR206" s="982"/>
      <c r="FS206" s="982"/>
      <c r="FT206" s="982"/>
      <c r="FU206" s="982"/>
      <c r="FV206" s="982"/>
      <c r="FW206" s="982"/>
      <c r="FX206" s="982"/>
      <c r="FY206" s="982"/>
      <c r="FZ206" s="982"/>
      <c r="GA206" s="982"/>
      <c r="GB206" s="982"/>
      <c r="GC206" s="982"/>
      <c r="GD206" s="982"/>
      <c r="GE206" s="982"/>
      <c r="GF206" s="982"/>
      <c r="GG206" s="982"/>
      <c r="GH206" s="982"/>
      <c r="GI206" s="982"/>
      <c r="GJ206" s="982"/>
      <c r="GK206" s="982"/>
      <c r="GL206" s="982"/>
      <c r="GM206" s="982"/>
      <c r="GN206" s="982"/>
      <c r="GO206" s="982"/>
      <c r="GP206" s="982"/>
      <c r="GQ206" s="982"/>
      <c r="GR206" s="982"/>
      <c r="GS206" s="982"/>
      <c r="GT206" s="982"/>
      <c r="GU206" s="982"/>
      <c r="GV206" s="982"/>
      <c r="GW206" s="982"/>
      <c r="GX206" s="982"/>
      <c r="GY206" s="982"/>
      <c r="GZ206" s="982"/>
      <c r="HA206" s="982"/>
      <c r="HB206" s="982"/>
      <c r="HC206" s="982"/>
      <c r="HD206" s="982"/>
      <c r="HE206" s="982"/>
      <c r="HF206" s="982"/>
      <c r="HG206" s="982"/>
      <c r="HH206" s="982"/>
      <c r="HI206" s="982"/>
      <c r="HJ206" s="982"/>
      <c r="HK206" s="982"/>
      <c r="HL206" s="982"/>
      <c r="HM206" s="982"/>
      <c r="HN206" s="982"/>
      <c r="HO206" s="982"/>
      <c r="HP206" s="982"/>
      <c r="HQ206" s="982"/>
      <c r="HR206" s="982"/>
      <c r="HS206" s="982"/>
      <c r="HT206" s="982"/>
      <c r="HU206" s="982"/>
      <c r="HV206" s="982"/>
      <c r="HW206" s="982"/>
      <c r="HX206" s="982"/>
      <c r="HY206" s="982"/>
      <c r="HZ206" s="982"/>
      <c r="IA206" s="982"/>
      <c r="IB206" s="982"/>
      <c r="IC206" s="982"/>
      <c r="ID206" s="982"/>
      <c r="IE206" s="982"/>
      <c r="IF206" s="982"/>
      <c r="IG206" s="982"/>
      <c r="IH206" s="982"/>
      <c r="II206" s="982"/>
      <c r="IJ206" s="982"/>
      <c r="IK206" s="982"/>
      <c r="IL206" s="982"/>
      <c r="IM206" s="982"/>
      <c r="IN206" s="982"/>
      <c r="IO206" s="982"/>
      <c r="IP206" s="982"/>
      <c r="IQ206" s="982"/>
      <c r="IR206" s="982"/>
      <c r="IS206" s="982"/>
      <c r="IT206" s="982"/>
      <c r="IU206" s="982"/>
      <c r="IV206" s="982"/>
      <c r="IW206" s="982"/>
      <c r="IX206" s="982"/>
      <c r="IZ206" s="1431"/>
      <c r="JA206" s="1036"/>
      <c r="JB206" s="1923" t="s">
        <v>245</v>
      </c>
      <c r="JC206" s="1924"/>
      <c r="JD206" s="1923" t="s">
        <v>247</v>
      </c>
      <c r="JE206" s="1924"/>
      <c r="JF206" s="1923" t="s">
        <v>61</v>
      </c>
      <c r="JG206" s="1924"/>
      <c r="JH206" s="1923" t="s">
        <v>62</v>
      </c>
      <c r="JI206" s="1924"/>
      <c r="JJ206" s="1380" t="s">
        <v>250</v>
      </c>
      <c r="JK206" s="1745"/>
      <c r="JL206" s="1923" t="s">
        <v>64</v>
      </c>
      <c r="JM206" s="1924"/>
      <c r="JN206" s="1923" t="s">
        <v>65</v>
      </c>
      <c r="JO206" s="1924"/>
    </row>
    <row r="207" spans="66:275" ht="54.95" hidden="1" customHeight="1">
      <c r="BN207" s="982"/>
      <c r="BO207" s="982"/>
      <c r="BP207" s="982"/>
      <c r="BQ207" s="982"/>
      <c r="BR207" s="982"/>
      <c r="BS207" s="982"/>
      <c r="BT207" s="982"/>
      <c r="BU207" s="982"/>
      <c r="BV207" s="982"/>
      <c r="BW207" s="982"/>
      <c r="BX207" s="982"/>
      <c r="BY207" s="982"/>
      <c r="BZ207" s="982"/>
      <c r="CA207" s="982"/>
      <c r="CB207" s="982"/>
      <c r="CC207" s="982"/>
      <c r="CD207" s="982"/>
      <c r="CE207" s="982"/>
      <c r="CF207" s="982"/>
      <c r="CG207" s="982"/>
      <c r="CH207" s="982"/>
      <c r="CI207" s="982"/>
      <c r="CJ207" s="982"/>
      <c r="CK207" s="982"/>
      <c r="CL207" s="982"/>
      <c r="CM207" s="982"/>
      <c r="CN207" s="982"/>
      <c r="CO207" s="982"/>
      <c r="CP207" s="982"/>
      <c r="CQ207" s="982"/>
      <c r="CR207" s="982"/>
      <c r="CS207" s="982"/>
      <c r="CT207" s="982"/>
      <c r="CU207" s="982"/>
      <c r="CV207" s="982"/>
      <c r="CW207" s="982"/>
      <c r="CX207" s="982"/>
      <c r="CY207" s="982"/>
      <c r="CZ207" s="982"/>
      <c r="DA207" s="982"/>
      <c r="DB207" s="982"/>
      <c r="DC207" s="982"/>
      <c r="DD207" s="982"/>
      <c r="DE207" s="982"/>
      <c r="DF207" s="982"/>
      <c r="DG207" s="982"/>
      <c r="DH207" s="982"/>
      <c r="DI207" s="982"/>
      <c r="DJ207" s="982"/>
      <c r="DK207" s="982"/>
      <c r="DL207" s="982"/>
      <c r="DM207" s="982"/>
      <c r="DN207" s="982"/>
      <c r="DO207" s="982"/>
      <c r="DP207" s="982"/>
      <c r="DQ207" s="982"/>
      <c r="DR207" s="982"/>
      <c r="DS207" s="982"/>
      <c r="DT207" s="982"/>
      <c r="DU207" s="982"/>
      <c r="DV207" s="982"/>
      <c r="DW207" s="982"/>
      <c r="DX207" s="982"/>
      <c r="DY207" s="982"/>
      <c r="DZ207" s="982"/>
      <c r="EA207" s="982"/>
      <c r="EB207" s="982"/>
      <c r="EC207" s="982"/>
      <c r="ED207" s="982"/>
      <c r="EE207" s="982"/>
      <c r="EF207" s="982"/>
      <c r="EG207" s="982"/>
      <c r="EH207" s="982"/>
      <c r="EI207" s="982"/>
      <c r="EJ207" s="982"/>
      <c r="EK207" s="982"/>
      <c r="EL207" s="982"/>
      <c r="EM207" s="982"/>
      <c r="EN207" s="982"/>
      <c r="EO207" s="982"/>
      <c r="EP207" s="982"/>
      <c r="EQ207" s="982"/>
      <c r="ER207" s="982"/>
      <c r="ES207" s="982"/>
      <c r="ET207" s="982"/>
      <c r="EU207" s="982"/>
      <c r="EV207" s="982"/>
      <c r="EW207" s="982"/>
      <c r="EX207" s="982"/>
      <c r="EY207" s="982"/>
      <c r="EZ207" s="982"/>
      <c r="FA207" s="982"/>
      <c r="FB207" s="982"/>
      <c r="FC207" s="982"/>
      <c r="FD207" s="982"/>
      <c r="FE207" s="982"/>
      <c r="FF207" s="982"/>
      <c r="FG207" s="982"/>
      <c r="FH207" s="982"/>
      <c r="FI207" s="982"/>
      <c r="FJ207" s="982"/>
      <c r="FK207" s="982"/>
      <c r="FL207" s="982"/>
      <c r="FM207" s="982"/>
      <c r="FN207" s="982"/>
      <c r="FO207" s="982"/>
      <c r="FP207" s="982"/>
      <c r="FQ207" s="982"/>
      <c r="FR207" s="982"/>
      <c r="FS207" s="982"/>
      <c r="FT207" s="982"/>
      <c r="FU207" s="982"/>
      <c r="FV207" s="982"/>
      <c r="FW207" s="982"/>
      <c r="FX207" s="982"/>
      <c r="FY207" s="982"/>
      <c r="FZ207" s="982"/>
      <c r="GA207" s="982"/>
      <c r="GB207" s="982"/>
      <c r="GC207" s="982"/>
      <c r="GD207" s="982"/>
      <c r="GE207" s="982"/>
      <c r="GF207" s="982"/>
      <c r="GG207" s="982"/>
      <c r="GH207" s="982"/>
      <c r="GI207" s="982"/>
      <c r="GJ207" s="982"/>
      <c r="GK207" s="982"/>
      <c r="GL207" s="982"/>
      <c r="GM207" s="982"/>
      <c r="GN207" s="982"/>
      <c r="GO207" s="982"/>
      <c r="GP207" s="982"/>
      <c r="GQ207" s="982"/>
      <c r="GR207" s="982"/>
      <c r="GS207" s="982"/>
      <c r="GT207" s="982"/>
      <c r="GU207" s="982"/>
      <c r="GV207" s="982"/>
      <c r="GW207" s="982"/>
      <c r="GX207" s="982"/>
      <c r="GY207" s="982"/>
      <c r="GZ207" s="982"/>
      <c r="HA207" s="982"/>
      <c r="HB207" s="982"/>
      <c r="HC207" s="982"/>
      <c r="HD207" s="982"/>
      <c r="HE207" s="982"/>
      <c r="HF207" s="982"/>
      <c r="HG207" s="982"/>
      <c r="HH207" s="982"/>
      <c r="HI207" s="982"/>
      <c r="HJ207" s="982"/>
      <c r="HK207" s="982"/>
      <c r="HL207" s="982"/>
      <c r="HM207" s="982"/>
      <c r="HN207" s="982"/>
      <c r="HO207" s="982"/>
      <c r="HP207" s="982"/>
      <c r="HQ207" s="982"/>
      <c r="HR207" s="982"/>
      <c r="HS207" s="982"/>
      <c r="HT207" s="982"/>
      <c r="HU207" s="982"/>
      <c r="HV207" s="982"/>
      <c r="HW207" s="982"/>
      <c r="HX207" s="982"/>
      <c r="HY207" s="982"/>
      <c r="HZ207" s="982"/>
      <c r="IA207" s="982"/>
      <c r="IB207" s="982"/>
      <c r="IC207" s="982"/>
      <c r="ID207" s="982"/>
      <c r="IE207" s="982"/>
      <c r="IF207" s="982"/>
      <c r="IG207" s="982"/>
      <c r="IH207" s="982"/>
      <c r="II207" s="982"/>
      <c r="IJ207" s="982"/>
      <c r="IK207" s="982"/>
      <c r="IL207" s="982"/>
      <c r="IM207" s="982"/>
      <c r="IN207" s="982"/>
      <c r="IO207" s="982"/>
      <c r="IP207" s="982"/>
      <c r="IQ207" s="982"/>
      <c r="IR207" s="982"/>
      <c r="IS207" s="982"/>
      <c r="IT207" s="982"/>
      <c r="IU207" s="982"/>
      <c r="IV207" s="982"/>
      <c r="IW207" s="982"/>
      <c r="IX207" s="982"/>
      <c r="IZ207" s="1432"/>
      <c r="JA207" s="1382" t="s">
        <v>323</v>
      </c>
      <c r="JB207" s="1057" t="s">
        <v>324</v>
      </c>
      <c r="JC207" s="1058" t="s">
        <v>325</v>
      </c>
      <c r="JD207" s="1057" t="s">
        <v>324</v>
      </c>
      <c r="JE207" s="1058" t="s">
        <v>325</v>
      </c>
      <c r="JF207" s="1057" t="s">
        <v>324</v>
      </c>
      <c r="JG207" s="1058" t="s">
        <v>325</v>
      </c>
      <c r="JH207" s="1057" t="s">
        <v>324</v>
      </c>
      <c r="JI207" s="1058" t="s">
        <v>325</v>
      </c>
      <c r="JJ207" s="1378" t="s">
        <v>324</v>
      </c>
      <c r="JK207" s="1058" t="s">
        <v>325</v>
      </c>
      <c r="JL207" s="1378" t="s">
        <v>324</v>
      </c>
      <c r="JM207" s="1058" t="s">
        <v>325</v>
      </c>
      <c r="JN207" s="1057" t="s">
        <v>324</v>
      </c>
      <c r="JO207" s="1058" t="s">
        <v>325</v>
      </c>
    </row>
    <row r="208" spans="66:275" ht="24.95" hidden="1" customHeight="1">
      <c r="BN208" s="982"/>
      <c r="BO208" s="982"/>
      <c r="BP208" s="982"/>
      <c r="BQ208" s="982"/>
      <c r="BR208" s="982"/>
      <c r="BS208" s="982"/>
      <c r="BT208" s="982"/>
      <c r="BU208" s="982"/>
      <c r="BV208" s="982"/>
      <c r="BW208" s="982"/>
      <c r="BX208" s="982"/>
      <c r="BY208" s="982"/>
      <c r="BZ208" s="982"/>
      <c r="CA208" s="982"/>
      <c r="CB208" s="982"/>
      <c r="CC208" s="982"/>
      <c r="CD208" s="982"/>
      <c r="CE208" s="982"/>
      <c r="CF208" s="982"/>
      <c r="CG208" s="982"/>
      <c r="CH208" s="982"/>
      <c r="CI208" s="982"/>
      <c r="CJ208" s="982"/>
      <c r="CK208" s="982"/>
      <c r="CL208" s="982"/>
      <c r="CM208" s="982"/>
      <c r="CN208" s="982"/>
      <c r="CO208" s="982"/>
      <c r="CP208" s="982"/>
      <c r="CQ208" s="982"/>
      <c r="CR208" s="982"/>
      <c r="CS208" s="982"/>
      <c r="CT208" s="982"/>
      <c r="CU208" s="982"/>
      <c r="CV208" s="982"/>
      <c r="CW208" s="982"/>
      <c r="CX208" s="982"/>
      <c r="CY208" s="982"/>
      <c r="CZ208" s="982"/>
      <c r="DA208" s="982"/>
      <c r="DB208" s="982"/>
      <c r="DC208" s="982"/>
      <c r="DD208" s="982"/>
      <c r="DE208" s="982"/>
      <c r="DF208" s="982"/>
      <c r="DG208" s="982"/>
      <c r="DH208" s="982"/>
      <c r="DI208" s="982"/>
      <c r="DJ208" s="982"/>
      <c r="DK208" s="982"/>
      <c r="DL208" s="982"/>
      <c r="DM208" s="982"/>
      <c r="DN208" s="982"/>
      <c r="DO208" s="982"/>
      <c r="DP208" s="982"/>
      <c r="DQ208" s="982"/>
      <c r="DR208" s="982"/>
      <c r="DS208" s="982"/>
      <c r="DT208" s="982"/>
      <c r="DU208" s="982"/>
      <c r="DV208" s="982"/>
      <c r="DW208" s="982"/>
      <c r="DX208" s="982"/>
      <c r="DY208" s="982"/>
      <c r="DZ208" s="982"/>
      <c r="EA208" s="982"/>
      <c r="EB208" s="982"/>
      <c r="EC208" s="982"/>
      <c r="ED208" s="982"/>
      <c r="EE208" s="982"/>
      <c r="EF208" s="982"/>
      <c r="EG208" s="982"/>
      <c r="EH208" s="982"/>
      <c r="EI208" s="982"/>
      <c r="EJ208" s="982"/>
      <c r="EK208" s="982"/>
      <c r="EL208" s="982"/>
      <c r="EM208" s="982"/>
      <c r="EN208" s="982"/>
      <c r="EO208" s="982"/>
      <c r="EP208" s="982"/>
      <c r="EQ208" s="982"/>
      <c r="ER208" s="982"/>
      <c r="ES208" s="982"/>
      <c r="ET208" s="982"/>
      <c r="EU208" s="982"/>
      <c r="EV208" s="982"/>
      <c r="EW208" s="982"/>
      <c r="EX208" s="982"/>
      <c r="EY208" s="982"/>
      <c r="EZ208" s="982"/>
      <c r="FA208" s="982"/>
      <c r="FB208" s="982"/>
      <c r="FC208" s="982"/>
      <c r="FD208" s="982"/>
      <c r="FE208" s="982"/>
      <c r="FF208" s="982"/>
      <c r="FG208" s="982"/>
      <c r="FH208" s="982"/>
      <c r="FI208" s="982"/>
      <c r="FJ208" s="982"/>
      <c r="FK208" s="982"/>
      <c r="FL208" s="982"/>
      <c r="FM208" s="982"/>
      <c r="FN208" s="982"/>
      <c r="FO208" s="982"/>
      <c r="FP208" s="982"/>
      <c r="FQ208" s="982"/>
      <c r="FR208" s="982"/>
      <c r="FS208" s="982"/>
      <c r="FT208" s="982"/>
      <c r="FU208" s="982"/>
      <c r="FV208" s="982"/>
      <c r="FW208" s="982"/>
      <c r="FX208" s="982"/>
      <c r="FY208" s="982"/>
      <c r="FZ208" s="982"/>
      <c r="GA208" s="982"/>
      <c r="GB208" s="982"/>
      <c r="GC208" s="982"/>
      <c r="GD208" s="982"/>
      <c r="GE208" s="982"/>
      <c r="GF208" s="982"/>
      <c r="GG208" s="982"/>
      <c r="GH208" s="982"/>
      <c r="GI208" s="982"/>
      <c r="GJ208" s="982"/>
      <c r="GK208" s="982"/>
      <c r="GL208" s="982"/>
      <c r="GM208" s="982"/>
      <c r="GN208" s="982"/>
      <c r="GO208" s="982"/>
      <c r="GP208" s="982"/>
      <c r="GQ208" s="982"/>
      <c r="GR208" s="982"/>
      <c r="GS208" s="982"/>
      <c r="GT208" s="982"/>
      <c r="GU208" s="982"/>
      <c r="GV208" s="982"/>
      <c r="GW208" s="982"/>
      <c r="GX208" s="982"/>
      <c r="GY208" s="982"/>
      <c r="GZ208" s="982"/>
      <c r="HA208" s="982"/>
      <c r="HB208" s="982"/>
      <c r="HC208" s="982"/>
      <c r="HD208" s="982"/>
      <c r="HE208" s="982"/>
      <c r="HF208" s="982"/>
      <c r="HG208" s="982"/>
      <c r="HH208" s="982"/>
      <c r="HI208" s="982"/>
      <c r="HJ208" s="982"/>
      <c r="HK208" s="982"/>
      <c r="HL208" s="982"/>
      <c r="HM208" s="982"/>
      <c r="HN208" s="982"/>
      <c r="HO208" s="982"/>
      <c r="HP208" s="982"/>
      <c r="HQ208" s="982"/>
      <c r="HR208" s="982"/>
      <c r="HS208" s="982"/>
      <c r="HT208" s="982"/>
      <c r="HU208" s="982"/>
      <c r="HV208" s="982"/>
      <c r="HW208" s="982"/>
      <c r="HX208" s="982"/>
      <c r="HY208" s="982"/>
      <c r="HZ208" s="982"/>
      <c r="IA208" s="982"/>
      <c r="IB208" s="982"/>
      <c r="IC208" s="982"/>
      <c r="ID208" s="982"/>
      <c r="IE208" s="982"/>
      <c r="IF208" s="982"/>
      <c r="IG208" s="982"/>
      <c r="IH208" s="982"/>
      <c r="II208" s="982"/>
      <c r="IJ208" s="982"/>
      <c r="IK208" s="982"/>
      <c r="IL208" s="982"/>
      <c r="IM208" s="982"/>
      <c r="IN208" s="982"/>
      <c r="IO208" s="982"/>
      <c r="IP208" s="982"/>
      <c r="IQ208" s="982"/>
      <c r="IR208" s="982"/>
      <c r="IS208" s="982"/>
      <c r="IT208" s="982"/>
      <c r="IU208" s="982"/>
      <c r="IV208" s="982"/>
      <c r="IW208" s="982"/>
      <c r="IX208" s="982"/>
      <c r="IZ208" s="1432"/>
      <c r="JA208" s="982"/>
      <c r="JB208" s="1059"/>
      <c r="JC208" s="1043" t="s">
        <v>26</v>
      </c>
      <c r="JD208" s="1059"/>
      <c r="JE208" s="1043" t="s">
        <v>26</v>
      </c>
      <c r="JF208" s="1059"/>
      <c r="JG208" s="1043" t="s">
        <v>26</v>
      </c>
      <c r="JH208" s="1059"/>
      <c r="JI208" s="1043" t="s">
        <v>26</v>
      </c>
      <c r="JJ208" s="1037"/>
      <c r="JK208" s="1043" t="s">
        <v>26</v>
      </c>
      <c r="JL208" s="1037"/>
      <c r="JM208" s="1043" t="s">
        <v>26</v>
      </c>
      <c r="JN208" s="1059"/>
      <c r="JO208" s="1043" t="s">
        <v>26</v>
      </c>
    </row>
    <row r="209" spans="66:275" ht="24.95" hidden="1" customHeight="1">
      <c r="BN209" s="982"/>
      <c r="BO209" s="982"/>
      <c r="BP209" s="982"/>
      <c r="BQ209" s="982"/>
      <c r="BR209" s="982"/>
      <c r="BS209" s="982"/>
      <c r="BT209" s="982"/>
      <c r="BU209" s="982"/>
      <c r="BV209" s="982"/>
      <c r="BW209" s="982"/>
      <c r="BX209" s="982"/>
      <c r="BY209" s="982"/>
      <c r="BZ209" s="982"/>
      <c r="CA209" s="982"/>
      <c r="CB209" s="982"/>
      <c r="CC209" s="982"/>
      <c r="CD209" s="982"/>
      <c r="CE209" s="982"/>
      <c r="CF209" s="982"/>
      <c r="CG209" s="982"/>
      <c r="CH209" s="982"/>
      <c r="CI209" s="982"/>
      <c r="CJ209" s="982"/>
      <c r="CK209" s="982"/>
      <c r="CL209" s="982"/>
      <c r="CM209" s="982"/>
      <c r="CN209" s="982"/>
      <c r="CO209" s="982"/>
      <c r="CP209" s="982"/>
      <c r="CQ209" s="982"/>
      <c r="CR209" s="982"/>
      <c r="CS209" s="982"/>
      <c r="CT209" s="982"/>
      <c r="CU209" s="982"/>
      <c r="CV209" s="982"/>
      <c r="CW209" s="982"/>
      <c r="CX209" s="982"/>
      <c r="CY209" s="982"/>
      <c r="CZ209" s="982"/>
      <c r="DA209" s="982"/>
      <c r="DB209" s="982"/>
      <c r="DC209" s="982"/>
      <c r="DD209" s="982"/>
      <c r="DE209" s="982"/>
      <c r="DF209" s="982"/>
      <c r="DG209" s="982"/>
      <c r="DH209" s="982"/>
      <c r="DI209" s="982"/>
      <c r="DJ209" s="982"/>
      <c r="DK209" s="982"/>
      <c r="DL209" s="982"/>
      <c r="DM209" s="982"/>
      <c r="DN209" s="982"/>
      <c r="DO209" s="982"/>
      <c r="DP209" s="982"/>
      <c r="DQ209" s="982"/>
      <c r="DR209" s="982"/>
      <c r="DS209" s="982"/>
      <c r="DT209" s="982"/>
      <c r="DU209" s="982"/>
      <c r="DV209" s="982"/>
      <c r="DW209" s="982"/>
      <c r="DX209" s="982"/>
      <c r="DY209" s="982"/>
      <c r="DZ209" s="982"/>
      <c r="EA209" s="982"/>
      <c r="EB209" s="982"/>
      <c r="EC209" s="982"/>
      <c r="ED209" s="982"/>
      <c r="EE209" s="982"/>
      <c r="EF209" s="982"/>
      <c r="EG209" s="982"/>
      <c r="EH209" s="982"/>
      <c r="EI209" s="982"/>
      <c r="EJ209" s="982"/>
      <c r="EK209" s="982"/>
      <c r="EL209" s="982"/>
      <c r="EM209" s="982"/>
      <c r="EN209" s="982"/>
      <c r="EO209" s="982"/>
      <c r="EP209" s="982"/>
      <c r="EQ209" s="982"/>
      <c r="ER209" s="982"/>
      <c r="ES209" s="982"/>
      <c r="ET209" s="982"/>
      <c r="EU209" s="982"/>
      <c r="EV209" s="982"/>
      <c r="EW209" s="982"/>
      <c r="EX209" s="982"/>
      <c r="EY209" s="982"/>
      <c r="EZ209" s="982"/>
      <c r="FA209" s="982"/>
      <c r="FB209" s="982"/>
      <c r="FC209" s="982"/>
      <c r="FD209" s="982"/>
      <c r="FE209" s="982"/>
      <c r="FF209" s="982"/>
      <c r="FG209" s="982"/>
      <c r="FH209" s="982"/>
      <c r="FI209" s="982"/>
      <c r="FJ209" s="982"/>
      <c r="FK209" s="982"/>
      <c r="FL209" s="982"/>
      <c r="FM209" s="982"/>
      <c r="FN209" s="982"/>
      <c r="FO209" s="982"/>
      <c r="FP209" s="982"/>
      <c r="FQ209" s="982"/>
      <c r="FR209" s="982"/>
      <c r="FS209" s="982"/>
      <c r="FT209" s="982"/>
      <c r="FU209" s="982"/>
      <c r="FV209" s="982"/>
      <c r="FW209" s="982"/>
      <c r="FX209" s="982"/>
      <c r="FY209" s="982"/>
      <c r="FZ209" s="982"/>
      <c r="GA209" s="982"/>
      <c r="GB209" s="982"/>
      <c r="GC209" s="982"/>
      <c r="GD209" s="982"/>
      <c r="GE209" s="982"/>
      <c r="GF209" s="982"/>
      <c r="GG209" s="982"/>
      <c r="GH209" s="982"/>
      <c r="GI209" s="982"/>
      <c r="GJ209" s="982"/>
      <c r="GK209" s="982"/>
      <c r="GL209" s="982"/>
      <c r="GM209" s="982"/>
      <c r="GN209" s="982"/>
      <c r="GO209" s="982"/>
      <c r="GP209" s="982"/>
      <c r="GQ209" s="982"/>
      <c r="GR209" s="982"/>
      <c r="GS209" s="982"/>
      <c r="GT209" s="982"/>
      <c r="GU209" s="982"/>
      <c r="GV209" s="982"/>
      <c r="GW209" s="982"/>
      <c r="GX209" s="982"/>
      <c r="GY209" s="982"/>
      <c r="GZ209" s="982"/>
      <c r="HA209" s="982"/>
      <c r="HB209" s="982"/>
      <c r="HC209" s="982"/>
      <c r="HD209" s="982"/>
      <c r="HE209" s="982"/>
      <c r="HF209" s="982"/>
      <c r="HG209" s="982"/>
      <c r="HH209" s="982"/>
      <c r="HI209" s="982"/>
      <c r="HJ209" s="982"/>
      <c r="HK209" s="982"/>
      <c r="HL209" s="982"/>
      <c r="HM209" s="982"/>
      <c r="HN209" s="982"/>
      <c r="HO209" s="982"/>
      <c r="HP209" s="982"/>
      <c r="HQ209" s="982"/>
      <c r="HR209" s="982"/>
      <c r="HS209" s="982"/>
      <c r="HT209" s="982"/>
      <c r="HU209" s="982"/>
      <c r="HV209" s="982"/>
      <c r="HW209" s="982"/>
      <c r="HX209" s="982"/>
      <c r="HY209" s="982"/>
      <c r="HZ209" s="982"/>
      <c r="IA209" s="982"/>
      <c r="IB209" s="982"/>
      <c r="IC209" s="982"/>
      <c r="ID209" s="982"/>
      <c r="IE209" s="982"/>
      <c r="IF209" s="982"/>
      <c r="IG209" s="982"/>
      <c r="IH209" s="982"/>
      <c r="II209" s="982"/>
      <c r="IJ209" s="982"/>
      <c r="IK209" s="982"/>
      <c r="IL209" s="982"/>
      <c r="IM209" s="982"/>
      <c r="IN209" s="982"/>
      <c r="IO209" s="982"/>
      <c r="IP209" s="982"/>
      <c r="IQ209" s="982"/>
      <c r="IR209" s="982"/>
      <c r="IS209" s="982"/>
      <c r="IT209" s="982"/>
      <c r="IU209" s="982"/>
      <c r="IV209" s="982"/>
      <c r="IW209" s="982"/>
      <c r="IX209" s="982"/>
      <c r="IZ209" s="1484">
        <v>1</v>
      </c>
      <c r="JA209" s="1616">
        <v>2</v>
      </c>
      <c r="JB209" s="1046">
        <v>3</v>
      </c>
      <c r="JC209" s="1060">
        <v>4</v>
      </c>
      <c r="JD209" s="1046">
        <v>5</v>
      </c>
      <c r="JE209" s="1060">
        <v>6</v>
      </c>
      <c r="JF209" s="1046">
        <v>7</v>
      </c>
      <c r="JG209" s="1060">
        <v>8</v>
      </c>
      <c r="JH209" s="1046">
        <v>9</v>
      </c>
      <c r="JI209" s="1060">
        <v>10</v>
      </c>
      <c r="JJ209" s="1049">
        <v>11</v>
      </c>
      <c r="JK209" s="1060">
        <v>12</v>
      </c>
      <c r="JL209" s="1049">
        <v>13</v>
      </c>
      <c r="JM209" s="1060">
        <v>14</v>
      </c>
      <c r="JN209" s="1046">
        <v>15</v>
      </c>
      <c r="JO209" s="1060">
        <v>16</v>
      </c>
    </row>
    <row r="210" spans="66:275" ht="30" hidden="1" customHeight="1">
      <c r="BN210" s="982"/>
      <c r="BO210" s="982"/>
      <c r="BP210" s="982"/>
      <c r="BQ210" s="982"/>
      <c r="BR210" s="982"/>
      <c r="BS210" s="982"/>
      <c r="BT210" s="982"/>
      <c r="BU210" s="982"/>
      <c r="BV210" s="982"/>
      <c r="BW210" s="982"/>
      <c r="BX210" s="982"/>
      <c r="BY210" s="982"/>
      <c r="BZ210" s="982"/>
      <c r="CA210" s="982"/>
      <c r="CB210" s="982"/>
      <c r="CC210" s="982"/>
      <c r="CD210" s="982"/>
      <c r="CE210" s="982"/>
      <c r="CF210" s="982"/>
      <c r="CG210" s="982"/>
      <c r="CH210" s="982"/>
      <c r="CI210" s="982"/>
      <c r="CJ210" s="982"/>
      <c r="CK210" s="982"/>
      <c r="CL210" s="982"/>
      <c r="CM210" s="982"/>
      <c r="CN210" s="982"/>
      <c r="CO210" s="982"/>
      <c r="CP210" s="982"/>
      <c r="CQ210" s="982"/>
      <c r="CR210" s="982"/>
      <c r="CS210" s="982"/>
      <c r="CT210" s="982"/>
      <c r="CU210" s="982"/>
      <c r="CV210" s="982"/>
      <c r="CW210" s="982"/>
      <c r="CX210" s="982"/>
      <c r="CY210" s="982"/>
      <c r="CZ210" s="982"/>
      <c r="DA210" s="982"/>
      <c r="DB210" s="982"/>
      <c r="DC210" s="982"/>
      <c r="DD210" s="982"/>
      <c r="DE210" s="982"/>
      <c r="DF210" s="982"/>
      <c r="DG210" s="982"/>
      <c r="DH210" s="982"/>
      <c r="DI210" s="982"/>
      <c r="DJ210" s="982"/>
      <c r="DK210" s="982"/>
      <c r="DL210" s="982"/>
      <c r="DM210" s="982"/>
      <c r="DN210" s="982"/>
      <c r="DO210" s="982"/>
      <c r="DP210" s="982"/>
      <c r="DQ210" s="982"/>
      <c r="DR210" s="982"/>
      <c r="DS210" s="982"/>
      <c r="DT210" s="982"/>
      <c r="DU210" s="982"/>
      <c r="DV210" s="982"/>
      <c r="DW210" s="982"/>
      <c r="DX210" s="982"/>
      <c r="DY210" s="982"/>
      <c r="DZ210" s="982"/>
      <c r="EA210" s="982"/>
      <c r="EB210" s="982"/>
      <c r="EC210" s="982"/>
      <c r="ED210" s="982"/>
      <c r="EE210" s="982"/>
      <c r="EF210" s="982"/>
      <c r="EG210" s="982"/>
      <c r="EH210" s="982"/>
      <c r="EI210" s="982"/>
      <c r="EJ210" s="982"/>
      <c r="EK210" s="982"/>
      <c r="EL210" s="982"/>
      <c r="EM210" s="982"/>
      <c r="EN210" s="982"/>
      <c r="EO210" s="982"/>
      <c r="EP210" s="982"/>
      <c r="EQ210" s="982"/>
      <c r="ER210" s="982"/>
      <c r="ES210" s="982"/>
      <c r="ET210" s="982"/>
      <c r="EU210" s="982"/>
      <c r="EV210" s="982"/>
      <c r="EW210" s="982"/>
      <c r="EX210" s="982"/>
      <c r="EY210" s="982"/>
      <c r="EZ210" s="982"/>
      <c r="FA210" s="982"/>
      <c r="FB210" s="982"/>
      <c r="FC210" s="982"/>
      <c r="FD210" s="982"/>
      <c r="FE210" s="982"/>
      <c r="FF210" s="982"/>
      <c r="FG210" s="982"/>
      <c r="FH210" s="982"/>
      <c r="FI210" s="982"/>
      <c r="FJ210" s="982"/>
      <c r="FK210" s="982"/>
      <c r="FL210" s="982"/>
      <c r="FM210" s="982"/>
      <c r="FN210" s="982"/>
      <c r="FO210" s="982"/>
      <c r="FP210" s="982"/>
      <c r="FQ210" s="982"/>
      <c r="FR210" s="982"/>
      <c r="FS210" s="982"/>
      <c r="FT210" s="982"/>
      <c r="FU210" s="982"/>
      <c r="FV210" s="982"/>
      <c r="FW210" s="982"/>
      <c r="FX210" s="982"/>
      <c r="FY210" s="982"/>
      <c r="FZ210" s="982"/>
      <c r="GA210" s="982"/>
      <c r="GB210" s="982"/>
      <c r="GC210" s="982"/>
      <c r="GD210" s="982"/>
      <c r="GE210" s="982"/>
      <c r="GF210" s="982"/>
      <c r="GG210" s="982"/>
      <c r="GH210" s="982"/>
      <c r="GI210" s="982"/>
      <c r="GJ210" s="982"/>
      <c r="GK210" s="982"/>
      <c r="GL210" s="982"/>
      <c r="GM210" s="982"/>
      <c r="GN210" s="982"/>
      <c r="GO210" s="982"/>
      <c r="GP210" s="982"/>
      <c r="GQ210" s="982"/>
      <c r="GR210" s="982"/>
      <c r="GS210" s="982"/>
      <c r="GT210" s="982"/>
      <c r="GU210" s="982"/>
      <c r="GV210" s="982"/>
      <c r="GW210" s="982"/>
      <c r="GX210" s="982"/>
      <c r="GY210" s="982"/>
      <c r="GZ210" s="982"/>
      <c r="HA210" s="982"/>
      <c r="HB210" s="982"/>
      <c r="HC210" s="982"/>
      <c r="HD210" s="982"/>
      <c r="HE210" s="982"/>
      <c r="HF210" s="982"/>
      <c r="HG210" s="982"/>
      <c r="HH210" s="982"/>
      <c r="HI210" s="982"/>
      <c r="HJ210" s="982"/>
      <c r="HK210" s="982"/>
      <c r="HL210" s="982"/>
      <c r="HM210" s="982"/>
      <c r="HN210" s="982"/>
      <c r="HO210" s="982"/>
      <c r="HP210" s="982"/>
      <c r="HQ210" s="982"/>
      <c r="HR210" s="982"/>
      <c r="HS210" s="982"/>
      <c r="HT210" s="982"/>
      <c r="HU210" s="982"/>
      <c r="HV210" s="982"/>
      <c r="HW210" s="982"/>
      <c r="HX210" s="982"/>
      <c r="HY210" s="982"/>
      <c r="HZ210" s="982"/>
      <c r="IA210" s="982"/>
      <c r="IB210" s="982"/>
      <c r="IC210" s="982"/>
      <c r="ID210" s="982"/>
      <c r="IE210" s="982"/>
      <c r="IF210" s="982"/>
      <c r="IG210" s="982"/>
      <c r="IH210" s="982"/>
      <c r="II210" s="982"/>
      <c r="IJ210" s="982"/>
      <c r="IK210" s="982"/>
      <c r="IL210" s="982"/>
      <c r="IM210" s="982"/>
      <c r="IN210" s="982"/>
      <c r="IO210" s="982"/>
      <c r="IP210" s="982"/>
      <c r="IQ210" s="982"/>
      <c r="IR210" s="982"/>
      <c r="IS210" s="982"/>
      <c r="IT210" s="982"/>
      <c r="IU210" s="982"/>
      <c r="IV210" s="982"/>
      <c r="IW210" s="982"/>
      <c r="IX210" s="982"/>
      <c r="IZ210" s="1432"/>
      <c r="JA210" s="1736" t="s">
        <v>95</v>
      </c>
      <c r="JB210" s="1059"/>
      <c r="JC210" s="1061"/>
      <c r="JD210" s="1059"/>
      <c r="JE210" s="1061"/>
      <c r="JF210" s="1059"/>
      <c r="JG210" s="1061"/>
      <c r="JH210" s="1059"/>
      <c r="JI210" s="1061"/>
      <c r="JJ210" s="1037"/>
      <c r="JK210" s="1061"/>
      <c r="JL210" s="1037"/>
      <c r="JM210" s="1061"/>
      <c r="JN210" s="1059"/>
      <c r="JO210" s="1061"/>
    </row>
    <row r="211" spans="66:275" ht="24.95" hidden="1" customHeight="1">
      <c r="BN211" s="982"/>
      <c r="BO211" s="982"/>
      <c r="BP211" s="982"/>
      <c r="BQ211" s="982"/>
      <c r="BR211" s="982"/>
      <c r="BS211" s="982"/>
      <c r="BT211" s="982"/>
      <c r="BU211" s="982"/>
      <c r="BV211" s="982"/>
      <c r="BW211" s="982"/>
      <c r="BX211" s="982"/>
      <c r="BY211" s="982"/>
      <c r="BZ211" s="982"/>
      <c r="CA211" s="982"/>
      <c r="CB211" s="982"/>
      <c r="CC211" s="982"/>
      <c r="CD211" s="982"/>
      <c r="CE211" s="982"/>
      <c r="CF211" s="982"/>
      <c r="CG211" s="982"/>
      <c r="CH211" s="982"/>
      <c r="CI211" s="982"/>
      <c r="CJ211" s="982"/>
      <c r="CK211" s="982"/>
      <c r="CL211" s="982"/>
      <c r="CM211" s="982"/>
      <c r="CN211" s="982"/>
      <c r="CO211" s="982"/>
      <c r="CP211" s="982"/>
      <c r="CQ211" s="982"/>
      <c r="CR211" s="982"/>
      <c r="CS211" s="982"/>
      <c r="CT211" s="982"/>
      <c r="CU211" s="982"/>
      <c r="CV211" s="982"/>
      <c r="CW211" s="982"/>
      <c r="CX211" s="982"/>
      <c r="CY211" s="982"/>
      <c r="CZ211" s="982"/>
      <c r="DA211" s="982"/>
      <c r="DB211" s="982"/>
      <c r="DC211" s="982"/>
      <c r="DD211" s="982"/>
      <c r="DE211" s="982"/>
      <c r="DF211" s="982"/>
      <c r="DG211" s="982"/>
      <c r="DH211" s="982"/>
      <c r="DI211" s="982"/>
      <c r="DJ211" s="982"/>
      <c r="DK211" s="982"/>
      <c r="DL211" s="982"/>
      <c r="DM211" s="982"/>
      <c r="DN211" s="982"/>
      <c r="DO211" s="982"/>
      <c r="DP211" s="982"/>
      <c r="DQ211" s="982"/>
      <c r="DR211" s="982"/>
      <c r="DS211" s="982"/>
      <c r="DT211" s="982"/>
      <c r="DU211" s="982"/>
      <c r="DV211" s="982"/>
      <c r="DW211" s="982"/>
      <c r="DX211" s="982"/>
      <c r="DY211" s="982"/>
      <c r="DZ211" s="982"/>
      <c r="EA211" s="982"/>
      <c r="EB211" s="982"/>
      <c r="EC211" s="982"/>
      <c r="ED211" s="982"/>
      <c r="EE211" s="982"/>
      <c r="EF211" s="982"/>
      <c r="EG211" s="982"/>
      <c r="EH211" s="982"/>
      <c r="EI211" s="982"/>
      <c r="EJ211" s="982"/>
      <c r="EK211" s="982"/>
      <c r="EL211" s="982"/>
      <c r="EM211" s="982"/>
      <c r="EN211" s="982"/>
      <c r="EO211" s="982"/>
      <c r="EP211" s="982"/>
      <c r="EQ211" s="982"/>
      <c r="ER211" s="982"/>
      <c r="ES211" s="982"/>
      <c r="ET211" s="982"/>
      <c r="EU211" s="982"/>
      <c r="EV211" s="982"/>
      <c r="EW211" s="982"/>
      <c r="EX211" s="982"/>
      <c r="EY211" s="982"/>
      <c r="EZ211" s="982"/>
      <c r="FA211" s="982"/>
      <c r="FB211" s="982"/>
      <c r="FC211" s="982"/>
      <c r="FD211" s="982"/>
      <c r="FE211" s="982"/>
      <c r="FF211" s="982"/>
      <c r="FG211" s="982"/>
      <c r="FH211" s="982"/>
      <c r="FI211" s="982"/>
      <c r="FJ211" s="982"/>
      <c r="FK211" s="982"/>
      <c r="FL211" s="982"/>
      <c r="FM211" s="982"/>
      <c r="FN211" s="982"/>
      <c r="FO211" s="982"/>
      <c r="FP211" s="982"/>
      <c r="FQ211" s="982"/>
      <c r="FR211" s="982"/>
      <c r="FS211" s="982"/>
      <c r="FT211" s="982"/>
      <c r="FU211" s="982"/>
      <c r="FV211" s="982"/>
      <c r="FW211" s="982"/>
      <c r="FX211" s="982"/>
      <c r="FY211" s="982"/>
      <c r="FZ211" s="982"/>
      <c r="GA211" s="982"/>
      <c r="GB211" s="982"/>
      <c r="GC211" s="982"/>
      <c r="GD211" s="982"/>
      <c r="GE211" s="982"/>
      <c r="GF211" s="982"/>
      <c r="GG211" s="982"/>
      <c r="GH211" s="982"/>
      <c r="GI211" s="982"/>
      <c r="GJ211" s="982"/>
      <c r="GK211" s="982"/>
      <c r="GL211" s="982"/>
      <c r="GM211" s="982"/>
      <c r="GN211" s="982"/>
      <c r="GO211" s="982"/>
      <c r="GP211" s="982"/>
      <c r="GQ211" s="982"/>
      <c r="GR211" s="982"/>
      <c r="GS211" s="982"/>
      <c r="GT211" s="982"/>
      <c r="GU211" s="982"/>
      <c r="GV211" s="982"/>
      <c r="GW211" s="982"/>
      <c r="GX211" s="982"/>
      <c r="GY211" s="982"/>
      <c r="GZ211" s="982"/>
      <c r="HA211" s="982"/>
      <c r="HB211" s="982"/>
      <c r="HC211" s="982"/>
      <c r="HD211" s="982"/>
      <c r="HE211" s="982"/>
      <c r="HF211" s="982"/>
      <c r="HG211" s="982"/>
      <c r="HH211" s="982"/>
      <c r="HI211" s="982"/>
      <c r="HJ211" s="982"/>
      <c r="HK211" s="982"/>
      <c r="HL211" s="982"/>
      <c r="HM211" s="982"/>
      <c r="HN211" s="982"/>
      <c r="HO211" s="982"/>
      <c r="HP211" s="982"/>
      <c r="HQ211" s="982"/>
      <c r="HR211" s="982"/>
      <c r="HS211" s="982"/>
      <c r="HT211" s="982"/>
      <c r="HU211" s="982"/>
      <c r="HV211" s="982"/>
      <c r="HW211" s="982"/>
      <c r="HX211" s="982"/>
      <c r="HY211" s="982"/>
      <c r="HZ211" s="982"/>
      <c r="IA211" s="982"/>
      <c r="IB211" s="982"/>
      <c r="IC211" s="982"/>
      <c r="ID211" s="982"/>
      <c r="IE211" s="982"/>
      <c r="IF211" s="982"/>
      <c r="IG211" s="982"/>
      <c r="IH211" s="982"/>
      <c r="II211" s="982"/>
      <c r="IJ211" s="982"/>
      <c r="IK211" s="982"/>
      <c r="IL211" s="982"/>
      <c r="IM211" s="982"/>
      <c r="IN211" s="982"/>
      <c r="IO211" s="982"/>
      <c r="IP211" s="982"/>
      <c r="IQ211" s="982"/>
      <c r="IR211" s="982"/>
      <c r="IS211" s="982"/>
      <c r="IT211" s="982"/>
      <c r="IU211" s="982"/>
      <c r="IV211" s="982"/>
      <c r="IW211" s="982"/>
      <c r="IX211" s="982"/>
      <c r="IZ211" s="1432"/>
      <c r="JA211" s="1737" t="s">
        <v>13</v>
      </c>
      <c r="JB211" s="1059"/>
      <c r="JC211" s="1061"/>
      <c r="JD211" s="1059"/>
      <c r="JE211" s="1061"/>
      <c r="JF211" s="1059"/>
      <c r="JG211" s="1061"/>
      <c r="JH211" s="1059"/>
      <c r="JI211" s="1061"/>
      <c r="JJ211" s="1037"/>
      <c r="JK211" s="1061"/>
      <c r="JL211" s="1037"/>
      <c r="JM211" s="1061"/>
      <c r="JN211" s="1059"/>
      <c r="JO211" s="1061"/>
    </row>
    <row r="212" spans="66:275" ht="20.100000000000001" hidden="1" customHeight="1">
      <c r="BN212" s="982"/>
      <c r="BO212" s="982"/>
      <c r="BP212" s="982"/>
      <c r="BQ212" s="982"/>
      <c r="BR212" s="982"/>
      <c r="BS212" s="982"/>
      <c r="BT212" s="982"/>
      <c r="BU212" s="982"/>
      <c r="BV212" s="982"/>
      <c r="BW212" s="982"/>
      <c r="BX212" s="982"/>
      <c r="BY212" s="982"/>
      <c r="BZ212" s="982"/>
      <c r="CA212" s="982"/>
      <c r="CB212" s="982"/>
      <c r="CC212" s="982"/>
      <c r="CD212" s="982"/>
      <c r="CE212" s="982"/>
      <c r="CF212" s="982"/>
      <c r="CG212" s="982"/>
      <c r="CH212" s="982"/>
      <c r="CI212" s="982"/>
      <c r="CJ212" s="982"/>
      <c r="CK212" s="982"/>
      <c r="CL212" s="982"/>
      <c r="CM212" s="982"/>
      <c r="CN212" s="982"/>
      <c r="CO212" s="982"/>
      <c r="CP212" s="982"/>
      <c r="CQ212" s="982"/>
      <c r="CR212" s="982"/>
      <c r="CS212" s="982"/>
      <c r="CT212" s="982"/>
      <c r="CU212" s="982"/>
      <c r="CV212" s="982"/>
      <c r="CW212" s="982"/>
      <c r="CX212" s="982"/>
      <c r="CY212" s="982"/>
      <c r="CZ212" s="982"/>
      <c r="DA212" s="982"/>
      <c r="DB212" s="982"/>
      <c r="DC212" s="982"/>
      <c r="DD212" s="982"/>
      <c r="DE212" s="982"/>
      <c r="DF212" s="982"/>
      <c r="DG212" s="982"/>
      <c r="DH212" s="982"/>
      <c r="DI212" s="982"/>
      <c r="DJ212" s="982"/>
      <c r="DK212" s="982"/>
      <c r="DL212" s="982"/>
      <c r="DM212" s="982"/>
      <c r="DN212" s="982"/>
      <c r="DO212" s="982"/>
      <c r="DP212" s="982"/>
      <c r="DQ212" s="982"/>
      <c r="DR212" s="982"/>
      <c r="DS212" s="982"/>
      <c r="DT212" s="982"/>
      <c r="DU212" s="982"/>
      <c r="DV212" s="982"/>
      <c r="DW212" s="982"/>
      <c r="DX212" s="982"/>
      <c r="DY212" s="982"/>
      <c r="DZ212" s="982"/>
      <c r="EA212" s="982"/>
      <c r="EB212" s="982"/>
      <c r="EC212" s="982"/>
      <c r="ED212" s="982"/>
      <c r="EE212" s="982"/>
      <c r="EF212" s="982"/>
      <c r="EG212" s="982"/>
      <c r="EH212" s="982"/>
      <c r="EI212" s="982"/>
      <c r="EJ212" s="982"/>
      <c r="EK212" s="982"/>
      <c r="EL212" s="982"/>
      <c r="EM212" s="982"/>
      <c r="EN212" s="982"/>
      <c r="EO212" s="982"/>
      <c r="EP212" s="982"/>
      <c r="EQ212" s="982"/>
      <c r="ER212" s="982"/>
      <c r="ES212" s="982"/>
      <c r="ET212" s="982"/>
      <c r="EU212" s="982"/>
      <c r="EV212" s="982"/>
      <c r="EW212" s="982"/>
      <c r="EX212" s="982"/>
      <c r="EY212" s="982"/>
      <c r="EZ212" s="982"/>
      <c r="FA212" s="982"/>
      <c r="FB212" s="982"/>
      <c r="FC212" s="982"/>
      <c r="FD212" s="982"/>
      <c r="FE212" s="982"/>
      <c r="FF212" s="982"/>
      <c r="FG212" s="982"/>
      <c r="FH212" s="982"/>
      <c r="FI212" s="982"/>
      <c r="FJ212" s="982"/>
      <c r="FK212" s="982"/>
      <c r="FL212" s="982"/>
      <c r="FM212" s="982"/>
      <c r="FN212" s="982"/>
      <c r="FO212" s="982"/>
      <c r="FP212" s="982"/>
      <c r="FQ212" s="982"/>
      <c r="FR212" s="982"/>
      <c r="FS212" s="982"/>
      <c r="FT212" s="982"/>
      <c r="FU212" s="982"/>
      <c r="FV212" s="982"/>
      <c r="FW212" s="982"/>
      <c r="FX212" s="982"/>
      <c r="FY212" s="982"/>
      <c r="FZ212" s="982"/>
      <c r="GA212" s="982"/>
      <c r="GB212" s="982"/>
      <c r="GC212" s="982"/>
      <c r="GD212" s="982"/>
      <c r="GE212" s="982"/>
      <c r="GF212" s="982"/>
      <c r="GG212" s="982"/>
      <c r="GH212" s="982"/>
      <c r="GI212" s="982"/>
      <c r="GJ212" s="982"/>
      <c r="GK212" s="982"/>
      <c r="GL212" s="982"/>
      <c r="GM212" s="982"/>
      <c r="GN212" s="982"/>
      <c r="GO212" s="982"/>
      <c r="GP212" s="982"/>
      <c r="GQ212" s="982"/>
      <c r="GR212" s="982"/>
      <c r="GS212" s="982"/>
      <c r="GT212" s="982"/>
      <c r="GU212" s="982"/>
      <c r="GV212" s="982"/>
      <c r="GW212" s="982"/>
      <c r="GX212" s="982"/>
      <c r="GY212" s="982"/>
      <c r="GZ212" s="982"/>
      <c r="HA212" s="982"/>
      <c r="HB212" s="982"/>
      <c r="HC212" s="982"/>
      <c r="HD212" s="982"/>
      <c r="HE212" s="982"/>
      <c r="HF212" s="982"/>
      <c r="HG212" s="982"/>
      <c r="HH212" s="982"/>
      <c r="HI212" s="982"/>
      <c r="HJ212" s="982"/>
      <c r="HK212" s="982"/>
      <c r="HL212" s="982"/>
      <c r="HM212" s="982"/>
      <c r="HN212" s="982"/>
      <c r="HO212" s="982"/>
      <c r="HP212" s="982"/>
      <c r="HQ212" s="982"/>
      <c r="HR212" s="982"/>
      <c r="HS212" s="982"/>
      <c r="HT212" s="982"/>
      <c r="HU212" s="982"/>
      <c r="HV212" s="982"/>
      <c r="HW212" s="982"/>
      <c r="HX212" s="982"/>
      <c r="HY212" s="982"/>
      <c r="HZ212" s="982"/>
      <c r="IA212" s="982"/>
      <c r="IB212" s="982"/>
      <c r="IC212" s="982"/>
      <c r="ID212" s="982"/>
      <c r="IE212" s="982"/>
      <c r="IF212" s="982"/>
      <c r="IG212" s="982"/>
      <c r="IH212" s="982"/>
      <c r="II212" s="982"/>
      <c r="IJ212" s="982"/>
      <c r="IK212" s="982"/>
      <c r="IL212" s="982"/>
      <c r="IM212" s="982"/>
      <c r="IN212" s="982"/>
      <c r="IO212" s="982"/>
      <c r="IP212" s="982"/>
      <c r="IQ212" s="982"/>
      <c r="IR212" s="982"/>
      <c r="IS212" s="982"/>
      <c r="IT212" s="982"/>
      <c r="IU212" s="982"/>
      <c r="IV212" s="982"/>
      <c r="IW212" s="982"/>
      <c r="IX212" s="982"/>
      <c r="IZ212" s="1617">
        <v>1</v>
      </c>
      <c r="JA212" s="1738"/>
      <c r="JB212" s="1062" t="s">
        <v>326</v>
      </c>
      <c r="JC212" s="1053">
        <v>43.2</v>
      </c>
      <c r="JD212" s="1062" t="s">
        <v>328</v>
      </c>
      <c r="JE212" s="1053">
        <v>30</v>
      </c>
      <c r="JF212" s="1062" t="s">
        <v>327</v>
      </c>
      <c r="JG212" s="1053">
        <v>26</v>
      </c>
      <c r="JH212" s="1062" t="s">
        <v>168</v>
      </c>
      <c r="JI212" s="1053">
        <v>17</v>
      </c>
      <c r="JJ212" s="1062" t="s">
        <v>373</v>
      </c>
      <c r="JK212" s="1053">
        <v>0</v>
      </c>
      <c r="JL212" s="1062" t="s">
        <v>373</v>
      </c>
      <c r="JM212" s="1053">
        <v>0</v>
      </c>
      <c r="JN212" s="1062" t="s">
        <v>373</v>
      </c>
      <c r="JO212" s="1053">
        <v>0</v>
      </c>
    </row>
    <row r="213" spans="66:275" ht="20.100000000000001" hidden="1" customHeight="1">
      <c r="BN213" s="982"/>
      <c r="BO213" s="982"/>
      <c r="BP213" s="982"/>
      <c r="BQ213" s="982"/>
      <c r="BR213" s="982"/>
      <c r="BS213" s="982"/>
      <c r="BT213" s="982"/>
      <c r="BU213" s="982"/>
      <c r="BV213" s="982"/>
      <c r="BW213" s="982"/>
      <c r="BX213" s="982"/>
      <c r="BY213" s="982"/>
      <c r="BZ213" s="982"/>
      <c r="CA213" s="982"/>
      <c r="CB213" s="982"/>
      <c r="CC213" s="982"/>
      <c r="CD213" s="982"/>
      <c r="CE213" s="982"/>
      <c r="CF213" s="982"/>
      <c r="CG213" s="982"/>
      <c r="CH213" s="982"/>
      <c r="CI213" s="982"/>
      <c r="CJ213" s="982"/>
      <c r="CK213" s="982"/>
      <c r="CL213" s="982"/>
      <c r="CM213" s="982"/>
      <c r="CN213" s="982"/>
      <c r="CO213" s="982"/>
      <c r="CP213" s="982"/>
      <c r="CQ213" s="982"/>
      <c r="CR213" s="982"/>
      <c r="CS213" s="982"/>
      <c r="CT213" s="982"/>
      <c r="CU213" s="982"/>
      <c r="CV213" s="982"/>
      <c r="CW213" s="982"/>
      <c r="CX213" s="982"/>
      <c r="CY213" s="982"/>
      <c r="CZ213" s="982"/>
      <c r="DA213" s="982"/>
      <c r="DB213" s="982"/>
      <c r="DC213" s="982"/>
      <c r="DD213" s="982"/>
      <c r="DE213" s="982"/>
      <c r="DF213" s="982"/>
      <c r="DG213" s="982"/>
      <c r="DH213" s="982"/>
      <c r="DI213" s="982"/>
      <c r="DJ213" s="982"/>
      <c r="DK213" s="982"/>
      <c r="DL213" s="982"/>
      <c r="DM213" s="982"/>
      <c r="DN213" s="982"/>
      <c r="DO213" s="982"/>
      <c r="DP213" s="982"/>
      <c r="DQ213" s="982"/>
      <c r="DR213" s="982"/>
      <c r="DS213" s="982"/>
      <c r="DT213" s="982"/>
      <c r="DU213" s="982"/>
      <c r="DV213" s="982"/>
      <c r="DW213" s="982"/>
      <c r="DX213" s="982"/>
      <c r="DY213" s="982"/>
      <c r="DZ213" s="982"/>
      <c r="EA213" s="982"/>
      <c r="EB213" s="982"/>
      <c r="EC213" s="982"/>
      <c r="ED213" s="982"/>
      <c r="EE213" s="982"/>
      <c r="EF213" s="982"/>
      <c r="EG213" s="982"/>
      <c r="EH213" s="982"/>
      <c r="EI213" s="982"/>
      <c r="EJ213" s="982"/>
      <c r="EK213" s="982"/>
      <c r="EL213" s="982"/>
      <c r="EM213" s="982"/>
      <c r="EN213" s="982"/>
      <c r="EO213" s="982"/>
      <c r="EP213" s="982"/>
      <c r="EQ213" s="982"/>
      <c r="ER213" s="982"/>
      <c r="ES213" s="982"/>
      <c r="ET213" s="982"/>
      <c r="EU213" s="982"/>
      <c r="EV213" s="982"/>
      <c r="EW213" s="982"/>
      <c r="EX213" s="982"/>
      <c r="EY213" s="982"/>
      <c r="EZ213" s="982"/>
      <c r="FA213" s="982"/>
      <c r="FB213" s="982"/>
      <c r="FC213" s="982"/>
      <c r="FD213" s="982"/>
      <c r="FE213" s="982"/>
      <c r="FF213" s="982"/>
      <c r="FG213" s="982"/>
      <c r="FH213" s="982"/>
      <c r="FI213" s="982"/>
      <c r="FJ213" s="982"/>
      <c r="FK213" s="982"/>
      <c r="FL213" s="982"/>
      <c r="FM213" s="982"/>
      <c r="FN213" s="982"/>
      <c r="FO213" s="982"/>
      <c r="FP213" s="982"/>
      <c r="FQ213" s="982"/>
      <c r="FR213" s="982"/>
      <c r="FS213" s="982"/>
      <c r="FT213" s="982"/>
      <c r="FU213" s="982"/>
      <c r="FV213" s="982"/>
      <c r="FW213" s="982"/>
      <c r="FX213" s="982"/>
      <c r="FY213" s="982"/>
      <c r="FZ213" s="982"/>
      <c r="GA213" s="982"/>
      <c r="GB213" s="982"/>
      <c r="GC213" s="982"/>
      <c r="GD213" s="982"/>
      <c r="GE213" s="982"/>
      <c r="GF213" s="982"/>
      <c r="GG213" s="982"/>
      <c r="GH213" s="982"/>
      <c r="GI213" s="982"/>
      <c r="GJ213" s="982"/>
      <c r="GK213" s="982"/>
      <c r="GL213" s="982"/>
      <c r="GM213" s="982"/>
      <c r="GN213" s="982"/>
      <c r="GO213" s="982"/>
      <c r="GP213" s="982"/>
      <c r="GQ213" s="982"/>
      <c r="GR213" s="982"/>
      <c r="GS213" s="982"/>
      <c r="GT213" s="982"/>
      <c r="GU213" s="982"/>
      <c r="GV213" s="982"/>
      <c r="GW213" s="982"/>
      <c r="GX213" s="982"/>
      <c r="GY213" s="982"/>
      <c r="GZ213" s="982"/>
      <c r="HA213" s="982"/>
      <c r="HB213" s="982"/>
      <c r="HC213" s="982"/>
      <c r="HD213" s="982"/>
      <c r="HE213" s="982"/>
      <c r="HF213" s="982"/>
      <c r="HG213" s="982"/>
      <c r="HH213" s="982"/>
      <c r="HI213" s="982"/>
      <c r="HJ213" s="982"/>
      <c r="HK213" s="982"/>
      <c r="HL213" s="982"/>
      <c r="HM213" s="982"/>
      <c r="HN213" s="982"/>
      <c r="HO213" s="982"/>
      <c r="HP213" s="982"/>
      <c r="HQ213" s="982"/>
      <c r="HR213" s="982"/>
      <c r="HS213" s="982"/>
      <c r="HT213" s="982"/>
      <c r="HU213" s="982"/>
      <c r="HV213" s="982"/>
      <c r="HW213" s="982"/>
      <c r="HX213" s="982"/>
      <c r="HY213" s="982"/>
      <c r="HZ213" s="982"/>
      <c r="IA213" s="982"/>
      <c r="IB213" s="982"/>
      <c r="IC213" s="982"/>
      <c r="ID213" s="982"/>
      <c r="IE213" s="982"/>
      <c r="IF213" s="982"/>
      <c r="IG213" s="982"/>
      <c r="IH213" s="982"/>
      <c r="II213" s="982"/>
      <c r="IJ213" s="982"/>
      <c r="IK213" s="982"/>
      <c r="IL213" s="982"/>
      <c r="IM213" s="982"/>
      <c r="IN213" s="982"/>
      <c r="IO213" s="982"/>
      <c r="IP213" s="982"/>
      <c r="IQ213" s="982"/>
      <c r="IR213" s="982"/>
      <c r="IS213" s="982"/>
      <c r="IT213" s="982"/>
      <c r="IU213" s="982"/>
      <c r="IV213" s="982"/>
      <c r="IW213" s="982"/>
      <c r="IX213" s="982"/>
      <c r="IZ213" s="1617">
        <v>2</v>
      </c>
      <c r="JA213" s="1738"/>
      <c r="JB213" s="1062" t="s">
        <v>373</v>
      </c>
      <c r="JC213" s="1053">
        <v>0</v>
      </c>
      <c r="JD213" s="1062" t="s">
        <v>373</v>
      </c>
      <c r="JE213" s="1053">
        <v>0</v>
      </c>
      <c r="JF213" s="1062" t="s">
        <v>373</v>
      </c>
      <c r="JG213" s="1053">
        <v>0</v>
      </c>
      <c r="JH213" s="1062" t="s">
        <v>373</v>
      </c>
      <c r="JI213" s="1053">
        <v>0</v>
      </c>
      <c r="JJ213" s="1062" t="s">
        <v>373</v>
      </c>
      <c r="JK213" s="1053">
        <v>0</v>
      </c>
      <c r="JL213" s="1062" t="s">
        <v>373</v>
      </c>
      <c r="JM213" s="1053">
        <v>0</v>
      </c>
      <c r="JN213" s="1062" t="s">
        <v>373</v>
      </c>
      <c r="JO213" s="1053">
        <v>0</v>
      </c>
    </row>
    <row r="214" spans="66:275" ht="20.100000000000001" hidden="1" customHeight="1">
      <c r="BN214" s="982"/>
      <c r="BO214" s="982"/>
      <c r="BP214" s="982"/>
      <c r="BQ214" s="982"/>
      <c r="BR214" s="982"/>
      <c r="BS214" s="982"/>
      <c r="BT214" s="982"/>
      <c r="BU214" s="982"/>
      <c r="BV214" s="982"/>
      <c r="BW214" s="982"/>
      <c r="BX214" s="982"/>
      <c r="BY214" s="982"/>
      <c r="BZ214" s="982"/>
      <c r="CA214" s="982"/>
      <c r="CB214" s="982"/>
      <c r="CC214" s="982"/>
      <c r="CD214" s="982"/>
      <c r="CE214" s="982"/>
      <c r="CF214" s="982"/>
      <c r="CG214" s="982"/>
      <c r="CH214" s="982"/>
      <c r="CI214" s="982"/>
      <c r="CJ214" s="982"/>
      <c r="CK214" s="982"/>
      <c r="CL214" s="982"/>
      <c r="CM214" s="982"/>
      <c r="CN214" s="982"/>
      <c r="CO214" s="982"/>
      <c r="CP214" s="982"/>
      <c r="CQ214" s="982"/>
      <c r="CR214" s="982"/>
      <c r="CS214" s="982"/>
      <c r="CT214" s="982"/>
      <c r="CU214" s="982"/>
      <c r="CV214" s="982"/>
      <c r="CW214" s="982"/>
      <c r="CX214" s="982"/>
      <c r="CY214" s="982"/>
      <c r="CZ214" s="982"/>
      <c r="DA214" s="982"/>
      <c r="DB214" s="982"/>
      <c r="DC214" s="982"/>
      <c r="DD214" s="982"/>
      <c r="DE214" s="982"/>
      <c r="DF214" s="982"/>
      <c r="DG214" s="982"/>
      <c r="DH214" s="982"/>
      <c r="DI214" s="982"/>
      <c r="DJ214" s="982"/>
      <c r="DK214" s="982"/>
      <c r="DL214" s="982"/>
      <c r="DM214" s="982"/>
      <c r="DN214" s="982"/>
      <c r="DO214" s="982"/>
      <c r="DP214" s="982"/>
      <c r="DQ214" s="982"/>
      <c r="DR214" s="982"/>
      <c r="DS214" s="982"/>
      <c r="DT214" s="982"/>
      <c r="DU214" s="982"/>
      <c r="DV214" s="982"/>
      <c r="DW214" s="982"/>
      <c r="DX214" s="982"/>
      <c r="DY214" s="982"/>
      <c r="DZ214" s="982"/>
      <c r="EA214" s="982"/>
      <c r="EB214" s="982"/>
      <c r="EC214" s="982"/>
      <c r="ED214" s="982"/>
      <c r="EE214" s="982"/>
      <c r="EF214" s="982"/>
      <c r="EG214" s="982"/>
      <c r="EH214" s="982"/>
      <c r="EI214" s="982"/>
      <c r="EJ214" s="982"/>
      <c r="EK214" s="982"/>
      <c r="EL214" s="982"/>
      <c r="EM214" s="982"/>
      <c r="EN214" s="982"/>
      <c r="EO214" s="982"/>
      <c r="EP214" s="982"/>
      <c r="EQ214" s="982"/>
      <c r="ER214" s="982"/>
      <c r="ES214" s="982"/>
      <c r="ET214" s="982"/>
      <c r="EU214" s="982"/>
      <c r="EV214" s="982"/>
      <c r="EW214" s="982"/>
      <c r="EX214" s="982"/>
      <c r="EY214" s="982"/>
      <c r="EZ214" s="982"/>
      <c r="FA214" s="982"/>
      <c r="FB214" s="982"/>
      <c r="FC214" s="982"/>
      <c r="FD214" s="982"/>
      <c r="FE214" s="982"/>
      <c r="FF214" s="982"/>
      <c r="FG214" s="982"/>
      <c r="FH214" s="982"/>
      <c r="FI214" s="982"/>
      <c r="FJ214" s="982"/>
      <c r="FK214" s="982"/>
      <c r="FL214" s="982"/>
      <c r="FM214" s="982"/>
      <c r="FN214" s="982"/>
      <c r="FO214" s="982"/>
      <c r="FP214" s="982"/>
      <c r="FQ214" s="982"/>
      <c r="FR214" s="982"/>
      <c r="FS214" s="982"/>
      <c r="FT214" s="982"/>
      <c r="FU214" s="982"/>
      <c r="FV214" s="982"/>
      <c r="FW214" s="982"/>
      <c r="FX214" s="982"/>
      <c r="FY214" s="982"/>
      <c r="FZ214" s="982"/>
      <c r="GA214" s="982"/>
      <c r="GB214" s="982"/>
      <c r="GC214" s="982"/>
      <c r="GD214" s="982"/>
      <c r="GE214" s="982"/>
      <c r="GF214" s="982"/>
      <c r="GG214" s="982"/>
      <c r="GH214" s="982"/>
      <c r="GI214" s="982"/>
      <c r="GJ214" s="982"/>
      <c r="GK214" s="982"/>
      <c r="GL214" s="982"/>
      <c r="GM214" s="982"/>
      <c r="GN214" s="982"/>
      <c r="GO214" s="982"/>
      <c r="GP214" s="982"/>
      <c r="GQ214" s="982"/>
      <c r="GR214" s="982"/>
      <c r="GS214" s="982"/>
      <c r="GT214" s="982"/>
      <c r="GU214" s="982"/>
      <c r="GV214" s="982"/>
      <c r="GW214" s="982"/>
      <c r="GX214" s="982"/>
      <c r="GY214" s="982"/>
      <c r="GZ214" s="982"/>
      <c r="HA214" s="982"/>
      <c r="HB214" s="982"/>
      <c r="HC214" s="982"/>
      <c r="HD214" s="982"/>
      <c r="HE214" s="982"/>
      <c r="HF214" s="982"/>
      <c r="HG214" s="982"/>
      <c r="HH214" s="982"/>
      <c r="HI214" s="982"/>
      <c r="HJ214" s="982"/>
      <c r="HK214" s="982"/>
      <c r="HL214" s="982"/>
      <c r="HM214" s="982"/>
      <c r="HN214" s="982"/>
      <c r="HO214" s="982"/>
      <c r="HP214" s="982"/>
      <c r="HQ214" s="982"/>
      <c r="HR214" s="982"/>
      <c r="HS214" s="982"/>
      <c r="HT214" s="982"/>
      <c r="HU214" s="982"/>
      <c r="HV214" s="982"/>
      <c r="HW214" s="982"/>
      <c r="HX214" s="982"/>
      <c r="HY214" s="982"/>
      <c r="HZ214" s="982"/>
      <c r="IA214" s="982"/>
      <c r="IB214" s="982"/>
      <c r="IC214" s="982"/>
      <c r="ID214" s="982"/>
      <c r="IE214" s="982"/>
      <c r="IF214" s="982"/>
      <c r="IG214" s="982"/>
      <c r="IH214" s="982"/>
      <c r="II214" s="982"/>
      <c r="IJ214" s="982"/>
      <c r="IK214" s="982"/>
      <c r="IL214" s="982"/>
      <c r="IM214" s="982"/>
      <c r="IN214" s="982"/>
      <c r="IO214" s="982"/>
      <c r="IP214" s="982"/>
      <c r="IQ214" s="982"/>
      <c r="IR214" s="982"/>
      <c r="IS214" s="982"/>
      <c r="IT214" s="982"/>
      <c r="IU214" s="982"/>
      <c r="IV214" s="982"/>
      <c r="IW214" s="982"/>
      <c r="IX214" s="982"/>
      <c r="IZ214" s="1617">
        <v>3</v>
      </c>
      <c r="JA214" s="1738"/>
      <c r="JB214" s="1062" t="s">
        <v>373</v>
      </c>
      <c r="JC214" s="1053">
        <v>0</v>
      </c>
      <c r="JD214" s="1062" t="s">
        <v>373</v>
      </c>
      <c r="JE214" s="1053">
        <v>0</v>
      </c>
      <c r="JF214" s="1062" t="s">
        <v>373</v>
      </c>
      <c r="JG214" s="1053">
        <v>0</v>
      </c>
      <c r="JH214" s="1062" t="s">
        <v>373</v>
      </c>
      <c r="JI214" s="1053">
        <v>0</v>
      </c>
      <c r="JJ214" s="1062" t="s">
        <v>373</v>
      </c>
      <c r="JK214" s="1053">
        <v>0</v>
      </c>
      <c r="JL214" s="1062" t="s">
        <v>373</v>
      </c>
      <c r="JM214" s="1053">
        <v>0</v>
      </c>
      <c r="JN214" s="1062" t="s">
        <v>373</v>
      </c>
      <c r="JO214" s="1053">
        <v>0</v>
      </c>
    </row>
    <row r="215" spans="66:275" ht="24.95" hidden="1" customHeight="1">
      <c r="BN215" s="982"/>
      <c r="BO215" s="982"/>
      <c r="BP215" s="982"/>
      <c r="BQ215" s="982"/>
      <c r="BR215" s="982"/>
      <c r="BS215" s="982"/>
      <c r="BT215" s="982"/>
      <c r="BU215" s="982"/>
      <c r="BV215" s="982"/>
      <c r="BW215" s="982"/>
      <c r="BX215" s="982"/>
      <c r="BY215" s="982"/>
      <c r="BZ215" s="982"/>
      <c r="CA215" s="982"/>
      <c r="CB215" s="982"/>
      <c r="CC215" s="982"/>
      <c r="CD215" s="982"/>
      <c r="CE215" s="982"/>
      <c r="CF215" s="982"/>
      <c r="CG215" s="982"/>
      <c r="CH215" s="982"/>
      <c r="CI215" s="982"/>
      <c r="CJ215" s="982"/>
      <c r="CK215" s="982"/>
      <c r="CL215" s="982"/>
      <c r="CM215" s="982"/>
      <c r="CN215" s="982"/>
      <c r="CO215" s="982"/>
      <c r="CP215" s="982"/>
      <c r="CQ215" s="982"/>
      <c r="CR215" s="982"/>
      <c r="CS215" s="982"/>
      <c r="CT215" s="982"/>
      <c r="CU215" s="982"/>
      <c r="CV215" s="982"/>
      <c r="CW215" s="982"/>
      <c r="CX215" s="982"/>
      <c r="CY215" s="982"/>
      <c r="CZ215" s="982"/>
      <c r="DA215" s="982"/>
      <c r="DB215" s="982"/>
      <c r="DC215" s="982"/>
      <c r="DD215" s="982"/>
      <c r="DE215" s="982"/>
      <c r="DF215" s="982"/>
      <c r="DG215" s="982"/>
      <c r="DH215" s="982"/>
      <c r="DI215" s="982"/>
      <c r="DJ215" s="982"/>
      <c r="DK215" s="982"/>
      <c r="DL215" s="982"/>
      <c r="DM215" s="982"/>
      <c r="DN215" s="982"/>
      <c r="DO215" s="982"/>
      <c r="DP215" s="982"/>
      <c r="DQ215" s="982"/>
      <c r="DR215" s="982"/>
      <c r="DS215" s="982"/>
      <c r="DT215" s="982"/>
      <c r="DU215" s="982"/>
      <c r="DV215" s="982"/>
      <c r="DW215" s="982"/>
      <c r="DX215" s="982"/>
      <c r="DY215" s="982"/>
      <c r="DZ215" s="982"/>
      <c r="EA215" s="982"/>
      <c r="EB215" s="982"/>
      <c r="EC215" s="982"/>
      <c r="ED215" s="982"/>
      <c r="EE215" s="982"/>
      <c r="EF215" s="982"/>
      <c r="EG215" s="982"/>
      <c r="EH215" s="982"/>
      <c r="EI215" s="982"/>
      <c r="EJ215" s="982"/>
      <c r="EK215" s="982"/>
      <c r="EL215" s="982"/>
      <c r="EM215" s="982"/>
      <c r="EN215" s="982"/>
      <c r="EO215" s="982"/>
      <c r="EP215" s="982"/>
      <c r="EQ215" s="982"/>
      <c r="ER215" s="982"/>
      <c r="ES215" s="982"/>
      <c r="ET215" s="982"/>
      <c r="EU215" s="982"/>
      <c r="EV215" s="982"/>
      <c r="EW215" s="982"/>
      <c r="EX215" s="982"/>
      <c r="EY215" s="982"/>
      <c r="EZ215" s="982"/>
      <c r="FA215" s="982"/>
      <c r="FB215" s="982"/>
      <c r="FC215" s="982"/>
      <c r="FD215" s="982"/>
      <c r="FE215" s="982"/>
      <c r="FF215" s="982"/>
      <c r="FG215" s="982"/>
      <c r="FH215" s="982"/>
      <c r="FI215" s="982"/>
      <c r="FJ215" s="982"/>
      <c r="FK215" s="982"/>
      <c r="FL215" s="982"/>
      <c r="FM215" s="982"/>
      <c r="FN215" s="982"/>
      <c r="FO215" s="982"/>
      <c r="FP215" s="982"/>
      <c r="FQ215" s="982"/>
      <c r="FR215" s="982"/>
      <c r="FS215" s="982"/>
      <c r="FT215" s="982"/>
      <c r="FU215" s="982"/>
      <c r="FV215" s="982"/>
      <c r="FW215" s="982"/>
      <c r="FX215" s="982"/>
      <c r="FY215" s="982"/>
      <c r="FZ215" s="982"/>
      <c r="GA215" s="982"/>
      <c r="GB215" s="982"/>
      <c r="GC215" s="982"/>
      <c r="GD215" s="982"/>
      <c r="GE215" s="982"/>
      <c r="GF215" s="982"/>
      <c r="GG215" s="982"/>
      <c r="GH215" s="982"/>
      <c r="GI215" s="982"/>
      <c r="GJ215" s="982"/>
      <c r="GK215" s="982"/>
      <c r="GL215" s="982"/>
      <c r="GM215" s="982"/>
      <c r="GN215" s="982"/>
      <c r="GO215" s="982"/>
      <c r="GP215" s="982"/>
      <c r="GQ215" s="982"/>
      <c r="GR215" s="982"/>
      <c r="GS215" s="982"/>
      <c r="GT215" s="982"/>
      <c r="GU215" s="982"/>
      <c r="GV215" s="982"/>
      <c r="GW215" s="982"/>
      <c r="GX215" s="982"/>
      <c r="GY215" s="982"/>
      <c r="GZ215" s="982"/>
      <c r="HA215" s="982"/>
      <c r="HB215" s="982"/>
      <c r="HC215" s="982"/>
      <c r="HD215" s="982"/>
      <c r="HE215" s="982"/>
      <c r="HF215" s="982"/>
      <c r="HG215" s="982"/>
      <c r="HH215" s="982"/>
      <c r="HI215" s="982"/>
      <c r="HJ215" s="982"/>
      <c r="HK215" s="982"/>
      <c r="HL215" s="982"/>
      <c r="HM215" s="982"/>
      <c r="HN215" s="982"/>
      <c r="HO215" s="982"/>
      <c r="HP215" s="982"/>
      <c r="HQ215" s="982"/>
      <c r="HR215" s="982"/>
      <c r="HS215" s="982"/>
      <c r="HT215" s="982"/>
      <c r="HU215" s="982"/>
      <c r="HV215" s="982"/>
      <c r="HW215" s="982"/>
      <c r="HX215" s="982"/>
      <c r="HY215" s="982"/>
      <c r="HZ215" s="982"/>
      <c r="IA215" s="982"/>
      <c r="IB215" s="982"/>
      <c r="IC215" s="982"/>
      <c r="ID215" s="982"/>
      <c r="IE215" s="982"/>
      <c r="IF215" s="982"/>
      <c r="IG215" s="982"/>
      <c r="IH215" s="982"/>
      <c r="II215" s="982"/>
      <c r="IJ215" s="982"/>
      <c r="IK215" s="982"/>
      <c r="IL215" s="982"/>
      <c r="IM215" s="982"/>
      <c r="IN215" s="982"/>
      <c r="IO215" s="982"/>
      <c r="IP215" s="982"/>
      <c r="IQ215" s="982"/>
      <c r="IR215" s="982"/>
      <c r="IS215" s="982"/>
      <c r="IT215" s="982"/>
      <c r="IU215" s="982"/>
      <c r="IV215" s="982"/>
      <c r="IW215" s="982"/>
      <c r="IX215" s="982"/>
      <c r="IZ215" s="1432"/>
      <c r="JA215" s="1737" t="s">
        <v>17</v>
      </c>
      <c r="JB215" s="1059"/>
      <c r="JC215" s="1061"/>
      <c r="JD215" s="1059"/>
      <c r="JE215" s="1061"/>
      <c r="JF215" s="1059"/>
      <c r="JG215" s="1061"/>
      <c r="JH215" s="1059"/>
      <c r="JI215" s="1061"/>
      <c r="JJ215" s="1059"/>
      <c r="JK215" s="1061"/>
      <c r="JL215" s="1037"/>
      <c r="JM215" s="1061"/>
      <c r="JN215" s="1059"/>
      <c r="JO215" s="1061"/>
    </row>
    <row r="216" spans="66:275" ht="20.100000000000001" hidden="1" customHeight="1">
      <c r="BN216" s="982"/>
      <c r="BO216" s="982"/>
      <c r="BP216" s="982"/>
      <c r="BQ216" s="982"/>
      <c r="BR216" s="982"/>
      <c r="BS216" s="982"/>
      <c r="BT216" s="982"/>
      <c r="BU216" s="982"/>
      <c r="BV216" s="982"/>
      <c r="BW216" s="982"/>
      <c r="BX216" s="982"/>
      <c r="BY216" s="982"/>
      <c r="BZ216" s="982"/>
      <c r="CA216" s="982"/>
      <c r="CB216" s="982"/>
      <c r="CC216" s="982"/>
      <c r="CD216" s="982"/>
      <c r="CE216" s="982"/>
      <c r="CF216" s="982"/>
      <c r="CG216" s="982"/>
      <c r="CH216" s="982"/>
      <c r="CI216" s="982"/>
      <c r="CJ216" s="982"/>
      <c r="CK216" s="982"/>
      <c r="CL216" s="982"/>
      <c r="CM216" s="982"/>
      <c r="CN216" s="982"/>
      <c r="CO216" s="982"/>
      <c r="CP216" s="982"/>
      <c r="CQ216" s="982"/>
      <c r="CR216" s="982"/>
      <c r="CS216" s="982"/>
      <c r="CT216" s="982"/>
      <c r="CU216" s="982"/>
      <c r="CV216" s="982"/>
      <c r="CW216" s="982"/>
      <c r="CX216" s="982"/>
      <c r="CY216" s="982"/>
      <c r="CZ216" s="982"/>
      <c r="DA216" s="982"/>
      <c r="DB216" s="982"/>
      <c r="DC216" s="982"/>
      <c r="DD216" s="982"/>
      <c r="DE216" s="982"/>
      <c r="DF216" s="982"/>
      <c r="DG216" s="982"/>
      <c r="DH216" s="982"/>
      <c r="DI216" s="982"/>
      <c r="DJ216" s="982"/>
      <c r="DK216" s="982"/>
      <c r="DL216" s="982"/>
      <c r="DM216" s="982"/>
      <c r="DN216" s="982"/>
      <c r="DO216" s="982"/>
      <c r="DP216" s="982"/>
      <c r="DQ216" s="982"/>
      <c r="DR216" s="982"/>
      <c r="DS216" s="982"/>
      <c r="DT216" s="982"/>
      <c r="DU216" s="982"/>
      <c r="DV216" s="982"/>
      <c r="DW216" s="982"/>
      <c r="DX216" s="982"/>
      <c r="DY216" s="982"/>
      <c r="DZ216" s="982"/>
      <c r="EA216" s="982"/>
      <c r="EB216" s="982"/>
      <c r="EC216" s="982"/>
      <c r="ED216" s="982"/>
      <c r="EE216" s="982"/>
      <c r="EF216" s="982"/>
      <c r="EG216" s="982"/>
      <c r="EH216" s="982"/>
      <c r="EI216" s="982"/>
      <c r="EJ216" s="982"/>
      <c r="EK216" s="982"/>
      <c r="EL216" s="982"/>
      <c r="EM216" s="982"/>
      <c r="EN216" s="982"/>
      <c r="EO216" s="982"/>
      <c r="EP216" s="982"/>
      <c r="EQ216" s="982"/>
      <c r="ER216" s="982"/>
      <c r="ES216" s="982"/>
      <c r="ET216" s="982"/>
      <c r="EU216" s="982"/>
      <c r="EV216" s="982"/>
      <c r="EW216" s="982"/>
      <c r="EX216" s="982"/>
      <c r="EY216" s="982"/>
      <c r="EZ216" s="982"/>
      <c r="FA216" s="982"/>
      <c r="FB216" s="982"/>
      <c r="FC216" s="982"/>
      <c r="FD216" s="982"/>
      <c r="FE216" s="982"/>
      <c r="FF216" s="982"/>
      <c r="FG216" s="982"/>
      <c r="FH216" s="982"/>
      <c r="FI216" s="982"/>
      <c r="FJ216" s="982"/>
      <c r="FK216" s="982"/>
      <c r="FL216" s="982"/>
      <c r="FM216" s="982"/>
      <c r="FN216" s="982"/>
      <c r="FO216" s="982"/>
      <c r="FP216" s="982"/>
      <c r="FQ216" s="982"/>
      <c r="FR216" s="982"/>
      <c r="FS216" s="982"/>
      <c r="FT216" s="982"/>
      <c r="FU216" s="982"/>
      <c r="FV216" s="982"/>
      <c r="FW216" s="982"/>
      <c r="FX216" s="982"/>
      <c r="FY216" s="982"/>
      <c r="FZ216" s="982"/>
      <c r="GA216" s="982"/>
      <c r="GB216" s="982"/>
      <c r="GC216" s="982"/>
      <c r="GD216" s="982"/>
      <c r="GE216" s="982"/>
      <c r="GF216" s="982"/>
      <c r="GG216" s="982"/>
      <c r="GH216" s="982"/>
      <c r="GI216" s="982"/>
      <c r="GJ216" s="982"/>
      <c r="GK216" s="982"/>
      <c r="GL216" s="982"/>
      <c r="GM216" s="982"/>
      <c r="GN216" s="982"/>
      <c r="GO216" s="982"/>
      <c r="GP216" s="982"/>
      <c r="GQ216" s="982"/>
      <c r="GR216" s="982"/>
      <c r="GS216" s="982"/>
      <c r="GT216" s="982"/>
      <c r="GU216" s="982"/>
      <c r="GV216" s="982"/>
      <c r="GW216" s="982"/>
      <c r="GX216" s="982"/>
      <c r="GY216" s="982"/>
      <c r="GZ216" s="982"/>
      <c r="HA216" s="982"/>
      <c r="HB216" s="982"/>
      <c r="HC216" s="982"/>
      <c r="HD216" s="982"/>
      <c r="HE216" s="982"/>
      <c r="HF216" s="982"/>
      <c r="HG216" s="982"/>
      <c r="HH216" s="982"/>
      <c r="HI216" s="982"/>
      <c r="HJ216" s="982"/>
      <c r="HK216" s="982"/>
      <c r="HL216" s="982"/>
      <c r="HM216" s="982"/>
      <c r="HN216" s="982"/>
      <c r="HO216" s="982"/>
      <c r="HP216" s="982"/>
      <c r="HQ216" s="982"/>
      <c r="HR216" s="982"/>
      <c r="HS216" s="982"/>
      <c r="HT216" s="982"/>
      <c r="HU216" s="982"/>
      <c r="HV216" s="982"/>
      <c r="HW216" s="982"/>
      <c r="HX216" s="982"/>
      <c r="HY216" s="982"/>
      <c r="HZ216" s="982"/>
      <c r="IA216" s="982"/>
      <c r="IB216" s="982"/>
      <c r="IC216" s="982"/>
      <c r="ID216" s="982"/>
      <c r="IE216" s="982"/>
      <c r="IF216" s="982"/>
      <c r="IG216" s="982"/>
      <c r="IH216" s="982"/>
      <c r="II216" s="982"/>
      <c r="IJ216" s="982"/>
      <c r="IK216" s="982"/>
      <c r="IL216" s="982"/>
      <c r="IM216" s="982"/>
      <c r="IN216" s="982"/>
      <c r="IO216" s="982"/>
      <c r="IP216" s="982"/>
      <c r="IQ216" s="982"/>
      <c r="IR216" s="982"/>
      <c r="IS216" s="982"/>
      <c r="IT216" s="982"/>
      <c r="IU216" s="982"/>
      <c r="IV216" s="982"/>
      <c r="IW216" s="982"/>
      <c r="IX216" s="982"/>
      <c r="IZ216" s="1617">
        <v>4</v>
      </c>
      <c r="JA216" s="1738"/>
      <c r="JB216" s="1062" t="s">
        <v>373</v>
      </c>
      <c r="JC216" s="1053">
        <v>0</v>
      </c>
      <c r="JD216" s="1062" t="s">
        <v>373</v>
      </c>
      <c r="JE216" s="1053">
        <v>0</v>
      </c>
      <c r="JF216" s="1062" t="s">
        <v>373</v>
      </c>
      <c r="JG216" s="1053">
        <v>0</v>
      </c>
      <c r="JH216" s="1062" t="s">
        <v>373</v>
      </c>
      <c r="JI216" s="1053">
        <v>0</v>
      </c>
      <c r="JJ216" s="1062" t="s">
        <v>373</v>
      </c>
      <c r="JK216" s="1053">
        <v>0</v>
      </c>
      <c r="JL216" s="1050" t="s">
        <v>329</v>
      </c>
      <c r="JM216" s="1053">
        <v>34</v>
      </c>
      <c r="JN216" s="1062" t="s">
        <v>373</v>
      </c>
      <c r="JO216" s="1053">
        <v>0</v>
      </c>
    </row>
    <row r="217" spans="66:275" ht="20.100000000000001" hidden="1" customHeight="1">
      <c r="BN217" s="982"/>
      <c r="BO217" s="982"/>
      <c r="BP217" s="982"/>
      <c r="BQ217" s="982"/>
      <c r="BR217" s="982"/>
      <c r="BS217" s="982"/>
      <c r="BT217" s="982"/>
      <c r="BU217" s="982"/>
      <c r="BV217" s="982"/>
      <c r="BW217" s="982"/>
      <c r="BX217" s="982"/>
      <c r="BY217" s="982"/>
      <c r="BZ217" s="982"/>
      <c r="CA217" s="982"/>
      <c r="CB217" s="982"/>
      <c r="CC217" s="982"/>
      <c r="CD217" s="982"/>
      <c r="CE217" s="982"/>
      <c r="CF217" s="982"/>
      <c r="CG217" s="982"/>
      <c r="CH217" s="982"/>
      <c r="CI217" s="982"/>
      <c r="CJ217" s="982"/>
      <c r="CK217" s="982"/>
      <c r="CL217" s="982"/>
      <c r="CM217" s="982"/>
      <c r="CN217" s="982"/>
      <c r="CO217" s="982"/>
      <c r="CP217" s="982"/>
      <c r="CQ217" s="982"/>
      <c r="CR217" s="982"/>
      <c r="CS217" s="982"/>
      <c r="CT217" s="982"/>
      <c r="CU217" s="982"/>
      <c r="CV217" s="982"/>
      <c r="CW217" s="982"/>
      <c r="CX217" s="982"/>
      <c r="CY217" s="982"/>
      <c r="CZ217" s="982"/>
      <c r="DA217" s="982"/>
      <c r="DB217" s="982"/>
      <c r="DC217" s="982"/>
      <c r="DD217" s="982"/>
      <c r="DE217" s="982"/>
      <c r="DF217" s="982"/>
      <c r="DG217" s="982"/>
      <c r="DH217" s="982"/>
      <c r="DI217" s="982"/>
      <c r="DJ217" s="982"/>
      <c r="DK217" s="982"/>
      <c r="DL217" s="982"/>
      <c r="DM217" s="982"/>
      <c r="DN217" s="982"/>
      <c r="DO217" s="982"/>
      <c r="DP217" s="982"/>
      <c r="DQ217" s="982"/>
      <c r="DR217" s="982"/>
      <c r="DS217" s="982"/>
      <c r="DT217" s="982"/>
      <c r="DU217" s="982"/>
      <c r="DV217" s="982"/>
      <c r="DW217" s="982"/>
      <c r="DX217" s="982"/>
      <c r="DY217" s="982"/>
      <c r="DZ217" s="982"/>
      <c r="EA217" s="982"/>
      <c r="EB217" s="982"/>
      <c r="EC217" s="982"/>
      <c r="ED217" s="982"/>
      <c r="EE217" s="982"/>
      <c r="EF217" s="982"/>
      <c r="EG217" s="982"/>
      <c r="EH217" s="982"/>
      <c r="EI217" s="982"/>
      <c r="EJ217" s="982"/>
      <c r="EK217" s="982"/>
      <c r="EL217" s="982"/>
      <c r="EM217" s="982"/>
      <c r="EN217" s="982"/>
      <c r="EO217" s="982"/>
      <c r="EP217" s="982"/>
      <c r="EQ217" s="982"/>
      <c r="ER217" s="982"/>
      <c r="ES217" s="982"/>
      <c r="ET217" s="982"/>
      <c r="EU217" s="982"/>
      <c r="EV217" s="982"/>
      <c r="EW217" s="982"/>
      <c r="EX217" s="982"/>
      <c r="EY217" s="982"/>
      <c r="EZ217" s="982"/>
      <c r="FA217" s="982"/>
      <c r="FB217" s="982"/>
      <c r="FC217" s="982"/>
      <c r="FD217" s="982"/>
      <c r="FE217" s="982"/>
      <c r="FF217" s="982"/>
      <c r="FG217" s="982"/>
      <c r="FH217" s="982"/>
      <c r="FI217" s="982"/>
      <c r="FJ217" s="982"/>
      <c r="FK217" s="982"/>
      <c r="FL217" s="982"/>
      <c r="FM217" s="982"/>
      <c r="FN217" s="982"/>
      <c r="FO217" s="982"/>
      <c r="FP217" s="982"/>
      <c r="FQ217" s="982"/>
      <c r="FR217" s="982"/>
      <c r="FS217" s="982"/>
      <c r="FT217" s="982"/>
      <c r="FU217" s="982"/>
      <c r="FV217" s="982"/>
      <c r="FW217" s="982"/>
      <c r="FX217" s="982"/>
      <c r="FY217" s="982"/>
      <c r="FZ217" s="982"/>
      <c r="GA217" s="982"/>
      <c r="GB217" s="982"/>
      <c r="GC217" s="982"/>
      <c r="GD217" s="982"/>
      <c r="GE217" s="982"/>
      <c r="GF217" s="982"/>
      <c r="GG217" s="982"/>
      <c r="GH217" s="982"/>
      <c r="GI217" s="982"/>
      <c r="GJ217" s="982"/>
      <c r="GK217" s="982"/>
      <c r="GL217" s="982"/>
      <c r="GM217" s="982"/>
      <c r="GN217" s="982"/>
      <c r="GO217" s="982"/>
      <c r="GP217" s="982"/>
      <c r="GQ217" s="982"/>
      <c r="GR217" s="982"/>
      <c r="GS217" s="982"/>
      <c r="GT217" s="982"/>
      <c r="GU217" s="982"/>
      <c r="GV217" s="982"/>
      <c r="GW217" s="982"/>
      <c r="GX217" s="982"/>
      <c r="GY217" s="982"/>
      <c r="GZ217" s="982"/>
      <c r="HA217" s="982"/>
      <c r="HB217" s="982"/>
      <c r="HC217" s="982"/>
      <c r="HD217" s="982"/>
      <c r="HE217" s="982"/>
      <c r="HF217" s="982"/>
      <c r="HG217" s="982"/>
      <c r="HH217" s="982"/>
      <c r="HI217" s="982"/>
      <c r="HJ217" s="982"/>
      <c r="HK217" s="982"/>
      <c r="HL217" s="982"/>
      <c r="HM217" s="982"/>
      <c r="HN217" s="982"/>
      <c r="HO217" s="982"/>
      <c r="HP217" s="982"/>
      <c r="HQ217" s="982"/>
      <c r="HR217" s="982"/>
      <c r="HS217" s="982"/>
      <c r="HT217" s="982"/>
      <c r="HU217" s="982"/>
      <c r="HV217" s="982"/>
      <c r="HW217" s="982"/>
      <c r="HX217" s="982"/>
      <c r="HY217" s="982"/>
      <c r="HZ217" s="982"/>
      <c r="IA217" s="982"/>
      <c r="IB217" s="982"/>
      <c r="IC217" s="982"/>
      <c r="ID217" s="982"/>
      <c r="IE217" s="982"/>
      <c r="IF217" s="982"/>
      <c r="IG217" s="982"/>
      <c r="IH217" s="982"/>
      <c r="II217" s="982"/>
      <c r="IJ217" s="982"/>
      <c r="IK217" s="982"/>
      <c r="IL217" s="982"/>
      <c r="IM217" s="982"/>
      <c r="IN217" s="982"/>
      <c r="IO217" s="982"/>
      <c r="IP217" s="982"/>
      <c r="IQ217" s="982"/>
      <c r="IR217" s="982"/>
      <c r="IS217" s="982"/>
      <c r="IT217" s="982"/>
      <c r="IU217" s="982"/>
      <c r="IV217" s="982"/>
      <c r="IW217" s="982"/>
      <c r="IX217" s="982"/>
      <c r="IZ217" s="1617">
        <v>5</v>
      </c>
      <c r="JA217" s="1738"/>
      <c r="JB217" s="1062" t="s">
        <v>373</v>
      </c>
      <c r="JC217" s="1053">
        <v>0</v>
      </c>
      <c r="JD217" s="1062" t="s">
        <v>373</v>
      </c>
      <c r="JE217" s="1053">
        <v>0</v>
      </c>
      <c r="JF217" s="1062" t="s">
        <v>373</v>
      </c>
      <c r="JG217" s="1053">
        <v>0</v>
      </c>
      <c r="JH217" s="1062" t="s">
        <v>373</v>
      </c>
      <c r="JI217" s="1053">
        <v>0</v>
      </c>
      <c r="JJ217" s="1062" t="s">
        <v>373</v>
      </c>
      <c r="JK217" s="1053">
        <v>0</v>
      </c>
      <c r="JL217" s="1062" t="s">
        <v>373</v>
      </c>
      <c r="JM217" s="1053">
        <v>0</v>
      </c>
      <c r="JN217" s="1062" t="s">
        <v>373</v>
      </c>
      <c r="JO217" s="1053">
        <v>0</v>
      </c>
    </row>
    <row r="218" spans="66:275" ht="20.100000000000001" hidden="1" customHeight="1">
      <c r="BN218" s="982"/>
      <c r="BO218" s="982"/>
      <c r="BP218" s="982"/>
      <c r="BQ218" s="982"/>
      <c r="BR218" s="982"/>
      <c r="BS218" s="982"/>
      <c r="BT218" s="982"/>
      <c r="BU218" s="982"/>
      <c r="BV218" s="982"/>
      <c r="BW218" s="982"/>
      <c r="BX218" s="982"/>
      <c r="BY218" s="982"/>
      <c r="BZ218" s="982"/>
      <c r="CA218" s="982"/>
      <c r="CB218" s="982"/>
      <c r="CC218" s="982"/>
      <c r="CD218" s="982"/>
      <c r="CE218" s="982"/>
      <c r="CF218" s="982"/>
      <c r="CG218" s="982"/>
      <c r="CH218" s="982"/>
      <c r="CI218" s="982"/>
      <c r="CJ218" s="982"/>
      <c r="CK218" s="982"/>
      <c r="CL218" s="982"/>
      <c r="CM218" s="982"/>
      <c r="CN218" s="982"/>
      <c r="CO218" s="982"/>
      <c r="CP218" s="982"/>
      <c r="CQ218" s="982"/>
      <c r="CR218" s="982"/>
      <c r="CS218" s="982"/>
      <c r="CT218" s="982"/>
      <c r="CU218" s="982"/>
      <c r="CV218" s="982"/>
      <c r="CW218" s="982"/>
      <c r="CX218" s="982"/>
      <c r="CY218" s="982"/>
      <c r="CZ218" s="982"/>
      <c r="DA218" s="982"/>
      <c r="DB218" s="982"/>
      <c r="DC218" s="982"/>
      <c r="DD218" s="982"/>
      <c r="DE218" s="982"/>
      <c r="DF218" s="982"/>
      <c r="DG218" s="982"/>
      <c r="DH218" s="982"/>
      <c r="DI218" s="982"/>
      <c r="DJ218" s="982"/>
      <c r="DK218" s="982"/>
      <c r="DL218" s="982"/>
      <c r="DM218" s="982"/>
      <c r="DN218" s="982"/>
      <c r="DO218" s="982"/>
      <c r="DP218" s="982"/>
      <c r="DQ218" s="982"/>
      <c r="DR218" s="982"/>
      <c r="DS218" s="982"/>
      <c r="DT218" s="982"/>
      <c r="DU218" s="982"/>
      <c r="DV218" s="982"/>
      <c r="DW218" s="982"/>
      <c r="DX218" s="982"/>
      <c r="DY218" s="982"/>
      <c r="DZ218" s="982"/>
      <c r="EA218" s="982"/>
      <c r="EB218" s="982"/>
      <c r="EC218" s="982"/>
      <c r="ED218" s="982"/>
      <c r="EE218" s="982"/>
      <c r="EF218" s="982"/>
      <c r="EG218" s="982"/>
      <c r="EH218" s="982"/>
      <c r="EI218" s="982"/>
      <c r="EJ218" s="982"/>
      <c r="EK218" s="982"/>
      <c r="EL218" s="982"/>
      <c r="EM218" s="982"/>
      <c r="EN218" s="982"/>
      <c r="EO218" s="982"/>
      <c r="EP218" s="982"/>
      <c r="EQ218" s="982"/>
      <c r="ER218" s="982"/>
      <c r="ES218" s="982"/>
      <c r="ET218" s="982"/>
      <c r="EU218" s="982"/>
      <c r="EV218" s="982"/>
      <c r="EW218" s="982"/>
      <c r="EX218" s="982"/>
      <c r="EY218" s="982"/>
      <c r="EZ218" s="982"/>
      <c r="FA218" s="982"/>
      <c r="FB218" s="982"/>
      <c r="FC218" s="982"/>
      <c r="FD218" s="982"/>
      <c r="FE218" s="982"/>
      <c r="FF218" s="982"/>
      <c r="FG218" s="982"/>
      <c r="FH218" s="982"/>
      <c r="FI218" s="982"/>
      <c r="FJ218" s="982"/>
      <c r="FK218" s="982"/>
      <c r="FL218" s="982"/>
      <c r="FM218" s="982"/>
      <c r="FN218" s="982"/>
      <c r="FO218" s="982"/>
      <c r="FP218" s="982"/>
      <c r="FQ218" s="982"/>
      <c r="FR218" s="982"/>
      <c r="FS218" s="982"/>
      <c r="FT218" s="982"/>
      <c r="FU218" s="982"/>
      <c r="FV218" s="982"/>
      <c r="FW218" s="982"/>
      <c r="FX218" s="982"/>
      <c r="FY218" s="982"/>
      <c r="FZ218" s="982"/>
      <c r="GA218" s="982"/>
      <c r="GB218" s="982"/>
      <c r="GC218" s="982"/>
      <c r="GD218" s="982"/>
      <c r="GE218" s="982"/>
      <c r="GF218" s="982"/>
      <c r="GG218" s="982"/>
      <c r="GH218" s="982"/>
      <c r="GI218" s="982"/>
      <c r="GJ218" s="982"/>
      <c r="GK218" s="982"/>
      <c r="GL218" s="982"/>
      <c r="GM218" s="982"/>
      <c r="GN218" s="982"/>
      <c r="GO218" s="982"/>
      <c r="GP218" s="982"/>
      <c r="GQ218" s="982"/>
      <c r="GR218" s="982"/>
      <c r="GS218" s="982"/>
      <c r="GT218" s="982"/>
      <c r="GU218" s="982"/>
      <c r="GV218" s="982"/>
      <c r="GW218" s="982"/>
      <c r="GX218" s="982"/>
      <c r="GY218" s="982"/>
      <c r="GZ218" s="982"/>
      <c r="HA218" s="982"/>
      <c r="HB218" s="982"/>
      <c r="HC218" s="982"/>
      <c r="HD218" s="982"/>
      <c r="HE218" s="982"/>
      <c r="HF218" s="982"/>
      <c r="HG218" s="982"/>
      <c r="HH218" s="982"/>
      <c r="HI218" s="982"/>
      <c r="HJ218" s="982"/>
      <c r="HK218" s="982"/>
      <c r="HL218" s="982"/>
      <c r="HM218" s="982"/>
      <c r="HN218" s="982"/>
      <c r="HO218" s="982"/>
      <c r="HP218" s="982"/>
      <c r="HQ218" s="982"/>
      <c r="HR218" s="982"/>
      <c r="HS218" s="982"/>
      <c r="HT218" s="982"/>
      <c r="HU218" s="982"/>
      <c r="HV218" s="982"/>
      <c r="HW218" s="982"/>
      <c r="HX218" s="982"/>
      <c r="HY218" s="982"/>
      <c r="HZ218" s="982"/>
      <c r="IA218" s="982"/>
      <c r="IB218" s="982"/>
      <c r="IC218" s="982"/>
      <c r="ID218" s="982"/>
      <c r="IE218" s="982"/>
      <c r="IF218" s="982"/>
      <c r="IG218" s="982"/>
      <c r="IH218" s="982"/>
      <c r="II218" s="982"/>
      <c r="IJ218" s="982"/>
      <c r="IK218" s="982"/>
      <c r="IL218" s="982"/>
      <c r="IM218" s="982"/>
      <c r="IN218" s="982"/>
      <c r="IO218" s="982"/>
      <c r="IP218" s="982"/>
      <c r="IQ218" s="982"/>
      <c r="IR218" s="982"/>
      <c r="IS218" s="982"/>
      <c r="IT218" s="982"/>
      <c r="IU218" s="982"/>
      <c r="IV218" s="982"/>
      <c r="IW218" s="982"/>
      <c r="IX218" s="982"/>
      <c r="IZ218" s="1617">
        <v>6</v>
      </c>
      <c r="JA218" s="1738"/>
      <c r="JB218" s="1062" t="s">
        <v>373</v>
      </c>
      <c r="JC218" s="1053">
        <v>0</v>
      </c>
      <c r="JD218" s="1062" t="s">
        <v>373</v>
      </c>
      <c r="JE218" s="1053">
        <v>0</v>
      </c>
      <c r="JF218" s="1062" t="s">
        <v>373</v>
      </c>
      <c r="JG218" s="1053">
        <v>0</v>
      </c>
      <c r="JH218" s="1062" t="s">
        <v>373</v>
      </c>
      <c r="JI218" s="1053">
        <v>0</v>
      </c>
      <c r="JJ218" s="1062" t="s">
        <v>373</v>
      </c>
      <c r="JK218" s="1053">
        <v>0</v>
      </c>
      <c r="JL218" s="1062" t="s">
        <v>373</v>
      </c>
      <c r="JM218" s="1053">
        <v>0</v>
      </c>
      <c r="JN218" s="1062" t="s">
        <v>373</v>
      </c>
      <c r="JO218" s="1053">
        <v>0</v>
      </c>
    </row>
    <row r="219" spans="66:275" ht="24.95" hidden="1" customHeight="1">
      <c r="BN219" s="982"/>
      <c r="BO219" s="982"/>
      <c r="BP219" s="982"/>
      <c r="BQ219" s="982"/>
      <c r="BR219" s="982"/>
      <c r="BS219" s="982"/>
      <c r="BT219" s="982"/>
      <c r="BU219" s="982"/>
      <c r="BV219" s="982"/>
      <c r="BW219" s="982"/>
      <c r="BX219" s="982"/>
      <c r="BY219" s="982"/>
      <c r="BZ219" s="982"/>
      <c r="CA219" s="982"/>
      <c r="CB219" s="982"/>
      <c r="CC219" s="982"/>
      <c r="CD219" s="982"/>
      <c r="CE219" s="982"/>
      <c r="CF219" s="982"/>
      <c r="CG219" s="982"/>
      <c r="CH219" s="982"/>
      <c r="CI219" s="982"/>
      <c r="CJ219" s="982"/>
      <c r="CK219" s="982"/>
      <c r="CL219" s="982"/>
      <c r="CM219" s="982"/>
      <c r="CN219" s="982"/>
      <c r="CO219" s="982"/>
      <c r="CP219" s="982"/>
      <c r="CQ219" s="982"/>
      <c r="CR219" s="982"/>
      <c r="CS219" s="982"/>
      <c r="CT219" s="982"/>
      <c r="CU219" s="982"/>
      <c r="CV219" s="982"/>
      <c r="CW219" s="982"/>
      <c r="CX219" s="982"/>
      <c r="CY219" s="982"/>
      <c r="CZ219" s="982"/>
      <c r="DA219" s="982"/>
      <c r="DB219" s="982"/>
      <c r="DC219" s="982"/>
      <c r="DD219" s="982"/>
      <c r="DE219" s="982"/>
      <c r="DF219" s="982"/>
      <c r="DG219" s="982"/>
      <c r="DH219" s="982"/>
      <c r="DI219" s="982"/>
      <c r="DJ219" s="982"/>
      <c r="DK219" s="982"/>
      <c r="DL219" s="982"/>
      <c r="DM219" s="982"/>
      <c r="DN219" s="982"/>
      <c r="DO219" s="982"/>
      <c r="DP219" s="982"/>
      <c r="DQ219" s="982"/>
      <c r="DR219" s="982"/>
      <c r="DS219" s="982"/>
      <c r="DT219" s="982"/>
      <c r="DU219" s="982"/>
      <c r="DV219" s="982"/>
      <c r="DW219" s="982"/>
      <c r="DX219" s="982"/>
      <c r="DY219" s="982"/>
      <c r="DZ219" s="982"/>
      <c r="EA219" s="982"/>
      <c r="EB219" s="982"/>
      <c r="EC219" s="982"/>
      <c r="ED219" s="982"/>
      <c r="EE219" s="982"/>
      <c r="EF219" s="982"/>
      <c r="EG219" s="982"/>
      <c r="EH219" s="982"/>
      <c r="EI219" s="982"/>
      <c r="EJ219" s="982"/>
      <c r="EK219" s="982"/>
      <c r="EL219" s="982"/>
      <c r="EM219" s="982"/>
      <c r="EN219" s="982"/>
      <c r="EO219" s="982"/>
      <c r="EP219" s="982"/>
      <c r="EQ219" s="982"/>
      <c r="ER219" s="982"/>
      <c r="ES219" s="982"/>
      <c r="ET219" s="982"/>
      <c r="EU219" s="982"/>
      <c r="EV219" s="982"/>
      <c r="EW219" s="982"/>
      <c r="EX219" s="982"/>
      <c r="EY219" s="982"/>
      <c r="EZ219" s="982"/>
      <c r="FA219" s="982"/>
      <c r="FB219" s="982"/>
      <c r="FC219" s="982"/>
      <c r="FD219" s="982"/>
      <c r="FE219" s="982"/>
      <c r="FF219" s="982"/>
      <c r="FG219" s="982"/>
      <c r="FH219" s="982"/>
      <c r="FI219" s="982"/>
      <c r="FJ219" s="982"/>
      <c r="FK219" s="982"/>
      <c r="FL219" s="982"/>
      <c r="FM219" s="982"/>
      <c r="FN219" s="982"/>
      <c r="FO219" s="982"/>
      <c r="FP219" s="982"/>
      <c r="FQ219" s="982"/>
      <c r="FR219" s="982"/>
      <c r="FS219" s="982"/>
      <c r="FT219" s="982"/>
      <c r="FU219" s="982"/>
      <c r="FV219" s="982"/>
      <c r="FW219" s="982"/>
      <c r="FX219" s="982"/>
      <c r="FY219" s="982"/>
      <c r="FZ219" s="982"/>
      <c r="GA219" s="982"/>
      <c r="GB219" s="982"/>
      <c r="GC219" s="982"/>
      <c r="GD219" s="982"/>
      <c r="GE219" s="982"/>
      <c r="GF219" s="982"/>
      <c r="GG219" s="982"/>
      <c r="GH219" s="982"/>
      <c r="GI219" s="982"/>
      <c r="GJ219" s="982"/>
      <c r="GK219" s="982"/>
      <c r="GL219" s="982"/>
      <c r="GM219" s="982"/>
      <c r="GN219" s="982"/>
      <c r="GO219" s="982"/>
      <c r="GP219" s="982"/>
      <c r="GQ219" s="982"/>
      <c r="GR219" s="982"/>
      <c r="GS219" s="982"/>
      <c r="GT219" s="982"/>
      <c r="GU219" s="982"/>
      <c r="GV219" s="982"/>
      <c r="GW219" s="982"/>
      <c r="GX219" s="982"/>
      <c r="GY219" s="982"/>
      <c r="GZ219" s="982"/>
      <c r="HA219" s="982"/>
      <c r="HB219" s="982"/>
      <c r="HC219" s="982"/>
      <c r="HD219" s="982"/>
      <c r="HE219" s="982"/>
      <c r="HF219" s="982"/>
      <c r="HG219" s="982"/>
      <c r="HH219" s="982"/>
      <c r="HI219" s="982"/>
      <c r="HJ219" s="982"/>
      <c r="HK219" s="982"/>
      <c r="HL219" s="982"/>
      <c r="HM219" s="982"/>
      <c r="HN219" s="982"/>
      <c r="HO219" s="982"/>
      <c r="HP219" s="982"/>
      <c r="HQ219" s="982"/>
      <c r="HR219" s="982"/>
      <c r="HS219" s="982"/>
      <c r="HT219" s="982"/>
      <c r="HU219" s="982"/>
      <c r="HV219" s="982"/>
      <c r="HW219" s="982"/>
      <c r="HX219" s="982"/>
      <c r="HY219" s="982"/>
      <c r="HZ219" s="982"/>
      <c r="IA219" s="982"/>
      <c r="IB219" s="982"/>
      <c r="IC219" s="982"/>
      <c r="ID219" s="982"/>
      <c r="IE219" s="982"/>
      <c r="IF219" s="982"/>
      <c r="IG219" s="982"/>
      <c r="IH219" s="982"/>
      <c r="II219" s="982"/>
      <c r="IJ219" s="982"/>
      <c r="IK219" s="982"/>
      <c r="IL219" s="982"/>
      <c r="IM219" s="982"/>
      <c r="IN219" s="982"/>
      <c r="IO219" s="982"/>
      <c r="IP219" s="982"/>
      <c r="IQ219" s="982"/>
      <c r="IR219" s="982"/>
      <c r="IS219" s="982"/>
      <c r="IT219" s="982"/>
      <c r="IU219" s="982"/>
      <c r="IV219" s="982"/>
      <c r="IW219" s="982"/>
      <c r="IX219" s="982"/>
      <c r="IZ219" s="1432"/>
      <c r="JA219" s="1737" t="s">
        <v>330</v>
      </c>
      <c r="JB219" s="1059"/>
      <c r="JC219" s="1063">
        <v>43.2</v>
      </c>
      <c r="JD219" s="1059"/>
      <c r="JE219" s="1063">
        <v>30</v>
      </c>
      <c r="JF219" s="1059"/>
      <c r="JG219" s="1063">
        <v>26</v>
      </c>
      <c r="JH219" s="1059"/>
      <c r="JI219" s="1063">
        <v>17</v>
      </c>
      <c r="JJ219" s="1037"/>
      <c r="JK219" s="1063">
        <v>0</v>
      </c>
      <c r="JL219" s="1037"/>
      <c r="JM219" s="1063">
        <v>34</v>
      </c>
      <c r="JN219" s="1059"/>
      <c r="JO219" s="1063">
        <v>0</v>
      </c>
    </row>
    <row r="220" spans="66:275" ht="24.95" hidden="1" customHeight="1">
      <c r="BN220" s="982"/>
      <c r="BO220" s="982"/>
      <c r="BP220" s="982"/>
      <c r="BQ220" s="982"/>
      <c r="BR220" s="982"/>
      <c r="BS220" s="982"/>
      <c r="BT220" s="982"/>
      <c r="BU220" s="982"/>
      <c r="BV220" s="982"/>
      <c r="BW220" s="982"/>
      <c r="BX220" s="982"/>
      <c r="BY220" s="982"/>
      <c r="BZ220" s="982"/>
      <c r="CA220" s="982"/>
      <c r="CB220" s="982"/>
      <c r="CC220" s="982"/>
      <c r="CD220" s="982"/>
      <c r="CE220" s="982"/>
      <c r="CF220" s="982"/>
      <c r="CG220" s="982"/>
      <c r="CH220" s="982"/>
      <c r="CI220" s="982"/>
      <c r="CJ220" s="982"/>
      <c r="CK220" s="982"/>
      <c r="CL220" s="982"/>
      <c r="CM220" s="982"/>
      <c r="CN220" s="982"/>
      <c r="CO220" s="982"/>
      <c r="CP220" s="982"/>
      <c r="CQ220" s="982"/>
      <c r="CR220" s="982"/>
      <c r="CS220" s="982"/>
      <c r="CT220" s="982"/>
      <c r="CU220" s="982"/>
      <c r="CV220" s="982"/>
      <c r="CW220" s="982"/>
      <c r="CX220" s="982"/>
      <c r="CY220" s="982"/>
      <c r="CZ220" s="982"/>
      <c r="DA220" s="982"/>
      <c r="DB220" s="982"/>
      <c r="DC220" s="982"/>
      <c r="DD220" s="982"/>
      <c r="DE220" s="982"/>
      <c r="DF220" s="982"/>
      <c r="DG220" s="982"/>
      <c r="DH220" s="982"/>
      <c r="DI220" s="982"/>
      <c r="DJ220" s="982"/>
      <c r="DK220" s="982"/>
      <c r="DL220" s="982"/>
      <c r="DM220" s="982"/>
      <c r="DN220" s="982"/>
      <c r="DO220" s="982"/>
      <c r="DP220" s="982"/>
      <c r="DQ220" s="982"/>
      <c r="DR220" s="982"/>
      <c r="DS220" s="982"/>
      <c r="DT220" s="982"/>
      <c r="DU220" s="982"/>
      <c r="DV220" s="982"/>
      <c r="DW220" s="982"/>
      <c r="DX220" s="982"/>
      <c r="DY220" s="982"/>
      <c r="DZ220" s="982"/>
      <c r="EA220" s="982"/>
      <c r="EB220" s="982"/>
      <c r="EC220" s="982"/>
      <c r="ED220" s="982"/>
      <c r="EE220" s="982"/>
      <c r="EF220" s="982"/>
      <c r="EG220" s="982"/>
      <c r="EH220" s="982"/>
      <c r="EI220" s="982"/>
      <c r="EJ220" s="982"/>
      <c r="EK220" s="982"/>
      <c r="EL220" s="982"/>
      <c r="EM220" s="982"/>
      <c r="EN220" s="982"/>
      <c r="EO220" s="982"/>
      <c r="EP220" s="982"/>
      <c r="EQ220" s="982"/>
      <c r="ER220" s="982"/>
      <c r="ES220" s="982"/>
      <c r="ET220" s="982"/>
      <c r="EU220" s="982"/>
      <c r="EV220" s="982"/>
      <c r="EW220" s="982"/>
      <c r="EX220" s="982"/>
      <c r="EY220" s="982"/>
      <c r="EZ220" s="982"/>
      <c r="FA220" s="982"/>
      <c r="FB220" s="982"/>
      <c r="FC220" s="982"/>
      <c r="FD220" s="982"/>
      <c r="FE220" s="982"/>
      <c r="FF220" s="982"/>
      <c r="FG220" s="982"/>
      <c r="FH220" s="982"/>
      <c r="FI220" s="982"/>
      <c r="FJ220" s="982"/>
      <c r="FK220" s="982"/>
      <c r="FL220" s="982"/>
      <c r="FM220" s="982"/>
      <c r="FN220" s="982"/>
      <c r="FO220" s="982"/>
      <c r="FP220" s="982"/>
      <c r="FQ220" s="982"/>
      <c r="FR220" s="982"/>
      <c r="FS220" s="982"/>
      <c r="FT220" s="982"/>
      <c r="FU220" s="982"/>
      <c r="FV220" s="982"/>
      <c r="FW220" s="982"/>
      <c r="FX220" s="982"/>
      <c r="FY220" s="982"/>
      <c r="FZ220" s="982"/>
      <c r="GA220" s="982"/>
      <c r="GB220" s="982"/>
      <c r="GC220" s="982"/>
      <c r="GD220" s="982"/>
      <c r="GE220" s="982"/>
      <c r="GF220" s="982"/>
      <c r="GG220" s="982"/>
      <c r="GH220" s="982"/>
      <c r="GI220" s="982"/>
      <c r="GJ220" s="982"/>
      <c r="GK220" s="982"/>
      <c r="GL220" s="982"/>
      <c r="GM220" s="982"/>
      <c r="GN220" s="982"/>
      <c r="GO220" s="982"/>
      <c r="GP220" s="982"/>
      <c r="GQ220" s="982"/>
      <c r="GR220" s="982"/>
      <c r="GS220" s="982"/>
      <c r="GT220" s="982"/>
      <c r="GU220" s="982"/>
      <c r="GV220" s="982"/>
      <c r="GW220" s="982"/>
      <c r="GX220" s="982"/>
      <c r="GY220" s="982"/>
      <c r="GZ220" s="982"/>
      <c r="HA220" s="982"/>
      <c r="HB220" s="982"/>
      <c r="HC220" s="982"/>
      <c r="HD220" s="982"/>
      <c r="HE220" s="982"/>
      <c r="HF220" s="982"/>
      <c r="HG220" s="982"/>
      <c r="HH220" s="982"/>
      <c r="HI220" s="982"/>
      <c r="HJ220" s="982"/>
      <c r="HK220" s="982"/>
      <c r="HL220" s="982"/>
      <c r="HM220" s="982"/>
      <c r="HN220" s="982"/>
      <c r="HO220" s="982"/>
      <c r="HP220" s="982"/>
      <c r="HQ220" s="982"/>
      <c r="HR220" s="982"/>
      <c r="HS220" s="982"/>
      <c r="HT220" s="982"/>
      <c r="HU220" s="982"/>
      <c r="HV220" s="982"/>
      <c r="HW220" s="982"/>
      <c r="HX220" s="982"/>
      <c r="HY220" s="982"/>
      <c r="HZ220" s="982"/>
      <c r="IA220" s="982"/>
      <c r="IB220" s="982"/>
      <c r="IC220" s="982"/>
      <c r="ID220" s="982"/>
      <c r="IE220" s="982"/>
      <c r="IF220" s="982"/>
      <c r="IG220" s="982"/>
      <c r="IH220" s="982"/>
      <c r="II220" s="982"/>
      <c r="IJ220" s="982"/>
      <c r="IK220" s="982"/>
      <c r="IL220" s="982"/>
      <c r="IM220" s="982"/>
      <c r="IN220" s="982"/>
      <c r="IO220" s="982"/>
      <c r="IP220" s="982"/>
      <c r="IQ220" s="982"/>
      <c r="IR220" s="982"/>
      <c r="IS220" s="982"/>
      <c r="IT220" s="982"/>
      <c r="IU220" s="982"/>
      <c r="IV220" s="982"/>
      <c r="IW220" s="982"/>
      <c r="IX220" s="982"/>
      <c r="IZ220" s="1432"/>
      <c r="JA220" s="1739" t="s">
        <v>331</v>
      </c>
      <c r="JB220" s="1064"/>
      <c r="JC220" s="1065">
        <f>SUM(JC212:JC214,JC216:JC218)</f>
        <v>43.2</v>
      </c>
      <c r="JD220" s="1064"/>
      <c r="JE220" s="1065">
        <f>SUM(JE212:JE214,JE216:JE218)</f>
        <v>30</v>
      </c>
      <c r="JF220" s="1064"/>
      <c r="JG220" s="1065">
        <f>SUM(JG212:JG214,JG216:JG218)</f>
        <v>26</v>
      </c>
      <c r="JH220" s="1064"/>
      <c r="JI220" s="1065">
        <f>SUM(JI212:JI214,JI216:JI218)</f>
        <v>17</v>
      </c>
      <c r="JJ220" s="1045"/>
      <c r="JK220" s="1065">
        <f>SUM(JK212:JK214,JK216:JK218)</f>
        <v>0</v>
      </c>
      <c r="JL220" s="1045"/>
      <c r="JM220" s="1065">
        <f>SUM(JM212:JM214,JM216:JM218)</f>
        <v>34</v>
      </c>
      <c r="JN220" s="1064"/>
      <c r="JO220" s="1065">
        <f>SUM(JO212:JO214,JO216:JO218)</f>
        <v>0</v>
      </c>
    </row>
    <row r="221" spans="66:275" ht="30" hidden="1" customHeight="1">
      <c r="BN221" s="982"/>
      <c r="BO221" s="982"/>
      <c r="BP221" s="982"/>
      <c r="BQ221" s="982"/>
      <c r="BR221" s="982"/>
      <c r="BS221" s="982"/>
      <c r="BT221" s="982"/>
      <c r="BU221" s="982"/>
      <c r="BV221" s="982"/>
      <c r="BW221" s="982"/>
      <c r="BX221" s="982"/>
      <c r="BY221" s="982"/>
      <c r="BZ221" s="982"/>
      <c r="CA221" s="982"/>
      <c r="CB221" s="982"/>
      <c r="CC221" s="982"/>
      <c r="CD221" s="982"/>
      <c r="CE221" s="982"/>
      <c r="CF221" s="982"/>
      <c r="CG221" s="982"/>
      <c r="CH221" s="982"/>
      <c r="CI221" s="982"/>
      <c r="CJ221" s="982"/>
      <c r="CK221" s="982"/>
      <c r="CL221" s="982"/>
      <c r="CM221" s="982"/>
      <c r="CN221" s="982"/>
      <c r="CO221" s="982"/>
      <c r="CP221" s="982"/>
      <c r="CQ221" s="982"/>
      <c r="CR221" s="982"/>
      <c r="CS221" s="982"/>
      <c r="CT221" s="982"/>
      <c r="CU221" s="982"/>
      <c r="CV221" s="982"/>
      <c r="CW221" s="982"/>
      <c r="CX221" s="982"/>
      <c r="CY221" s="982"/>
      <c r="CZ221" s="982"/>
      <c r="DA221" s="982"/>
      <c r="DB221" s="982"/>
      <c r="DC221" s="982"/>
      <c r="DD221" s="982"/>
      <c r="DE221" s="982"/>
      <c r="DF221" s="982"/>
      <c r="DG221" s="982"/>
      <c r="DH221" s="982"/>
      <c r="DI221" s="982"/>
      <c r="DJ221" s="982"/>
      <c r="DK221" s="982"/>
      <c r="DL221" s="982"/>
      <c r="DM221" s="982"/>
      <c r="DN221" s="982"/>
      <c r="DO221" s="982"/>
      <c r="DP221" s="982"/>
      <c r="DQ221" s="982"/>
      <c r="DR221" s="982"/>
      <c r="DS221" s="982"/>
      <c r="DT221" s="982"/>
      <c r="DU221" s="982"/>
      <c r="DV221" s="982"/>
      <c r="DW221" s="982"/>
      <c r="DX221" s="982"/>
      <c r="DY221" s="982"/>
      <c r="DZ221" s="982"/>
      <c r="EA221" s="982"/>
      <c r="EB221" s="982"/>
      <c r="EC221" s="982"/>
      <c r="ED221" s="982"/>
      <c r="EE221" s="982"/>
      <c r="EF221" s="982"/>
      <c r="EG221" s="982"/>
      <c r="EH221" s="982"/>
      <c r="EI221" s="982"/>
      <c r="EJ221" s="982"/>
      <c r="EK221" s="982"/>
      <c r="EL221" s="982"/>
      <c r="EM221" s="982"/>
      <c r="EN221" s="982"/>
      <c r="EO221" s="982"/>
      <c r="EP221" s="982"/>
      <c r="EQ221" s="982"/>
      <c r="ER221" s="982"/>
      <c r="ES221" s="982"/>
      <c r="ET221" s="982"/>
      <c r="EU221" s="982"/>
      <c r="EV221" s="982"/>
      <c r="EW221" s="982"/>
      <c r="EX221" s="982"/>
      <c r="EY221" s="982"/>
      <c r="EZ221" s="982"/>
      <c r="FA221" s="982"/>
      <c r="FB221" s="982"/>
      <c r="FC221" s="982"/>
      <c r="FD221" s="982"/>
      <c r="FE221" s="982"/>
      <c r="FF221" s="982"/>
      <c r="FG221" s="982"/>
      <c r="FH221" s="982"/>
      <c r="FI221" s="982"/>
      <c r="FJ221" s="982"/>
      <c r="FK221" s="982"/>
      <c r="FL221" s="982"/>
      <c r="FM221" s="982"/>
      <c r="FN221" s="982"/>
      <c r="FO221" s="982"/>
      <c r="FP221" s="982"/>
      <c r="FQ221" s="982"/>
      <c r="FR221" s="982"/>
      <c r="FS221" s="982"/>
      <c r="FT221" s="982"/>
      <c r="FU221" s="982"/>
      <c r="FV221" s="982"/>
      <c r="FW221" s="982"/>
      <c r="FX221" s="982"/>
      <c r="FY221" s="982"/>
      <c r="FZ221" s="982"/>
      <c r="GA221" s="982"/>
      <c r="GB221" s="982"/>
      <c r="GC221" s="982"/>
      <c r="GD221" s="982"/>
      <c r="GE221" s="982"/>
      <c r="GF221" s="982"/>
      <c r="GG221" s="982"/>
      <c r="GH221" s="982"/>
      <c r="GI221" s="982"/>
      <c r="GJ221" s="982"/>
      <c r="GK221" s="982"/>
      <c r="GL221" s="982"/>
      <c r="GM221" s="982"/>
      <c r="GN221" s="982"/>
      <c r="GO221" s="982"/>
      <c r="GP221" s="982"/>
      <c r="GQ221" s="982"/>
      <c r="GR221" s="982"/>
      <c r="GS221" s="982"/>
      <c r="GT221" s="982"/>
      <c r="GU221" s="982"/>
      <c r="GV221" s="982"/>
      <c r="GW221" s="982"/>
      <c r="GX221" s="982"/>
      <c r="GY221" s="982"/>
      <c r="GZ221" s="982"/>
      <c r="HA221" s="982"/>
      <c r="HB221" s="982"/>
      <c r="HC221" s="982"/>
      <c r="HD221" s="982"/>
      <c r="HE221" s="982"/>
      <c r="HF221" s="982"/>
      <c r="HG221" s="982"/>
      <c r="HH221" s="982"/>
      <c r="HI221" s="982"/>
      <c r="HJ221" s="982"/>
      <c r="HK221" s="982"/>
      <c r="HL221" s="982"/>
      <c r="HM221" s="982"/>
      <c r="HN221" s="982"/>
      <c r="HO221" s="982"/>
      <c r="HP221" s="982"/>
      <c r="HQ221" s="982"/>
      <c r="HR221" s="982"/>
      <c r="HS221" s="982"/>
      <c r="HT221" s="982"/>
      <c r="HU221" s="982"/>
      <c r="HV221" s="982"/>
      <c r="HW221" s="982"/>
      <c r="HX221" s="982"/>
      <c r="HY221" s="982"/>
      <c r="HZ221" s="982"/>
      <c r="IA221" s="982"/>
      <c r="IB221" s="982"/>
      <c r="IC221" s="982"/>
      <c r="ID221" s="982"/>
      <c r="IE221" s="982"/>
      <c r="IF221" s="982"/>
      <c r="IG221" s="982"/>
      <c r="IH221" s="982"/>
      <c r="II221" s="982"/>
      <c r="IJ221" s="982"/>
      <c r="IK221" s="982"/>
      <c r="IL221" s="982"/>
      <c r="IM221" s="982"/>
      <c r="IN221" s="982"/>
      <c r="IO221" s="982"/>
      <c r="IP221" s="982"/>
      <c r="IQ221" s="982"/>
      <c r="IR221" s="982"/>
      <c r="IS221" s="982"/>
      <c r="IT221" s="982"/>
      <c r="IU221" s="982"/>
      <c r="IV221" s="982"/>
      <c r="IW221" s="982"/>
      <c r="IX221" s="982"/>
      <c r="IZ221" s="1432"/>
      <c r="JA221" s="1736" t="s">
        <v>96</v>
      </c>
      <c r="JB221" s="1059"/>
      <c r="JC221" s="1061"/>
      <c r="JD221" s="1059"/>
      <c r="JE221" s="1061"/>
      <c r="JF221" s="1059"/>
      <c r="JG221" s="1061"/>
      <c r="JH221" s="1059"/>
      <c r="JI221" s="1061"/>
      <c r="JJ221" s="1037"/>
      <c r="JK221" s="1061"/>
      <c r="JL221" s="1037"/>
      <c r="JM221" s="1061"/>
      <c r="JN221" s="1059"/>
      <c r="JO221" s="1061"/>
    </row>
    <row r="222" spans="66:275" ht="24.95" hidden="1" customHeight="1">
      <c r="BN222" s="982"/>
      <c r="BO222" s="982"/>
      <c r="BP222" s="982"/>
      <c r="BQ222" s="982"/>
      <c r="BR222" s="982"/>
      <c r="BS222" s="982"/>
      <c r="BT222" s="982"/>
      <c r="BU222" s="982"/>
      <c r="BV222" s="982"/>
      <c r="BW222" s="982"/>
      <c r="BX222" s="982"/>
      <c r="BY222" s="982"/>
      <c r="BZ222" s="982"/>
      <c r="CA222" s="982"/>
      <c r="CB222" s="982"/>
      <c r="CC222" s="982"/>
      <c r="CD222" s="982"/>
      <c r="CE222" s="982"/>
      <c r="CF222" s="982"/>
      <c r="CG222" s="982"/>
      <c r="CH222" s="982"/>
      <c r="CI222" s="982"/>
      <c r="CJ222" s="982"/>
      <c r="CK222" s="982"/>
      <c r="CL222" s="982"/>
      <c r="CM222" s="982"/>
      <c r="CN222" s="982"/>
      <c r="CO222" s="982"/>
      <c r="CP222" s="982"/>
      <c r="CQ222" s="982"/>
      <c r="CR222" s="982"/>
      <c r="CS222" s="982"/>
      <c r="CT222" s="982"/>
      <c r="CU222" s="982"/>
      <c r="CV222" s="982"/>
      <c r="CW222" s="982"/>
      <c r="CX222" s="982"/>
      <c r="CY222" s="982"/>
      <c r="CZ222" s="982"/>
      <c r="DA222" s="982"/>
      <c r="DB222" s="982"/>
      <c r="DC222" s="982"/>
      <c r="DD222" s="982"/>
      <c r="DE222" s="982"/>
      <c r="DF222" s="982"/>
      <c r="DG222" s="982"/>
      <c r="DH222" s="982"/>
      <c r="DI222" s="982"/>
      <c r="DJ222" s="982"/>
      <c r="DK222" s="982"/>
      <c r="DL222" s="982"/>
      <c r="DM222" s="982"/>
      <c r="DN222" s="982"/>
      <c r="DO222" s="982"/>
      <c r="DP222" s="982"/>
      <c r="DQ222" s="982"/>
      <c r="DR222" s="982"/>
      <c r="DS222" s="982"/>
      <c r="DT222" s="982"/>
      <c r="DU222" s="982"/>
      <c r="DV222" s="982"/>
      <c r="DW222" s="982"/>
      <c r="DX222" s="982"/>
      <c r="DY222" s="982"/>
      <c r="DZ222" s="982"/>
      <c r="EA222" s="982"/>
      <c r="EB222" s="982"/>
      <c r="EC222" s="982"/>
      <c r="ED222" s="982"/>
      <c r="EE222" s="982"/>
      <c r="EF222" s="982"/>
      <c r="EG222" s="982"/>
      <c r="EH222" s="982"/>
      <c r="EI222" s="982"/>
      <c r="EJ222" s="982"/>
      <c r="EK222" s="982"/>
      <c r="EL222" s="982"/>
      <c r="EM222" s="982"/>
      <c r="EN222" s="982"/>
      <c r="EO222" s="982"/>
      <c r="EP222" s="982"/>
      <c r="EQ222" s="982"/>
      <c r="ER222" s="982"/>
      <c r="ES222" s="982"/>
      <c r="ET222" s="982"/>
      <c r="EU222" s="982"/>
      <c r="EV222" s="982"/>
      <c r="EW222" s="982"/>
      <c r="EX222" s="982"/>
      <c r="EY222" s="982"/>
      <c r="EZ222" s="982"/>
      <c r="FA222" s="982"/>
      <c r="FB222" s="982"/>
      <c r="FC222" s="982"/>
      <c r="FD222" s="982"/>
      <c r="FE222" s="982"/>
      <c r="FF222" s="982"/>
      <c r="FG222" s="982"/>
      <c r="FH222" s="982"/>
      <c r="FI222" s="982"/>
      <c r="FJ222" s="982"/>
      <c r="FK222" s="982"/>
      <c r="FL222" s="982"/>
      <c r="FM222" s="982"/>
      <c r="FN222" s="982"/>
      <c r="FO222" s="982"/>
      <c r="FP222" s="982"/>
      <c r="FQ222" s="982"/>
      <c r="FR222" s="982"/>
      <c r="FS222" s="982"/>
      <c r="FT222" s="982"/>
      <c r="FU222" s="982"/>
      <c r="FV222" s="982"/>
      <c r="FW222" s="982"/>
      <c r="FX222" s="982"/>
      <c r="FY222" s="982"/>
      <c r="FZ222" s="982"/>
      <c r="GA222" s="982"/>
      <c r="GB222" s="982"/>
      <c r="GC222" s="982"/>
      <c r="GD222" s="982"/>
      <c r="GE222" s="982"/>
      <c r="GF222" s="982"/>
      <c r="GG222" s="982"/>
      <c r="GH222" s="982"/>
      <c r="GI222" s="982"/>
      <c r="GJ222" s="982"/>
      <c r="GK222" s="982"/>
      <c r="GL222" s="982"/>
      <c r="GM222" s="982"/>
      <c r="GN222" s="982"/>
      <c r="GO222" s="982"/>
      <c r="GP222" s="982"/>
      <c r="GQ222" s="982"/>
      <c r="GR222" s="982"/>
      <c r="GS222" s="982"/>
      <c r="GT222" s="982"/>
      <c r="GU222" s="982"/>
      <c r="GV222" s="982"/>
      <c r="GW222" s="982"/>
      <c r="GX222" s="982"/>
      <c r="GY222" s="982"/>
      <c r="GZ222" s="982"/>
      <c r="HA222" s="982"/>
      <c r="HB222" s="982"/>
      <c r="HC222" s="982"/>
      <c r="HD222" s="982"/>
      <c r="HE222" s="982"/>
      <c r="HF222" s="982"/>
      <c r="HG222" s="982"/>
      <c r="HH222" s="982"/>
      <c r="HI222" s="982"/>
      <c r="HJ222" s="982"/>
      <c r="HK222" s="982"/>
      <c r="HL222" s="982"/>
      <c r="HM222" s="982"/>
      <c r="HN222" s="982"/>
      <c r="HO222" s="982"/>
      <c r="HP222" s="982"/>
      <c r="HQ222" s="982"/>
      <c r="HR222" s="982"/>
      <c r="HS222" s="982"/>
      <c r="HT222" s="982"/>
      <c r="HU222" s="982"/>
      <c r="HV222" s="982"/>
      <c r="HW222" s="982"/>
      <c r="HX222" s="982"/>
      <c r="HY222" s="982"/>
      <c r="HZ222" s="982"/>
      <c r="IA222" s="982"/>
      <c r="IB222" s="982"/>
      <c r="IC222" s="982"/>
      <c r="ID222" s="982"/>
      <c r="IE222" s="982"/>
      <c r="IF222" s="982"/>
      <c r="IG222" s="982"/>
      <c r="IH222" s="982"/>
      <c r="II222" s="982"/>
      <c r="IJ222" s="982"/>
      <c r="IK222" s="982"/>
      <c r="IL222" s="982"/>
      <c r="IM222" s="982"/>
      <c r="IN222" s="982"/>
      <c r="IO222" s="982"/>
      <c r="IP222" s="982"/>
      <c r="IQ222" s="982"/>
      <c r="IR222" s="982"/>
      <c r="IS222" s="982"/>
      <c r="IT222" s="982"/>
      <c r="IU222" s="982"/>
      <c r="IV222" s="982"/>
      <c r="IW222" s="982"/>
      <c r="IX222" s="982"/>
      <c r="IZ222" s="1432"/>
      <c r="JA222" s="1737" t="s">
        <v>13</v>
      </c>
      <c r="JB222" s="1059"/>
      <c r="JC222" s="1061"/>
      <c r="JD222" s="1059"/>
      <c r="JE222" s="1061"/>
      <c r="JF222" s="1059"/>
      <c r="JG222" s="1061"/>
      <c r="JH222" s="1059"/>
      <c r="JI222" s="1061"/>
      <c r="JJ222" s="1037"/>
      <c r="JK222" s="1061"/>
      <c r="JL222" s="1037"/>
      <c r="JM222" s="1061"/>
      <c r="JN222" s="1059"/>
      <c r="JO222" s="1061"/>
    </row>
    <row r="223" spans="66:275" ht="20.100000000000001" hidden="1" customHeight="1">
      <c r="BN223" s="982"/>
      <c r="BO223" s="982"/>
      <c r="BP223" s="982"/>
      <c r="BQ223" s="982"/>
      <c r="BR223" s="982"/>
      <c r="BS223" s="982"/>
      <c r="BT223" s="982"/>
      <c r="BU223" s="982"/>
      <c r="BV223" s="982"/>
      <c r="BW223" s="982"/>
      <c r="BX223" s="982"/>
      <c r="BY223" s="982"/>
      <c r="BZ223" s="982"/>
      <c r="CA223" s="982"/>
      <c r="CB223" s="982"/>
      <c r="CC223" s="982"/>
      <c r="CD223" s="982"/>
      <c r="CE223" s="982"/>
      <c r="CF223" s="982"/>
      <c r="CG223" s="982"/>
      <c r="CH223" s="982"/>
      <c r="CI223" s="982"/>
      <c r="CJ223" s="982"/>
      <c r="CK223" s="982"/>
      <c r="CL223" s="982"/>
      <c r="CM223" s="982"/>
      <c r="CN223" s="982"/>
      <c r="CO223" s="982"/>
      <c r="CP223" s="982"/>
      <c r="CQ223" s="982"/>
      <c r="CR223" s="982"/>
      <c r="CS223" s="982"/>
      <c r="CT223" s="982"/>
      <c r="CU223" s="982"/>
      <c r="CV223" s="982"/>
      <c r="CW223" s="982"/>
      <c r="CX223" s="982"/>
      <c r="CY223" s="982"/>
      <c r="CZ223" s="982"/>
      <c r="DA223" s="982"/>
      <c r="DB223" s="982"/>
      <c r="DC223" s="982"/>
      <c r="DD223" s="982"/>
      <c r="DE223" s="982"/>
      <c r="DF223" s="982"/>
      <c r="DG223" s="982"/>
      <c r="DH223" s="982"/>
      <c r="DI223" s="982"/>
      <c r="DJ223" s="982"/>
      <c r="DK223" s="982"/>
      <c r="DL223" s="982"/>
      <c r="DM223" s="982"/>
      <c r="DN223" s="982"/>
      <c r="DO223" s="982"/>
      <c r="DP223" s="982"/>
      <c r="DQ223" s="982"/>
      <c r="DR223" s="982"/>
      <c r="DS223" s="982"/>
      <c r="DT223" s="982"/>
      <c r="DU223" s="982"/>
      <c r="DV223" s="982"/>
      <c r="DW223" s="982"/>
      <c r="DX223" s="982"/>
      <c r="DY223" s="982"/>
      <c r="DZ223" s="982"/>
      <c r="EA223" s="982"/>
      <c r="EB223" s="982"/>
      <c r="EC223" s="982"/>
      <c r="ED223" s="982"/>
      <c r="EE223" s="982"/>
      <c r="EF223" s="982"/>
      <c r="EG223" s="982"/>
      <c r="EH223" s="982"/>
      <c r="EI223" s="982"/>
      <c r="EJ223" s="982"/>
      <c r="EK223" s="982"/>
      <c r="EL223" s="982"/>
      <c r="EM223" s="982"/>
      <c r="EN223" s="982"/>
      <c r="EO223" s="982"/>
      <c r="EP223" s="982"/>
      <c r="EQ223" s="982"/>
      <c r="ER223" s="982"/>
      <c r="ES223" s="982"/>
      <c r="ET223" s="982"/>
      <c r="EU223" s="982"/>
      <c r="EV223" s="982"/>
      <c r="EW223" s="982"/>
      <c r="EX223" s="982"/>
      <c r="EY223" s="982"/>
      <c r="EZ223" s="982"/>
      <c r="FA223" s="982"/>
      <c r="FB223" s="982"/>
      <c r="FC223" s="982"/>
      <c r="FD223" s="982"/>
      <c r="FE223" s="982"/>
      <c r="FF223" s="982"/>
      <c r="FG223" s="982"/>
      <c r="FH223" s="982"/>
      <c r="FI223" s="982"/>
      <c r="FJ223" s="982"/>
      <c r="FK223" s="982"/>
      <c r="FL223" s="982"/>
      <c r="FM223" s="982"/>
      <c r="FN223" s="982"/>
      <c r="FO223" s="982"/>
      <c r="FP223" s="982"/>
      <c r="FQ223" s="982"/>
      <c r="FR223" s="982"/>
      <c r="FS223" s="982"/>
      <c r="FT223" s="982"/>
      <c r="FU223" s="982"/>
      <c r="FV223" s="982"/>
      <c r="FW223" s="982"/>
      <c r="FX223" s="982"/>
      <c r="FY223" s="982"/>
      <c r="FZ223" s="982"/>
      <c r="GA223" s="982"/>
      <c r="GB223" s="982"/>
      <c r="GC223" s="982"/>
      <c r="GD223" s="982"/>
      <c r="GE223" s="982"/>
      <c r="GF223" s="982"/>
      <c r="GG223" s="982"/>
      <c r="GH223" s="982"/>
      <c r="GI223" s="982"/>
      <c r="GJ223" s="982"/>
      <c r="GK223" s="982"/>
      <c r="GL223" s="982"/>
      <c r="GM223" s="982"/>
      <c r="GN223" s="982"/>
      <c r="GO223" s="982"/>
      <c r="GP223" s="982"/>
      <c r="GQ223" s="982"/>
      <c r="GR223" s="982"/>
      <c r="GS223" s="982"/>
      <c r="GT223" s="982"/>
      <c r="GU223" s="982"/>
      <c r="GV223" s="982"/>
      <c r="GW223" s="982"/>
      <c r="GX223" s="982"/>
      <c r="GY223" s="982"/>
      <c r="GZ223" s="982"/>
      <c r="HA223" s="982"/>
      <c r="HB223" s="982"/>
      <c r="HC223" s="982"/>
      <c r="HD223" s="982"/>
      <c r="HE223" s="982"/>
      <c r="HF223" s="982"/>
      <c r="HG223" s="982"/>
      <c r="HH223" s="982"/>
      <c r="HI223" s="982"/>
      <c r="HJ223" s="982"/>
      <c r="HK223" s="982"/>
      <c r="HL223" s="982"/>
      <c r="HM223" s="982"/>
      <c r="HN223" s="982"/>
      <c r="HO223" s="982"/>
      <c r="HP223" s="982"/>
      <c r="HQ223" s="982"/>
      <c r="HR223" s="982"/>
      <c r="HS223" s="982"/>
      <c r="HT223" s="982"/>
      <c r="HU223" s="982"/>
      <c r="HV223" s="982"/>
      <c r="HW223" s="982"/>
      <c r="HX223" s="982"/>
      <c r="HY223" s="982"/>
      <c r="HZ223" s="982"/>
      <c r="IA223" s="982"/>
      <c r="IB223" s="982"/>
      <c r="IC223" s="982"/>
      <c r="ID223" s="982"/>
      <c r="IE223" s="982"/>
      <c r="IF223" s="982"/>
      <c r="IG223" s="982"/>
      <c r="IH223" s="982"/>
      <c r="II223" s="982"/>
      <c r="IJ223" s="982"/>
      <c r="IK223" s="982"/>
      <c r="IL223" s="982"/>
      <c r="IM223" s="982"/>
      <c r="IN223" s="982"/>
      <c r="IO223" s="982"/>
      <c r="IP223" s="982"/>
      <c r="IQ223" s="982"/>
      <c r="IR223" s="982"/>
      <c r="IS223" s="982"/>
      <c r="IT223" s="982"/>
      <c r="IU223" s="982"/>
      <c r="IV223" s="982"/>
      <c r="IW223" s="982"/>
      <c r="IX223" s="982"/>
      <c r="IZ223" s="1617">
        <v>7</v>
      </c>
      <c r="JA223" s="1738"/>
      <c r="JB223" s="1062" t="s">
        <v>373</v>
      </c>
      <c r="JC223" s="1053">
        <v>0</v>
      </c>
      <c r="JD223" s="1062" t="s">
        <v>332</v>
      </c>
      <c r="JE223" s="1053">
        <v>15</v>
      </c>
      <c r="JF223" s="1062" t="s">
        <v>333</v>
      </c>
      <c r="JG223" s="1053">
        <v>2</v>
      </c>
      <c r="JH223" s="1062"/>
      <c r="JI223" s="1053">
        <v>0</v>
      </c>
      <c r="JJ223" s="1062" t="s">
        <v>373</v>
      </c>
      <c r="JK223" s="1053">
        <v>0</v>
      </c>
      <c r="JL223" s="1062" t="s">
        <v>373</v>
      </c>
      <c r="JM223" s="1053">
        <v>0</v>
      </c>
      <c r="JN223" s="1062" t="s">
        <v>334</v>
      </c>
      <c r="JO223" s="1053">
        <v>20</v>
      </c>
    </row>
    <row r="224" spans="66:275" ht="20.100000000000001" hidden="1" customHeight="1">
      <c r="BN224" s="982"/>
      <c r="BO224" s="982"/>
      <c r="BP224" s="982"/>
      <c r="BQ224" s="982"/>
      <c r="BR224" s="982"/>
      <c r="BS224" s="982"/>
      <c r="BT224" s="982"/>
      <c r="BU224" s="982"/>
      <c r="BV224" s="982"/>
      <c r="BW224" s="982"/>
      <c r="BX224" s="982"/>
      <c r="BY224" s="982"/>
      <c r="BZ224" s="982"/>
      <c r="CA224" s="982"/>
      <c r="CB224" s="982"/>
      <c r="CC224" s="982"/>
      <c r="CD224" s="982"/>
      <c r="CE224" s="982"/>
      <c r="CF224" s="982"/>
      <c r="CG224" s="982"/>
      <c r="CH224" s="982"/>
      <c r="CI224" s="982"/>
      <c r="CJ224" s="982"/>
      <c r="CK224" s="982"/>
      <c r="CL224" s="982"/>
      <c r="CM224" s="982"/>
      <c r="CN224" s="982"/>
      <c r="CO224" s="982"/>
      <c r="CP224" s="982"/>
      <c r="CQ224" s="982"/>
      <c r="CR224" s="982"/>
      <c r="CS224" s="982"/>
      <c r="CT224" s="982"/>
      <c r="CU224" s="982"/>
      <c r="CV224" s="982"/>
      <c r="CW224" s="982"/>
      <c r="CX224" s="982"/>
      <c r="CY224" s="982"/>
      <c r="CZ224" s="982"/>
      <c r="DA224" s="982"/>
      <c r="DB224" s="982"/>
      <c r="DC224" s="982"/>
      <c r="DD224" s="982"/>
      <c r="DE224" s="982"/>
      <c r="DF224" s="982"/>
      <c r="DG224" s="982"/>
      <c r="DH224" s="982"/>
      <c r="DI224" s="982"/>
      <c r="DJ224" s="982"/>
      <c r="DK224" s="982"/>
      <c r="DL224" s="982"/>
      <c r="DM224" s="982"/>
      <c r="DN224" s="982"/>
      <c r="DO224" s="982"/>
      <c r="DP224" s="982"/>
      <c r="DQ224" s="982"/>
      <c r="DR224" s="982"/>
      <c r="DS224" s="982"/>
      <c r="DT224" s="982"/>
      <c r="DU224" s="982"/>
      <c r="DV224" s="982"/>
      <c r="DW224" s="982"/>
      <c r="DX224" s="982"/>
      <c r="DY224" s="982"/>
      <c r="DZ224" s="982"/>
      <c r="EA224" s="982"/>
      <c r="EB224" s="982"/>
      <c r="EC224" s="982"/>
      <c r="ED224" s="982"/>
      <c r="EE224" s="982"/>
      <c r="EF224" s="982"/>
      <c r="EG224" s="982"/>
      <c r="EH224" s="982"/>
      <c r="EI224" s="982"/>
      <c r="EJ224" s="982"/>
      <c r="EK224" s="982"/>
      <c r="EL224" s="982"/>
      <c r="EM224" s="982"/>
      <c r="EN224" s="982"/>
      <c r="EO224" s="982"/>
      <c r="EP224" s="982"/>
      <c r="EQ224" s="982"/>
      <c r="ER224" s="982"/>
      <c r="ES224" s="982"/>
      <c r="ET224" s="982"/>
      <c r="EU224" s="982"/>
      <c r="EV224" s="982"/>
      <c r="EW224" s="982"/>
      <c r="EX224" s="982"/>
      <c r="EY224" s="982"/>
      <c r="EZ224" s="982"/>
      <c r="FA224" s="982"/>
      <c r="FB224" s="982"/>
      <c r="FC224" s="982"/>
      <c r="FD224" s="982"/>
      <c r="FE224" s="982"/>
      <c r="FF224" s="982"/>
      <c r="FG224" s="982"/>
      <c r="FH224" s="982"/>
      <c r="FI224" s="982"/>
      <c r="FJ224" s="982"/>
      <c r="FK224" s="982"/>
      <c r="FL224" s="982"/>
      <c r="FM224" s="982"/>
      <c r="FN224" s="982"/>
      <c r="FO224" s="982"/>
      <c r="FP224" s="982"/>
      <c r="FQ224" s="982"/>
      <c r="FR224" s="982"/>
      <c r="FS224" s="982"/>
      <c r="FT224" s="982"/>
      <c r="FU224" s="982"/>
      <c r="FV224" s="982"/>
      <c r="FW224" s="982"/>
      <c r="FX224" s="982"/>
      <c r="FY224" s="982"/>
      <c r="FZ224" s="982"/>
      <c r="GA224" s="982"/>
      <c r="GB224" s="982"/>
      <c r="GC224" s="982"/>
      <c r="GD224" s="982"/>
      <c r="GE224" s="982"/>
      <c r="GF224" s="982"/>
      <c r="GG224" s="982"/>
      <c r="GH224" s="982"/>
      <c r="GI224" s="982"/>
      <c r="GJ224" s="982"/>
      <c r="GK224" s="982"/>
      <c r="GL224" s="982"/>
      <c r="GM224" s="982"/>
      <c r="GN224" s="982"/>
      <c r="GO224" s="982"/>
      <c r="GP224" s="982"/>
      <c r="GQ224" s="982"/>
      <c r="GR224" s="982"/>
      <c r="GS224" s="982"/>
      <c r="GT224" s="982"/>
      <c r="GU224" s="982"/>
      <c r="GV224" s="982"/>
      <c r="GW224" s="982"/>
      <c r="GX224" s="982"/>
      <c r="GY224" s="982"/>
      <c r="GZ224" s="982"/>
      <c r="HA224" s="982"/>
      <c r="HB224" s="982"/>
      <c r="HC224" s="982"/>
      <c r="HD224" s="982"/>
      <c r="HE224" s="982"/>
      <c r="HF224" s="982"/>
      <c r="HG224" s="982"/>
      <c r="HH224" s="982"/>
      <c r="HI224" s="982"/>
      <c r="HJ224" s="982"/>
      <c r="HK224" s="982"/>
      <c r="HL224" s="982"/>
      <c r="HM224" s="982"/>
      <c r="HN224" s="982"/>
      <c r="HO224" s="982"/>
      <c r="HP224" s="982"/>
      <c r="HQ224" s="982"/>
      <c r="HR224" s="982"/>
      <c r="HS224" s="982"/>
      <c r="HT224" s="982"/>
      <c r="HU224" s="982"/>
      <c r="HV224" s="982"/>
      <c r="HW224" s="982"/>
      <c r="HX224" s="982"/>
      <c r="HY224" s="982"/>
      <c r="HZ224" s="982"/>
      <c r="IA224" s="982"/>
      <c r="IB224" s="982"/>
      <c r="IC224" s="982"/>
      <c r="ID224" s="982"/>
      <c r="IE224" s="982"/>
      <c r="IF224" s="982"/>
      <c r="IG224" s="982"/>
      <c r="IH224" s="982"/>
      <c r="II224" s="982"/>
      <c r="IJ224" s="982"/>
      <c r="IK224" s="982"/>
      <c r="IL224" s="982"/>
      <c r="IM224" s="982"/>
      <c r="IN224" s="982"/>
      <c r="IO224" s="982"/>
      <c r="IP224" s="982"/>
      <c r="IQ224" s="982"/>
      <c r="IR224" s="982"/>
      <c r="IS224" s="982"/>
      <c r="IT224" s="982"/>
      <c r="IU224" s="982"/>
      <c r="IV224" s="982"/>
      <c r="IW224" s="982"/>
      <c r="IX224" s="982"/>
      <c r="IZ224" s="1617">
        <v>8</v>
      </c>
      <c r="JA224" s="1738"/>
      <c r="JB224" s="1062" t="s">
        <v>373</v>
      </c>
      <c r="JC224" s="1053">
        <v>0</v>
      </c>
      <c r="JD224" s="1062" t="s">
        <v>373</v>
      </c>
      <c r="JE224" s="1053">
        <v>0</v>
      </c>
      <c r="JF224" s="1062" t="s">
        <v>373</v>
      </c>
      <c r="JG224" s="1053">
        <v>0</v>
      </c>
      <c r="JH224" s="1062"/>
      <c r="JI224" s="1053">
        <v>0</v>
      </c>
      <c r="JJ224" s="1062" t="s">
        <v>373</v>
      </c>
      <c r="JK224" s="1053">
        <v>0</v>
      </c>
      <c r="JL224" s="1062" t="s">
        <v>373</v>
      </c>
      <c r="JM224" s="1053">
        <v>0</v>
      </c>
      <c r="JN224" s="1062" t="s">
        <v>373</v>
      </c>
      <c r="JO224" s="1053">
        <v>0</v>
      </c>
    </row>
    <row r="225" spans="66:424" ht="20.100000000000001" hidden="1" customHeight="1">
      <c r="BN225" s="982"/>
      <c r="BO225" s="982"/>
      <c r="BP225" s="982"/>
      <c r="BQ225" s="982"/>
      <c r="BR225" s="982"/>
      <c r="BS225" s="982"/>
      <c r="BT225" s="982"/>
      <c r="BU225" s="982"/>
      <c r="BV225" s="982"/>
      <c r="BW225" s="982"/>
      <c r="BX225" s="982"/>
      <c r="BY225" s="982"/>
      <c r="BZ225" s="982"/>
      <c r="CA225" s="982"/>
      <c r="CB225" s="982"/>
      <c r="CC225" s="982"/>
      <c r="CD225" s="982"/>
      <c r="CE225" s="982"/>
      <c r="CF225" s="982"/>
      <c r="CG225" s="982"/>
      <c r="CH225" s="982"/>
      <c r="CI225" s="982"/>
      <c r="CJ225" s="982"/>
      <c r="CK225" s="982"/>
      <c r="CL225" s="982"/>
      <c r="CM225" s="982"/>
      <c r="CN225" s="982"/>
      <c r="CO225" s="982"/>
      <c r="CP225" s="982"/>
      <c r="CQ225" s="982"/>
      <c r="CR225" s="982"/>
      <c r="CS225" s="982"/>
      <c r="CT225" s="982"/>
      <c r="CU225" s="982"/>
      <c r="CV225" s="982"/>
      <c r="CW225" s="982"/>
      <c r="CX225" s="982"/>
      <c r="CY225" s="982"/>
      <c r="CZ225" s="982"/>
      <c r="DA225" s="982"/>
      <c r="DB225" s="982"/>
      <c r="DC225" s="982"/>
      <c r="DD225" s="982"/>
      <c r="DE225" s="982"/>
      <c r="DF225" s="982"/>
      <c r="DG225" s="982"/>
      <c r="DH225" s="982"/>
      <c r="DI225" s="982"/>
      <c r="DJ225" s="982"/>
      <c r="DK225" s="982"/>
      <c r="DL225" s="982"/>
      <c r="DM225" s="982"/>
      <c r="DN225" s="982"/>
      <c r="DO225" s="982"/>
      <c r="DP225" s="982"/>
      <c r="DQ225" s="982"/>
      <c r="DR225" s="982"/>
      <c r="DS225" s="982"/>
      <c r="DT225" s="982"/>
      <c r="DU225" s="982"/>
      <c r="DV225" s="982"/>
      <c r="DW225" s="982"/>
      <c r="DX225" s="982"/>
      <c r="DY225" s="982"/>
      <c r="DZ225" s="982"/>
      <c r="EA225" s="982"/>
      <c r="EB225" s="982"/>
      <c r="EC225" s="982"/>
      <c r="ED225" s="982"/>
      <c r="EE225" s="982"/>
      <c r="EF225" s="982"/>
      <c r="EG225" s="982"/>
      <c r="EH225" s="982"/>
      <c r="EI225" s="982"/>
      <c r="EJ225" s="982"/>
      <c r="EK225" s="982"/>
      <c r="EL225" s="982"/>
      <c r="EM225" s="982"/>
      <c r="EN225" s="982"/>
      <c r="EO225" s="982"/>
      <c r="EP225" s="982"/>
      <c r="EQ225" s="982"/>
      <c r="ER225" s="982"/>
      <c r="ES225" s="982"/>
      <c r="ET225" s="982"/>
      <c r="EU225" s="982"/>
      <c r="EV225" s="982"/>
      <c r="EW225" s="982"/>
      <c r="EX225" s="982"/>
      <c r="EY225" s="982"/>
      <c r="EZ225" s="982"/>
      <c r="FA225" s="982"/>
      <c r="FB225" s="982"/>
      <c r="FC225" s="982"/>
      <c r="FD225" s="982"/>
      <c r="FE225" s="982"/>
      <c r="FF225" s="982"/>
      <c r="FG225" s="982"/>
      <c r="FH225" s="982"/>
      <c r="FI225" s="982"/>
      <c r="FJ225" s="982"/>
      <c r="FK225" s="982"/>
      <c r="FL225" s="982"/>
      <c r="FM225" s="982"/>
      <c r="FN225" s="982"/>
      <c r="FO225" s="982"/>
      <c r="FP225" s="982"/>
      <c r="FQ225" s="982"/>
      <c r="FR225" s="982"/>
      <c r="FS225" s="982"/>
      <c r="FT225" s="982"/>
      <c r="FU225" s="982"/>
      <c r="FV225" s="982"/>
      <c r="FW225" s="982"/>
      <c r="FX225" s="982"/>
      <c r="FY225" s="982"/>
      <c r="FZ225" s="982"/>
      <c r="GA225" s="982"/>
      <c r="GB225" s="982"/>
      <c r="GC225" s="982"/>
      <c r="GD225" s="982"/>
      <c r="GE225" s="982"/>
      <c r="GF225" s="982"/>
      <c r="GG225" s="982"/>
      <c r="GH225" s="982"/>
      <c r="GI225" s="982"/>
      <c r="GJ225" s="982"/>
      <c r="GK225" s="982"/>
      <c r="GL225" s="982"/>
      <c r="GM225" s="982"/>
      <c r="GN225" s="982"/>
      <c r="GO225" s="982"/>
      <c r="GP225" s="982"/>
      <c r="GQ225" s="982"/>
      <c r="GR225" s="982"/>
      <c r="GS225" s="982"/>
      <c r="GT225" s="982"/>
      <c r="GU225" s="982"/>
      <c r="GV225" s="982"/>
      <c r="GW225" s="982"/>
      <c r="GX225" s="982"/>
      <c r="GY225" s="982"/>
      <c r="GZ225" s="982"/>
      <c r="HA225" s="982"/>
      <c r="HB225" s="982"/>
      <c r="HC225" s="982"/>
      <c r="HD225" s="982"/>
      <c r="HE225" s="982"/>
      <c r="HF225" s="982"/>
      <c r="HG225" s="982"/>
      <c r="HH225" s="982"/>
      <c r="HI225" s="982"/>
      <c r="HJ225" s="982"/>
      <c r="HK225" s="982"/>
      <c r="HL225" s="982"/>
      <c r="HM225" s="982"/>
      <c r="HN225" s="982"/>
      <c r="HO225" s="982"/>
      <c r="HP225" s="982"/>
      <c r="HQ225" s="982"/>
      <c r="HR225" s="982"/>
      <c r="HS225" s="982"/>
      <c r="HT225" s="982"/>
      <c r="HU225" s="982"/>
      <c r="HV225" s="982"/>
      <c r="HW225" s="982"/>
      <c r="HX225" s="982"/>
      <c r="HY225" s="982"/>
      <c r="HZ225" s="982"/>
      <c r="IA225" s="982"/>
      <c r="IB225" s="982"/>
      <c r="IC225" s="982"/>
      <c r="ID225" s="982"/>
      <c r="IE225" s="982"/>
      <c r="IF225" s="982"/>
      <c r="IG225" s="982"/>
      <c r="IH225" s="982"/>
      <c r="II225" s="982"/>
      <c r="IJ225" s="982"/>
      <c r="IK225" s="982"/>
      <c r="IL225" s="982"/>
      <c r="IM225" s="982"/>
      <c r="IN225" s="982"/>
      <c r="IO225" s="982"/>
      <c r="IP225" s="982"/>
      <c r="IQ225" s="982"/>
      <c r="IR225" s="982"/>
      <c r="IS225" s="982"/>
      <c r="IT225" s="982"/>
      <c r="IU225" s="982"/>
      <c r="IV225" s="982"/>
      <c r="IW225" s="982"/>
      <c r="IX225" s="982"/>
      <c r="IZ225" s="1617">
        <v>9</v>
      </c>
      <c r="JA225" s="1738"/>
      <c r="JB225" s="1062" t="s">
        <v>373</v>
      </c>
      <c r="JC225" s="1053">
        <v>0</v>
      </c>
      <c r="JD225" s="1062" t="s">
        <v>373</v>
      </c>
      <c r="JE225" s="1053">
        <v>0</v>
      </c>
      <c r="JF225" s="1062" t="s">
        <v>373</v>
      </c>
      <c r="JG225" s="1053">
        <v>0</v>
      </c>
      <c r="JH225" s="1062"/>
      <c r="JI225" s="1053">
        <v>0</v>
      </c>
      <c r="JJ225" s="1062" t="s">
        <v>373</v>
      </c>
      <c r="JK225" s="1053">
        <v>0</v>
      </c>
      <c r="JL225" s="1062" t="s">
        <v>373</v>
      </c>
      <c r="JM225" s="1053">
        <v>0</v>
      </c>
      <c r="JN225" s="1062" t="s">
        <v>373</v>
      </c>
      <c r="JO225" s="1053">
        <v>0</v>
      </c>
    </row>
    <row r="226" spans="66:424" ht="24.95" hidden="1" customHeight="1">
      <c r="BN226" s="982"/>
      <c r="BO226" s="982"/>
      <c r="BP226" s="982"/>
      <c r="BQ226" s="982"/>
      <c r="BR226" s="982"/>
      <c r="BS226" s="982"/>
      <c r="BT226" s="982"/>
      <c r="BU226" s="982"/>
      <c r="BV226" s="982"/>
      <c r="BW226" s="982"/>
      <c r="BX226" s="982"/>
      <c r="BY226" s="982"/>
      <c r="BZ226" s="982"/>
      <c r="CA226" s="982"/>
      <c r="CB226" s="982"/>
      <c r="CC226" s="982"/>
      <c r="CD226" s="982"/>
      <c r="CE226" s="982"/>
      <c r="CF226" s="982"/>
      <c r="CG226" s="982"/>
      <c r="CH226" s="982"/>
      <c r="CI226" s="982"/>
      <c r="CJ226" s="982"/>
      <c r="CK226" s="982"/>
      <c r="CL226" s="982"/>
      <c r="CM226" s="982"/>
      <c r="CN226" s="982"/>
      <c r="CO226" s="982"/>
      <c r="CP226" s="982"/>
      <c r="CQ226" s="982"/>
      <c r="CR226" s="982"/>
      <c r="CS226" s="982"/>
      <c r="CT226" s="982"/>
      <c r="CU226" s="982"/>
      <c r="CV226" s="982"/>
      <c r="CW226" s="982"/>
      <c r="CX226" s="982"/>
      <c r="CY226" s="982"/>
      <c r="CZ226" s="982"/>
      <c r="DA226" s="982"/>
      <c r="DB226" s="982"/>
      <c r="DC226" s="982"/>
      <c r="DD226" s="982"/>
      <c r="DE226" s="982"/>
      <c r="DF226" s="982"/>
      <c r="DG226" s="982"/>
      <c r="DH226" s="982"/>
      <c r="DI226" s="982"/>
      <c r="DJ226" s="982"/>
      <c r="DK226" s="982"/>
      <c r="DL226" s="982"/>
      <c r="DM226" s="982"/>
      <c r="DN226" s="982"/>
      <c r="DO226" s="982"/>
      <c r="DP226" s="982"/>
      <c r="DQ226" s="982"/>
      <c r="DR226" s="982"/>
      <c r="DS226" s="982"/>
      <c r="DT226" s="982"/>
      <c r="DU226" s="982"/>
      <c r="DV226" s="982"/>
      <c r="DW226" s="982"/>
      <c r="DX226" s="982"/>
      <c r="DY226" s="982"/>
      <c r="DZ226" s="982"/>
      <c r="EA226" s="982"/>
      <c r="EB226" s="982"/>
      <c r="EC226" s="982"/>
      <c r="ED226" s="982"/>
      <c r="EE226" s="982"/>
      <c r="EF226" s="982"/>
      <c r="EG226" s="982"/>
      <c r="EH226" s="982"/>
      <c r="EI226" s="982"/>
      <c r="EJ226" s="982"/>
      <c r="EK226" s="982"/>
      <c r="EL226" s="982"/>
      <c r="EM226" s="982"/>
      <c r="EN226" s="982"/>
      <c r="EO226" s="982"/>
      <c r="EP226" s="982"/>
      <c r="EQ226" s="982"/>
      <c r="ER226" s="982"/>
      <c r="ES226" s="982"/>
      <c r="ET226" s="982"/>
      <c r="EU226" s="982"/>
      <c r="EV226" s="982"/>
      <c r="EW226" s="982"/>
      <c r="EX226" s="982"/>
      <c r="EY226" s="982"/>
      <c r="EZ226" s="982"/>
      <c r="FA226" s="982"/>
      <c r="FB226" s="982"/>
      <c r="FC226" s="982"/>
      <c r="FD226" s="982"/>
      <c r="FE226" s="982"/>
      <c r="FF226" s="982"/>
      <c r="FG226" s="982"/>
      <c r="FH226" s="982"/>
      <c r="FI226" s="982"/>
      <c r="FJ226" s="982"/>
      <c r="FK226" s="982"/>
      <c r="FL226" s="982"/>
      <c r="FM226" s="982"/>
      <c r="FN226" s="982"/>
      <c r="FO226" s="982"/>
      <c r="FP226" s="982"/>
      <c r="FQ226" s="982"/>
      <c r="FR226" s="982"/>
      <c r="FS226" s="982"/>
      <c r="FT226" s="982"/>
      <c r="FU226" s="982"/>
      <c r="FV226" s="982"/>
      <c r="FW226" s="982"/>
      <c r="FX226" s="982"/>
      <c r="FY226" s="982"/>
      <c r="FZ226" s="982"/>
      <c r="GA226" s="982"/>
      <c r="GB226" s="982"/>
      <c r="GC226" s="982"/>
      <c r="GD226" s="982"/>
      <c r="GE226" s="982"/>
      <c r="GF226" s="982"/>
      <c r="GG226" s="982"/>
      <c r="GH226" s="982"/>
      <c r="GI226" s="982"/>
      <c r="GJ226" s="982"/>
      <c r="GK226" s="982"/>
      <c r="GL226" s="982"/>
      <c r="GM226" s="982"/>
      <c r="GN226" s="982"/>
      <c r="GO226" s="982"/>
      <c r="GP226" s="982"/>
      <c r="GQ226" s="982"/>
      <c r="GR226" s="982"/>
      <c r="GS226" s="982"/>
      <c r="GT226" s="982"/>
      <c r="GU226" s="982"/>
      <c r="GV226" s="982"/>
      <c r="GW226" s="982"/>
      <c r="GX226" s="982"/>
      <c r="GY226" s="982"/>
      <c r="GZ226" s="982"/>
      <c r="HA226" s="982"/>
      <c r="HB226" s="982"/>
      <c r="HC226" s="982"/>
      <c r="HD226" s="982"/>
      <c r="HE226" s="982"/>
      <c r="HF226" s="982"/>
      <c r="HG226" s="982"/>
      <c r="HH226" s="982"/>
      <c r="HI226" s="982"/>
      <c r="HJ226" s="982"/>
      <c r="HK226" s="982"/>
      <c r="HL226" s="982"/>
      <c r="HM226" s="982"/>
      <c r="HN226" s="982"/>
      <c r="HO226" s="982"/>
      <c r="HP226" s="982"/>
      <c r="HQ226" s="982"/>
      <c r="HR226" s="982"/>
      <c r="HS226" s="982"/>
      <c r="HT226" s="982"/>
      <c r="HU226" s="982"/>
      <c r="HV226" s="982"/>
      <c r="HW226" s="982"/>
      <c r="HX226" s="982"/>
      <c r="HY226" s="982"/>
      <c r="HZ226" s="982"/>
      <c r="IA226" s="982"/>
      <c r="IB226" s="982"/>
      <c r="IC226" s="982"/>
      <c r="ID226" s="982"/>
      <c r="IE226" s="982"/>
      <c r="IF226" s="982"/>
      <c r="IG226" s="982"/>
      <c r="IH226" s="982"/>
      <c r="II226" s="982"/>
      <c r="IJ226" s="982"/>
      <c r="IK226" s="982"/>
      <c r="IL226" s="982"/>
      <c r="IM226" s="982"/>
      <c r="IN226" s="982"/>
      <c r="IO226" s="982"/>
      <c r="IP226" s="982"/>
      <c r="IQ226" s="982"/>
      <c r="IR226" s="982"/>
      <c r="IS226" s="982"/>
      <c r="IT226" s="982"/>
      <c r="IU226" s="982"/>
      <c r="IV226" s="982"/>
      <c r="IW226" s="982"/>
      <c r="IX226" s="982"/>
      <c r="IZ226" s="1432"/>
      <c r="JA226" s="1737" t="s">
        <v>17</v>
      </c>
      <c r="JB226" s="1059"/>
      <c r="JC226" s="1061"/>
      <c r="JD226" s="1059"/>
      <c r="JE226" s="1061"/>
      <c r="JF226" s="1059"/>
      <c r="JG226" s="1061"/>
      <c r="JH226" s="1059"/>
      <c r="JI226" s="1061"/>
      <c r="JJ226" s="1059"/>
      <c r="JK226" s="1061"/>
      <c r="JL226" s="1037"/>
      <c r="JM226" s="1061"/>
      <c r="JN226" s="1059"/>
      <c r="JO226" s="1061"/>
    </row>
    <row r="227" spans="66:424" ht="20.100000000000001" hidden="1" customHeight="1">
      <c r="BN227" s="982"/>
      <c r="BO227" s="982"/>
      <c r="BP227" s="982"/>
      <c r="BQ227" s="982"/>
      <c r="BR227" s="982"/>
      <c r="BS227" s="982"/>
      <c r="BT227" s="982"/>
      <c r="BU227" s="982"/>
      <c r="BV227" s="982"/>
      <c r="BW227" s="982"/>
      <c r="BX227" s="982"/>
      <c r="BY227" s="982"/>
      <c r="BZ227" s="982"/>
      <c r="CA227" s="982"/>
      <c r="CB227" s="982"/>
      <c r="CC227" s="982"/>
      <c r="CD227" s="982"/>
      <c r="CE227" s="982"/>
      <c r="CF227" s="982"/>
      <c r="CG227" s="982"/>
      <c r="CH227" s="982"/>
      <c r="CI227" s="982"/>
      <c r="CJ227" s="982"/>
      <c r="CK227" s="982"/>
      <c r="CL227" s="982"/>
      <c r="CM227" s="982"/>
      <c r="CN227" s="982"/>
      <c r="CO227" s="982"/>
      <c r="CP227" s="982"/>
      <c r="CQ227" s="982"/>
      <c r="CR227" s="982"/>
      <c r="CS227" s="982"/>
      <c r="CT227" s="982"/>
      <c r="CU227" s="982"/>
      <c r="CV227" s="982"/>
      <c r="CW227" s="982"/>
      <c r="CX227" s="982"/>
      <c r="CY227" s="982"/>
      <c r="CZ227" s="982"/>
      <c r="DA227" s="982"/>
      <c r="DB227" s="982"/>
      <c r="DC227" s="982"/>
      <c r="DD227" s="982"/>
      <c r="DE227" s="982"/>
      <c r="DF227" s="982"/>
      <c r="DG227" s="982"/>
      <c r="DH227" s="982"/>
      <c r="DI227" s="982"/>
      <c r="DJ227" s="982"/>
      <c r="DK227" s="982"/>
      <c r="DL227" s="982"/>
      <c r="DM227" s="982"/>
      <c r="DN227" s="982"/>
      <c r="DO227" s="982"/>
      <c r="DP227" s="982"/>
      <c r="DQ227" s="982"/>
      <c r="DR227" s="982"/>
      <c r="DS227" s="982"/>
      <c r="DT227" s="982"/>
      <c r="DU227" s="982"/>
      <c r="DV227" s="982"/>
      <c r="DW227" s="982"/>
      <c r="DX227" s="982"/>
      <c r="DY227" s="982"/>
      <c r="DZ227" s="982"/>
      <c r="EA227" s="982"/>
      <c r="EB227" s="982"/>
      <c r="EC227" s="982"/>
      <c r="ED227" s="982"/>
      <c r="EE227" s="982"/>
      <c r="EF227" s="982"/>
      <c r="EG227" s="982"/>
      <c r="EH227" s="982"/>
      <c r="EI227" s="982"/>
      <c r="EJ227" s="982"/>
      <c r="EK227" s="982"/>
      <c r="EL227" s="982"/>
      <c r="EM227" s="982"/>
      <c r="EN227" s="982"/>
      <c r="EO227" s="982"/>
      <c r="EP227" s="982"/>
      <c r="EQ227" s="982"/>
      <c r="ER227" s="982"/>
      <c r="ES227" s="982"/>
      <c r="ET227" s="982"/>
      <c r="EU227" s="982"/>
      <c r="EV227" s="982"/>
      <c r="EW227" s="982"/>
      <c r="EX227" s="982"/>
      <c r="EY227" s="982"/>
      <c r="EZ227" s="982"/>
      <c r="FA227" s="982"/>
      <c r="FB227" s="982"/>
      <c r="FC227" s="982"/>
      <c r="FD227" s="982"/>
      <c r="FE227" s="982"/>
      <c r="FF227" s="982"/>
      <c r="FG227" s="982"/>
      <c r="FH227" s="982"/>
      <c r="FI227" s="982"/>
      <c r="FJ227" s="982"/>
      <c r="FK227" s="982"/>
      <c r="FL227" s="982"/>
      <c r="FM227" s="982"/>
      <c r="FN227" s="982"/>
      <c r="FO227" s="982"/>
      <c r="FP227" s="982"/>
      <c r="FQ227" s="982"/>
      <c r="FR227" s="982"/>
      <c r="FS227" s="982"/>
      <c r="FT227" s="982"/>
      <c r="FU227" s="982"/>
      <c r="FV227" s="982"/>
      <c r="FW227" s="982"/>
      <c r="FX227" s="982"/>
      <c r="FY227" s="982"/>
      <c r="FZ227" s="982"/>
      <c r="GA227" s="982"/>
      <c r="GB227" s="982"/>
      <c r="GC227" s="982"/>
      <c r="GD227" s="982"/>
      <c r="GE227" s="982"/>
      <c r="GF227" s="982"/>
      <c r="GG227" s="982"/>
      <c r="GH227" s="982"/>
      <c r="GI227" s="982"/>
      <c r="GJ227" s="982"/>
      <c r="GK227" s="982"/>
      <c r="GL227" s="982"/>
      <c r="GM227" s="982"/>
      <c r="GN227" s="982"/>
      <c r="GO227" s="982"/>
      <c r="GP227" s="982"/>
      <c r="GQ227" s="982"/>
      <c r="GR227" s="982"/>
      <c r="GS227" s="982"/>
      <c r="GT227" s="982"/>
      <c r="GU227" s="982"/>
      <c r="GV227" s="982"/>
      <c r="GW227" s="982"/>
      <c r="GX227" s="982"/>
      <c r="GY227" s="982"/>
      <c r="GZ227" s="982"/>
      <c r="HA227" s="982"/>
      <c r="HB227" s="982"/>
      <c r="HC227" s="982"/>
      <c r="HD227" s="982"/>
      <c r="HE227" s="982"/>
      <c r="HF227" s="982"/>
      <c r="HG227" s="982"/>
      <c r="HH227" s="982"/>
      <c r="HI227" s="982"/>
      <c r="HJ227" s="982"/>
      <c r="HK227" s="982"/>
      <c r="HL227" s="982"/>
      <c r="HM227" s="982"/>
      <c r="HN227" s="982"/>
      <c r="HO227" s="982"/>
      <c r="HP227" s="982"/>
      <c r="HQ227" s="982"/>
      <c r="HR227" s="982"/>
      <c r="HS227" s="982"/>
      <c r="HT227" s="982"/>
      <c r="HU227" s="982"/>
      <c r="HV227" s="982"/>
      <c r="HW227" s="982"/>
      <c r="HX227" s="982"/>
      <c r="HY227" s="982"/>
      <c r="HZ227" s="982"/>
      <c r="IA227" s="982"/>
      <c r="IB227" s="982"/>
      <c r="IC227" s="982"/>
      <c r="ID227" s="982"/>
      <c r="IE227" s="982"/>
      <c r="IF227" s="982"/>
      <c r="IG227" s="982"/>
      <c r="IH227" s="982"/>
      <c r="II227" s="982"/>
      <c r="IJ227" s="982"/>
      <c r="IK227" s="982"/>
      <c r="IL227" s="982"/>
      <c r="IM227" s="982"/>
      <c r="IN227" s="982"/>
      <c r="IO227" s="982"/>
      <c r="IP227" s="982"/>
      <c r="IQ227" s="982"/>
      <c r="IR227" s="982"/>
      <c r="IS227" s="982"/>
      <c r="IT227" s="982"/>
      <c r="IU227" s="982"/>
      <c r="IV227" s="982"/>
      <c r="IW227" s="982"/>
      <c r="IX227" s="982"/>
      <c r="IZ227" s="1617">
        <v>10</v>
      </c>
      <c r="JA227" s="1738"/>
      <c r="JB227" s="1062" t="s">
        <v>373</v>
      </c>
      <c r="JC227" s="1053">
        <v>0</v>
      </c>
      <c r="JD227" s="1062" t="s">
        <v>373</v>
      </c>
      <c r="JE227" s="1053">
        <v>0</v>
      </c>
      <c r="JF227" s="1062" t="s">
        <v>373</v>
      </c>
      <c r="JG227" s="1053">
        <v>0</v>
      </c>
      <c r="JH227" s="1062"/>
      <c r="JI227" s="1053">
        <v>0</v>
      </c>
      <c r="JJ227" s="1062" t="s">
        <v>373</v>
      </c>
      <c r="JK227" s="1053">
        <v>0</v>
      </c>
      <c r="JL227" s="1050" t="s">
        <v>335</v>
      </c>
      <c r="JM227" s="1053">
        <v>11</v>
      </c>
      <c r="JN227" s="1062" t="s">
        <v>373</v>
      </c>
      <c r="JO227" s="1053">
        <v>0</v>
      </c>
    </row>
    <row r="228" spans="66:424" ht="20.100000000000001" hidden="1" customHeight="1">
      <c r="BN228" s="982"/>
      <c r="BO228" s="982"/>
      <c r="BP228" s="982"/>
      <c r="BQ228" s="982"/>
      <c r="BR228" s="982"/>
      <c r="BS228" s="982"/>
      <c r="BT228" s="982"/>
      <c r="BU228" s="982"/>
      <c r="BV228" s="982"/>
      <c r="BW228" s="982"/>
      <c r="BX228" s="982"/>
      <c r="BY228" s="982"/>
      <c r="BZ228" s="982"/>
      <c r="CA228" s="982"/>
      <c r="CB228" s="982"/>
      <c r="CC228" s="982"/>
      <c r="CD228" s="982"/>
      <c r="CE228" s="982"/>
      <c r="CF228" s="982"/>
      <c r="CG228" s="982"/>
      <c r="CH228" s="982"/>
      <c r="CI228" s="982"/>
      <c r="CJ228" s="982"/>
      <c r="CK228" s="982"/>
      <c r="CL228" s="982"/>
      <c r="CM228" s="982"/>
      <c r="CN228" s="982"/>
      <c r="CO228" s="982"/>
      <c r="CP228" s="982"/>
      <c r="CQ228" s="982"/>
      <c r="CR228" s="982"/>
      <c r="CS228" s="982"/>
      <c r="CT228" s="982"/>
      <c r="CU228" s="982"/>
      <c r="CV228" s="982"/>
      <c r="CW228" s="982"/>
      <c r="CX228" s="982"/>
      <c r="CY228" s="982"/>
      <c r="CZ228" s="982"/>
      <c r="DA228" s="982"/>
      <c r="DB228" s="982"/>
      <c r="DC228" s="982"/>
      <c r="DD228" s="982"/>
      <c r="DE228" s="982"/>
      <c r="DF228" s="982"/>
      <c r="DG228" s="982"/>
      <c r="DH228" s="982"/>
      <c r="DI228" s="982"/>
      <c r="DJ228" s="982"/>
      <c r="DK228" s="982"/>
      <c r="DL228" s="982"/>
      <c r="DM228" s="982"/>
      <c r="DN228" s="982"/>
      <c r="DO228" s="982"/>
      <c r="DP228" s="982"/>
      <c r="DQ228" s="982"/>
      <c r="DR228" s="982"/>
      <c r="DS228" s="982"/>
      <c r="DT228" s="982"/>
      <c r="DU228" s="982"/>
      <c r="DV228" s="982"/>
      <c r="DW228" s="982"/>
      <c r="DX228" s="982"/>
      <c r="DY228" s="982"/>
      <c r="DZ228" s="982"/>
      <c r="EA228" s="982"/>
      <c r="EB228" s="982"/>
      <c r="EC228" s="982"/>
      <c r="ED228" s="982"/>
      <c r="EE228" s="982"/>
      <c r="EF228" s="982"/>
      <c r="EG228" s="982"/>
      <c r="EH228" s="982"/>
      <c r="EI228" s="982"/>
      <c r="EJ228" s="982"/>
      <c r="EK228" s="982"/>
      <c r="EL228" s="982"/>
      <c r="EM228" s="982"/>
      <c r="EN228" s="982"/>
      <c r="EO228" s="982"/>
      <c r="EP228" s="982"/>
      <c r="EQ228" s="982"/>
      <c r="ER228" s="982"/>
      <c r="ES228" s="982"/>
      <c r="ET228" s="982"/>
      <c r="EU228" s="982"/>
      <c r="EV228" s="982"/>
      <c r="EW228" s="982"/>
      <c r="EX228" s="982"/>
      <c r="EY228" s="982"/>
      <c r="EZ228" s="982"/>
      <c r="FA228" s="982"/>
      <c r="FB228" s="982"/>
      <c r="FC228" s="982"/>
      <c r="FD228" s="982"/>
      <c r="FE228" s="982"/>
      <c r="FF228" s="982"/>
      <c r="FG228" s="982"/>
      <c r="FH228" s="982"/>
      <c r="FI228" s="982"/>
      <c r="FJ228" s="982"/>
      <c r="FK228" s="982"/>
      <c r="FL228" s="982"/>
      <c r="FM228" s="982"/>
      <c r="FN228" s="982"/>
      <c r="FO228" s="982"/>
      <c r="FP228" s="982"/>
      <c r="FQ228" s="982"/>
      <c r="FR228" s="982"/>
      <c r="FS228" s="982"/>
      <c r="FT228" s="982"/>
      <c r="FU228" s="982"/>
      <c r="FV228" s="982"/>
      <c r="FW228" s="982"/>
      <c r="FX228" s="982"/>
      <c r="FY228" s="982"/>
      <c r="FZ228" s="982"/>
      <c r="GA228" s="982"/>
      <c r="GB228" s="982"/>
      <c r="GC228" s="982"/>
      <c r="GD228" s="982"/>
      <c r="GE228" s="982"/>
      <c r="GF228" s="982"/>
      <c r="GG228" s="982"/>
      <c r="GH228" s="982"/>
      <c r="GI228" s="982"/>
      <c r="GJ228" s="982"/>
      <c r="GK228" s="982"/>
      <c r="GL228" s="982"/>
      <c r="GM228" s="982"/>
      <c r="GN228" s="982"/>
      <c r="GO228" s="982"/>
      <c r="GP228" s="982"/>
      <c r="GQ228" s="982"/>
      <c r="GR228" s="982"/>
      <c r="GS228" s="982"/>
      <c r="GT228" s="982"/>
      <c r="GU228" s="982"/>
      <c r="GV228" s="982"/>
      <c r="GW228" s="982"/>
      <c r="GX228" s="982"/>
      <c r="GY228" s="982"/>
      <c r="GZ228" s="982"/>
      <c r="HA228" s="982"/>
      <c r="HB228" s="982"/>
      <c r="HC228" s="982"/>
      <c r="HD228" s="982"/>
      <c r="HE228" s="982"/>
      <c r="HF228" s="982"/>
      <c r="HG228" s="982"/>
      <c r="HH228" s="982"/>
      <c r="HI228" s="982"/>
      <c r="HJ228" s="982"/>
      <c r="HK228" s="982"/>
      <c r="HL228" s="982"/>
      <c r="HM228" s="982"/>
      <c r="HN228" s="982"/>
      <c r="HO228" s="982"/>
      <c r="HP228" s="982"/>
      <c r="HQ228" s="982"/>
      <c r="HR228" s="982"/>
      <c r="HS228" s="982"/>
      <c r="HT228" s="982"/>
      <c r="HU228" s="982"/>
      <c r="HV228" s="982"/>
      <c r="HW228" s="982"/>
      <c r="HX228" s="982"/>
      <c r="HY228" s="982"/>
      <c r="HZ228" s="982"/>
      <c r="IA228" s="982"/>
      <c r="IB228" s="982"/>
      <c r="IC228" s="982"/>
      <c r="ID228" s="982"/>
      <c r="IE228" s="982"/>
      <c r="IF228" s="982"/>
      <c r="IG228" s="982"/>
      <c r="IH228" s="982"/>
      <c r="II228" s="982"/>
      <c r="IJ228" s="982"/>
      <c r="IK228" s="982"/>
      <c r="IL228" s="982"/>
      <c r="IM228" s="982"/>
      <c r="IN228" s="982"/>
      <c r="IO228" s="982"/>
      <c r="IP228" s="982"/>
      <c r="IQ228" s="982"/>
      <c r="IR228" s="982"/>
      <c r="IS228" s="982"/>
      <c r="IT228" s="982"/>
      <c r="IU228" s="982"/>
      <c r="IV228" s="982"/>
      <c r="IW228" s="982"/>
      <c r="IX228" s="982"/>
      <c r="IZ228" s="1617">
        <v>11</v>
      </c>
      <c r="JA228" s="1738"/>
      <c r="JB228" s="1062" t="s">
        <v>373</v>
      </c>
      <c r="JC228" s="1053">
        <v>0</v>
      </c>
      <c r="JD228" s="1062" t="s">
        <v>373</v>
      </c>
      <c r="JE228" s="1053">
        <v>0</v>
      </c>
      <c r="JF228" s="1062" t="s">
        <v>373</v>
      </c>
      <c r="JG228" s="1053">
        <v>0</v>
      </c>
      <c r="JH228" s="1062"/>
      <c r="JI228" s="1053">
        <v>0</v>
      </c>
      <c r="JJ228" s="1062" t="s">
        <v>373</v>
      </c>
      <c r="JK228" s="1053">
        <v>0</v>
      </c>
      <c r="JL228" s="1050" t="s">
        <v>336</v>
      </c>
      <c r="JM228" s="1053">
        <v>7</v>
      </c>
      <c r="JN228" s="1062" t="s">
        <v>373</v>
      </c>
      <c r="JO228" s="1053">
        <v>0</v>
      </c>
    </row>
    <row r="229" spans="66:424" ht="20.100000000000001" hidden="1" customHeight="1">
      <c r="BN229" s="982"/>
      <c r="BO229" s="982"/>
      <c r="BP229" s="982"/>
      <c r="BQ229" s="982"/>
      <c r="BR229" s="982"/>
      <c r="BS229" s="982"/>
      <c r="BT229" s="982"/>
      <c r="BU229" s="982"/>
      <c r="BV229" s="982"/>
      <c r="BW229" s="982"/>
      <c r="BX229" s="982"/>
      <c r="BY229" s="982"/>
      <c r="BZ229" s="982"/>
      <c r="CA229" s="982"/>
      <c r="CB229" s="982"/>
      <c r="CC229" s="982"/>
      <c r="CD229" s="982"/>
      <c r="CE229" s="982"/>
      <c r="CF229" s="982"/>
      <c r="CG229" s="982"/>
      <c r="CH229" s="982"/>
      <c r="CI229" s="982"/>
      <c r="CJ229" s="982"/>
      <c r="CK229" s="982"/>
      <c r="CL229" s="982"/>
      <c r="CM229" s="982"/>
      <c r="CN229" s="982"/>
      <c r="CO229" s="982"/>
      <c r="CP229" s="982"/>
      <c r="CQ229" s="982"/>
      <c r="CR229" s="982"/>
      <c r="CS229" s="982"/>
      <c r="CT229" s="982"/>
      <c r="CU229" s="982"/>
      <c r="CV229" s="982"/>
      <c r="CW229" s="982"/>
      <c r="CX229" s="982"/>
      <c r="CY229" s="982"/>
      <c r="CZ229" s="982"/>
      <c r="DA229" s="982"/>
      <c r="DB229" s="982"/>
      <c r="DC229" s="982"/>
      <c r="DD229" s="982"/>
      <c r="DE229" s="982"/>
      <c r="DF229" s="982"/>
      <c r="DG229" s="982"/>
      <c r="DH229" s="982"/>
      <c r="DI229" s="982"/>
      <c r="DJ229" s="982"/>
      <c r="DK229" s="982"/>
      <c r="DL229" s="982"/>
      <c r="DM229" s="982"/>
      <c r="DN229" s="982"/>
      <c r="DO229" s="982"/>
      <c r="DP229" s="982"/>
      <c r="DQ229" s="982"/>
      <c r="DR229" s="982"/>
      <c r="DS229" s="982"/>
      <c r="DT229" s="982"/>
      <c r="DU229" s="982"/>
      <c r="DV229" s="982"/>
      <c r="DW229" s="982"/>
      <c r="DX229" s="982"/>
      <c r="DY229" s="982"/>
      <c r="DZ229" s="982"/>
      <c r="EA229" s="982"/>
      <c r="EB229" s="982"/>
      <c r="EC229" s="982"/>
      <c r="ED229" s="982"/>
      <c r="EE229" s="982"/>
      <c r="EF229" s="982"/>
      <c r="EG229" s="982"/>
      <c r="EH229" s="982"/>
      <c r="EI229" s="982"/>
      <c r="EJ229" s="982"/>
      <c r="EK229" s="982"/>
      <c r="EL229" s="982"/>
      <c r="EM229" s="982"/>
      <c r="EN229" s="982"/>
      <c r="EO229" s="982"/>
      <c r="EP229" s="982"/>
      <c r="EQ229" s="982"/>
      <c r="ER229" s="982"/>
      <c r="ES229" s="982"/>
      <c r="ET229" s="982"/>
      <c r="EU229" s="982"/>
      <c r="EV229" s="982"/>
      <c r="EW229" s="982"/>
      <c r="EX229" s="982"/>
      <c r="EY229" s="982"/>
      <c r="EZ229" s="982"/>
      <c r="FA229" s="982"/>
      <c r="FB229" s="982"/>
      <c r="FC229" s="982"/>
      <c r="FD229" s="982"/>
      <c r="FE229" s="982"/>
      <c r="FF229" s="982"/>
      <c r="FG229" s="982"/>
      <c r="FH229" s="982"/>
      <c r="FI229" s="982"/>
      <c r="FJ229" s="982"/>
      <c r="FK229" s="982"/>
      <c r="FL229" s="982"/>
      <c r="FM229" s="982"/>
      <c r="FN229" s="982"/>
      <c r="FO229" s="982"/>
      <c r="FP229" s="982"/>
      <c r="FQ229" s="982"/>
      <c r="FR229" s="982"/>
      <c r="FS229" s="982"/>
      <c r="FT229" s="982"/>
      <c r="FU229" s="982"/>
      <c r="FV229" s="982"/>
      <c r="FW229" s="982"/>
      <c r="FX229" s="982"/>
      <c r="FY229" s="982"/>
      <c r="FZ229" s="982"/>
      <c r="GA229" s="982"/>
      <c r="GB229" s="982"/>
      <c r="GC229" s="982"/>
      <c r="GD229" s="982"/>
      <c r="GE229" s="982"/>
      <c r="GF229" s="982"/>
      <c r="GG229" s="982"/>
      <c r="GH229" s="982"/>
      <c r="GI229" s="982"/>
      <c r="GJ229" s="982"/>
      <c r="GK229" s="982"/>
      <c r="GL229" s="982"/>
      <c r="GM229" s="982"/>
      <c r="GN229" s="982"/>
      <c r="GO229" s="982"/>
      <c r="GP229" s="982"/>
      <c r="GQ229" s="982"/>
      <c r="GR229" s="982"/>
      <c r="GS229" s="982"/>
      <c r="GT229" s="982"/>
      <c r="GU229" s="982"/>
      <c r="GV229" s="982"/>
      <c r="GW229" s="982"/>
      <c r="GX229" s="982"/>
      <c r="GY229" s="982"/>
      <c r="GZ229" s="982"/>
      <c r="HA229" s="982"/>
      <c r="HB229" s="982"/>
      <c r="HC229" s="982"/>
      <c r="HD229" s="982"/>
      <c r="HE229" s="982"/>
      <c r="HF229" s="982"/>
      <c r="HG229" s="982"/>
      <c r="HH229" s="982"/>
      <c r="HI229" s="982"/>
      <c r="HJ229" s="982"/>
      <c r="HK229" s="982"/>
      <c r="HL229" s="982"/>
      <c r="HM229" s="982"/>
      <c r="HN229" s="982"/>
      <c r="HO229" s="982"/>
      <c r="HP229" s="982"/>
      <c r="HQ229" s="982"/>
      <c r="HR229" s="982"/>
      <c r="HS229" s="982"/>
      <c r="HT229" s="982"/>
      <c r="HU229" s="982"/>
      <c r="HV229" s="982"/>
      <c r="HW229" s="982"/>
      <c r="HX229" s="982"/>
      <c r="HY229" s="982"/>
      <c r="HZ229" s="982"/>
      <c r="IA229" s="982"/>
      <c r="IB229" s="982"/>
      <c r="IC229" s="982"/>
      <c r="ID229" s="982"/>
      <c r="IE229" s="982"/>
      <c r="IF229" s="982"/>
      <c r="IG229" s="982"/>
      <c r="IH229" s="982"/>
      <c r="II229" s="982"/>
      <c r="IJ229" s="982"/>
      <c r="IK229" s="982"/>
      <c r="IL229" s="982"/>
      <c r="IM229" s="982"/>
      <c r="IN229" s="982"/>
      <c r="IO229" s="982"/>
      <c r="IP229" s="982"/>
      <c r="IQ229" s="982"/>
      <c r="IR229" s="982"/>
      <c r="IS229" s="982"/>
      <c r="IT229" s="982"/>
      <c r="IU229" s="982"/>
      <c r="IV229" s="982"/>
      <c r="IW229" s="982"/>
      <c r="IX229" s="982"/>
      <c r="IZ229" s="1617">
        <v>12</v>
      </c>
      <c r="JA229" s="1738"/>
      <c r="JB229" s="1062" t="s">
        <v>373</v>
      </c>
      <c r="JC229" s="1053">
        <v>0</v>
      </c>
      <c r="JD229" s="1062" t="s">
        <v>373</v>
      </c>
      <c r="JE229" s="1053">
        <v>0</v>
      </c>
      <c r="JF229" s="1062" t="s">
        <v>373</v>
      </c>
      <c r="JG229" s="1053">
        <v>0</v>
      </c>
      <c r="JH229" s="1062"/>
      <c r="JI229" s="1053">
        <v>0</v>
      </c>
      <c r="JJ229" s="1062" t="s">
        <v>373</v>
      </c>
      <c r="JK229" s="1053">
        <v>0</v>
      </c>
      <c r="JL229" s="1062" t="s">
        <v>373</v>
      </c>
      <c r="JM229" s="1053">
        <v>0</v>
      </c>
      <c r="JN229" s="1062" t="s">
        <v>373</v>
      </c>
      <c r="JO229" s="1053">
        <v>0</v>
      </c>
    </row>
    <row r="230" spans="66:424" ht="24.95" hidden="1" customHeight="1" thickBot="1">
      <c r="BN230" s="982"/>
      <c r="BO230" s="982"/>
      <c r="BP230" s="982"/>
      <c r="BQ230" s="982"/>
      <c r="BR230" s="982"/>
      <c r="BS230" s="982"/>
      <c r="BT230" s="982"/>
      <c r="BU230" s="982"/>
      <c r="BV230" s="982"/>
      <c r="BW230" s="982"/>
      <c r="BX230" s="982"/>
      <c r="BY230" s="982"/>
      <c r="BZ230" s="982"/>
      <c r="CA230" s="982"/>
      <c r="CB230" s="982"/>
      <c r="CC230" s="982"/>
      <c r="CD230" s="982"/>
      <c r="CE230" s="982"/>
      <c r="CF230" s="982"/>
      <c r="CG230" s="982"/>
      <c r="CH230" s="982"/>
      <c r="CI230" s="982"/>
      <c r="CJ230" s="982"/>
      <c r="CK230" s="982"/>
      <c r="CL230" s="982"/>
      <c r="CM230" s="982"/>
      <c r="CN230" s="982"/>
      <c r="CO230" s="982"/>
      <c r="CP230" s="982"/>
      <c r="CQ230" s="982"/>
      <c r="CR230" s="982"/>
      <c r="CS230" s="982"/>
      <c r="CT230" s="982"/>
      <c r="CU230" s="982"/>
      <c r="CV230" s="982"/>
      <c r="CW230" s="982"/>
      <c r="CX230" s="982"/>
      <c r="CY230" s="982"/>
      <c r="CZ230" s="982"/>
      <c r="DA230" s="982"/>
      <c r="DB230" s="982"/>
      <c r="DC230" s="982"/>
      <c r="DD230" s="982"/>
      <c r="DE230" s="982"/>
      <c r="DF230" s="982"/>
      <c r="DG230" s="982"/>
      <c r="DH230" s="982"/>
      <c r="DI230" s="982"/>
      <c r="DJ230" s="982"/>
      <c r="DK230" s="982"/>
      <c r="DL230" s="982"/>
      <c r="DM230" s="982"/>
      <c r="DN230" s="982"/>
      <c r="DO230" s="982"/>
      <c r="DP230" s="982"/>
      <c r="DQ230" s="982"/>
      <c r="DR230" s="982"/>
      <c r="DS230" s="982"/>
      <c r="DT230" s="982"/>
      <c r="DU230" s="982"/>
      <c r="DV230" s="982"/>
      <c r="DW230" s="982"/>
      <c r="DX230" s="982"/>
      <c r="DY230" s="982"/>
      <c r="DZ230" s="982"/>
      <c r="EA230" s="982"/>
      <c r="EB230" s="982"/>
      <c r="EC230" s="982"/>
      <c r="ED230" s="982"/>
      <c r="EE230" s="982"/>
      <c r="EF230" s="982"/>
      <c r="EG230" s="982"/>
      <c r="EH230" s="982"/>
      <c r="EI230" s="982"/>
      <c r="EJ230" s="982"/>
      <c r="EK230" s="982"/>
      <c r="EL230" s="982"/>
      <c r="EM230" s="982"/>
      <c r="EN230" s="982"/>
      <c r="EO230" s="982"/>
      <c r="EP230" s="982"/>
      <c r="EQ230" s="982"/>
      <c r="ER230" s="982"/>
      <c r="ES230" s="982"/>
      <c r="ET230" s="982"/>
      <c r="EU230" s="982"/>
      <c r="EV230" s="982"/>
      <c r="EW230" s="982"/>
      <c r="EX230" s="982"/>
      <c r="EY230" s="982"/>
      <c r="EZ230" s="982"/>
      <c r="FA230" s="982"/>
      <c r="FB230" s="982"/>
      <c r="FC230" s="982"/>
      <c r="FD230" s="982"/>
      <c r="FE230" s="982"/>
      <c r="FF230" s="982"/>
      <c r="FG230" s="982"/>
      <c r="FH230" s="982"/>
      <c r="FI230" s="982"/>
      <c r="FJ230" s="982"/>
      <c r="FK230" s="982"/>
      <c r="FL230" s="982"/>
      <c r="FM230" s="982"/>
      <c r="FN230" s="982"/>
      <c r="FO230" s="982"/>
      <c r="FP230" s="982"/>
      <c r="FQ230" s="982"/>
      <c r="FR230" s="982"/>
      <c r="FS230" s="982"/>
      <c r="FT230" s="982"/>
      <c r="FU230" s="982"/>
      <c r="FV230" s="982"/>
      <c r="FW230" s="982"/>
      <c r="FX230" s="982"/>
      <c r="FY230" s="982"/>
      <c r="FZ230" s="982"/>
      <c r="GA230" s="982"/>
      <c r="GB230" s="982"/>
      <c r="GC230" s="982"/>
      <c r="GD230" s="982"/>
      <c r="GE230" s="982"/>
      <c r="GF230" s="982"/>
      <c r="GG230" s="982"/>
      <c r="GH230" s="982"/>
      <c r="GI230" s="982"/>
      <c r="GJ230" s="982"/>
      <c r="GK230" s="982"/>
      <c r="GL230" s="982"/>
      <c r="GM230" s="982"/>
      <c r="GN230" s="982"/>
      <c r="GO230" s="982"/>
      <c r="GP230" s="982"/>
      <c r="GQ230" s="982"/>
      <c r="GR230" s="982"/>
      <c r="GS230" s="982"/>
      <c r="GT230" s="982"/>
      <c r="GU230" s="982"/>
      <c r="GV230" s="982"/>
      <c r="GW230" s="982"/>
      <c r="GX230" s="982"/>
      <c r="GY230" s="982"/>
      <c r="GZ230" s="982"/>
      <c r="HA230" s="982"/>
      <c r="HB230" s="982"/>
      <c r="HC230" s="982"/>
      <c r="HD230" s="982"/>
      <c r="HE230" s="982"/>
      <c r="HF230" s="982"/>
      <c r="HG230" s="982"/>
      <c r="HH230" s="982"/>
      <c r="HI230" s="982"/>
      <c r="HJ230" s="982"/>
      <c r="HK230" s="982"/>
      <c r="HL230" s="982"/>
      <c r="HM230" s="982"/>
      <c r="HN230" s="982"/>
      <c r="HO230" s="982"/>
      <c r="HP230" s="982"/>
      <c r="HQ230" s="982"/>
      <c r="HR230" s="982"/>
      <c r="HS230" s="982"/>
      <c r="HT230" s="982"/>
      <c r="HU230" s="982"/>
      <c r="HV230" s="982"/>
      <c r="HW230" s="982"/>
      <c r="HX230" s="982"/>
      <c r="HY230" s="982"/>
      <c r="HZ230" s="982"/>
      <c r="IA230" s="982"/>
      <c r="IB230" s="982"/>
      <c r="IC230" s="982"/>
      <c r="ID230" s="982"/>
      <c r="IE230" s="982"/>
      <c r="IF230" s="982"/>
      <c r="IG230" s="982"/>
      <c r="IH230" s="982"/>
      <c r="II230" s="982"/>
      <c r="IJ230" s="982"/>
      <c r="IK230" s="982"/>
      <c r="IL230" s="982"/>
      <c r="IM230" s="982"/>
      <c r="IN230" s="982"/>
      <c r="IO230" s="982"/>
      <c r="IP230" s="982"/>
      <c r="IQ230" s="982"/>
      <c r="IR230" s="982"/>
      <c r="IS230" s="982"/>
      <c r="IT230" s="982"/>
      <c r="IU230" s="982"/>
      <c r="IV230" s="982"/>
      <c r="IW230" s="982"/>
      <c r="IX230" s="982"/>
      <c r="IZ230" s="1383"/>
      <c r="JA230" s="1740" t="s">
        <v>337</v>
      </c>
      <c r="JB230" s="1066"/>
      <c r="JC230" s="1067">
        <v>0</v>
      </c>
      <c r="JD230" s="1066"/>
      <c r="JE230" s="1067">
        <v>15</v>
      </c>
      <c r="JF230" s="1066"/>
      <c r="JG230" s="1067">
        <v>2</v>
      </c>
      <c r="JH230" s="1066"/>
      <c r="JI230" s="1067">
        <v>0</v>
      </c>
      <c r="JJ230" s="1379"/>
      <c r="JK230" s="1067">
        <v>0</v>
      </c>
      <c r="JL230" s="1379"/>
      <c r="JM230" s="1067">
        <v>18</v>
      </c>
      <c r="JN230" s="1066"/>
      <c r="JO230" s="1067">
        <v>20</v>
      </c>
    </row>
    <row r="231" spans="66:424" ht="24.95" hidden="1" customHeight="1">
      <c r="BN231" s="982"/>
      <c r="BO231" s="982"/>
      <c r="BP231" s="982"/>
      <c r="BQ231" s="982"/>
      <c r="BR231" s="982"/>
      <c r="BS231" s="982"/>
      <c r="BT231" s="982"/>
      <c r="BU231" s="982"/>
      <c r="BV231" s="982"/>
      <c r="BW231" s="982"/>
      <c r="BX231" s="982"/>
      <c r="BY231" s="982"/>
      <c r="BZ231" s="982"/>
      <c r="CA231" s="982"/>
      <c r="CB231" s="982"/>
      <c r="CC231" s="982"/>
      <c r="CD231" s="982"/>
      <c r="CE231" s="982"/>
      <c r="CF231" s="982"/>
      <c r="CG231" s="982"/>
      <c r="CH231" s="982"/>
      <c r="CI231" s="982"/>
      <c r="CJ231" s="982"/>
      <c r="CK231" s="982"/>
      <c r="CL231" s="982"/>
      <c r="CM231" s="982"/>
      <c r="CN231" s="982"/>
      <c r="CO231" s="982"/>
      <c r="CP231" s="982"/>
      <c r="CQ231" s="982"/>
      <c r="CR231" s="982"/>
      <c r="CS231" s="982"/>
      <c r="CT231" s="982"/>
      <c r="CU231" s="982"/>
      <c r="CV231" s="982"/>
      <c r="CW231" s="982"/>
      <c r="CX231" s="982"/>
      <c r="CY231" s="982"/>
      <c r="CZ231" s="982"/>
      <c r="DA231" s="982"/>
      <c r="DB231" s="982"/>
      <c r="DC231" s="982"/>
      <c r="DD231" s="982"/>
      <c r="DE231" s="982"/>
      <c r="DF231" s="982"/>
      <c r="DG231" s="982"/>
      <c r="DH231" s="982"/>
      <c r="DI231" s="982"/>
      <c r="DJ231" s="982"/>
      <c r="DK231" s="982"/>
      <c r="DL231" s="982"/>
      <c r="DM231" s="982"/>
      <c r="DN231" s="982"/>
      <c r="DO231" s="982"/>
      <c r="DP231" s="982"/>
      <c r="DQ231" s="982"/>
      <c r="DR231" s="982"/>
      <c r="DS231" s="982"/>
      <c r="DT231" s="982"/>
      <c r="DU231" s="982"/>
      <c r="DV231" s="982"/>
      <c r="DW231" s="982"/>
      <c r="DX231" s="982"/>
      <c r="DY231" s="982"/>
      <c r="DZ231" s="982"/>
      <c r="EA231" s="982"/>
      <c r="EB231" s="982"/>
      <c r="EC231" s="982"/>
      <c r="ED231" s="982"/>
      <c r="EE231" s="982"/>
      <c r="EF231" s="982"/>
      <c r="EG231" s="982"/>
      <c r="EH231" s="982"/>
      <c r="EI231" s="982"/>
      <c r="EJ231" s="982"/>
      <c r="EK231" s="982"/>
      <c r="EL231" s="982"/>
      <c r="EM231" s="982"/>
      <c r="EN231" s="982"/>
      <c r="EO231" s="982"/>
      <c r="EP231" s="982"/>
      <c r="EQ231" s="982"/>
      <c r="ER231" s="982"/>
      <c r="ES231" s="982"/>
      <c r="ET231" s="982"/>
      <c r="EU231" s="982"/>
      <c r="EV231" s="982"/>
      <c r="EW231" s="982"/>
      <c r="EX231" s="982"/>
      <c r="EY231" s="982"/>
      <c r="EZ231" s="982"/>
      <c r="FA231" s="982"/>
      <c r="FB231" s="982"/>
      <c r="FC231" s="982"/>
      <c r="FD231" s="982"/>
      <c r="FE231" s="982"/>
      <c r="FF231" s="982"/>
      <c r="FG231" s="982"/>
      <c r="FH231" s="982"/>
      <c r="FI231" s="982"/>
      <c r="FJ231" s="982"/>
      <c r="FK231" s="982"/>
      <c r="FL231" s="982"/>
      <c r="FM231" s="982"/>
      <c r="FN231" s="982"/>
      <c r="FO231" s="982"/>
      <c r="FP231" s="982"/>
      <c r="FQ231" s="982"/>
      <c r="FR231" s="982"/>
      <c r="FS231" s="982"/>
      <c r="FT231" s="982"/>
      <c r="FU231" s="982"/>
      <c r="FV231" s="982"/>
      <c r="FW231" s="982"/>
      <c r="FX231" s="982"/>
      <c r="FY231" s="982"/>
      <c r="FZ231" s="982"/>
      <c r="GA231" s="982"/>
      <c r="GB231" s="982"/>
      <c r="GC231" s="982"/>
      <c r="GD231" s="982"/>
      <c r="GE231" s="982"/>
      <c r="GF231" s="982"/>
      <c r="GG231" s="982"/>
      <c r="GH231" s="982"/>
      <c r="GI231" s="982"/>
      <c r="GJ231" s="982"/>
      <c r="GK231" s="982"/>
      <c r="GL231" s="982"/>
      <c r="GM231" s="982"/>
      <c r="GN231" s="982"/>
      <c r="GO231" s="982"/>
      <c r="GP231" s="982"/>
      <c r="GQ231" s="982"/>
      <c r="GR231" s="982"/>
      <c r="GS231" s="982"/>
      <c r="GT231" s="982"/>
      <c r="GU231" s="982"/>
      <c r="GV231" s="982"/>
      <c r="GW231" s="982"/>
      <c r="GX231" s="982"/>
      <c r="GY231" s="982"/>
      <c r="GZ231" s="982"/>
      <c r="HA231" s="982"/>
      <c r="HB231" s="982"/>
      <c r="HC231" s="982"/>
      <c r="HD231" s="982"/>
      <c r="HE231" s="982"/>
      <c r="HF231" s="982"/>
      <c r="HG231" s="982"/>
      <c r="HH231" s="982"/>
      <c r="HI231" s="982"/>
      <c r="HJ231" s="982"/>
      <c r="HK231" s="982"/>
      <c r="HL231" s="982"/>
      <c r="HM231" s="982"/>
      <c r="HN231" s="982"/>
      <c r="HO231" s="982"/>
      <c r="HP231" s="982"/>
      <c r="HQ231" s="982"/>
      <c r="HR231" s="982"/>
      <c r="HS231" s="982"/>
      <c r="HT231" s="982"/>
      <c r="HU231" s="982"/>
      <c r="HV231" s="982"/>
      <c r="HW231" s="982"/>
      <c r="HX231" s="982"/>
      <c r="HY231" s="982"/>
      <c r="HZ231" s="982"/>
      <c r="IA231" s="982"/>
      <c r="IB231" s="982"/>
      <c r="IC231" s="982"/>
      <c r="ID231" s="982"/>
      <c r="IE231" s="982"/>
      <c r="IF231" s="982"/>
      <c r="IG231" s="982"/>
      <c r="IH231" s="982"/>
      <c r="II231" s="982"/>
      <c r="IJ231" s="982"/>
      <c r="IK231" s="982"/>
      <c r="IL231" s="982"/>
      <c r="IM231" s="982"/>
      <c r="IN231" s="982"/>
      <c r="IO231" s="982"/>
      <c r="IP231" s="982"/>
      <c r="IQ231" s="982"/>
      <c r="IR231" s="982"/>
      <c r="IS231" s="982"/>
      <c r="IT231" s="982"/>
      <c r="IU231" s="982"/>
      <c r="IV231" s="982"/>
      <c r="IW231" s="982"/>
      <c r="IX231" s="982"/>
      <c r="JA231" s="1741" t="s">
        <v>331</v>
      </c>
      <c r="JC231" s="1381">
        <f>SUM(JC223:JC225,JC227:JC229)</f>
        <v>0</v>
      </c>
      <c r="JE231" s="1381">
        <f>SUM(JE223:JE225,JE227:JE229)</f>
        <v>15</v>
      </c>
      <c r="JG231" s="1381">
        <f>SUM(JG223:JG225,JG227:JG229)</f>
        <v>2</v>
      </c>
      <c r="JI231" s="1381">
        <f>SUM(JI223:JI225,JI227:JI229)</f>
        <v>0</v>
      </c>
      <c r="JK231" s="1381">
        <f>SUM(JK223:JK225,JK227:JK229)</f>
        <v>0</v>
      </c>
      <c r="JM231" s="1381">
        <f>SUM(JM223:JM225,JM227:JM229)</f>
        <v>18</v>
      </c>
      <c r="JO231" s="1381">
        <f>SUM(JO223:JO225,JO227:JO229)</f>
        <v>20</v>
      </c>
    </row>
    <row r="232" spans="66:424" ht="15" hidden="1" customHeight="1">
      <c r="BN232" s="982"/>
      <c r="BO232" s="982"/>
      <c r="BP232" s="982"/>
      <c r="BQ232" s="982"/>
      <c r="BR232" s="982"/>
      <c r="BS232" s="982"/>
      <c r="BT232" s="982"/>
      <c r="BU232" s="982"/>
      <c r="BV232" s="982"/>
      <c r="BW232" s="982"/>
      <c r="BX232" s="982"/>
      <c r="BY232" s="982"/>
      <c r="BZ232" s="982"/>
      <c r="CA232" s="982"/>
      <c r="CB232" s="982"/>
      <c r="CC232" s="982"/>
      <c r="CD232" s="982"/>
      <c r="CE232" s="982"/>
      <c r="CF232" s="982"/>
      <c r="CG232" s="982"/>
      <c r="CH232" s="982"/>
      <c r="CI232" s="982"/>
      <c r="CJ232" s="982"/>
      <c r="CK232" s="982"/>
      <c r="CL232" s="982"/>
      <c r="CM232" s="982"/>
      <c r="CN232" s="982"/>
      <c r="CO232" s="982"/>
      <c r="CP232" s="982"/>
      <c r="CQ232" s="982"/>
      <c r="CR232" s="982"/>
      <c r="CS232" s="982"/>
      <c r="CT232" s="982"/>
      <c r="CU232" s="982"/>
      <c r="CV232" s="982"/>
      <c r="CW232" s="982"/>
      <c r="CX232" s="982"/>
      <c r="CY232" s="982"/>
      <c r="CZ232" s="982"/>
      <c r="DA232" s="982"/>
      <c r="DB232" s="982"/>
      <c r="DC232" s="982"/>
      <c r="DD232" s="982"/>
      <c r="DE232" s="982"/>
      <c r="DF232" s="982"/>
      <c r="DG232" s="982"/>
      <c r="DH232" s="982"/>
      <c r="DI232" s="982"/>
      <c r="DJ232" s="982"/>
      <c r="DK232" s="982"/>
      <c r="DL232" s="982"/>
      <c r="DM232" s="982"/>
      <c r="DN232" s="982"/>
      <c r="DO232" s="982"/>
      <c r="DP232" s="982"/>
      <c r="DQ232" s="982"/>
      <c r="DR232" s="982"/>
      <c r="DS232" s="982"/>
      <c r="DT232" s="982"/>
      <c r="DU232" s="982"/>
      <c r="DV232" s="982"/>
      <c r="DW232" s="982"/>
      <c r="DX232" s="982"/>
      <c r="DY232" s="982"/>
      <c r="DZ232" s="982"/>
      <c r="EA232" s="982"/>
      <c r="EB232" s="982"/>
      <c r="EC232" s="982"/>
      <c r="ED232" s="982"/>
      <c r="EE232" s="982"/>
      <c r="EF232" s="982"/>
      <c r="EG232" s="982"/>
      <c r="EH232" s="982"/>
      <c r="EI232" s="982"/>
      <c r="EJ232" s="982"/>
      <c r="EK232" s="982"/>
      <c r="EL232" s="982"/>
      <c r="EM232" s="982"/>
      <c r="EN232" s="982"/>
      <c r="EO232" s="982"/>
      <c r="EP232" s="982"/>
      <c r="EQ232" s="982"/>
      <c r="ER232" s="982"/>
      <c r="ES232" s="982"/>
      <c r="ET232" s="982"/>
      <c r="EU232" s="982"/>
      <c r="EV232" s="982"/>
      <c r="EW232" s="982"/>
      <c r="EX232" s="982"/>
      <c r="EY232" s="982"/>
      <c r="EZ232" s="982"/>
      <c r="FA232" s="982"/>
      <c r="FB232" s="982"/>
      <c r="FC232" s="982"/>
      <c r="FD232" s="982"/>
      <c r="FE232" s="982"/>
      <c r="FF232" s="982"/>
      <c r="FG232" s="982"/>
      <c r="FH232" s="982"/>
      <c r="FI232" s="982"/>
      <c r="FJ232" s="982"/>
      <c r="FK232" s="982"/>
      <c r="FL232" s="982"/>
      <c r="FM232" s="982"/>
      <c r="FN232" s="982"/>
      <c r="FO232" s="982"/>
      <c r="FP232" s="982"/>
      <c r="FQ232" s="982"/>
      <c r="FR232" s="982"/>
      <c r="FS232" s="982"/>
      <c r="FT232" s="982"/>
      <c r="FU232" s="982"/>
      <c r="FV232" s="982"/>
      <c r="FW232" s="982"/>
      <c r="FX232" s="982"/>
      <c r="FY232" s="982"/>
      <c r="FZ232" s="982"/>
      <c r="GA232" s="982"/>
      <c r="GB232" s="982"/>
      <c r="GC232" s="982"/>
      <c r="GD232" s="982"/>
      <c r="GE232" s="982"/>
      <c r="GF232" s="982"/>
      <c r="GG232" s="982"/>
      <c r="GH232" s="982"/>
      <c r="GI232" s="982"/>
      <c r="GJ232" s="982"/>
      <c r="GK232" s="982"/>
      <c r="GL232" s="982"/>
      <c r="GM232" s="982"/>
      <c r="GN232" s="982"/>
      <c r="GO232" s="982"/>
      <c r="GP232" s="982"/>
      <c r="GQ232" s="982"/>
      <c r="GR232" s="982"/>
      <c r="GS232" s="982"/>
      <c r="GT232" s="982"/>
      <c r="GU232" s="982"/>
      <c r="GV232" s="982"/>
      <c r="GW232" s="982"/>
      <c r="GX232" s="982"/>
      <c r="GY232" s="982"/>
      <c r="GZ232" s="982"/>
      <c r="HA232" s="982"/>
      <c r="HB232" s="982"/>
      <c r="HC232" s="982"/>
      <c r="HD232" s="982"/>
      <c r="HE232" s="982"/>
      <c r="HF232" s="982"/>
      <c r="HG232" s="982"/>
      <c r="HH232" s="982"/>
      <c r="HI232" s="982"/>
      <c r="HJ232" s="982"/>
      <c r="HK232" s="982"/>
      <c r="HL232" s="982"/>
      <c r="HM232" s="982"/>
      <c r="HN232" s="982"/>
      <c r="HO232" s="982"/>
      <c r="HP232" s="982"/>
      <c r="HQ232" s="982"/>
      <c r="HR232" s="982"/>
      <c r="HS232" s="982"/>
      <c r="HT232" s="982"/>
      <c r="HU232" s="982"/>
      <c r="HV232" s="982"/>
      <c r="HW232" s="982"/>
      <c r="HX232" s="982"/>
      <c r="HY232" s="982"/>
      <c r="HZ232" s="982"/>
      <c r="IA232" s="982"/>
      <c r="IB232" s="982"/>
      <c r="IC232" s="982"/>
      <c r="ID232" s="982"/>
      <c r="IE232" s="982"/>
      <c r="IF232" s="982"/>
      <c r="IG232" s="982"/>
      <c r="IH232" s="982"/>
      <c r="II232" s="982"/>
      <c r="IJ232" s="982"/>
      <c r="IK232" s="982"/>
      <c r="IL232" s="982"/>
      <c r="IM232" s="982"/>
      <c r="IN232" s="982"/>
      <c r="IO232" s="982"/>
      <c r="IP232" s="982"/>
      <c r="IQ232" s="982"/>
      <c r="IR232" s="982"/>
      <c r="IS232" s="982"/>
      <c r="IT232" s="982"/>
      <c r="IU232" s="982"/>
      <c r="IV232" s="982"/>
      <c r="IW232" s="982"/>
      <c r="IX232" s="982"/>
    </row>
    <row r="233" spans="66:424" ht="15" hidden="1" customHeight="1">
      <c r="BN233" s="982"/>
      <c r="BO233" s="982"/>
      <c r="BP233" s="982"/>
      <c r="BQ233" s="982"/>
      <c r="BR233" s="982"/>
      <c r="BS233" s="982"/>
      <c r="BT233" s="982"/>
      <c r="BU233" s="982"/>
      <c r="BV233" s="982"/>
      <c r="BW233" s="982"/>
      <c r="BX233" s="982"/>
      <c r="BY233" s="982"/>
      <c r="BZ233" s="982"/>
      <c r="CA233" s="982"/>
      <c r="CB233" s="982"/>
      <c r="CC233" s="982"/>
      <c r="CD233" s="982"/>
      <c r="CE233" s="982"/>
      <c r="CF233" s="982"/>
      <c r="CG233" s="982"/>
      <c r="CH233" s="982"/>
      <c r="CI233" s="982"/>
      <c r="CJ233" s="982"/>
      <c r="CK233" s="982"/>
      <c r="CL233" s="982"/>
      <c r="CM233" s="982"/>
      <c r="CN233" s="982"/>
      <c r="CO233" s="982"/>
      <c r="CP233" s="982"/>
      <c r="CQ233" s="982"/>
      <c r="CR233" s="982"/>
      <c r="CS233" s="982"/>
      <c r="CT233" s="982"/>
      <c r="CU233" s="982"/>
      <c r="CV233" s="982"/>
      <c r="CW233" s="982"/>
      <c r="CX233" s="982"/>
      <c r="CY233" s="982"/>
      <c r="CZ233" s="982"/>
      <c r="DA233" s="982"/>
      <c r="DB233" s="982"/>
      <c r="DC233" s="982"/>
      <c r="DD233" s="982"/>
      <c r="DE233" s="982"/>
      <c r="DF233" s="982"/>
      <c r="DG233" s="982"/>
      <c r="DH233" s="982"/>
      <c r="DI233" s="982"/>
      <c r="DJ233" s="982"/>
      <c r="DK233" s="982"/>
      <c r="DL233" s="982"/>
      <c r="DM233" s="982"/>
      <c r="DN233" s="982"/>
      <c r="DO233" s="982"/>
      <c r="DP233" s="982"/>
      <c r="DQ233" s="982"/>
      <c r="DR233" s="982"/>
      <c r="DS233" s="982"/>
      <c r="DT233" s="982"/>
      <c r="DU233" s="982"/>
      <c r="DV233" s="982"/>
      <c r="DW233" s="982"/>
      <c r="DX233" s="982"/>
      <c r="DY233" s="982"/>
      <c r="DZ233" s="982"/>
      <c r="EA233" s="982"/>
      <c r="EB233" s="982"/>
      <c r="EC233" s="982"/>
      <c r="ED233" s="982"/>
      <c r="EE233" s="982"/>
      <c r="EF233" s="982"/>
      <c r="EG233" s="982"/>
      <c r="EH233" s="982"/>
      <c r="EI233" s="982"/>
      <c r="EJ233" s="982"/>
      <c r="EK233" s="982"/>
      <c r="EL233" s="982"/>
      <c r="EM233" s="982"/>
      <c r="EN233" s="982"/>
      <c r="EO233" s="982"/>
      <c r="EP233" s="982"/>
      <c r="EQ233" s="982"/>
      <c r="ER233" s="982"/>
      <c r="ES233" s="982"/>
      <c r="ET233" s="982"/>
      <c r="EU233" s="982"/>
      <c r="EV233" s="982"/>
      <c r="EW233" s="982"/>
      <c r="EX233" s="982"/>
      <c r="EY233" s="982"/>
      <c r="EZ233" s="982"/>
      <c r="FA233" s="982"/>
      <c r="FB233" s="982"/>
      <c r="FC233" s="982"/>
      <c r="FD233" s="982"/>
      <c r="FE233" s="982"/>
      <c r="FF233" s="982"/>
      <c r="FG233" s="982"/>
      <c r="FH233" s="982"/>
      <c r="FI233" s="982"/>
      <c r="FJ233" s="982"/>
      <c r="FK233" s="982"/>
      <c r="FL233" s="982"/>
      <c r="FM233" s="982"/>
      <c r="FN233" s="982"/>
      <c r="FO233" s="982"/>
      <c r="FP233" s="982"/>
      <c r="FQ233" s="982"/>
      <c r="FR233" s="982"/>
      <c r="FS233" s="982"/>
      <c r="FT233" s="982"/>
      <c r="FU233" s="982"/>
      <c r="FV233" s="982"/>
      <c r="FW233" s="982"/>
      <c r="FX233" s="982"/>
      <c r="FY233" s="982"/>
      <c r="FZ233" s="982"/>
      <c r="GA233" s="982"/>
      <c r="GB233" s="982"/>
      <c r="GC233" s="982"/>
      <c r="GD233" s="982"/>
      <c r="GE233" s="982"/>
      <c r="GF233" s="982"/>
      <c r="GG233" s="982"/>
      <c r="GH233" s="982"/>
      <c r="GI233" s="982"/>
      <c r="GJ233" s="982"/>
      <c r="GK233" s="982"/>
      <c r="GL233" s="982"/>
      <c r="GM233" s="982"/>
      <c r="GN233" s="982"/>
      <c r="GO233" s="982"/>
      <c r="GP233" s="982"/>
      <c r="GQ233" s="982"/>
      <c r="GR233" s="982"/>
      <c r="GS233" s="982"/>
      <c r="GT233" s="982"/>
      <c r="GU233" s="982"/>
      <c r="GV233" s="982"/>
      <c r="GW233" s="982"/>
      <c r="GX233" s="982"/>
      <c r="GY233" s="982"/>
      <c r="GZ233" s="982"/>
      <c r="HA233" s="982"/>
      <c r="HB233" s="982"/>
      <c r="HC233" s="982"/>
      <c r="HD233" s="982"/>
      <c r="HE233" s="982"/>
      <c r="HF233" s="982"/>
      <c r="HG233" s="982"/>
      <c r="HH233" s="982"/>
      <c r="HI233" s="982"/>
      <c r="HJ233" s="982"/>
      <c r="HK233" s="982"/>
      <c r="HL233" s="982"/>
      <c r="HM233" s="982"/>
      <c r="HN233" s="982"/>
      <c r="HO233" s="982"/>
      <c r="HP233" s="982"/>
      <c r="HQ233" s="982"/>
      <c r="HR233" s="982"/>
      <c r="HS233" s="982"/>
      <c r="HT233" s="982"/>
      <c r="HU233" s="982"/>
      <c r="HV233" s="982"/>
      <c r="HW233" s="982"/>
      <c r="HX233" s="982"/>
      <c r="HY233" s="982"/>
      <c r="HZ233" s="982"/>
      <c r="IA233" s="982"/>
      <c r="IB233" s="982"/>
      <c r="IC233" s="982"/>
      <c r="ID233" s="982"/>
      <c r="IE233" s="982"/>
      <c r="IF233" s="982"/>
      <c r="IG233" s="982"/>
      <c r="IH233" s="982"/>
      <c r="II233" s="982"/>
      <c r="IJ233" s="982"/>
      <c r="IK233" s="982"/>
      <c r="IL233" s="982"/>
      <c r="IM233" s="982"/>
      <c r="IN233" s="982"/>
      <c r="IO233" s="982"/>
      <c r="IP233" s="982"/>
      <c r="IQ233" s="982"/>
      <c r="IR233" s="982"/>
      <c r="IS233" s="982"/>
      <c r="IT233" s="982"/>
      <c r="IU233" s="982"/>
      <c r="IV233" s="982"/>
      <c r="IW233" s="982"/>
      <c r="IX233" s="982"/>
      <c r="JQ233" s="1504" t="s">
        <v>385</v>
      </c>
      <c r="JR233" s="1505"/>
      <c r="JS233" s="1505"/>
      <c r="JT233" s="1505"/>
      <c r="JU233" s="1505"/>
      <c r="JV233" s="1505"/>
      <c r="JW233" s="1505"/>
      <c r="JX233" s="1505"/>
      <c r="JY233" s="1505"/>
      <c r="JZ233" s="1505"/>
      <c r="KA233" s="1505"/>
      <c r="KB233" s="1505"/>
      <c r="KC233" s="1505"/>
      <c r="KD233" s="1505"/>
      <c r="KE233" s="1505"/>
      <c r="KF233" s="1505"/>
      <c r="KG233" s="1505"/>
      <c r="KH233" s="1505"/>
      <c r="KI233" s="1505"/>
      <c r="KJ233" s="1505"/>
      <c r="KK233" s="1505"/>
      <c r="KL233" s="1505"/>
      <c r="KM233" s="1505"/>
      <c r="KN233" s="1505"/>
      <c r="KO233" s="1505"/>
      <c r="KP233" s="1505"/>
      <c r="KQ233" s="1505"/>
      <c r="KR233" s="1505"/>
      <c r="KS233" s="1505"/>
      <c r="KT233" s="1505"/>
      <c r="KU233" s="1505"/>
      <c r="KV233" s="1505"/>
      <c r="KW233" s="1505"/>
      <c r="KX233" s="1505"/>
      <c r="KY233" s="1505"/>
      <c r="KZ233" s="1505"/>
      <c r="LA233" s="1505"/>
      <c r="LB233" s="1505"/>
      <c r="LC233" s="1505"/>
      <c r="LD233" s="1505"/>
      <c r="LE233" s="1505"/>
      <c r="LF233" s="1505"/>
      <c r="LG233" s="1505"/>
      <c r="LH233" s="1505"/>
      <c r="LI233" s="1505"/>
      <c r="LJ233" s="1505"/>
      <c r="LK233" s="1505"/>
      <c r="LL233" s="1505"/>
      <c r="LM233" s="1505"/>
      <c r="LN233" s="1505"/>
      <c r="LO233" s="1505"/>
      <c r="LP233" s="1505"/>
      <c r="LQ233" s="1505"/>
      <c r="LR233" s="1505"/>
      <c r="LS233" s="1505"/>
      <c r="LT233" s="1505"/>
      <c r="LU233" s="1505"/>
      <c r="LV233" s="1505"/>
      <c r="LW233" s="1505"/>
      <c r="LX233" s="1505"/>
      <c r="LY233" s="1505"/>
      <c r="LZ233" s="1505"/>
      <c r="MA233" s="1505"/>
      <c r="MB233" s="1505"/>
      <c r="MC233" s="1505"/>
      <c r="MD233" s="1505"/>
      <c r="ME233" s="1505"/>
      <c r="MF233" s="1505"/>
      <c r="MG233" s="1505"/>
      <c r="MH233" s="1505"/>
      <c r="MI233" s="1505"/>
      <c r="MJ233" s="1505"/>
      <c r="MK233" s="1505"/>
      <c r="ML233" s="1505"/>
      <c r="MM233" s="1505"/>
      <c r="MN233" s="1505"/>
      <c r="MO233" s="1505"/>
      <c r="MP233" s="1505"/>
      <c r="MQ233" s="1505"/>
      <c r="MR233" s="1505"/>
      <c r="MS233" s="1505"/>
      <c r="MT233" s="1505"/>
      <c r="MU233" s="1505"/>
      <c r="MV233" s="1505"/>
      <c r="MW233" s="1505"/>
      <c r="MX233" s="1505"/>
      <c r="MY233" s="1505"/>
      <c r="MZ233" s="1505"/>
      <c r="NA233" s="1505"/>
      <c r="NB233" s="1505"/>
      <c r="NC233" s="1505"/>
      <c r="ND233" s="1505"/>
      <c r="NE233" s="1505"/>
      <c r="NF233" s="1505"/>
      <c r="NG233" s="1505"/>
      <c r="NH233" s="1505"/>
      <c r="NI233" s="1505"/>
      <c r="NJ233" s="1505"/>
      <c r="NK233" s="1505"/>
      <c r="NL233" s="1505"/>
      <c r="NM233" s="1505"/>
      <c r="NN233" s="1505"/>
      <c r="NO233" s="1505"/>
      <c r="NP233" s="1505"/>
      <c r="NQ233" s="1505"/>
      <c r="NR233" s="1505"/>
      <c r="NS233" s="1505"/>
      <c r="NT233" s="1505"/>
      <c r="NU233" s="1505"/>
      <c r="NV233" s="1505"/>
      <c r="NW233" s="1505"/>
      <c r="NX233" s="1505"/>
      <c r="NY233" s="1505"/>
      <c r="NZ233" s="1505"/>
      <c r="OA233" s="1505"/>
      <c r="OB233" s="1505"/>
      <c r="OC233" s="1505"/>
      <c r="OD233" s="1505"/>
      <c r="OE233" s="1505"/>
      <c r="OF233" s="1505"/>
      <c r="OG233" s="1505"/>
      <c r="OH233" s="1505"/>
      <c r="OI233" s="1505"/>
      <c r="OJ233" s="1505"/>
      <c r="OK233" s="1505"/>
      <c r="OL233" s="1505"/>
      <c r="OM233" s="1505"/>
      <c r="ON233" s="1505"/>
      <c r="OO233" s="1505"/>
      <c r="OP233" s="1505"/>
      <c r="OQ233" s="1505"/>
      <c r="OR233" s="1505"/>
      <c r="OS233" s="1505"/>
      <c r="OT233" s="1505"/>
      <c r="OU233" s="1505"/>
      <c r="OV233" s="1505"/>
      <c r="OW233" s="1505"/>
      <c r="OX233" s="1505"/>
      <c r="OY233" s="1505"/>
      <c r="OZ233" s="1505"/>
      <c r="PA233" s="1505"/>
      <c r="PB233" s="1505"/>
      <c r="PC233" s="1505"/>
      <c r="PD233" s="1505"/>
      <c r="PE233" s="1505"/>
      <c r="PF233" s="1505"/>
      <c r="PG233" s="1505"/>
      <c r="PH233" s="1505"/>
    </row>
    <row r="234" spans="66:424" ht="9.9499999999999993" hidden="1" customHeight="1" thickBot="1">
      <c r="BN234" s="982"/>
      <c r="BO234" s="982"/>
      <c r="BP234" s="982"/>
      <c r="BQ234" s="982"/>
      <c r="BR234" s="982"/>
      <c r="BS234" s="982"/>
      <c r="BT234" s="982"/>
      <c r="BU234" s="982"/>
      <c r="BV234" s="982"/>
      <c r="BW234" s="982"/>
      <c r="BX234" s="982"/>
      <c r="BY234" s="982"/>
      <c r="BZ234" s="982"/>
      <c r="CA234" s="982"/>
      <c r="CB234" s="982"/>
      <c r="CC234" s="982"/>
      <c r="CD234" s="982"/>
      <c r="CE234" s="982"/>
      <c r="CF234" s="982"/>
      <c r="CG234" s="982"/>
      <c r="CH234" s="982"/>
      <c r="CI234" s="982"/>
      <c r="CJ234" s="982"/>
      <c r="CK234" s="982"/>
      <c r="CL234" s="982"/>
      <c r="CM234" s="982"/>
      <c r="CN234" s="982"/>
      <c r="CO234" s="982"/>
      <c r="CP234" s="982"/>
      <c r="CQ234" s="982"/>
      <c r="CR234" s="982"/>
      <c r="CS234" s="982"/>
      <c r="CT234" s="982"/>
      <c r="CU234" s="982"/>
      <c r="CV234" s="982"/>
      <c r="CW234" s="982"/>
      <c r="CX234" s="982"/>
      <c r="CY234" s="982"/>
      <c r="CZ234" s="982"/>
      <c r="DA234" s="982"/>
      <c r="DB234" s="982"/>
      <c r="DC234" s="982"/>
      <c r="DD234" s="982"/>
      <c r="DE234" s="982"/>
      <c r="DF234" s="982"/>
      <c r="DG234" s="982"/>
      <c r="DH234" s="982"/>
      <c r="DI234" s="982"/>
      <c r="DJ234" s="982"/>
      <c r="DK234" s="982"/>
      <c r="DL234" s="982"/>
      <c r="DM234" s="982"/>
      <c r="DN234" s="982"/>
      <c r="DO234" s="982"/>
      <c r="DP234" s="982"/>
      <c r="DQ234" s="982"/>
      <c r="DR234" s="982"/>
      <c r="DS234" s="982"/>
      <c r="DT234" s="982"/>
      <c r="DU234" s="982"/>
      <c r="DV234" s="982"/>
      <c r="DW234" s="982"/>
      <c r="DX234" s="982"/>
      <c r="DY234" s="982"/>
      <c r="DZ234" s="982"/>
      <c r="EA234" s="982"/>
      <c r="EB234" s="982"/>
      <c r="EC234" s="982"/>
      <c r="ED234" s="982"/>
      <c r="EE234" s="982"/>
      <c r="EF234" s="982"/>
      <c r="EG234" s="982"/>
      <c r="EH234" s="982"/>
      <c r="EI234" s="982"/>
      <c r="EJ234" s="982"/>
      <c r="EK234" s="982"/>
      <c r="EL234" s="982"/>
      <c r="EM234" s="982"/>
      <c r="EN234" s="982"/>
      <c r="EO234" s="982"/>
      <c r="EP234" s="982"/>
      <c r="EQ234" s="982"/>
      <c r="ER234" s="982"/>
      <c r="ES234" s="982"/>
      <c r="ET234" s="982"/>
      <c r="EU234" s="982"/>
      <c r="EV234" s="982"/>
      <c r="EW234" s="982"/>
      <c r="EX234" s="982"/>
      <c r="EY234" s="982"/>
      <c r="EZ234" s="982"/>
      <c r="FA234" s="982"/>
      <c r="FB234" s="982"/>
      <c r="FC234" s="982"/>
      <c r="FD234" s="982"/>
      <c r="FE234" s="982"/>
      <c r="FF234" s="982"/>
      <c r="FG234" s="982"/>
      <c r="FH234" s="982"/>
      <c r="FI234" s="982"/>
      <c r="FJ234" s="982"/>
      <c r="FK234" s="982"/>
      <c r="FL234" s="982"/>
      <c r="FM234" s="982"/>
      <c r="FN234" s="982"/>
      <c r="FO234" s="982"/>
      <c r="FP234" s="982"/>
      <c r="FQ234" s="982"/>
      <c r="FR234" s="982"/>
      <c r="FS234" s="982"/>
      <c r="FT234" s="982"/>
      <c r="FU234" s="982"/>
      <c r="FV234" s="982"/>
      <c r="FW234" s="982"/>
      <c r="FX234" s="982"/>
      <c r="FY234" s="982"/>
      <c r="FZ234" s="982"/>
      <c r="GA234" s="982"/>
      <c r="GB234" s="982"/>
      <c r="GC234" s="982"/>
      <c r="GD234" s="982"/>
      <c r="GE234" s="982"/>
      <c r="GF234" s="982"/>
      <c r="GG234" s="982"/>
      <c r="GH234" s="982"/>
      <c r="GI234" s="982"/>
      <c r="GJ234" s="982"/>
      <c r="GK234" s="982"/>
      <c r="GL234" s="982"/>
      <c r="GM234" s="982"/>
      <c r="GN234" s="982"/>
      <c r="GO234" s="982"/>
      <c r="GP234" s="982"/>
      <c r="GQ234" s="982"/>
      <c r="GR234" s="982"/>
      <c r="GS234" s="982"/>
      <c r="GT234" s="982"/>
      <c r="GU234" s="982"/>
      <c r="GV234" s="982"/>
      <c r="GW234" s="982"/>
      <c r="GX234" s="982"/>
      <c r="GY234" s="982"/>
      <c r="GZ234" s="982"/>
      <c r="HA234" s="982"/>
      <c r="HB234" s="982"/>
      <c r="HC234" s="982"/>
      <c r="HD234" s="982"/>
      <c r="HE234" s="982"/>
      <c r="HF234" s="982"/>
      <c r="HG234" s="982"/>
      <c r="HH234" s="982"/>
      <c r="HI234" s="982"/>
      <c r="HJ234" s="982"/>
      <c r="HK234" s="982"/>
      <c r="HL234" s="982"/>
      <c r="HM234" s="982"/>
      <c r="HN234" s="982"/>
      <c r="HO234" s="982"/>
      <c r="HP234" s="982"/>
      <c r="HQ234" s="982"/>
      <c r="HR234" s="982"/>
      <c r="HS234" s="982"/>
      <c r="HT234" s="982"/>
      <c r="HU234" s="982"/>
      <c r="HV234" s="982"/>
      <c r="HW234" s="982"/>
      <c r="HX234" s="982"/>
      <c r="HY234" s="982"/>
      <c r="HZ234" s="982"/>
      <c r="IA234" s="982"/>
      <c r="IB234" s="982"/>
      <c r="IC234" s="982"/>
      <c r="ID234" s="982"/>
      <c r="IE234" s="982"/>
      <c r="IF234" s="982"/>
      <c r="IG234" s="982"/>
      <c r="IH234" s="982"/>
      <c r="II234" s="982"/>
      <c r="IJ234" s="982"/>
      <c r="IK234" s="982"/>
      <c r="IL234" s="982"/>
      <c r="IM234" s="982"/>
      <c r="IN234" s="982"/>
      <c r="IO234" s="982"/>
      <c r="IP234" s="982"/>
      <c r="IQ234" s="982"/>
      <c r="IR234" s="982"/>
      <c r="IS234" s="982"/>
      <c r="IT234" s="982"/>
      <c r="IU234" s="982"/>
      <c r="IV234" s="982"/>
      <c r="IW234" s="982"/>
      <c r="IX234" s="982"/>
      <c r="JQ234" s="1505"/>
      <c r="JR234" s="1505"/>
      <c r="JS234" s="1505"/>
      <c r="JT234" s="1505"/>
      <c r="JU234" s="1505"/>
      <c r="JV234" s="1505"/>
      <c r="JW234" s="1505"/>
      <c r="JX234" s="1505"/>
      <c r="JY234" s="1505"/>
      <c r="JZ234" s="1505"/>
      <c r="KA234" s="1505"/>
      <c r="KB234" s="1505"/>
      <c r="KC234" s="1505"/>
      <c r="KD234" s="1505"/>
      <c r="KE234" s="1505"/>
      <c r="KF234" s="1505"/>
      <c r="KG234" s="1505"/>
      <c r="KH234" s="1505"/>
      <c r="KI234" s="1505"/>
      <c r="KJ234" s="1505"/>
      <c r="KK234" s="1505"/>
      <c r="KL234" s="1505"/>
      <c r="KM234" s="1505"/>
      <c r="KN234" s="1505"/>
      <c r="KO234" s="1505"/>
      <c r="KP234" s="1505"/>
      <c r="KQ234" s="1505"/>
      <c r="KR234" s="1505"/>
      <c r="KS234" s="1505"/>
      <c r="KT234" s="1505"/>
      <c r="KU234" s="1505"/>
      <c r="KV234" s="1505"/>
      <c r="KW234" s="1505"/>
      <c r="KX234" s="1505"/>
      <c r="KY234" s="1505"/>
      <c r="KZ234" s="1505"/>
      <c r="LA234" s="1505"/>
      <c r="LB234" s="1505"/>
      <c r="LC234" s="1505"/>
      <c r="LD234" s="1505"/>
      <c r="LE234" s="1505"/>
      <c r="LF234" s="1505"/>
      <c r="LG234" s="1505"/>
      <c r="LH234" s="1505"/>
      <c r="LI234" s="1505"/>
      <c r="LJ234" s="1505"/>
      <c r="LK234" s="1505"/>
      <c r="LL234" s="1505"/>
      <c r="LM234" s="1505"/>
      <c r="LN234" s="1505"/>
      <c r="LO234" s="1505"/>
      <c r="LP234" s="1505"/>
      <c r="LQ234" s="1505"/>
      <c r="LR234" s="1505"/>
      <c r="LS234" s="1505"/>
      <c r="LT234" s="1505"/>
      <c r="LU234" s="1505"/>
      <c r="LV234" s="1505"/>
      <c r="LW234" s="1505"/>
      <c r="LX234" s="1505"/>
      <c r="LY234" s="1505"/>
      <c r="LZ234" s="1505"/>
      <c r="MA234" s="1505"/>
      <c r="MB234" s="1505"/>
      <c r="MC234" s="1505"/>
      <c r="MD234" s="1505"/>
      <c r="ME234" s="1505"/>
      <c r="MF234" s="1505"/>
      <c r="MG234" s="1505"/>
      <c r="MH234" s="1505"/>
      <c r="MI234" s="1505"/>
      <c r="MJ234" s="1505"/>
      <c r="MK234" s="1505"/>
      <c r="ML234" s="1505"/>
      <c r="MM234" s="1505"/>
      <c r="MN234" s="1505"/>
      <c r="MO234" s="1505"/>
      <c r="MP234" s="1505"/>
      <c r="MQ234" s="1505"/>
      <c r="MR234" s="1505"/>
      <c r="MS234" s="1505"/>
      <c r="MT234" s="1505"/>
      <c r="MU234" s="1505"/>
      <c r="MV234" s="1505"/>
      <c r="MW234" s="1505"/>
      <c r="MX234" s="1505"/>
      <c r="MY234" s="1505"/>
      <c r="MZ234" s="1505"/>
      <c r="NA234" s="1505"/>
      <c r="NB234" s="1505"/>
      <c r="NC234" s="1505"/>
      <c r="ND234" s="1505"/>
      <c r="NE234" s="1505"/>
      <c r="NF234" s="1505"/>
      <c r="NG234" s="1505"/>
      <c r="NH234" s="1505"/>
      <c r="NI234" s="1505"/>
      <c r="NJ234" s="1505"/>
      <c r="NK234" s="1505"/>
      <c r="NL234" s="1505"/>
      <c r="NM234" s="1505"/>
      <c r="NN234" s="1505"/>
      <c r="NO234" s="1505"/>
      <c r="NP234" s="1505"/>
      <c r="NQ234" s="1505"/>
      <c r="NR234" s="1505"/>
      <c r="NS234" s="1505"/>
      <c r="NT234" s="1505"/>
      <c r="NU234" s="1505"/>
      <c r="NV234" s="1505"/>
      <c r="NW234" s="1505"/>
      <c r="NX234" s="1505"/>
      <c r="NY234" s="1505"/>
      <c r="NZ234" s="1505"/>
      <c r="OA234" s="1505"/>
      <c r="OB234" s="1505"/>
      <c r="OC234" s="1505"/>
      <c r="OD234" s="1505"/>
      <c r="OE234" s="1505"/>
      <c r="OF234" s="1505"/>
      <c r="OG234" s="1505"/>
      <c r="OH234" s="1505"/>
      <c r="OI234" s="1505"/>
      <c r="OJ234" s="1505"/>
      <c r="OK234" s="1505"/>
      <c r="OL234" s="1505"/>
      <c r="OM234" s="1505"/>
      <c r="ON234" s="1505"/>
      <c r="OO234" s="1505"/>
      <c r="OP234" s="1505"/>
      <c r="OQ234" s="1505"/>
      <c r="OR234" s="1505"/>
      <c r="OS234" s="1505"/>
      <c r="OT234" s="1505"/>
      <c r="OU234" s="1505"/>
      <c r="OV234" s="1505"/>
      <c r="OW234" s="1505"/>
      <c r="OX234" s="1505"/>
      <c r="OY234" s="1505"/>
      <c r="OZ234" s="1505"/>
      <c r="PA234" s="1505"/>
      <c r="PB234" s="1505"/>
      <c r="PC234" s="1505"/>
      <c r="PD234" s="1505"/>
      <c r="PE234" s="1505"/>
      <c r="PF234" s="1505"/>
      <c r="PG234" s="1505"/>
      <c r="PH234" s="1505"/>
    </row>
    <row r="235" spans="66:424" ht="30" hidden="1" customHeight="1">
      <c r="BN235" s="982"/>
      <c r="BO235" s="982"/>
      <c r="BP235" s="982"/>
      <c r="BQ235" s="982"/>
      <c r="BR235" s="982"/>
      <c r="BS235" s="982"/>
      <c r="BT235" s="982"/>
      <c r="BU235" s="982"/>
      <c r="BV235" s="982"/>
      <c r="BW235" s="982"/>
      <c r="BX235" s="982"/>
      <c r="BY235" s="982"/>
      <c r="BZ235" s="982"/>
      <c r="CA235" s="982"/>
      <c r="CB235" s="982"/>
      <c r="CC235" s="982"/>
      <c r="CD235" s="982"/>
      <c r="CE235" s="982"/>
      <c r="CF235" s="982"/>
      <c r="CG235" s="982"/>
      <c r="CH235" s="982"/>
      <c r="CI235" s="982"/>
      <c r="CJ235" s="982"/>
      <c r="CK235" s="982"/>
      <c r="CL235" s="982"/>
      <c r="CM235" s="982"/>
      <c r="CN235" s="982"/>
      <c r="CO235" s="982"/>
      <c r="CP235" s="982"/>
      <c r="CQ235" s="982"/>
      <c r="CR235" s="982"/>
      <c r="CS235" s="982"/>
      <c r="CT235" s="982"/>
      <c r="CU235" s="982"/>
      <c r="CV235" s="982"/>
      <c r="CW235" s="982"/>
      <c r="CX235" s="982"/>
      <c r="CY235" s="982"/>
      <c r="CZ235" s="982"/>
      <c r="DA235" s="982"/>
      <c r="DB235" s="982"/>
      <c r="DC235" s="982"/>
      <c r="DD235" s="982"/>
      <c r="DE235" s="982"/>
      <c r="DF235" s="982"/>
      <c r="DG235" s="982"/>
      <c r="DH235" s="982"/>
      <c r="DI235" s="982"/>
      <c r="DJ235" s="982"/>
      <c r="DK235" s="982"/>
      <c r="DL235" s="982"/>
      <c r="DM235" s="982"/>
      <c r="DN235" s="982"/>
      <c r="DO235" s="982"/>
      <c r="DP235" s="982"/>
      <c r="DQ235" s="982"/>
      <c r="DR235" s="982"/>
      <c r="DS235" s="982"/>
      <c r="DT235" s="982"/>
      <c r="DU235" s="982"/>
      <c r="DV235" s="982"/>
      <c r="DW235" s="982"/>
      <c r="DX235" s="982"/>
      <c r="DY235" s="982"/>
      <c r="DZ235" s="982"/>
      <c r="EA235" s="982"/>
      <c r="EB235" s="982"/>
      <c r="EC235" s="982"/>
      <c r="ED235" s="982"/>
      <c r="EE235" s="982"/>
      <c r="EF235" s="982"/>
      <c r="EG235" s="982"/>
      <c r="EH235" s="982"/>
      <c r="EI235" s="982"/>
      <c r="EJ235" s="982"/>
      <c r="EK235" s="982"/>
      <c r="EL235" s="982"/>
      <c r="EM235" s="982"/>
      <c r="EN235" s="982"/>
      <c r="EO235" s="982"/>
      <c r="EP235" s="982"/>
      <c r="EQ235" s="982"/>
      <c r="ER235" s="982"/>
      <c r="ES235" s="982"/>
      <c r="ET235" s="982"/>
      <c r="EU235" s="982"/>
      <c r="EV235" s="982"/>
      <c r="EW235" s="982"/>
      <c r="EX235" s="982"/>
      <c r="EY235" s="982"/>
      <c r="EZ235" s="982"/>
      <c r="FA235" s="982"/>
      <c r="FB235" s="982"/>
      <c r="FC235" s="982"/>
      <c r="FD235" s="982"/>
      <c r="FE235" s="982"/>
      <c r="FF235" s="982"/>
      <c r="FG235" s="982"/>
      <c r="FH235" s="982"/>
      <c r="FI235" s="982"/>
      <c r="FJ235" s="982"/>
      <c r="FK235" s="982"/>
      <c r="FL235" s="982"/>
      <c r="FM235" s="982"/>
      <c r="FN235" s="982"/>
      <c r="FO235" s="982"/>
      <c r="FP235" s="982"/>
      <c r="FQ235" s="982"/>
      <c r="FR235" s="982"/>
      <c r="FS235" s="982"/>
      <c r="FT235" s="982"/>
      <c r="FU235" s="982"/>
      <c r="FV235" s="982"/>
      <c r="FW235" s="982"/>
      <c r="FX235" s="982"/>
      <c r="FY235" s="982"/>
      <c r="FZ235" s="982"/>
      <c r="GA235" s="982"/>
      <c r="GB235" s="982"/>
      <c r="GC235" s="982"/>
      <c r="GD235" s="982"/>
      <c r="GE235" s="982"/>
      <c r="GF235" s="982"/>
      <c r="GG235" s="982"/>
      <c r="GH235" s="982"/>
      <c r="GI235" s="982"/>
      <c r="GJ235" s="982"/>
      <c r="GK235" s="982"/>
      <c r="GL235" s="982"/>
      <c r="GM235" s="982"/>
      <c r="GN235" s="982"/>
      <c r="GO235" s="982"/>
      <c r="GP235" s="982"/>
      <c r="GQ235" s="982"/>
      <c r="GR235" s="982"/>
      <c r="GS235" s="982"/>
      <c r="GT235" s="982"/>
      <c r="GU235" s="982"/>
      <c r="GV235" s="982"/>
      <c r="GW235" s="982"/>
      <c r="GX235" s="982"/>
      <c r="GY235" s="982"/>
      <c r="GZ235" s="982"/>
      <c r="HA235" s="982"/>
      <c r="HB235" s="982"/>
      <c r="HC235" s="982"/>
      <c r="HD235" s="982"/>
      <c r="HE235" s="982"/>
      <c r="HF235" s="982"/>
      <c r="HG235" s="982"/>
      <c r="HH235" s="982"/>
      <c r="HI235" s="982"/>
      <c r="HJ235" s="982"/>
      <c r="HK235" s="982"/>
      <c r="HL235" s="982"/>
      <c r="HM235" s="982"/>
      <c r="HN235" s="982"/>
      <c r="HO235" s="982"/>
      <c r="HP235" s="982"/>
      <c r="HQ235" s="982"/>
      <c r="HR235" s="982"/>
      <c r="HS235" s="982"/>
      <c r="HT235" s="982"/>
      <c r="HU235" s="982"/>
      <c r="HV235" s="982"/>
      <c r="HW235" s="982"/>
      <c r="HX235" s="982"/>
      <c r="HY235" s="982"/>
      <c r="HZ235" s="982"/>
      <c r="IA235" s="982"/>
      <c r="IB235" s="982"/>
      <c r="IC235" s="982"/>
      <c r="ID235" s="982"/>
      <c r="IE235" s="982"/>
      <c r="IF235" s="982"/>
      <c r="IG235" s="982"/>
      <c r="IH235" s="982"/>
      <c r="II235" s="982"/>
      <c r="IJ235" s="982"/>
      <c r="IK235" s="982"/>
      <c r="IL235" s="982"/>
      <c r="IM235" s="982"/>
      <c r="IN235" s="982"/>
      <c r="IO235" s="982"/>
      <c r="IP235" s="982"/>
      <c r="IQ235" s="982"/>
      <c r="IR235" s="982"/>
      <c r="IS235" s="982"/>
      <c r="IT235" s="982"/>
      <c r="IU235" s="982"/>
      <c r="IV235" s="982"/>
      <c r="IW235" s="982"/>
      <c r="IX235" s="982"/>
      <c r="JQ235" s="1506"/>
      <c r="JR235" s="1970" t="s">
        <v>245</v>
      </c>
      <c r="JS235" s="1971"/>
      <c r="JT235" s="1971"/>
      <c r="JU235" s="1971"/>
      <c r="JV235" s="1971"/>
      <c r="JW235" s="1971"/>
      <c r="JX235" s="1971"/>
      <c r="JY235" s="1971"/>
      <c r="JZ235" s="1971"/>
      <c r="KA235" s="1971"/>
      <c r="KB235" s="1971"/>
      <c r="KC235" s="1971"/>
      <c r="KD235" s="1971"/>
      <c r="KE235" s="1971"/>
      <c r="KF235" s="1971"/>
      <c r="KG235" s="1971"/>
      <c r="KH235" s="1971"/>
      <c r="KI235" s="1971"/>
      <c r="KJ235" s="1971"/>
      <c r="KK235" s="1971"/>
      <c r="KL235" s="1972"/>
      <c r="KM235" s="1973" t="s">
        <v>247</v>
      </c>
      <c r="KN235" s="1971"/>
      <c r="KO235" s="1971"/>
      <c r="KP235" s="1971"/>
      <c r="KQ235" s="1971"/>
      <c r="KR235" s="1971"/>
      <c r="KS235" s="1971"/>
      <c r="KT235" s="1971"/>
      <c r="KU235" s="1971"/>
      <c r="KV235" s="1971"/>
      <c r="KW235" s="1971"/>
      <c r="KX235" s="1971"/>
      <c r="KY235" s="1971"/>
      <c r="KZ235" s="1971"/>
      <c r="LA235" s="1971"/>
      <c r="LB235" s="1971"/>
      <c r="LC235" s="1971"/>
      <c r="LD235" s="1971"/>
      <c r="LE235" s="1971"/>
      <c r="LF235" s="1971"/>
      <c r="LG235" s="1972"/>
      <c r="LH235" s="1971" t="s">
        <v>61</v>
      </c>
      <c r="LI235" s="1971"/>
      <c r="LJ235" s="1971"/>
      <c r="LK235" s="1971"/>
      <c r="LL235" s="1971"/>
      <c r="LM235" s="1971"/>
      <c r="LN235" s="1971"/>
      <c r="LO235" s="1971"/>
      <c r="LP235" s="1971"/>
      <c r="LQ235" s="1971"/>
      <c r="LR235" s="1971"/>
      <c r="LS235" s="1971"/>
      <c r="LT235" s="1971"/>
      <c r="LU235" s="1971"/>
      <c r="LV235" s="1971"/>
      <c r="LW235" s="1971"/>
      <c r="LX235" s="1971"/>
      <c r="LY235" s="1971"/>
      <c r="LZ235" s="1971"/>
      <c r="MA235" s="1971"/>
      <c r="MB235" s="1972"/>
      <c r="MC235" s="1970" t="s">
        <v>62</v>
      </c>
      <c r="MD235" s="1971"/>
      <c r="ME235" s="1971"/>
      <c r="MF235" s="1971"/>
      <c r="MG235" s="1971"/>
      <c r="MH235" s="1971"/>
      <c r="MI235" s="1971"/>
      <c r="MJ235" s="1971"/>
      <c r="MK235" s="1971"/>
      <c r="ML235" s="1971"/>
      <c r="MM235" s="1971"/>
      <c r="MN235" s="1971"/>
      <c r="MO235" s="1971"/>
      <c r="MP235" s="1971"/>
      <c r="MQ235" s="1971"/>
      <c r="MR235" s="1971"/>
      <c r="MS235" s="1971"/>
      <c r="MT235" s="1971"/>
      <c r="MU235" s="1971"/>
      <c r="MV235" s="1971"/>
      <c r="MW235" s="1972"/>
      <c r="MX235" s="1970" t="s">
        <v>250</v>
      </c>
      <c r="MY235" s="1971"/>
      <c r="MZ235" s="1971"/>
      <c r="NA235" s="1971"/>
      <c r="NB235" s="1971"/>
      <c r="NC235" s="1971"/>
      <c r="ND235" s="1971"/>
      <c r="NE235" s="1971"/>
      <c r="NF235" s="1971"/>
      <c r="NG235" s="1971"/>
      <c r="NH235" s="1971"/>
      <c r="NI235" s="1971"/>
      <c r="NJ235" s="1971"/>
      <c r="NK235" s="1971"/>
      <c r="NL235" s="1971"/>
      <c r="NM235" s="1971"/>
      <c r="NN235" s="1971"/>
      <c r="NO235" s="1971"/>
      <c r="NP235" s="1971"/>
      <c r="NQ235" s="1971"/>
      <c r="NR235" s="1972"/>
      <c r="NS235" s="1970" t="s">
        <v>64</v>
      </c>
      <c r="NT235" s="1971"/>
      <c r="NU235" s="1971"/>
      <c r="NV235" s="1971"/>
      <c r="NW235" s="1971"/>
      <c r="NX235" s="1971"/>
      <c r="NY235" s="1971"/>
      <c r="NZ235" s="1971"/>
      <c r="OA235" s="1971"/>
      <c r="OB235" s="1971"/>
      <c r="OC235" s="1971"/>
      <c r="OD235" s="1971"/>
      <c r="OE235" s="1971"/>
      <c r="OF235" s="1971"/>
      <c r="OG235" s="1971"/>
      <c r="OH235" s="1971"/>
      <c r="OI235" s="1971"/>
      <c r="OJ235" s="1971"/>
      <c r="OK235" s="1971"/>
      <c r="OL235" s="1971"/>
      <c r="OM235" s="1972"/>
      <c r="ON235" s="1970" t="s">
        <v>65</v>
      </c>
      <c r="OO235" s="1971"/>
      <c r="OP235" s="1971"/>
      <c r="OQ235" s="1971"/>
      <c r="OR235" s="1971"/>
      <c r="OS235" s="1971"/>
      <c r="OT235" s="1971"/>
      <c r="OU235" s="1971"/>
      <c r="OV235" s="1971"/>
      <c r="OW235" s="1971"/>
      <c r="OX235" s="1971"/>
      <c r="OY235" s="1971"/>
      <c r="OZ235" s="1971"/>
      <c r="PA235" s="1971"/>
      <c r="PB235" s="1971"/>
      <c r="PC235" s="1971"/>
      <c r="PD235" s="1971"/>
      <c r="PE235" s="1971"/>
      <c r="PF235" s="1971"/>
      <c r="PG235" s="1971"/>
      <c r="PH235" s="1972"/>
    </row>
    <row r="236" spans="66:424" ht="24.95" hidden="1" customHeight="1">
      <c r="JQ236" s="1507"/>
      <c r="JR236" s="1974" t="s">
        <v>172</v>
      </c>
      <c r="JS236" s="1976" t="s">
        <v>321</v>
      </c>
      <c r="JT236" s="1977"/>
      <c r="JU236" s="1977"/>
      <c r="JV236" s="1977"/>
      <c r="JW236" s="1977"/>
      <c r="JX236" s="1977"/>
      <c r="JY236" s="1977"/>
      <c r="JZ236" s="1977"/>
      <c r="KA236" s="1977"/>
      <c r="KB236" s="1977"/>
      <c r="KC236" s="1977"/>
      <c r="KD236" s="1977"/>
      <c r="KE236" s="1977"/>
      <c r="KF236" s="1977"/>
      <c r="KG236" s="1977"/>
      <c r="KH236" s="1977"/>
      <c r="KI236" s="1977"/>
      <c r="KJ236" s="1977"/>
      <c r="KK236" s="1977"/>
      <c r="KL236" s="1978"/>
      <c r="KM236" s="1979" t="s">
        <v>172</v>
      </c>
      <c r="KN236" s="1976" t="s">
        <v>321</v>
      </c>
      <c r="KO236" s="1977"/>
      <c r="KP236" s="1977"/>
      <c r="KQ236" s="1977"/>
      <c r="KR236" s="1977"/>
      <c r="KS236" s="1977"/>
      <c r="KT236" s="1977"/>
      <c r="KU236" s="1977"/>
      <c r="KV236" s="1977"/>
      <c r="KW236" s="1977"/>
      <c r="KX236" s="1977"/>
      <c r="KY236" s="1977"/>
      <c r="KZ236" s="1977"/>
      <c r="LA236" s="1977"/>
      <c r="LB236" s="1977"/>
      <c r="LC236" s="1977"/>
      <c r="LD236" s="1977"/>
      <c r="LE236" s="1977"/>
      <c r="LF236" s="1977"/>
      <c r="LG236" s="1978"/>
      <c r="LH236" s="1979" t="s">
        <v>172</v>
      </c>
      <c r="LI236" s="1976" t="s">
        <v>321</v>
      </c>
      <c r="LJ236" s="1977"/>
      <c r="LK236" s="1977"/>
      <c r="LL236" s="1977"/>
      <c r="LM236" s="1977"/>
      <c r="LN236" s="1977"/>
      <c r="LO236" s="1977"/>
      <c r="LP236" s="1977"/>
      <c r="LQ236" s="1977"/>
      <c r="LR236" s="1977"/>
      <c r="LS236" s="1977"/>
      <c r="LT236" s="1977"/>
      <c r="LU236" s="1977"/>
      <c r="LV236" s="1977"/>
      <c r="LW236" s="1977"/>
      <c r="LX236" s="1977"/>
      <c r="LY236" s="1977"/>
      <c r="LZ236" s="1977"/>
      <c r="MA236" s="1977"/>
      <c r="MB236" s="1978"/>
      <c r="MC236" s="1979" t="s">
        <v>172</v>
      </c>
      <c r="MD236" s="1976" t="s">
        <v>321</v>
      </c>
      <c r="ME236" s="1977"/>
      <c r="MF236" s="1977"/>
      <c r="MG236" s="1977"/>
      <c r="MH236" s="1977"/>
      <c r="MI236" s="1977"/>
      <c r="MJ236" s="1977"/>
      <c r="MK236" s="1977"/>
      <c r="ML236" s="1977"/>
      <c r="MM236" s="1977"/>
      <c r="MN236" s="1977"/>
      <c r="MO236" s="1977"/>
      <c r="MP236" s="1977"/>
      <c r="MQ236" s="1977"/>
      <c r="MR236" s="1977"/>
      <c r="MS236" s="1977"/>
      <c r="MT236" s="1977"/>
      <c r="MU236" s="1977"/>
      <c r="MV236" s="1977"/>
      <c r="MW236" s="1978"/>
      <c r="MX236" s="1979" t="s">
        <v>172</v>
      </c>
      <c r="MY236" s="1976" t="s">
        <v>321</v>
      </c>
      <c r="MZ236" s="1977"/>
      <c r="NA236" s="1977"/>
      <c r="NB236" s="1977"/>
      <c r="NC236" s="1977"/>
      <c r="ND236" s="1977"/>
      <c r="NE236" s="1977"/>
      <c r="NF236" s="1977"/>
      <c r="NG236" s="1977"/>
      <c r="NH236" s="1977"/>
      <c r="NI236" s="1977"/>
      <c r="NJ236" s="1977"/>
      <c r="NK236" s="1977"/>
      <c r="NL236" s="1977"/>
      <c r="NM236" s="1977"/>
      <c r="NN236" s="1977"/>
      <c r="NO236" s="1977"/>
      <c r="NP236" s="1977"/>
      <c r="NQ236" s="1977"/>
      <c r="NR236" s="1978"/>
      <c r="NS236" s="1979" t="s">
        <v>172</v>
      </c>
      <c r="NT236" s="1976" t="s">
        <v>321</v>
      </c>
      <c r="NU236" s="1977"/>
      <c r="NV236" s="1977"/>
      <c r="NW236" s="1977"/>
      <c r="NX236" s="1977"/>
      <c r="NY236" s="1977"/>
      <c r="NZ236" s="1977"/>
      <c r="OA236" s="1977"/>
      <c r="OB236" s="1977"/>
      <c r="OC236" s="1977"/>
      <c r="OD236" s="1977"/>
      <c r="OE236" s="1977"/>
      <c r="OF236" s="1977"/>
      <c r="OG236" s="1977"/>
      <c r="OH236" s="1977"/>
      <c r="OI236" s="1977"/>
      <c r="OJ236" s="1977"/>
      <c r="OK236" s="1977"/>
      <c r="OL236" s="1977"/>
      <c r="OM236" s="1978"/>
      <c r="ON236" s="1979" t="s">
        <v>172</v>
      </c>
      <c r="OO236" s="1976" t="s">
        <v>321</v>
      </c>
      <c r="OP236" s="1977"/>
      <c r="OQ236" s="1977"/>
      <c r="OR236" s="1977"/>
      <c r="OS236" s="1977"/>
      <c r="OT236" s="1977"/>
      <c r="OU236" s="1977"/>
      <c r="OV236" s="1977"/>
      <c r="OW236" s="1977"/>
      <c r="OX236" s="1977"/>
      <c r="OY236" s="1977"/>
      <c r="OZ236" s="1977"/>
      <c r="PA236" s="1977"/>
      <c r="PB236" s="1977"/>
      <c r="PC236" s="1977"/>
      <c r="PD236" s="1977"/>
      <c r="PE236" s="1977"/>
      <c r="PF236" s="1977"/>
      <c r="PG236" s="1977"/>
      <c r="PH236" s="1978"/>
    </row>
    <row r="237" spans="66:424" ht="60" hidden="1" customHeight="1">
      <c r="JQ237" s="1508" t="s">
        <v>322</v>
      </c>
      <c r="JR237" s="1975"/>
      <c r="JS237" s="1509" t="s">
        <v>176</v>
      </c>
      <c r="JT237" s="1510" t="s">
        <v>177</v>
      </c>
      <c r="JU237" s="1742" t="s">
        <v>178</v>
      </c>
      <c r="JV237" s="1510" t="s">
        <v>179</v>
      </c>
      <c r="JW237" s="1510" t="s">
        <v>180</v>
      </c>
      <c r="JX237" s="1510" t="s">
        <v>181</v>
      </c>
      <c r="JY237" s="1510" t="s">
        <v>182</v>
      </c>
      <c r="JZ237" s="1510" t="s">
        <v>183</v>
      </c>
      <c r="KA237" s="1510" t="s">
        <v>184</v>
      </c>
      <c r="KB237" s="1510" t="s">
        <v>185</v>
      </c>
      <c r="KC237" s="1742" t="s">
        <v>186</v>
      </c>
      <c r="KD237" s="1510" t="s">
        <v>187</v>
      </c>
      <c r="KE237" s="1742" t="s">
        <v>188</v>
      </c>
      <c r="KF237" s="1742" t="s">
        <v>189</v>
      </c>
      <c r="KG237" s="1510" t="s">
        <v>190</v>
      </c>
      <c r="KH237" s="1742" t="s">
        <v>191</v>
      </c>
      <c r="KI237" s="1510" t="s">
        <v>192</v>
      </c>
      <c r="KJ237" s="1742" t="s">
        <v>193</v>
      </c>
      <c r="KK237" s="1742" t="s">
        <v>194</v>
      </c>
      <c r="KL237" s="1511" t="s">
        <v>195</v>
      </c>
      <c r="KM237" s="1980"/>
      <c r="KN237" s="1509" t="s">
        <v>176</v>
      </c>
      <c r="KO237" s="1510" t="s">
        <v>177</v>
      </c>
      <c r="KP237" s="1742" t="s">
        <v>178</v>
      </c>
      <c r="KQ237" s="1510" t="s">
        <v>179</v>
      </c>
      <c r="KR237" s="1510" t="s">
        <v>180</v>
      </c>
      <c r="KS237" s="1510" t="s">
        <v>181</v>
      </c>
      <c r="KT237" s="1510" t="s">
        <v>182</v>
      </c>
      <c r="KU237" s="1510" t="s">
        <v>183</v>
      </c>
      <c r="KV237" s="1510" t="s">
        <v>184</v>
      </c>
      <c r="KW237" s="1510" t="s">
        <v>185</v>
      </c>
      <c r="KX237" s="1742" t="s">
        <v>186</v>
      </c>
      <c r="KY237" s="1510" t="s">
        <v>187</v>
      </c>
      <c r="KZ237" s="1742" t="s">
        <v>188</v>
      </c>
      <c r="LA237" s="1742" t="s">
        <v>189</v>
      </c>
      <c r="LB237" s="1510" t="s">
        <v>190</v>
      </c>
      <c r="LC237" s="1742" t="s">
        <v>191</v>
      </c>
      <c r="LD237" s="1510" t="s">
        <v>192</v>
      </c>
      <c r="LE237" s="1742" t="s">
        <v>193</v>
      </c>
      <c r="LF237" s="1742" t="s">
        <v>194</v>
      </c>
      <c r="LG237" s="1511" t="s">
        <v>195</v>
      </c>
      <c r="LH237" s="1980"/>
      <c r="LI237" s="1509" t="s">
        <v>176</v>
      </c>
      <c r="LJ237" s="1510" t="s">
        <v>177</v>
      </c>
      <c r="LK237" s="1742" t="s">
        <v>178</v>
      </c>
      <c r="LL237" s="1510" t="s">
        <v>179</v>
      </c>
      <c r="LM237" s="1510" t="s">
        <v>180</v>
      </c>
      <c r="LN237" s="1510" t="s">
        <v>181</v>
      </c>
      <c r="LO237" s="1510" t="s">
        <v>182</v>
      </c>
      <c r="LP237" s="1510" t="s">
        <v>183</v>
      </c>
      <c r="LQ237" s="1510" t="s">
        <v>184</v>
      </c>
      <c r="LR237" s="1510" t="s">
        <v>185</v>
      </c>
      <c r="LS237" s="1742" t="s">
        <v>186</v>
      </c>
      <c r="LT237" s="1510" t="s">
        <v>187</v>
      </c>
      <c r="LU237" s="1742" t="s">
        <v>188</v>
      </c>
      <c r="LV237" s="1742" t="s">
        <v>189</v>
      </c>
      <c r="LW237" s="1510" t="s">
        <v>190</v>
      </c>
      <c r="LX237" s="1742" t="s">
        <v>191</v>
      </c>
      <c r="LY237" s="1510" t="s">
        <v>192</v>
      </c>
      <c r="LZ237" s="1742" t="s">
        <v>193</v>
      </c>
      <c r="MA237" s="1742" t="s">
        <v>194</v>
      </c>
      <c r="MB237" s="1511" t="s">
        <v>195</v>
      </c>
      <c r="MC237" s="1980"/>
      <c r="MD237" s="1509" t="s">
        <v>176</v>
      </c>
      <c r="ME237" s="1510" t="s">
        <v>177</v>
      </c>
      <c r="MF237" s="1742" t="s">
        <v>178</v>
      </c>
      <c r="MG237" s="1510" t="s">
        <v>179</v>
      </c>
      <c r="MH237" s="1510" t="s">
        <v>180</v>
      </c>
      <c r="MI237" s="1510" t="s">
        <v>181</v>
      </c>
      <c r="MJ237" s="1510" t="s">
        <v>182</v>
      </c>
      <c r="MK237" s="1510" t="s">
        <v>183</v>
      </c>
      <c r="ML237" s="1510" t="s">
        <v>184</v>
      </c>
      <c r="MM237" s="1510" t="s">
        <v>185</v>
      </c>
      <c r="MN237" s="1742" t="s">
        <v>186</v>
      </c>
      <c r="MO237" s="1510" t="s">
        <v>187</v>
      </c>
      <c r="MP237" s="1742" t="s">
        <v>188</v>
      </c>
      <c r="MQ237" s="1742" t="s">
        <v>189</v>
      </c>
      <c r="MR237" s="1510" t="s">
        <v>190</v>
      </c>
      <c r="MS237" s="1742" t="s">
        <v>191</v>
      </c>
      <c r="MT237" s="1510" t="s">
        <v>192</v>
      </c>
      <c r="MU237" s="1742" t="s">
        <v>193</v>
      </c>
      <c r="MV237" s="1742" t="s">
        <v>194</v>
      </c>
      <c r="MW237" s="1511" t="s">
        <v>195</v>
      </c>
      <c r="MX237" s="1980"/>
      <c r="MY237" s="1509" t="s">
        <v>176</v>
      </c>
      <c r="MZ237" s="1510" t="s">
        <v>177</v>
      </c>
      <c r="NA237" s="1742" t="s">
        <v>178</v>
      </c>
      <c r="NB237" s="1510" t="s">
        <v>179</v>
      </c>
      <c r="NC237" s="1510" t="s">
        <v>180</v>
      </c>
      <c r="ND237" s="1510" t="s">
        <v>181</v>
      </c>
      <c r="NE237" s="1510" t="s">
        <v>182</v>
      </c>
      <c r="NF237" s="1510" t="s">
        <v>183</v>
      </c>
      <c r="NG237" s="1510" t="s">
        <v>184</v>
      </c>
      <c r="NH237" s="1510" t="s">
        <v>185</v>
      </c>
      <c r="NI237" s="1742" t="s">
        <v>186</v>
      </c>
      <c r="NJ237" s="1510" t="s">
        <v>187</v>
      </c>
      <c r="NK237" s="1742" t="s">
        <v>188</v>
      </c>
      <c r="NL237" s="1742" t="s">
        <v>189</v>
      </c>
      <c r="NM237" s="1510" t="s">
        <v>190</v>
      </c>
      <c r="NN237" s="1742" t="s">
        <v>191</v>
      </c>
      <c r="NO237" s="1510" t="s">
        <v>192</v>
      </c>
      <c r="NP237" s="1742" t="s">
        <v>193</v>
      </c>
      <c r="NQ237" s="1742" t="s">
        <v>194</v>
      </c>
      <c r="NR237" s="1511" t="s">
        <v>195</v>
      </c>
      <c r="NS237" s="1980"/>
      <c r="NT237" s="1509" t="s">
        <v>176</v>
      </c>
      <c r="NU237" s="1510" t="s">
        <v>177</v>
      </c>
      <c r="NV237" s="1742" t="s">
        <v>178</v>
      </c>
      <c r="NW237" s="1510" t="s">
        <v>179</v>
      </c>
      <c r="NX237" s="1510" t="s">
        <v>180</v>
      </c>
      <c r="NY237" s="1510" t="s">
        <v>181</v>
      </c>
      <c r="NZ237" s="1510" t="s">
        <v>182</v>
      </c>
      <c r="OA237" s="1510" t="s">
        <v>183</v>
      </c>
      <c r="OB237" s="1510" t="s">
        <v>184</v>
      </c>
      <c r="OC237" s="1510" t="s">
        <v>185</v>
      </c>
      <c r="OD237" s="1742" t="s">
        <v>186</v>
      </c>
      <c r="OE237" s="1510" t="s">
        <v>187</v>
      </c>
      <c r="OF237" s="1742" t="s">
        <v>188</v>
      </c>
      <c r="OG237" s="1742" t="s">
        <v>189</v>
      </c>
      <c r="OH237" s="1510" t="s">
        <v>190</v>
      </c>
      <c r="OI237" s="1742" t="s">
        <v>191</v>
      </c>
      <c r="OJ237" s="1510" t="s">
        <v>192</v>
      </c>
      <c r="OK237" s="1742" t="s">
        <v>193</v>
      </c>
      <c r="OL237" s="1742" t="s">
        <v>194</v>
      </c>
      <c r="OM237" s="1511" t="s">
        <v>195</v>
      </c>
      <c r="ON237" s="1980"/>
      <c r="OO237" s="1509" t="s">
        <v>176</v>
      </c>
      <c r="OP237" s="1510" t="s">
        <v>177</v>
      </c>
      <c r="OQ237" s="1742" t="s">
        <v>178</v>
      </c>
      <c r="OR237" s="1510" t="s">
        <v>179</v>
      </c>
      <c r="OS237" s="1510" t="s">
        <v>180</v>
      </c>
      <c r="OT237" s="1510" t="s">
        <v>181</v>
      </c>
      <c r="OU237" s="1510" t="s">
        <v>182</v>
      </c>
      <c r="OV237" s="1510" t="s">
        <v>183</v>
      </c>
      <c r="OW237" s="1510" t="s">
        <v>184</v>
      </c>
      <c r="OX237" s="1510" t="s">
        <v>185</v>
      </c>
      <c r="OY237" s="1742" t="s">
        <v>186</v>
      </c>
      <c r="OZ237" s="1510" t="s">
        <v>187</v>
      </c>
      <c r="PA237" s="1742" t="s">
        <v>188</v>
      </c>
      <c r="PB237" s="1742" t="s">
        <v>189</v>
      </c>
      <c r="PC237" s="1510" t="s">
        <v>190</v>
      </c>
      <c r="PD237" s="1742" t="s">
        <v>191</v>
      </c>
      <c r="PE237" s="1510" t="s">
        <v>192</v>
      </c>
      <c r="PF237" s="1742" t="s">
        <v>193</v>
      </c>
      <c r="PG237" s="1742" t="s">
        <v>194</v>
      </c>
      <c r="PH237" s="1511" t="s">
        <v>195</v>
      </c>
    </row>
    <row r="238" spans="66:424" ht="24.95" hidden="1" customHeight="1">
      <c r="JQ238" s="1507"/>
      <c r="JR238" s="1512" t="s">
        <v>26</v>
      </c>
      <c r="JS238" s="1512" t="s">
        <v>26</v>
      </c>
      <c r="JT238" s="1513" t="s">
        <v>26</v>
      </c>
      <c r="JU238" s="1513" t="s">
        <v>26</v>
      </c>
      <c r="JV238" s="1513" t="s">
        <v>26</v>
      </c>
      <c r="JW238" s="1513" t="s">
        <v>26</v>
      </c>
      <c r="JX238" s="1513" t="s">
        <v>26</v>
      </c>
      <c r="JY238" s="1513" t="s">
        <v>26</v>
      </c>
      <c r="JZ238" s="1513" t="s">
        <v>26</v>
      </c>
      <c r="KA238" s="1513" t="s">
        <v>26</v>
      </c>
      <c r="KB238" s="1513" t="s">
        <v>26</v>
      </c>
      <c r="KC238" s="1513" t="s">
        <v>26</v>
      </c>
      <c r="KD238" s="1513" t="s">
        <v>26</v>
      </c>
      <c r="KE238" s="1513" t="s">
        <v>26</v>
      </c>
      <c r="KF238" s="1513" t="s">
        <v>26</v>
      </c>
      <c r="KG238" s="1513" t="s">
        <v>26</v>
      </c>
      <c r="KH238" s="1513" t="s">
        <v>26</v>
      </c>
      <c r="KI238" s="1513" t="s">
        <v>26</v>
      </c>
      <c r="KJ238" s="1513" t="s">
        <v>26</v>
      </c>
      <c r="KK238" s="1513" t="s">
        <v>26</v>
      </c>
      <c r="KL238" s="1514" t="s">
        <v>26</v>
      </c>
      <c r="KM238" s="1508" t="s">
        <v>26</v>
      </c>
      <c r="KN238" s="1512" t="s">
        <v>26</v>
      </c>
      <c r="KO238" s="1513" t="s">
        <v>26</v>
      </c>
      <c r="KP238" s="1513" t="s">
        <v>26</v>
      </c>
      <c r="KQ238" s="1513" t="s">
        <v>26</v>
      </c>
      <c r="KR238" s="1513" t="s">
        <v>26</v>
      </c>
      <c r="KS238" s="1513" t="s">
        <v>26</v>
      </c>
      <c r="KT238" s="1513" t="s">
        <v>26</v>
      </c>
      <c r="KU238" s="1513" t="s">
        <v>26</v>
      </c>
      <c r="KV238" s="1513" t="s">
        <v>26</v>
      </c>
      <c r="KW238" s="1513" t="s">
        <v>26</v>
      </c>
      <c r="KX238" s="1513" t="s">
        <v>26</v>
      </c>
      <c r="KY238" s="1513" t="s">
        <v>26</v>
      </c>
      <c r="KZ238" s="1513" t="s">
        <v>26</v>
      </c>
      <c r="LA238" s="1513" t="s">
        <v>26</v>
      </c>
      <c r="LB238" s="1513" t="s">
        <v>26</v>
      </c>
      <c r="LC238" s="1513" t="s">
        <v>26</v>
      </c>
      <c r="LD238" s="1513" t="s">
        <v>26</v>
      </c>
      <c r="LE238" s="1513" t="s">
        <v>26</v>
      </c>
      <c r="LF238" s="1513" t="s">
        <v>26</v>
      </c>
      <c r="LG238" s="1514" t="s">
        <v>26</v>
      </c>
      <c r="LH238" s="1508" t="s">
        <v>26</v>
      </c>
      <c r="LI238" s="1512" t="s">
        <v>26</v>
      </c>
      <c r="LJ238" s="1513" t="s">
        <v>26</v>
      </c>
      <c r="LK238" s="1513" t="s">
        <v>26</v>
      </c>
      <c r="LL238" s="1513" t="s">
        <v>26</v>
      </c>
      <c r="LM238" s="1513" t="s">
        <v>26</v>
      </c>
      <c r="LN238" s="1513" t="s">
        <v>26</v>
      </c>
      <c r="LO238" s="1513" t="s">
        <v>26</v>
      </c>
      <c r="LP238" s="1513" t="s">
        <v>26</v>
      </c>
      <c r="LQ238" s="1513" t="s">
        <v>26</v>
      </c>
      <c r="LR238" s="1513" t="s">
        <v>26</v>
      </c>
      <c r="LS238" s="1513" t="s">
        <v>26</v>
      </c>
      <c r="LT238" s="1513" t="s">
        <v>26</v>
      </c>
      <c r="LU238" s="1513" t="s">
        <v>26</v>
      </c>
      <c r="LV238" s="1513" t="s">
        <v>26</v>
      </c>
      <c r="LW238" s="1513" t="s">
        <v>26</v>
      </c>
      <c r="LX238" s="1513" t="s">
        <v>26</v>
      </c>
      <c r="LY238" s="1513" t="s">
        <v>26</v>
      </c>
      <c r="LZ238" s="1513" t="s">
        <v>26</v>
      </c>
      <c r="MA238" s="1513" t="s">
        <v>26</v>
      </c>
      <c r="MB238" s="1514" t="s">
        <v>26</v>
      </c>
      <c r="MC238" s="1508" t="s">
        <v>26</v>
      </c>
      <c r="MD238" s="1512" t="s">
        <v>26</v>
      </c>
      <c r="ME238" s="1513" t="s">
        <v>26</v>
      </c>
      <c r="MF238" s="1513" t="s">
        <v>26</v>
      </c>
      <c r="MG238" s="1513" t="s">
        <v>26</v>
      </c>
      <c r="MH238" s="1513" t="s">
        <v>26</v>
      </c>
      <c r="MI238" s="1513" t="s">
        <v>26</v>
      </c>
      <c r="MJ238" s="1513" t="s">
        <v>26</v>
      </c>
      <c r="MK238" s="1513" t="s">
        <v>26</v>
      </c>
      <c r="ML238" s="1513" t="s">
        <v>26</v>
      </c>
      <c r="MM238" s="1513" t="s">
        <v>26</v>
      </c>
      <c r="MN238" s="1513" t="s">
        <v>26</v>
      </c>
      <c r="MO238" s="1513" t="s">
        <v>26</v>
      </c>
      <c r="MP238" s="1513" t="s">
        <v>26</v>
      </c>
      <c r="MQ238" s="1513" t="s">
        <v>26</v>
      </c>
      <c r="MR238" s="1513" t="s">
        <v>26</v>
      </c>
      <c r="MS238" s="1513" t="s">
        <v>26</v>
      </c>
      <c r="MT238" s="1513" t="s">
        <v>26</v>
      </c>
      <c r="MU238" s="1513" t="s">
        <v>26</v>
      </c>
      <c r="MV238" s="1513" t="s">
        <v>26</v>
      </c>
      <c r="MW238" s="1514" t="s">
        <v>26</v>
      </c>
      <c r="MX238" s="1508" t="s">
        <v>26</v>
      </c>
      <c r="MY238" s="1512" t="s">
        <v>26</v>
      </c>
      <c r="MZ238" s="1513" t="s">
        <v>26</v>
      </c>
      <c r="NA238" s="1513" t="s">
        <v>26</v>
      </c>
      <c r="NB238" s="1513" t="s">
        <v>26</v>
      </c>
      <c r="NC238" s="1513" t="s">
        <v>26</v>
      </c>
      <c r="ND238" s="1513" t="s">
        <v>26</v>
      </c>
      <c r="NE238" s="1513" t="s">
        <v>26</v>
      </c>
      <c r="NF238" s="1513" t="s">
        <v>26</v>
      </c>
      <c r="NG238" s="1513" t="s">
        <v>26</v>
      </c>
      <c r="NH238" s="1513" t="s">
        <v>26</v>
      </c>
      <c r="NI238" s="1513" t="s">
        <v>26</v>
      </c>
      <c r="NJ238" s="1513" t="s">
        <v>26</v>
      </c>
      <c r="NK238" s="1513" t="s">
        <v>26</v>
      </c>
      <c r="NL238" s="1513" t="s">
        <v>26</v>
      </c>
      <c r="NM238" s="1513" t="s">
        <v>26</v>
      </c>
      <c r="NN238" s="1513" t="s">
        <v>26</v>
      </c>
      <c r="NO238" s="1513" t="s">
        <v>26</v>
      </c>
      <c r="NP238" s="1513" t="s">
        <v>26</v>
      </c>
      <c r="NQ238" s="1513" t="s">
        <v>26</v>
      </c>
      <c r="NR238" s="1514" t="s">
        <v>26</v>
      </c>
      <c r="NS238" s="1508" t="s">
        <v>26</v>
      </c>
      <c r="NT238" s="1512" t="s">
        <v>26</v>
      </c>
      <c r="NU238" s="1513" t="s">
        <v>26</v>
      </c>
      <c r="NV238" s="1513" t="s">
        <v>26</v>
      </c>
      <c r="NW238" s="1513" t="s">
        <v>26</v>
      </c>
      <c r="NX238" s="1513" t="s">
        <v>26</v>
      </c>
      <c r="NY238" s="1513" t="s">
        <v>26</v>
      </c>
      <c r="NZ238" s="1513" t="s">
        <v>26</v>
      </c>
      <c r="OA238" s="1513" t="s">
        <v>26</v>
      </c>
      <c r="OB238" s="1513" t="s">
        <v>26</v>
      </c>
      <c r="OC238" s="1513" t="s">
        <v>26</v>
      </c>
      <c r="OD238" s="1513" t="s">
        <v>26</v>
      </c>
      <c r="OE238" s="1513" t="s">
        <v>26</v>
      </c>
      <c r="OF238" s="1513" t="s">
        <v>26</v>
      </c>
      <c r="OG238" s="1513" t="s">
        <v>26</v>
      </c>
      <c r="OH238" s="1513" t="s">
        <v>26</v>
      </c>
      <c r="OI238" s="1513" t="s">
        <v>26</v>
      </c>
      <c r="OJ238" s="1513" t="s">
        <v>26</v>
      </c>
      <c r="OK238" s="1513" t="s">
        <v>26</v>
      </c>
      <c r="OL238" s="1513" t="s">
        <v>26</v>
      </c>
      <c r="OM238" s="1514" t="s">
        <v>26</v>
      </c>
      <c r="ON238" s="1508" t="s">
        <v>26</v>
      </c>
      <c r="OO238" s="1512" t="s">
        <v>26</v>
      </c>
      <c r="OP238" s="1513" t="s">
        <v>26</v>
      </c>
      <c r="OQ238" s="1513" t="s">
        <v>26</v>
      </c>
      <c r="OR238" s="1513" t="s">
        <v>26</v>
      </c>
      <c r="OS238" s="1513" t="s">
        <v>26</v>
      </c>
      <c r="OT238" s="1513" t="s">
        <v>26</v>
      </c>
      <c r="OU238" s="1513" t="s">
        <v>26</v>
      </c>
      <c r="OV238" s="1513" t="s">
        <v>26</v>
      </c>
      <c r="OW238" s="1513" t="s">
        <v>26</v>
      </c>
      <c r="OX238" s="1513" t="s">
        <v>26</v>
      </c>
      <c r="OY238" s="1513" t="s">
        <v>26</v>
      </c>
      <c r="OZ238" s="1513" t="s">
        <v>26</v>
      </c>
      <c r="PA238" s="1513" t="s">
        <v>26</v>
      </c>
      <c r="PB238" s="1513" t="s">
        <v>26</v>
      </c>
      <c r="PC238" s="1513" t="s">
        <v>26</v>
      </c>
      <c r="PD238" s="1513" t="s">
        <v>26</v>
      </c>
      <c r="PE238" s="1513" t="s">
        <v>26</v>
      </c>
      <c r="PF238" s="1513" t="s">
        <v>26</v>
      </c>
      <c r="PG238" s="1513" t="s">
        <v>26</v>
      </c>
      <c r="PH238" s="1514" t="s">
        <v>26</v>
      </c>
    </row>
    <row r="239" spans="66:424" ht="24.95" hidden="1" customHeight="1">
      <c r="JQ239" s="1485">
        <v>1</v>
      </c>
      <c r="JR239" s="1515">
        <v>2</v>
      </c>
      <c r="JS239" s="1515">
        <v>3</v>
      </c>
      <c r="JT239" s="1515">
        <v>4</v>
      </c>
      <c r="JU239" s="1515">
        <v>5</v>
      </c>
      <c r="JV239" s="1515">
        <v>6</v>
      </c>
      <c r="JW239" s="1515">
        <v>7</v>
      </c>
      <c r="JX239" s="1515">
        <v>8</v>
      </c>
      <c r="JY239" s="1515">
        <v>9</v>
      </c>
      <c r="JZ239" s="1515">
        <v>10</v>
      </c>
      <c r="KA239" s="1515">
        <v>11</v>
      </c>
      <c r="KB239" s="1515">
        <v>12</v>
      </c>
      <c r="KC239" s="1515">
        <v>13</v>
      </c>
      <c r="KD239" s="1515">
        <v>14</v>
      </c>
      <c r="KE239" s="1515">
        <v>15</v>
      </c>
      <c r="KF239" s="1515">
        <v>16</v>
      </c>
      <c r="KG239" s="1515">
        <v>17</v>
      </c>
      <c r="KH239" s="1515">
        <v>18</v>
      </c>
      <c r="KI239" s="1515">
        <v>19</v>
      </c>
      <c r="KJ239" s="1515">
        <v>20</v>
      </c>
      <c r="KK239" s="1515">
        <v>21</v>
      </c>
      <c r="KL239" s="1516">
        <v>22</v>
      </c>
      <c r="KM239" s="1517">
        <v>23</v>
      </c>
      <c r="KN239" s="1518">
        <v>24</v>
      </c>
      <c r="KO239" s="1515">
        <v>25</v>
      </c>
      <c r="KP239" s="1518">
        <v>26</v>
      </c>
      <c r="KQ239" s="1515">
        <v>27</v>
      </c>
      <c r="KR239" s="1518">
        <v>28</v>
      </c>
      <c r="KS239" s="1515">
        <v>29</v>
      </c>
      <c r="KT239" s="1518">
        <v>30</v>
      </c>
      <c r="KU239" s="1515">
        <v>31</v>
      </c>
      <c r="KV239" s="1518">
        <v>32</v>
      </c>
      <c r="KW239" s="1515">
        <v>33</v>
      </c>
      <c r="KX239" s="1518">
        <v>34</v>
      </c>
      <c r="KY239" s="1515">
        <v>35</v>
      </c>
      <c r="KZ239" s="1518">
        <v>36</v>
      </c>
      <c r="LA239" s="1515">
        <v>37</v>
      </c>
      <c r="LB239" s="1518">
        <v>38</v>
      </c>
      <c r="LC239" s="1515">
        <v>39</v>
      </c>
      <c r="LD239" s="1518">
        <v>40</v>
      </c>
      <c r="LE239" s="1515">
        <v>41</v>
      </c>
      <c r="LF239" s="1518">
        <v>42</v>
      </c>
      <c r="LG239" s="1516">
        <v>43</v>
      </c>
      <c r="LH239" s="1517">
        <v>44</v>
      </c>
      <c r="LI239" s="1518">
        <v>45</v>
      </c>
      <c r="LJ239" s="1515">
        <v>46</v>
      </c>
      <c r="LK239" s="1518">
        <v>47</v>
      </c>
      <c r="LL239" s="1515">
        <v>48</v>
      </c>
      <c r="LM239" s="1518">
        <v>49</v>
      </c>
      <c r="LN239" s="1515">
        <v>50</v>
      </c>
      <c r="LO239" s="1518">
        <v>51</v>
      </c>
      <c r="LP239" s="1515">
        <v>52</v>
      </c>
      <c r="LQ239" s="1518">
        <v>53</v>
      </c>
      <c r="LR239" s="1515">
        <v>54</v>
      </c>
      <c r="LS239" s="1518">
        <v>55</v>
      </c>
      <c r="LT239" s="1515">
        <v>56</v>
      </c>
      <c r="LU239" s="1518">
        <v>57</v>
      </c>
      <c r="LV239" s="1515">
        <v>58</v>
      </c>
      <c r="LW239" s="1518">
        <v>59</v>
      </c>
      <c r="LX239" s="1515">
        <v>60</v>
      </c>
      <c r="LY239" s="1518">
        <v>61</v>
      </c>
      <c r="LZ239" s="1515">
        <v>62</v>
      </c>
      <c r="MA239" s="1518">
        <v>63</v>
      </c>
      <c r="MB239" s="1516">
        <v>64</v>
      </c>
      <c r="MC239" s="1517">
        <v>65</v>
      </c>
      <c r="MD239" s="1518">
        <v>66</v>
      </c>
      <c r="ME239" s="1515">
        <v>67</v>
      </c>
      <c r="MF239" s="1518">
        <v>68</v>
      </c>
      <c r="MG239" s="1515">
        <v>69</v>
      </c>
      <c r="MH239" s="1518">
        <v>70</v>
      </c>
      <c r="MI239" s="1515">
        <v>71</v>
      </c>
      <c r="MJ239" s="1518">
        <v>72</v>
      </c>
      <c r="MK239" s="1515">
        <v>73</v>
      </c>
      <c r="ML239" s="1518">
        <v>74</v>
      </c>
      <c r="MM239" s="1515">
        <v>75</v>
      </c>
      <c r="MN239" s="1518">
        <v>76</v>
      </c>
      <c r="MO239" s="1515">
        <v>77</v>
      </c>
      <c r="MP239" s="1518">
        <v>78</v>
      </c>
      <c r="MQ239" s="1515">
        <v>79</v>
      </c>
      <c r="MR239" s="1518">
        <v>80</v>
      </c>
      <c r="MS239" s="1515">
        <v>81</v>
      </c>
      <c r="MT239" s="1518">
        <v>82</v>
      </c>
      <c r="MU239" s="1515">
        <v>83</v>
      </c>
      <c r="MV239" s="1518">
        <v>84</v>
      </c>
      <c r="MW239" s="1516">
        <v>85</v>
      </c>
      <c r="MX239" s="1517">
        <v>86</v>
      </c>
      <c r="MY239" s="1518">
        <v>87</v>
      </c>
      <c r="MZ239" s="1515">
        <v>88</v>
      </c>
      <c r="NA239" s="1518">
        <v>89</v>
      </c>
      <c r="NB239" s="1515">
        <v>90</v>
      </c>
      <c r="NC239" s="1518">
        <v>91</v>
      </c>
      <c r="ND239" s="1515">
        <v>92</v>
      </c>
      <c r="NE239" s="1518">
        <v>93</v>
      </c>
      <c r="NF239" s="1515">
        <v>94</v>
      </c>
      <c r="NG239" s="1518">
        <v>95</v>
      </c>
      <c r="NH239" s="1515">
        <v>96</v>
      </c>
      <c r="NI239" s="1518">
        <v>97</v>
      </c>
      <c r="NJ239" s="1515">
        <v>98</v>
      </c>
      <c r="NK239" s="1518">
        <v>99</v>
      </c>
      <c r="NL239" s="1515">
        <v>100</v>
      </c>
      <c r="NM239" s="1518">
        <v>101</v>
      </c>
      <c r="NN239" s="1515">
        <v>102</v>
      </c>
      <c r="NO239" s="1518">
        <v>103</v>
      </c>
      <c r="NP239" s="1515">
        <v>104</v>
      </c>
      <c r="NQ239" s="1518">
        <v>105</v>
      </c>
      <c r="NR239" s="1516">
        <v>106</v>
      </c>
      <c r="NS239" s="1517">
        <v>107</v>
      </c>
      <c r="NT239" s="1518">
        <v>108</v>
      </c>
      <c r="NU239" s="1515">
        <v>109</v>
      </c>
      <c r="NV239" s="1518">
        <v>110</v>
      </c>
      <c r="NW239" s="1515">
        <v>111</v>
      </c>
      <c r="NX239" s="1518">
        <v>112</v>
      </c>
      <c r="NY239" s="1515">
        <v>113</v>
      </c>
      <c r="NZ239" s="1518">
        <v>114</v>
      </c>
      <c r="OA239" s="1515">
        <v>115</v>
      </c>
      <c r="OB239" s="1518">
        <v>116</v>
      </c>
      <c r="OC239" s="1515">
        <v>117</v>
      </c>
      <c r="OD239" s="1518">
        <v>118</v>
      </c>
      <c r="OE239" s="1515">
        <v>119</v>
      </c>
      <c r="OF239" s="1518">
        <v>120</v>
      </c>
      <c r="OG239" s="1515">
        <v>121</v>
      </c>
      <c r="OH239" s="1518">
        <v>122</v>
      </c>
      <c r="OI239" s="1515">
        <v>123</v>
      </c>
      <c r="OJ239" s="1518">
        <v>124</v>
      </c>
      <c r="OK239" s="1515">
        <v>125</v>
      </c>
      <c r="OL239" s="1518">
        <v>126</v>
      </c>
      <c r="OM239" s="1516">
        <v>127</v>
      </c>
      <c r="ON239" s="1517">
        <v>128</v>
      </c>
      <c r="OO239" s="1518">
        <v>129</v>
      </c>
      <c r="OP239" s="1515">
        <v>130</v>
      </c>
      <c r="OQ239" s="1518">
        <v>131</v>
      </c>
      <c r="OR239" s="1515">
        <v>132</v>
      </c>
      <c r="OS239" s="1518">
        <v>133</v>
      </c>
      <c r="OT239" s="1515">
        <v>134</v>
      </c>
      <c r="OU239" s="1518">
        <v>135</v>
      </c>
      <c r="OV239" s="1515">
        <v>136</v>
      </c>
      <c r="OW239" s="1518">
        <v>137</v>
      </c>
      <c r="OX239" s="1515">
        <v>138</v>
      </c>
      <c r="OY239" s="1518">
        <v>139</v>
      </c>
      <c r="OZ239" s="1515">
        <v>140</v>
      </c>
      <c r="PA239" s="1518">
        <v>141</v>
      </c>
      <c r="PB239" s="1515">
        <v>142</v>
      </c>
      <c r="PC239" s="1518">
        <v>143</v>
      </c>
      <c r="PD239" s="1515">
        <v>144</v>
      </c>
      <c r="PE239" s="1518">
        <v>145</v>
      </c>
      <c r="PF239" s="1515">
        <v>146</v>
      </c>
      <c r="PG239" s="1518">
        <v>147</v>
      </c>
      <c r="PH239" s="1516">
        <v>148</v>
      </c>
    </row>
    <row r="240" spans="66:424" ht="24.95" hidden="1" customHeight="1">
      <c r="JQ240" s="1519" t="s">
        <v>176</v>
      </c>
      <c r="JR240" s="1520">
        <v>0</v>
      </c>
      <c r="JS240" s="1520">
        <v>0</v>
      </c>
      <c r="JT240" s="1521">
        <v>0</v>
      </c>
      <c r="JU240" s="1521">
        <v>0</v>
      </c>
      <c r="JV240" s="1521">
        <v>0</v>
      </c>
      <c r="JW240" s="1521">
        <v>0</v>
      </c>
      <c r="JX240" s="1521">
        <v>0</v>
      </c>
      <c r="JY240" s="1521">
        <v>0</v>
      </c>
      <c r="JZ240" s="1521">
        <v>0</v>
      </c>
      <c r="KA240" s="1521">
        <v>0</v>
      </c>
      <c r="KB240" s="1521">
        <v>0</v>
      </c>
      <c r="KC240" s="1521">
        <v>0</v>
      </c>
      <c r="KD240" s="1521">
        <v>0</v>
      </c>
      <c r="KE240" s="1521">
        <v>0</v>
      </c>
      <c r="KF240" s="1521">
        <v>0</v>
      </c>
      <c r="KG240" s="1521">
        <v>0</v>
      </c>
      <c r="KH240" s="1521">
        <v>0</v>
      </c>
      <c r="KI240" s="1521">
        <v>0</v>
      </c>
      <c r="KJ240" s="1521">
        <v>0</v>
      </c>
      <c r="KK240" s="1521">
        <v>0</v>
      </c>
      <c r="KL240" s="1522">
        <v>0</v>
      </c>
      <c r="KM240" s="1520">
        <v>0</v>
      </c>
      <c r="KN240" s="1520">
        <v>0</v>
      </c>
      <c r="KO240" s="1521">
        <v>0</v>
      </c>
      <c r="KP240" s="1521">
        <v>0</v>
      </c>
      <c r="KQ240" s="1521">
        <v>0</v>
      </c>
      <c r="KR240" s="1521">
        <v>0</v>
      </c>
      <c r="KS240" s="1521">
        <v>0</v>
      </c>
      <c r="KT240" s="1521">
        <v>0</v>
      </c>
      <c r="KU240" s="1521">
        <v>0</v>
      </c>
      <c r="KV240" s="1521">
        <v>0</v>
      </c>
      <c r="KW240" s="1521">
        <v>0</v>
      </c>
      <c r="KX240" s="1521">
        <v>0</v>
      </c>
      <c r="KY240" s="1521">
        <v>0</v>
      </c>
      <c r="KZ240" s="1521">
        <v>0</v>
      </c>
      <c r="LA240" s="1521">
        <v>0</v>
      </c>
      <c r="LB240" s="1521">
        <v>0</v>
      </c>
      <c r="LC240" s="1521">
        <v>0</v>
      </c>
      <c r="LD240" s="1521">
        <v>0</v>
      </c>
      <c r="LE240" s="1521">
        <v>0</v>
      </c>
      <c r="LF240" s="1521">
        <v>0</v>
      </c>
      <c r="LG240" s="1522">
        <v>0</v>
      </c>
      <c r="LH240" s="1520">
        <v>0</v>
      </c>
      <c r="LI240" s="1520">
        <v>0</v>
      </c>
      <c r="LJ240" s="1521">
        <v>0</v>
      </c>
      <c r="LK240" s="1521">
        <v>0</v>
      </c>
      <c r="LL240" s="1521">
        <v>0</v>
      </c>
      <c r="LM240" s="1521">
        <v>0</v>
      </c>
      <c r="LN240" s="1521">
        <v>0</v>
      </c>
      <c r="LO240" s="1521">
        <v>0</v>
      </c>
      <c r="LP240" s="1521">
        <v>0</v>
      </c>
      <c r="LQ240" s="1521">
        <v>0</v>
      </c>
      <c r="LR240" s="1521">
        <v>0</v>
      </c>
      <c r="LS240" s="1521">
        <v>0</v>
      </c>
      <c r="LT240" s="1521">
        <v>0</v>
      </c>
      <c r="LU240" s="1521">
        <v>0</v>
      </c>
      <c r="LV240" s="1521">
        <v>0</v>
      </c>
      <c r="LW240" s="1521">
        <v>0</v>
      </c>
      <c r="LX240" s="1521">
        <v>0</v>
      </c>
      <c r="LY240" s="1521">
        <v>0</v>
      </c>
      <c r="LZ240" s="1521">
        <v>0</v>
      </c>
      <c r="MA240" s="1521">
        <v>0</v>
      </c>
      <c r="MB240" s="1522">
        <v>0</v>
      </c>
      <c r="MC240" s="1520">
        <v>0</v>
      </c>
      <c r="MD240" s="1520">
        <v>0</v>
      </c>
      <c r="ME240" s="1521">
        <v>0</v>
      </c>
      <c r="MF240" s="1521">
        <v>0</v>
      </c>
      <c r="MG240" s="1521">
        <v>0</v>
      </c>
      <c r="MH240" s="1521">
        <v>0</v>
      </c>
      <c r="MI240" s="1521">
        <v>0</v>
      </c>
      <c r="MJ240" s="1521">
        <v>0</v>
      </c>
      <c r="MK240" s="1521">
        <v>0</v>
      </c>
      <c r="ML240" s="1521">
        <v>0</v>
      </c>
      <c r="MM240" s="1521">
        <v>0</v>
      </c>
      <c r="MN240" s="1521">
        <v>0</v>
      </c>
      <c r="MO240" s="1521">
        <v>0</v>
      </c>
      <c r="MP240" s="1521">
        <v>0</v>
      </c>
      <c r="MQ240" s="1521">
        <v>0</v>
      </c>
      <c r="MR240" s="1521">
        <v>0</v>
      </c>
      <c r="MS240" s="1521">
        <v>0</v>
      </c>
      <c r="MT240" s="1521">
        <v>0</v>
      </c>
      <c r="MU240" s="1521">
        <v>0</v>
      </c>
      <c r="MV240" s="1521">
        <v>0</v>
      </c>
      <c r="MW240" s="1522">
        <v>0</v>
      </c>
      <c r="MX240" s="1520">
        <v>0</v>
      </c>
      <c r="MY240" s="1520">
        <v>0</v>
      </c>
      <c r="MZ240" s="1521">
        <v>0</v>
      </c>
      <c r="NA240" s="1521">
        <v>0</v>
      </c>
      <c r="NB240" s="1521">
        <v>0</v>
      </c>
      <c r="NC240" s="1521">
        <v>0</v>
      </c>
      <c r="ND240" s="1521">
        <v>0</v>
      </c>
      <c r="NE240" s="1521">
        <v>0</v>
      </c>
      <c r="NF240" s="1521">
        <v>0</v>
      </c>
      <c r="NG240" s="1521">
        <v>0</v>
      </c>
      <c r="NH240" s="1521">
        <v>0</v>
      </c>
      <c r="NI240" s="1521">
        <v>0</v>
      </c>
      <c r="NJ240" s="1521">
        <v>0</v>
      </c>
      <c r="NK240" s="1521">
        <v>0</v>
      </c>
      <c r="NL240" s="1521">
        <v>0</v>
      </c>
      <c r="NM240" s="1521">
        <v>0</v>
      </c>
      <c r="NN240" s="1521">
        <v>0</v>
      </c>
      <c r="NO240" s="1521">
        <v>0</v>
      </c>
      <c r="NP240" s="1521">
        <v>0</v>
      </c>
      <c r="NQ240" s="1521">
        <v>0</v>
      </c>
      <c r="NR240" s="1522">
        <v>0</v>
      </c>
      <c r="NS240" s="1520">
        <v>0</v>
      </c>
      <c r="NT240" s="1520">
        <v>0</v>
      </c>
      <c r="NU240" s="1521">
        <v>0</v>
      </c>
      <c r="NV240" s="1521">
        <v>0</v>
      </c>
      <c r="NW240" s="1521">
        <v>0</v>
      </c>
      <c r="NX240" s="1521">
        <v>0</v>
      </c>
      <c r="NY240" s="1521">
        <v>0</v>
      </c>
      <c r="NZ240" s="1521">
        <v>0</v>
      </c>
      <c r="OA240" s="1521">
        <v>0</v>
      </c>
      <c r="OB240" s="1521">
        <v>0</v>
      </c>
      <c r="OC240" s="1521">
        <v>0</v>
      </c>
      <c r="OD240" s="1521">
        <v>0</v>
      </c>
      <c r="OE240" s="1521">
        <v>0</v>
      </c>
      <c r="OF240" s="1521">
        <v>0</v>
      </c>
      <c r="OG240" s="1521">
        <v>0</v>
      </c>
      <c r="OH240" s="1521">
        <v>0</v>
      </c>
      <c r="OI240" s="1521">
        <v>0</v>
      </c>
      <c r="OJ240" s="1521">
        <v>0</v>
      </c>
      <c r="OK240" s="1521">
        <v>0</v>
      </c>
      <c r="OL240" s="1521">
        <v>0</v>
      </c>
      <c r="OM240" s="1522">
        <v>0</v>
      </c>
      <c r="ON240" s="1520">
        <v>0</v>
      </c>
      <c r="OO240" s="1520">
        <v>0</v>
      </c>
      <c r="OP240" s="1521">
        <v>0</v>
      </c>
      <c r="OQ240" s="1521">
        <v>0</v>
      </c>
      <c r="OR240" s="1521">
        <v>0</v>
      </c>
      <c r="OS240" s="1521">
        <v>0</v>
      </c>
      <c r="OT240" s="1521">
        <v>0</v>
      </c>
      <c r="OU240" s="1521">
        <v>0</v>
      </c>
      <c r="OV240" s="1521">
        <v>0</v>
      </c>
      <c r="OW240" s="1521">
        <v>0</v>
      </c>
      <c r="OX240" s="1521">
        <v>0</v>
      </c>
      <c r="OY240" s="1521">
        <v>0</v>
      </c>
      <c r="OZ240" s="1521">
        <v>0</v>
      </c>
      <c r="PA240" s="1521">
        <v>0</v>
      </c>
      <c r="PB240" s="1521">
        <v>0</v>
      </c>
      <c r="PC240" s="1521">
        <v>0</v>
      </c>
      <c r="PD240" s="1521">
        <v>0</v>
      </c>
      <c r="PE240" s="1521">
        <v>0</v>
      </c>
      <c r="PF240" s="1521">
        <v>0</v>
      </c>
      <c r="PG240" s="1521">
        <v>0</v>
      </c>
      <c r="PH240" s="1522">
        <v>0</v>
      </c>
    </row>
    <row r="241" spans="277:424" ht="20.100000000000001" hidden="1" customHeight="1">
      <c r="JQ241" s="1519" t="s">
        <v>177</v>
      </c>
      <c r="JR241" s="1520">
        <v>0</v>
      </c>
      <c r="JS241" s="1520">
        <v>0</v>
      </c>
      <c r="JT241" s="1521">
        <v>0</v>
      </c>
      <c r="JU241" s="1521">
        <v>0</v>
      </c>
      <c r="JV241" s="1521">
        <v>0</v>
      </c>
      <c r="JW241" s="1521">
        <v>0</v>
      </c>
      <c r="JX241" s="1521">
        <v>0</v>
      </c>
      <c r="JY241" s="1521">
        <v>0</v>
      </c>
      <c r="JZ241" s="1521">
        <v>0</v>
      </c>
      <c r="KA241" s="1521">
        <v>0</v>
      </c>
      <c r="KB241" s="1521">
        <v>0</v>
      </c>
      <c r="KC241" s="1521">
        <v>0</v>
      </c>
      <c r="KD241" s="1521">
        <v>0</v>
      </c>
      <c r="KE241" s="1521">
        <v>0</v>
      </c>
      <c r="KF241" s="1521">
        <v>0</v>
      </c>
      <c r="KG241" s="1521">
        <v>0</v>
      </c>
      <c r="KH241" s="1521">
        <v>0</v>
      </c>
      <c r="KI241" s="1521">
        <v>0</v>
      </c>
      <c r="KJ241" s="1521">
        <v>0</v>
      </c>
      <c r="KK241" s="1521">
        <v>0</v>
      </c>
      <c r="KL241" s="1522">
        <v>0</v>
      </c>
      <c r="KM241" s="1520">
        <v>0</v>
      </c>
      <c r="KN241" s="1520">
        <v>0</v>
      </c>
      <c r="KO241" s="1521">
        <v>0</v>
      </c>
      <c r="KP241" s="1521">
        <v>0</v>
      </c>
      <c r="KQ241" s="1521">
        <v>0</v>
      </c>
      <c r="KR241" s="1521">
        <v>0</v>
      </c>
      <c r="KS241" s="1521">
        <v>0</v>
      </c>
      <c r="KT241" s="1521">
        <v>0</v>
      </c>
      <c r="KU241" s="1521">
        <v>0</v>
      </c>
      <c r="KV241" s="1521">
        <v>0</v>
      </c>
      <c r="KW241" s="1521">
        <v>0</v>
      </c>
      <c r="KX241" s="1521">
        <v>0</v>
      </c>
      <c r="KY241" s="1521">
        <v>0</v>
      </c>
      <c r="KZ241" s="1521">
        <v>0</v>
      </c>
      <c r="LA241" s="1521">
        <v>0</v>
      </c>
      <c r="LB241" s="1521">
        <v>0</v>
      </c>
      <c r="LC241" s="1521">
        <v>0</v>
      </c>
      <c r="LD241" s="1521">
        <v>0</v>
      </c>
      <c r="LE241" s="1521">
        <v>0</v>
      </c>
      <c r="LF241" s="1521">
        <v>0</v>
      </c>
      <c r="LG241" s="1522">
        <v>0</v>
      </c>
      <c r="LH241" s="1520">
        <v>0</v>
      </c>
      <c r="LI241" s="1520">
        <v>0</v>
      </c>
      <c r="LJ241" s="1521">
        <v>0</v>
      </c>
      <c r="LK241" s="1521">
        <v>0</v>
      </c>
      <c r="LL241" s="1521">
        <v>0</v>
      </c>
      <c r="LM241" s="1521">
        <v>0</v>
      </c>
      <c r="LN241" s="1521">
        <v>0</v>
      </c>
      <c r="LO241" s="1521">
        <v>0</v>
      </c>
      <c r="LP241" s="1521">
        <v>0</v>
      </c>
      <c r="LQ241" s="1521">
        <v>0</v>
      </c>
      <c r="LR241" s="1521">
        <v>0</v>
      </c>
      <c r="LS241" s="1521">
        <v>0</v>
      </c>
      <c r="LT241" s="1521">
        <v>0</v>
      </c>
      <c r="LU241" s="1521">
        <v>0</v>
      </c>
      <c r="LV241" s="1521">
        <v>0</v>
      </c>
      <c r="LW241" s="1521">
        <v>0</v>
      </c>
      <c r="LX241" s="1521">
        <v>0</v>
      </c>
      <c r="LY241" s="1521">
        <v>0</v>
      </c>
      <c r="LZ241" s="1521">
        <v>0</v>
      </c>
      <c r="MA241" s="1521">
        <v>0</v>
      </c>
      <c r="MB241" s="1522">
        <v>0</v>
      </c>
      <c r="MC241" s="1520">
        <v>0</v>
      </c>
      <c r="MD241" s="1520">
        <v>0</v>
      </c>
      <c r="ME241" s="1521">
        <v>0</v>
      </c>
      <c r="MF241" s="1521">
        <v>0</v>
      </c>
      <c r="MG241" s="1521">
        <v>0</v>
      </c>
      <c r="MH241" s="1521">
        <v>0</v>
      </c>
      <c r="MI241" s="1521">
        <v>0</v>
      </c>
      <c r="MJ241" s="1521">
        <v>0</v>
      </c>
      <c r="MK241" s="1521">
        <v>0</v>
      </c>
      <c r="ML241" s="1521">
        <v>0</v>
      </c>
      <c r="MM241" s="1521">
        <v>0</v>
      </c>
      <c r="MN241" s="1521">
        <v>0</v>
      </c>
      <c r="MO241" s="1521">
        <v>0</v>
      </c>
      <c r="MP241" s="1521">
        <v>0</v>
      </c>
      <c r="MQ241" s="1521">
        <v>0</v>
      </c>
      <c r="MR241" s="1521">
        <v>0</v>
      </c>
      <c r="MS241" s="1521">
        <v>0</v>
      </c>
      <c r="MT241" s="1521">
        <v>0</v>
      </c>
      <c r="MU241" s="1521">
        <v>0</v>
      </c>
      <c r="MV241" s="1521">
        <v>0</v>
      </c>
      <c r="MW241" s="1522">
        <v>0</v>
      </c>
      <c r="MX241" s="1520">
        <v>0</v>
      </c>
      <c r="MY241" s="1520">
        <v>0</v>
      </c>
      <c r="MZ241" s="1521">
        <v>0</v>
      </c>
      <c r="NA241" s="1521">
        <v>0</v>
      </c>
      <c r="NB241" s="1521">
        <v>0</v>
      </c>
      <c r="NC241" s="1521">
        <v>0</v>
      </c>
      <c r="ND241" s="1521">
        <v>0</v>
      </c>
      <c r="NE241" s="1521">
        <v>0</v>
      </c>
      <c r="NF241" s="1521">
        <v>0</v>
      </c>
      <c r="NG241" s="1521">
        <v>0</v>
      </c>
      <c r="NH241" s="1521">
        <v>0</v>
      </c>
      <c r="NI241" s="1521">
        <v>0</v>
      </c>
      <c r="NJ241" s="1521">
        <v>0</v>
      </c>
      <c r="NK241" s="1521">
        <v>0</v>
      </c>
      <c r="NL241" s="1521">
        <v>0</v>
      </c>
      <c r="NM241" s="1521">
        <v>0</v>
      </c>
      <c r="NN241" s="1521">
        <v>0</v>
      </c>
      <c r="NO241" s="1521">
        <v>0</v>
      </c>
      <c r="NP241" s="1521">
        <v>0</v>
      </c>
      <c r="NQ241" s="1521">
        <v>0</v>
      </c>
      <c r="NR241" s="1522">
        <v>0</v>
      </c>
      <c r="NS241" s="1520">
        <v>0</v>
      </c>
      <c r="NT241" s="1520">
        <v>0</v>
      </c>
      <c r="NU241" s="1521">
        <v>0</v>
      </c>
      <c r="NV241" s="1521">
        <v>0</v>
      </c>
      <c r="NW241" s="1521">
        <v>0</v>
      </c>
      <c r="NX241" s="1521">
        <v>0</v>
      </c>
      <c r="NY241" s="1521">
        <v>0</v>
      </c>
      <c r="NZ241" s="1521">
        <v>0</v>
      </c>
      <c r="OA241" s="1521">
        <v>0</v>
      </c>
      <c r="OB241" s="1521">
        <v>0</v>
      </c>
      <c r="OC241" s="1521">
        <v>0</v>
      </c>
      <c r="OD241" s="1521">
        <v>0</v>
      </c>
      <c r="OE241" s="1521">
        <v>0</v>
      </c>
      <c r="OF241" s="1521">
        <v>0</v>
      </c>
      <c r="OG241" s="1521">
        <v>0</v>
      </c>
      <c r="OH241" s="1521">
        <v>0</v>
      </c>
      <c r="OI241" s="1521">
        <v>0</v>
      </c>
      <c r="OJ241" s="1521">
        <v>0</v>
      </c>
      <c r="OK241" s="1521">
        <v>0</v>
      </c>
      <c r="OL241" s="1521">
        <v>0</v>
      </c>
      <c r="OM241" s="1522">
        <v>0</v>
      </c>
      <c r="ON241" s="1520">
        <v>0</v>
      </c>
      <c r="OO241" s="1520">
        <v>0</v>
      </c>
      <c r="OP241" s="1521">
        <v>0</v>
      </c>
      <c r="OQ241" s="1521">
        <v>0</v>
      </c>
      <c r="OR241" s="1521">
        <v>0</v>
      </c>
      <c r="OS241" s="1521">
        <v>0</v>
      </c>
      <c r="OT241" s="1521">
        <v>0</v>
      </c>
      <c r="OU241" s="1521">
        <v>0</v>
      </c>
      <c r="OV241" s="1521">
        <v>0</v>
      </c>
      <c r="OW241" s="1521">
        <v>0</v>
      </c>
      <c r="OX241" s="1521">
        <v>0</v>
      </c>
      <c r="OY241" s="1521">
        <v>0</v>
      </c>
      <c r="OZ241" s="1521">
        <v>0</v>
      </c>
      <c r="PA241" s="1521">
        <v>0</v>
      </c>
      <c r="PB241" s="1521">
        <v>0</v>
      </c>
      <c r="PC241" s="1521">
        <v>0</v>
      </c>
      <c r="PD241" s="1521">
        <v>0</v>
      </c>
      <c r="PE241" s="1521">
        <v>0</v>
      </c>
      <c r="PF241" s="1521">
        <v>0</v>
      </c>
      <c r="PG241" s="1521">
        <v>0</v>
      </c>
      <c r="PH241" s="1522">
        <v>0</v>
      </c>
    </row>
    <row r="242" spans="277:424" ht="20.100000000000001" hidden="1" customHeight="1">
      <c r="JQ242" s="1519" t="s">
        <v>197</v>
      </c>
      <c r="JR242" s="1520">
        <v>0</v>
      </c>
      <c r="JS242" s="1520">
        <v>0</v>
      </c>
      <c r="JT242" s="1521">
        <v>0</v>
      </c>
      <c r="JU242" s="1521">
        <v>0</v>
      </c>
      <c r="JV242" s="1521">
        <v>0</v>
      </c>
      <c r="JW242" s="1521">
        <v>0</v>
      </c>
      <c r="JX242" s="1521">
        <v>0</v>
      </c>
      <c r="JY242" s="1521">
        <v>0</v>
      </c>
      <c r="JZ242" s="1521">
        <v>0</v>
      </c>
      <c r="KA242" s="1521">
        <v>0</v>
      </c>
      <c r="KB242" s="1521">
        <v>0</v>
      </c>
      <c r="KC242" s="1521">
        <v>0</v>
      </c>
      <c r="KD242" s="1521">
        <v>0</v>
      </c>
      <c r="KE242" s="1521">
        <v>0</v>
      </c>
      <c r="KF242" s="1521">
        <v>0</v>
      </c>
      <c r="KG242" s="1521">
        <v>0</v>
      </c>
      <c r="KH242" s="1521">
        <v>0</v>
      </c>
      <c r="KI242" s="1521">
        <v>0</v>
      </c>
      <c r="KJ242" s="1521">
        <v>0</v>
      </c>
      <c r="KK242" s="1521">
        <v>0</v>
      </c>
      <c r="KL242" s="1522">
        <v>0</v>
      </c>
      <c r="KM242" s="1520">
        <v>0</v>
      </c>
      <c r="KN242" s="1520">
        <v>0</v>
      </c>
      <c r="KO242" s="1521">
        <v>0</v>
      </c>
      <c r="KP242" s="1521">
        <v>0</v>
      </c>
      <c r="KQ242" s="1521">
        <v>0</v>
      </c>
      <c r="KR242" s="1521">
        <v>0</v>
      </c>
      <c r="KS242" s="1521">
        <v>0</v>
      </c>
      <c r="KT242" s="1521">
        <v>0</v>
      </c>
      <c r="KU242" s="1521">
        <v>0</v>
      </c>
      <c r="KV242" s="1521">
        <v>0</v>
      </c>
      <c r="KW242" s="1521">
        <v>0</v>
      </c>
      <c r="KX242" s="1521">
        <v>0</v>
      </c>
      <c r="KY242" s="1521">
        <v>0</v>
      </c>
      <c r="KZ242" s="1521">
        <v>0</v>
      </c>
      <c r="LA242" s="1521">
        <v>0</v>
      </c>
      <c r="LB242" s="1521">
        <v>0</v>
      </c>
      <c r="LC242" s="1521">
        <v>0</v>
      </c>
      <c r="LD242" s="1521">
        <v>0</v>
      </c>
      <c r="LE242" s="1521">
        <v>0</v>
      </c>
      <c r="LF242" s="1521">
        <v>0</v>
      </c>
      <c r="LG242" s="1522">
        <v>0</v>
      </c>
      <c r="LH242" s="1520">
        <v>0</v>
      </c>
      <c r="LI242" s="1520">
        <v>0</v>
      </c>
      <c r="LJ242" s="1521">
        <v>0</v>
      </c>
      <c r="LK242" s="1521">
        <v>0</v>
      </c>
      <c r="LL242" s="1521">
        <v>0</v>
      </c>
      <c r="LM242" s="1521">
        <v>0</v>
      </c>
      <c r="LN242" s="1521">
        <v>0</v>
      </c>
      <c r="LO242" s="1521">
        <v>0</v>
      </c>
      <c r="LP242" s="1521">
        <v>0</v>
      </c>
      <c r="LQ242" s="1521">
        <v>0</v>
      </c>
      <c r="LR242" s="1521">
        <v>0</v>
      </c>
      <c r="LS242" s="1521">
        <v>0</v>
      </c>
      <c r="LT242" s="1521">
        <v>0</v>
      </c>
      <c r="LU242" s="1521">
        <v>0</v>
      </c>
      <c r="LV242" s="1521">
        <v>0</v>
      </c>
      <c r="LW242" s="1521">
        <v>0</v>
      </c>
      <c r="LX242" s="1521">
        <v>0</v>
      </c>
      <c r="LY242" s="1521">
        <v>0</v>
      </c>
      <c r="LZ242" s="1521">
        <v>0</v>
      </c>
      <c r="MA242" s="1521">
        <v>0</v>
      </c>
      <c r="MB242" s="1522">
        <v>0</v>
      </c>
      <c r="MC242" s="1520">
        <v>0</v>
      </c>
      <c r="MD242" s="1520">
        <v>0</v>
      </c>
      <c r="ME242" s="1521">
        <v>0</v>
      </c>
      <c r="MF242" s="1521">
        <v>0</v>
      </c>
      <c r="MG242" s="1521">
        <v>0</v>
      </c>
      <c r="MH242" s="1521">
        <v>0</v>
      </c>
      <c r="MI242" s="1521">
        <v>0</v>
      </c>
      <c r="MJ242" s="1521">
        <v>0</v>
      </c>
      <c r="MK242" s="1521">
        <v>0</v>
      </c>
      <c r="ML242" s="1521">
        <v>0</v>
      </c>
      <c r="MM242" s="1521">
        <v>0</v>
      </c>
      <c r="MN242" s="1521">
        <v>0</v>
      </c>
      <c r="MO242" s="1521">
        <v>0</v>
      </c>
      <c r="MP242" s="1521">
        <v>0</v>
      </c>
      <c r="MQ242" s="1521">
        <v>0</v>
      </c>
      <c r="MR242" s="1521">
        <v>0</v>
      </c>
      <c r="MS242" s="1521">
        <v>0</v>
      </c>
      <c r="MT242" s="1521">
        <v>0</v>
      </c>
      <c r="MU242" s="1521">
        <v>0</v>
      </c>
      <c r="MV242" s="1521">
        <v>0</v>
      </c>
      <c r="MW242" s="1522">
        <v>0</v>
      </c>
      <c r="MX242" s="1520">
        <v>0</v>
      </c>
      <c r="MY242" s="1520">
        <v>0</v>
      </c>
      <c r="MZ242" s="1521">
        <v>0</v>
      </c>
      <c r="NA242" s="1521">
        <v>0</v>
      </c>
      <c r="NB242" s="1521">
        <v>0</v>
      </c>
      <c r="NC242" s="1521">
        <v>0</v>
      </c>
      <c r="ND242" s="1521">
        <v>0</v>
      </c>
      <c r="NE242" s="1521">
        <v>0</v>
      </c>
      <c r="NF242" s="1521">
        <v>0</v>
      </c>
      <c r="NG242" s="1521">
        <v>0</v>
      </c>
      <c r="NH242" s="1521">
        <v>0</v>
      </c>
      <c r="NI242" s="1521">
        <v>0</v>
      </c>
      <c r="NJ242" s="1521">
        <v>0</v>
      </c>
      <c r="NK242" s="1521">
        <v>0</v>
      </c>
      <c r="NL242" s="1521">
        <v>0</v>
      </c>
      <c r="NM242" s="1521">
        <v>0</v>
      </c>
      <c r="NN242" s="1521">
        <v>0</v>
      </c>
      <c r="NO242" s="1521">
        <v>0</v>
      </c>
      <c r="NP242" s="1521">
        <v>0</v>
      </c>
      <c r="NQ242" s="1521">
        <v>0</v>
      </c>
      <c r="NR242" s="1522">
        <v>0</v>
      </c>
      <c r="NS242" s="1520">
        <v>0</v>
      </c>
      <c r="NT242" s="1520">
        <v>0</v>
      </c>
      <c r="NU242" s="1521">
        <v>0</v>
      </c>
      <c r="NV242" s="1521">
        <v>0</v>
      </c>
      <c r="NW242" s="1521">
        <v>0</v>
      </c>
      <c r="NX242" s="1521">
        <v>0</v>
      </c>
      <c r="NY242" s="1521">
        <v>0</v>
      </c>
      <c r="NZ242" s="1521">
        <v>0</v>
      </c>
      <c r="OA242" s="1521">
        <v>0</v>
      </c>
      <c r="OB242" s="1521">
        <v>0</v>
      </c>
      <c r="OC242" s="1521">
        <v>0</v>
      </c>
      <c r="OD242" s="1521">
        <v>0</v>
      </c>
      <c r="OE242" s="1521">
        <v>0</v>
      </c>
      <c r="OF242" s="1521">
        <v>0</v>
      </c>
      <c r="OG242" s="1521">
        <v>0</v>
      </c>
      <c r="OH242" s="1521">
        <v>0</v>
      </c>
      <c r="OI242" s="1521">
        <v>0</v>
      </c>
      <c r="OJ242" s="1521">
        <v>0</v>
      </c>
      <c r="OK242" s="1521">
        <v>0</v>
      </c>
      <c r="OL242" s="1521">
        <v>0</v>
      </c>
      <c r="OM242" s="1522">
        <v>0</v>
      </c>
      <c r="ON242" s="1520">
        <v>0</v>
      </c>
      <c r="OO242" s="1520">
        <v>0</v>
      </c>
      <c r="OP242" s="1521">
        <v>0</v>
      </c>
      <c r="OQ242" s="1521">
        <v>0</v>
      </c>
      <c r="OR242" s="1521">
        <v>0</v>
      </c>
      <c r="OS242" s="1521">
        <v>0</v>
      </c>
      <c r="OT242" s="1521">
        <v>0</v>
      </c>
      <c r="OU242" s="1521">
        <v>0</v>
      </c>
      <c r="OV242" s="1521">
        <v>0</v>
      </c>
      <c r="OW242" s="1521">
        <v>0</v>
      </c>
      <c r="OX242" s="1521">
        <v>0</v>
      </c>
      <c r="OY242" s="1521">
        <v>0</v>
      </c>
      <c r="OZ242" s="1521">
        <v>0</v>
      </c>
      <c r="PA242" s="1521">
        <v>0</v>
      </c>
      <c r="PB242" s="1521">
        <v>0</v>
      </c>
      <c r="PC242" s="1521">
        <v>0</v>
      </c>
      <c r="PD242" s="1521">
        <v>0</v>
      </c>
      <c r="PE242" s="1521">
        <v>0</v>
      </c>
      <c r="PF242" s="1521">
        <v>0</v>
      </c>
      <c r="PG242" s="1521">
        <v>0</v>
      </c>
      <c r="PH242" s="1522">
        <v>0</v>
      </c>
    </row>
    <row r="243" spans="277:424" ht="20.100000000000001" hidden="1" customHeight="1">
      <c r="JQ243" s="1519" t="s">
        <v>179</v>
      </c>
      <c r="JR243" s="1520">
        <v>0</v>
      </c>
      <c r="JS243" s="1520">
        <v>0</v>
      </c>
      <c r="JT243" s="1521">
        <v>0</v>
      </c>
      <c r="JU243" s="1521">
        <v>0</v>
      </c>
      <c r="JV243" s="1521">
        <v>0</v>
      </c>
      <c r="JW243" s="1521">
        <v>0</v>
      </c>
      <c r="JX243" s="1521">
        <v>0</v>
      </c>
      <c r="JY243" s="1521">
        <v>0</v>
      </c>
      <c r="JZ243" s="1521">
        <v>0</v>
      </c>
      <c r="KA243" s="1521">
        <v>0</v>
      </c>
      <c r="KB243" s="1521">
        <v>0</v>
      </c>
      <c r="KC243" s="1521">
        <v>0</v>
      </c>
      <c r="KD243" s="1521">
        <v>0</v>
      </c>
      <c r="KE243" s="1521">
        <v>0</v>
      </c>
      <c r="KF243" s="1521">
        <v>0</v>
      </c>
      <c r="KG243" s="1521">
        <v>0</v>
      </c>
      <c r="KH243" s="1521">
        <v>0</v>
      </c>
      <c r="KI243" s="1521">
        <v>0</v>
      </c>
      <c r="KJ243" s="1521">
        <v>0</v>
      </c>
      <c r="KK243" s="1521">
        <v>0</v>
      </c>
      <c r="KL243" s="1522">
        <v>0</v>
      </c>
      <c r="KM243" s="1520">
        <v>5</v>
      </c>
      <c r="KN243" s="1520">
        <v>0</v>
      </c>
      <c r="KO243" s="1521">
        <v>0</v>
      </c>
      <c r="KP243" s="1521">
        <v>0</v>
      </c>
      <c r="KQ243" s="1521">
        <v>0</v>
      </c>
      <c r="KR243" s="1521">
        <v>0</v>
      </c>
      <c r="KS243" s="1521">
        <v>0</v>
      </c>
      <c r="KT243" s="1521">
        <v>0</v>
      </c>
      <c r="KU243" s="1521">
        <v>0</v>
      </c>
      <c r="KV243" s="1521">
        <v>0</v>
      </c>
      <c r="KW243" s="1521">
        <v>0</v>
      </c>
      <c r="KX243" s="1521">
        <v>0</v>
      </c>
      <c r="KY243" s="1521">
        <v>0</v>
      </c>
      <c r="KZ243" s="1521">
        <v>0</v>
      </c>
      <c r="LA243" s="1521">
        <v>0</v>
      </c>
      <c r="LB243" s="1521">
        <v>0</v>
      </c>
      <c r="LC243" s="1521">
        <v>0</v>
      </c>
      <c r="LD243" s="1521">
        <v>0</v>
      </c>
      <c r="LE243" s="1521">
        <v>0</v>
      </c>
      <c r="LF243" s="1521">
        <v>0</v>
      </c>
      <c r="LG243" s="1522">
        <v>0</v>
      </c>
      <c r="LH243" s="1520">
        <v>0</v>
      </c>
      <c r="LI243" s="1520">
        <v>0</v>
      </c>
      <c r="LJ243" s="1521">
        <v>0</v>
      </c>
      <c r="LK243" s="1521">
        <v>0</v>
      </c>
      <c r="LL243" s="1521">
        <v>0</v>
      </c>
      <c r="LM243" s="1521">
        <v>0</v>
      </c>
      <c r="LN243" s="1521">
        <v>0</v>
      </c>
      <c r="LO243" s="1521">
        <v>0</v>
      </c>
      <c r="LP243" s="1521">
        <v>0</v>
      </c>
      <c r="LQ243" s="1521">
        <v>0</v>
      </c>
      <c r="LR243" s="1521">
        <v>0</v>
      </c>
      <c r="LS243" s="1521">
        <v>0</v>
      </c>
      <c r="LT243" s="1521">
        <v>0</v>
      </c>
      <c r="LU243" s="1521">
        <v>0</v>
      </c>
      <c r="LV243" s="1521">
        <v>0</v>
      </c>
      <c r="LW243" s="1521">
        <v>0</v>
      </c>
      <c r="LX243" s="1521">
        <v>0</v>
      </c>
      <c r="LY243" s="1521">
        <v>0</v>
      </c>
      <c r="LZ243" s="1521">
        <v>0</v>
      </c>
      <c r="MA243" s="1521">
        <v>0</v>
      </c>
      <c r="MB243" s="1522">
        <v>0</v>
      </c>
      <c r="MC243" s="1520">
        <v>0</v>
      </c>
      <c r="MD243" s="1520">
        <v>0</v>
      </c>
      <c r="ME243" s="1521">
        <v>0</v>
      </c>
      <c r="MF243" s="1521">
        <v>0</v>
      </c>
      <c r="MG243" s="1521">
        <v>0</v>
      </c>
      <c r="MH243" s="1521">
        <v>0</v>
      </c>
      <c r="MI243" s="1521">
        <v>0</v>
      </c>
      <c r="MJ243" s="1521">
        <v>0</v>
      </c>
      <c r="MK243" s="1521">
        <v>0</v>
      </c>
      <c r="ML243" s="1521">
        <v>0</v>
      </c>
      <c r="MM243" s="1521">
        <v>0</v>
      </c>
      <c r="MN243" s="1521">
        <v>0</v>
      </c>
      <c r="MO243" s="1521">
        <v>0</v>
      </c>
      <c r="MP243" s="1521">
        <v>0</v>
      </c>
      <c r="MQ243" s="1521">
        <v>0</v>
      </c>
      <c r="MR243" s="1521">
        <v>0</v>
      </c>
      <c r="MS243" s="1521">
        <v>0</v>
      </c>
      <c r="MT243" s="1521">
        <v>0</v>
      </c>
      <c r="MU243" s="1521">
        <v>0</v>
      </c>
      <c r="MV243" s="1521">
        <v>0</v>
      </c>
      <c r="MW243" s="1522">
        <v>0</v>
      </c>
      <c r="MX243" s="1520">
        <v>0</v>
      </c>
      <c r="MY243" s="1520">
        <v>0</v>
      </c>
      <c r="MZ243" s="1521">
        <v>0</v>
      </c>
      <c r="NA243" s="1521">
        <v>0</v>
      </c>
      <c r="NB243" s="1521">
        <v>0</v>
      </c>
      <c r="NC243" s="1521">
        <v>0</v>
      </c>
      <c r="ND243" s="1521">
        <v>0</v>
      </c>
      <c r="NE243" s="1521">
        <v>0</v>
      </c>
      <c r="NF243" s="1521">
        <v>0</v>
      </c>
      <c r="NG243" s="1521">
        <v>0</v>
      </c>
      <c r="NH243" s="1521">
        <v>0</v>
      </c>
      <c r="NI243" s="1521">
        <v>0</v>
      </c>
      <c r="NJ243" s="1521">
        <v>0</v>
      </c>
      <c r="NK243" s="1521">
        <v>0</v>
      </c>
      <c r="NL243" s="1521">
        <v>0</v>
      </c>
      <c r="NM243" s="1521">
        <v>0</v>
      </c>
      <c r="NN243" s="1521">
        <v>0</v>
      </c>
      <c r="NO243" s="1521">
        <v>0</v>
      </c>
      <c r="NP243" s="1521">
        <v>0</v>
      </c>
      <c r="NQ243" s="1521">
        <v>0</v>
      </c>
      <c r="NR243" s="1522">
        <v>0</v>
      </c>
      <c r="NS243" s="1520">
        <v>10</v>
      </c>
      <c r="NT243" s="1520">
        <v>0</v>
      </c>
      <c r="NU243" s="1521">
        <v>0</v>
      </c>
      <c r="NV243" s="1521">
        <v>0</v>
      </c>
      <c r="NW243" s="1521">
        <v>0</v>
      </c>
      <c r="NX243" s="1521">
        <v>0</v>
      </c>
      <c r="NY243" s="1521">
        <v>0</v>
      </c>
      <c r="NZ243" s="1521">
        <v>0</v>
      </c>
      <c r="OA243" s="1521">
        <v>0</v>
      </c>
      <c r="OB243" s="1521">
        <v>0</v>
      </c>
      <c r="OC243" s="1521">
        <v>0</v>
      </c>
      <c r="OD243" s="1521">
        <v>0</v>
      </c>
      <c r="OE243" s="1521">
        <v>0</v>
      </c>
      <c r="OF243" s="1521">
        <v>0</v>
      </c>
      <c r="OG243" s="1521">
        <v>0</v>
      </c>
      <c r="OH243" s="1521">
        <v>0</v>
      </c>
      <c r="OI243" s="1521">
        <v>0</v>
      </c>
      <c r="OJ243" s="1521">
        <v>0</v>
      </c>
      <c r="OK243" s="1521">
        <v>0</v>
      </c>
      <c r="OL243" s="1521">
        <v>0</v>
      </c>
      <c r="OM243" s="1522">
        <v>0</v>
      </c>
      <c r="ON243" s="1520">
        <v>4</v>
      </c>
      <c r="OO243" s="1520">
        <v>0</v>
      </c>
      <c r="OP243" s="1521">
        <v>0</v>
      </c>
      <c r="OQ243" s="1521">
        <v>0</v>
      </c>
      <c r="OR243" s="1521">
        <v>0</v>
      </c>
      <c r="OS243" s="1521">
        <v>0</v>
      </c>
      <c r="OT243" s="1521">
        <v>0</v>
      </c>
      <c r="OU243" s="1521">
        <v>0</v>
      </c>
      <c r="OV243" s="1521">
        <v>0</v>
      </c>
      <c r="OW243" s="1521">
        <v>0</v>
      </c>
      <c r="OX243" s="1521">
        <v>0</v>
      </c>
      <c r="OY243" s="1521">
        <v>0</v>
      </c>
      <c r="OZ243" s="1521">
        <v>0</v>
      </c>
      <c r="PA243" s="1521">
        <v>0</v>
      </c>
      <c r="PB243" s="1521">
        <v>0</v>
      </c>
      <c r="PC243" s="1521">
        <v>0</v>
      </c>
      <c r="PD243" s="1521">
        <v>0</v>
      </c>
      <c r="PE243" s="1521">
        <v>0</v>
      </c>
      <c r="PF243" s="1521">
        <v>0</v>
      </c>
      <c r="PG243" s="1521">
        <v>0</v>
      </c>
      <c r="PH243" s="1522">
        <v>0</v>
      </c>
    </row>
    <row r="244" spans="277:424" ht="20.100000000000001" hidden="1" customHeight="1">
      <c r="JQ244" s="1519" t="s">
        <v>180</v>
      </c>
      <c r="JR244" s="1520">
        <v>0</v>
      </c>
      <c r="JS244" s="1520">
        <v>0</v>
      </c>
      <c r="JT244" s="1521">
        <v>0</v>
      </c>
      <c r="JU244" s="1521">
        <v>0</v>
      </c>
      <c r="JV244" s="1521">
        <v>0</v>
      </c>
      <c r="JW244" s="1521">
        <v>0</v>
      </c>
      <c r="JX244" s="1521">
        <v>0</v>
      </c>
      <c r="JY244" s="1521">
        <v>0</v>
      </c>
      <c r="JZ244" s="1521">
        <v>0</v>
      </c>
      <c r="KA244" s="1521">
        <v>0</v>
      </c>
      <c r="KB244" s="1521">
        <v>0</v>
      </c>
      <c r="KC244" s="1521">
        <v>0</v>
      </c>
      <c r="KD244" s="1521">
        <v>0</v>
      </c>
      <c r="KE244" s="1521">
        <v>0</v>
      </c>
      <c r="KF244" s="1521">
        <v>0</v>
      </c>
      <c r="KG244" s="1521">
        <v>0</v>
      </c>
      <c r="KH244" s="1521">
        <v>0</v>
      </c>
      <c r="KI244" s="1521">
        <v>0</v>
      </c>
      <c r="KJ244" s="1521">
        <v>0</v>
      </c>
      <c r="KK244" s="1521">
        <v>0</v>
      </c>
      <c r="KL244" s="1522">
        <v>0</v>
      </c>
      <c r="KM244" s="1520">
        <v>0</v>
      </c>
      <c r="KN244" s="1520">
        <v>0</v>
      </c>
      <c r="KO244" s="1521">
        <v>0</v>
      </c>
      <c r="KP244" s="1521">
        <v>0</v>
      </c>
      <c r="KQ244" s="1521">
        <v>0</v>
      </c>
      <c r="KR244" s="1521">
        <v>0</v>
      </c>
      <c r="KS244" s="1521">
        <v>0</v>
      </c>
      <c r="KT244" s="1521">
        <v>0</v>
      </c>
      <c r="KU244" s="1521">
        <v>0</v>
      </c>
      <c r="KV244" s="1521">
        <v>0</v>
      </c>
      <c r="KW244" s="1521">
        <v>0</v>
      </c>
      <c r="KX244" s="1521">
        <v>0</v>
      </c>
      <c r="KY244" s="1521">
        <v>0</v>
      </c>
      <c r="KZ244" s="1521">
        <v>0</v>
      </c>
      <c r="LA244" s="1521">
        <v>0</v>
      </c>
      <c r="LB244" s="1521">
        <v>0</v>
      </c>
      <c r="LC244" s="1521">
        <v>0</v>
      </c>
      <c r="LD244" s="1521">
        <v>0</v>
      </c>
      <c r="LE244" s="1521">
        <v>0</v>
      </c>
      <c r="LF244" s="1521">
        <v>0</v>
      </c>
      <c r="LG244" s="1522">
        <v>0</v>
      </c>
      <c r="LH244" s="1520">
        <v>0</v>
      </c>
      <c r="LI244" s="1520">
        <v>0</v>
      </c>
      <c r="LJ244" s="1521">
        <v>0</v>
      </c>
      <c r="LK244" s="1521">
        <v>0</v>
      </c>
      <c r="LL244" s="1521">
        <v>0</v>
      </c>
      <c r="LM244" s="1521">
        <v>0</v>
      </c>
      <c r="LN244" s="1521">
        <v>0</v>
      </c>
      <c r="LO244" s="1521">
        <v>0</v>
      </c>
      <c r="LP244" s="1521">
        <v>0</v>
      </c>
      <c r="LQ244" s="1521">
        <v>0</v>
      </c>
      <c r="LR244" s="1521">
        <v>0</v>
      </c>
      <c r="LS244" s="1521">
        <v>0</v>
      </c>
      <c r="LT244" s="1521">
        <v>0</v>
      </c>
      <c r="LU244" s="1521">
        <v>0</v>
      </c>
      <c r="LV244" s="1521">
        <v>0</v>
      </c>
      <c r="LW244" s="1521">
        <v>0</v>
      </c>
      <c r="LX244" s="1521">
        <v>0</v>
      </c>
      <c r="LY244" s="1521">
        <v>0</v>
      </c>
      <c r="LZ244" s="1521">
        <v>0</v>
      </c>
      <c r="MA244" s="1521">
        <v>0</v>
      </c>
      <c r="MB244" s="1522">
        <v>0</v>
      </c>
      <c r="MC244" s="1520">
        <v>0</v>
      </c>
      <c r="MD244" s="1520">
        <v>0</v>
      </c>
      <c r="ME244" s="1521">
        <v>0</v>
      </c>
      <c r="MF244" s="1521">
        <v>0</v>
      </c>
      <c r="MG244" s="1521">
        <v>0</v>
      </c>
      <c r="MH244" s="1521">
        <v>0</v>
      </c>
      <c r="MI244" s="1521">
        <v>0</v>
      </c>
      <c r="MJ244" s="1521">
        <v>0</v>
      </c>
      <c r="MK244" s="1521">
        <v>0</v>
      </c>
      <c r="ML244" s="1521">
        <v>0</v>
      </c>
      <c r="MM244" s="1521">
        <v>0</v>
      </c>
      <c r="MN244" s="1521">
        <v>0</v>
      </c>
      <c r="MO244" s="1521">
        <v>0</v>
      </c>
      <c r="MP244" s="1521">
        <v>0</v>
      </c>
      <c r="MQ244" s="1521">
        <v>0</v>
      </c>
      <c r="MR244" s="1521">
        <v>0</v>
      </c>
      <c r="MS244" s="1521">
        <v>0</v>
      </c>
      <c r="MT244" s="1521">
        <v>0</v>
      </c>
      <c r="MU244" s="1521">
        <v>0</v>
      </c>
      <c r="MV244" s="1521">
        <v>0</v>
      </c>
      <c r="MW244" s="1522">
        <v>0</v>
      </c>
      <c r="MX244" s="1520">
        <v>0</v>
      </c>
      <c r="MY244" s="1520">
        <v>0</v>
      </c>
      <c r="MZ244" s="1521">
        <v>0</v>
      </c>
      <c r="NA244" s="1521">
        <v>0</v>
      </c>
      <c r="NB244" s="1521">
        <v>0</v>
      </c>
      <c r="NC244" s="1521">
        <v>0</v>
      </c>
      <c r="ND244" s="1521">
        <v>0</v>
      </c>
      <c r="NE244" s="1521">
        <v>0</v>
      </c>
      <c r="NF244" s="1521">
        <v>0</v>
      </c>
      <c r="NG244" s="1521">
        <v>0</v>
      </c>
      <c r="NH244" s="1521">
        <v>0</v>
      </c>
      <c r="NI244" s="1521">
        <v>0</v>
      </c>
      <c r="NJ244" s="1521">
        <v>0</v>
      </c>
      <c r="NK244" s="1521">
        <v>0</v>
      </c>
      <c r="NL244" s="1521">
        <v>0</v>
      </c>
      <c r="NM244" s="1521">
        <v>0</v>
      </c>
      <c r="NN244" s="1521">
        <v>0</v>
      </c>
      <c r="NO244" s="1521">
        <v>0</v>
      </c>
      <c r="NP244" s="1521">
        <v>0</v>
      </c>
      <c r="NQ244" s="1521">
        <v>0</v>
      </c>
      <c r="NR244" s="1522">
        <v>0</v>
      </c>
      <c r="NS244" s="1520">
        <v>0</v>
      </c>
      <c r="NT244" s="1520">
        <v>0</v>
      </c>
      <c r="NU244" s="1521">
        <v>0</v>
      </c>
      <c r="NV244" s="1521">
        <v>0</v>
      </c>
      <c r="NW244" s="1521">
        <v>0</v>
      </c>
      <c r="NX244" s="1521">
        <v>0</v>
      </c>
      <c r="NY244" s="1521">
        <v>0</v>
      </c>
      <c r="NZ244" s="1521">
        <v>0</v>
      </c>
      <c r="OA244" s="1521">
        <v>0</v>
      </c>
      <c r="OB244" s="1521">
        <v>0</v>
      </c>
      <c r="OC244" s="1521">
        <v>0</v>
      </c>
      <c r="OD244" s="1521">
        <v>0</v>
      </c>
      <c r="OE244" s="1521">
        <v>0</v>
      </c>
      <c r="OF244" s="1521">
        <v>0</v>
      </c>
      <c r="OG244" s="1521">
        <v>0</v>
      </c>
      <c r="OH244" s="1521">
        <v>0</v>
      </c>
      <c r="OI244" s="1521">
        <v>0</v>
      </c>
      <c r="OJ244" s="1521">
        <v>0</v>
      </c>
      <c r="OK244" s="1521">
        <v>0</v>
      </c>
      <c r="OL244" s="1521">
        <v>0</v>
      </c>
      <c r="OM244" s="1522">
        <v>0</v>
      </c>
      <c r="ON244" s="1520">
        <v>0</v>
      </c>
      <c r="OO244" s="1520">
        <v>0</v>
      </c>
      <c r="OP244" s="1521">
        <v>0</v>
      </c>
      <c r="OQ244" s="1521">
        <v>0</v>
      </c>
      <c r="OR244" s="1521">
        <v>0</v>
      </c>
      <c r="OS244" s="1521">
        <v>0</v>
      </c>
      <c r="OT244" s="1521">
        <v>0</v>
      </c>
      <c r="OU244" s="1521">
        <v>0</v>
      </c>
      <c r="OV244" s="1521">
        <v>0</v>
      </c>
      <c r="OW244" s="1521">
        <v>0</v>
      </c>
      <c r="OX244" s="1521">
        <v>0</v>
      </c>
      <c r="OY244" s="1521">
        <v>0</v>
      </c>
      <c r="OZ244" s="1521">
        <v>0</v>
      </c>
      <c r="PA244" s="1521">
        <v>0</v>
      </c>
      <c r="PB244" s="1521">
        <v>0</v>
      </c>
      <c r="PC244" s="1521">
        <v>0</v>
      </c>
      <c r="PD244" s="1521">
        <v>0</v>
      </c>
      <c r="PE244" s="1521">
        <v>0</v>
      </c>
      <c r="PF244" s="1521">
        <v>0</v>
      </c>
      <c r="PG244" s="1521">
        <v>0</v>
      </c>
      <c r="PH244" s="1522">
        <v>0</v>
      </c>
    </row>
    <row r="245" spans="277:424" ht="20.100000000000001" hidden="1" customHeight="1">
      <c r="JQ245" s="1519" t="s">
        <v>181</v>
      </c>
      <c r="JR245" s="1520">
        <v>0</v>
      </c>
      <c r="JS245" s="1520">
        <v>0</v>
      </c>
      <c r="JT245" s="1521">
        <v>0</v>
      </c>
      <c r="JU245" s="1521">
        <v>0</v>
      </c>
      <c r="JV245" s="1521">
        <v>0</v>
      </c>
      <c r="JW245" s="1521">
        <v>0</v>
      </c>
      <c r="JX245" s="1521">
        <v>0</v>
      </c>
      <c r="JY245" s="1521">
        <v>0</v>
      </c>
      <c r="JZ245" s="1521">
        <v>0</v>
      </c>
      <c r="KA245" s="1521">
        <v>0</v>
      </c>
      <c r="KB245" s="1521">
        <v>0</v>
      </c>
      <c r="KC245" s="1521">
        <v>0</v>
      </c>
      <c r="KD245" s="1521">
        <v>0</v>
      </c>
      <c r="KE245" s="1521">
        <v>0</v>
      </c>
      <c r="KF245" s="1521">
        <v>0</v>
      </c>
      <c r="KG245" s="1521">
        <v>0</v>
      </c>
      <c r="KH245" s="1521">
        <v>0</v>
      </c>
      <c r="KI245" s="1521">
        <v>0</v>
      </c>
      <c r="KJ245" s="1521">
        <v>0</v>
      </c>
      <c r="KK245" s="1521">
        <v>0</v>
      </c>
      <c r="KL245" s="1522">
        <v>0</v>
      </c>
      <c r="KM245" s="1520">
        <v>0</v>
      </c>
      <c r="KN245" s="1520">
        <v>0</v>
      </c>
      <c r="KO245" s="1521">
        <v>0</v>
      </c>
      <c r="KP245" s="1521">
        <v>0</v>
      </c>
      <c r="KQ245" s="1521">
        <v>0</v>
      </c>
      <c r="KR245" s="1521">
        <v>0</v>
      </c>
      <c r="KS245" s="1521">
        <v>0</v>
      </c>
      <c r="KT245" s="1521">
        <v>0</v>
      </c>
      <c r="KU245" s="1521">
        <v>0</v>
      </c>
      <c r="KV245" s="1521">
        <v>0</v>
      </c>
      <c r="KW245" s="1521">
        <v>0</v>
      </c>
      <c r="KX245" s="1521">
        <v>0</v>
      </c>
      <c r="KY245" s="1521">
        <v>0</v>
      </c>
      <c r="KZ245" s="1521">
        <v>0</v>
      </c>
      <c r="LA245" s="1521">
        <v>0</v>
      </c>
      <c r="LB245" s="1521">
        <v>0</v>
      </c>
      <c r="LC245" s="1521">
        <v>0</v>
      </c>
      <c r="LD245" s="1521">
        <v>0</v>
      </c>
      <c r="LE245" s="1521">
        <v>0</v>
      </c>
      <c r="LF245" s="1521">
        <v>0</v>
      </c>
      <c r="LG245" s="1522">
        <v>0</v>
      </c>
      <c r="LH245" s="1520">
        <v>0</v>
      </c>
      <c r="LI245" s="1520">
        <v>0</v>
      </c>
      <c r="LJ245" s="1521">
        <v>0</v>
      </c>
      <c r="LK245" s="1521">
        <v>0</v>
      </c>
      <c r="LL245" s="1521">
        <v>0</v>
      </c>
      <c r="LM245" s="1521">
        <v>0</v>
      </c>
      <c r="LN245" s="1521">
        <v>0</v>
      </c>
      <c r="LO245" s="1521">
        <v>0</v>
      </c>
      <c r="LP245" s="1521">
        <v>0</v>
      </c>
      <c r="LQ245" s="1521">
        <v>0</v>
      </c>
      <c r="LR245" s="1521">
        <v>0</v>
      </c>
      <c r="LS245" s="1521">
        <v>0</v>
      </c>
      <c r="LT245" s="1521">
        <v>0</v>
      </c>
      <c r="LU245" s="1521">
        <v>0</v>
      </c>
      <c r="LV245" s="1521">
        <v>0</v>
      </c>
      <c r="LW245" s="1521">
        <v>0</v>
      </c>
      <c r="LX245" s="1521">
        <v>0</v>
      </c>
      <c r="LY245" s="1521">
        <v>0</v>
      </c>
      <c r="LZ245" s="1521">
        <v>0</v>
      </c>
      <c r="MA245" s="1521">
        <v>0</v>
      </c>
      <c r="MB245" s="1522">
        <v>0</v>
      </c>
      <c r="MC245" s="1520">
        <v>0</v>
      </c>
      <c r="MD245" s="1520">
        <v>0</v>
      </c>
      <c r="ME245" s="1521">
        <v>0</v>
      </c>
      <c r="MF245" s="1521">
        <v>0</v>
      </c>
      <c r="MG245" s="1521">
        <v>0</v>
      </c>
      <c r="MH245" s="1521">
        <v>0</v>
      </c>
      <c r="MI245" s="1521">
        <v>0</v>
      </c>
      <c r="MJ245" s="1521">
        <v>0</v>
      </c>
      <c r="MK245" s="1521">
        <v>0</v>
      </c>
      <c r="ML245" s="1521">
        <v>0</v>
      </c>
      <c r="MM245" s="1521">
        <v>0</v>
      </c>
      <c r="MN245" s="1521">
        <v>0</v>
      </c>
      <c r="MO245" s="1521">
        <v>0</v>
      </c>
      <c r="MP245" s="1521">
        <v>0</v>
      </c>
      <c r="MQ245" s="1521">
        <v>0</v>
      </c>
      <c r="MR245" s="1521">
        <v>0</v>
      </c>
      <c r="MS245" s="1521">
        <v>0</v>
      </c>
      <c r="MT245" s="1521">
        <v>0</v>
      </c>
      <c r="MU245" s="1521">
        <v>0</v>
      </c>
      <c r="MV245" s="1521">
        <v>0</v>
      </c>
      <c r="MW245" s="1522">
        <v>0</v>
      </c>
      <c r="MX245" s="1520">
        <v>0</v>
      </c>
      <c r="MY245" s="1520">
        <v>0</v>
      </c>
      <c r="MZ245" s="1521">
        <v>0</v>
      </c>
      <c r="NA245" s="1521">
        <v>0</v>
      </c>
      <c r="NB245" s="1521">
        <v>0</v>
      </c>
      <c r="NC245" s="1521">
        <v>0</v>
      </c>
      <c r="ND245" s="1521">
        <v>0</v>
      </c>
      <c r="NE245" s="1521">
        <v>0</v>
      </c>
      <c r="NF245" s="1521">
        <v>0</v>
      </c>
      <c r="NG245" s="1521">
        <v>0</v>
      </c>
      <c r="NH245" s="1521">
        <v>0</v>
      </c>
      <c r="NI245" s="1521">
        <v>0</v>
      </c>
      <c r="NJ245" s="1521">
        <v>0</v>
      </c>
      <c r="NK245" s="1521">
        <v>0</v>
      </c>
      <c r="NL245" s="1521">
        <v>0</v>
      </c>
      <c r="NM245" s="1521">
        <v>0</v>
      </c>
      <c r="NN245" s="1521">
        <v>0</v>
      </c>
      <c r="NO245" s="1521">
        <v>0</v>
      </c>
      <c r="NP245" s="1521">
        <v>0</v>
      </c>
      <c r="NQ245" s="1521">
        <v>0</v>
      </c>
      <c r="NR245" s="1522">
        <v>0</v>
      </c>
      <c r="NS245" s="1520">
        <v>0</v>
      </c>
      <c r="NT245" s="1520">
        <v>0</v>
      </c>
      <c r="NU245" s="1521">
        <v>0</v>
      </c>
      <c r="NV245" s="1521">
        <v>0</v>
      </c>
      <c r="NW245" s="1521">
        <v>0</v>
      </c>
      <c r="NX245" s="1521">
        <v>0</v>
      </c>
      <c r="NY245" s="1521">
        <v>0</v>
      </c>
      <c r="NZ245" s="1521">
        <v>0</v>
      </c>
      <c r="OA245" s="1521">
        <v>0</v>
      </c>
      <c r="OB245" s="1521">
        <v>0</v>
      </c>
      <c r="OC245" s="1521">
        <v>0</v>
      </c>
      <c r="OD245" s="1521">
        <v>0</v>
      </c>
      <c r="OE245" s="1521">
        <v>0</v>
      </c>
      <c r="OF245" s="1521">
        <v>0</v>
      </c>
      <c r="OG245" s="1521">
        <v>0</v>
      </c>
      <c r="OH245" s="1521">
        <v>0</v>
      </c>
      <c r="OI245" s="1521">
        <v>0</v>
      </c>
      <c r="OJ245" s="1521">
        <v>0</v>
      </c>
      <c r="OK245" s="1521">
        <v>0</v>
      </c>
      <c r="OL245" s="1521">
        <v>0</v>
      </c>
      <c r="OM245" s="1522">
        <v>0</v>
      </c>
      <c r="ON245" s="1520">
        <v>0</v>
      </c>
      <c r="OO245" s="1520">
        <v>0</v>
      </c>
      <c r="OP245" s="1521">
        <v>0</v>
      </c>
      <c r="OQ245" s="1521">
        <v>0</v>
      </c>
      <c r="OR245" s="1521">
        <v>0</v>
      </c>
      <c r="OS245" s="1521">
        <v>0</v>
      </c>
      <c r="OT245" s="1521">
        <v>0</v>
      </c>
      <c r="OU245" s="1521">
        <v>0</v>
      </c>
      <c r="OV245" s="1521">
        <v>0</v>
      </c>
      <c r="OW245" s="1521">
        <v>0</v>
      </c>
      <c r="OX245" s="1521">
        <v>0</v>
      </c>
      <c r="OY245" s="1521">
        <v>0</v>
      </c>
      <c r="OZ245" s="1521">
        <v>0</v>
      </c>
      <c r="PA245" s="1521">
        <v>0</v>
      </c>
      <c r="PB245" s="1521">
        <v>0</v>
      </c>
      <c r="PC245" s="1521">
        <v>0</v>
      </c>
      <c r="PD245" s="1521">
        <v>0</v>
      </c>
      <c r="PE245" s="1521">
        <v>0</v>
      </c>
      <c r="PF245" s="1521">
        <v>0</v>
      </c>
      <c r="PG245" s="1521">
        <v>0</v>
      </c>
      <c r="PH245" s="1522">
        <v>0</v>
      </c>
    </row>
    <row r="246" spans="277:424" ht="20.100000000000001" hidden="1" customHeight="1">
      <c r="JQ246" s="1519" t="s">
        <v>182</v>
      </c>
      <c r="JR246" s="1520">
        <v>0</v>
      </c>
      <c r="JS246" s="1520">
        <v>0</v>
      </c>
      <c r="JT246" s="1521">
        <v>0</v>
      </c>
      <c r="JU246" s="1521">
        <v>0</v>
      </c>
      <c r="JV246" s="1521">
        <v>0</v>
      </c>
      <c r="JW246" s="1521">
        <v>0</v>
      </c>
      <c r="JX246" s="1521">
        <v>0</v>
      </c>
      <c r="JY246" s="1521">
        <v>0</v>
      </c>
      <c r="JZ246" s="1521">
        <v>0</v>
      </c>
      <c r="KA246" s="1521">
        <v>0</v>
      </c>
      <c r="KB246" s="1521">
        <v>0</v>
      </c>
      <c r="KC246" s="1521">
        <v>0</v>
      </c>
      <c r="KD246" s="1521">
        <v>0</v>
      </c>
      <c r="KE246" s="1521">
        <v>0</v>
      </c>
      <c r="KF246" s="1521">
        <v>0</v>
      </c>
      <c r="KG246" s="1521">
        <v>0</v>
      </c>
      <c r="KH246" s="1521">
        <v>0</v>
      </c>
      <c r="KI246" s="1521">
        <v>0</v>
      </c>
      <c r="KJ246" s="1521">
        <v>0</v>
      </c>
      <c r="KK246" s="1521">
        <v>0</v>
      </c>
      <c r="KL246" s="1522">
        <v>0</v>
      </c>
      <c r="KM246" s="1520">
        <v>0</v>
      </c>
      <c r="KN246" s="1520">
        <v>0</v>
      </c>
      <c r="KO246" s="1521">
        <v>0</v>
      </c>
      <c r="KP246" s="1521">
        <v>0</v>
      </c>
      <c r="KQ246" s="1521">
        <v>0</v>
      </c>
      <c r="KR246" s="1521">
        <v>0</v>
      </c>
      <c r="KS246" s="1521">
        <v>0</v>
      </c>
      <c r="KT246" s="1521">
        <v>0</v>
      </c>
      <c r="KU246" s="1521">
        <v>0</v>
      </c>
      <c r="KV246" s="1521">
        <v>0</v>
      </c>
      <c r="KW246" s="1521">
        <v>0</v>
      </c>
      <c r="KX246" s="1521">
        <v>0</v>
      </c>
      <c r="KY246" s="1521">
        <v>0</v>
      </c>
      <c r="KZ246" s="1521">
        <v>0</v>
      </c>
      <c r="LA246" s="1521">
        <v>0</v>
      </c>
      <c r="LB246" s="1521">
        <v>0</v>
      </c>
      <c r="LC246" s="1521">
        <v>0</v>
      </c>
      <c r="LD246" s="1521">
        <v>0</v>
      </c>
      <c r="LE246" s="1521">
        <v>0</v>
      </c>
      <c r="LF246" s="1521">
        <v>0</v>
      </c>
      <c r="LG246" s="1522">
        <v>0</v>
      </c>
      <c r="LH246" s="1520">
        <v>2</v>
      </c>
      <c r="LI246" s="1520">
        <v>0</v>
      </c>
      <c r="LJ246" s="1521">
        <v>0</v>
      </c>
      <c r="LK246" s="1521">
        <v>0</v>
      </c>
      <c r="LL246" s="1521">
        <v>0</v>
      </c>
      <c r="LM246" s="1521">
        <v>0</v>
      </c>
      <c r="LN246" s="1521">
        <v>0</v>
      </c>
      <c r="LO246" s="1521">
        <v>0</v>
      </c>
      <c r="LP246" s="1521">
        <v>0</v>
      </c>
      <c r="LQ246" s="1521">
        <v>0</v>
      </c>
      <c r="LR246" s="1521">
        <v>0</v>
      </c>
      <c r="LS246" s="1521">
        <v>0</v>
      </c>
      <c r="LT246" s="1521">
        <v>0</v>
      </c>
      <c r="LU246" s="1521">
        <v>0</v>
      </c>
      <c r="LV246" s="1521">
        <v>0</v>
      </c>
      <c r="LW246" s="1521">
        <v>0</v>
      </c>
      <c r="LX246" s="1521">
        <v>0</v>
      </c>
      <c r="LY246" s="1521">
        <v>0</v>
      </c>
      <c r="LZ246" s="1521">
        <v>0</v>
      </c>
      <c r="MA246" s="1521">
        <v>0</v>
      </c>
      <c r="MB246" s="1522">
        <v>0</v>
      </c>
      <c r="MC246" s="1520">
        <v>0</v>
      </c>
      <c r="MD246" s="1520">
        <v>0</v>
      </c>
      <c r="ME246" s="1521">
        <v>0</v>
      </c>
      <c r="MF246" s="1521">
        <v>0</v>
      </c>
      <c r="MG246" s="1521">
        <v>0</v>
      </c>
      <c r="MH246" s="1521">
        <v>0</v>
      </c>
      <c r="MI246" s="1521">
        <v>0</v>
      </c>
      <c r="MJ246" s="1521">
        <v>0</v>
      </c>
      <c r="MK246" s="1521">
        <v>0</v>
      </c>
      <c r="ML246" s="1521">
        <v>0</v>
      </c>
      <c r="MM246" s="1521">
        <v>0</v>
      </c>
      <c r="MN246" s="1521">
        <v>0</v>
      </c>
      <c r="MO246" s="1521">
        <v>0</v>
      </c>
      <c r="MP246" s="1521">
        <v>0</v>
      </c>
      <c r="MQ246" s="1521">
        <v>0</v>
      </c>
      <c r="MR246" s="1521">
        <v>0</v>
      </c>
      <c r="MS246" s="1521">
        <v>0</v>
      </c>
      <c r="MT246" s="1521">
        <v>0</v>
      </c>
      <c r="MU246" s="1521">
        <v>0</v>
      </c>
      <c r="MV246" s="1521">
        <v>0</v>
      </c>
      <c r="MW246" s="1522">
        <v>0</v>
      </c>
      <c r="MX246" s="1520">
        <v>0</v>
      </c>
      <c r="MY246" s="1520">
        <v>0</v>
      </c>
      <c r="MZ246" s="1521">
        <v>0</v>
      </c>
      <c r="NA246" s="1521">
        <v>0</v>
      </c>
      <c r="NB246" s="1521">
        <v>0</v>
      </c>
      <c r="NC246" s="1521">
        <v>0</v>
      </c>
      <c r="ND246" s="1521">
        <v>0</v>
      </c>
      <c r="NE246" s="1521">
        <v>0</v>
      </c>
      <c r="NF246" s="1521">
        <v>0</v>
      </c>
      <c r="NG246" s="1521">
        <v>0</v>
      </c>
      <c r="NH246" s="1521">
        <v>0</v>
      </c>
      <c r="NI246" s="1521">
        <v>0</v>
      </c>
      <c r="NJ246" s="1521">
        <v>0</v>
      </c>
      <c r="NK246" s="1521">
        <v>0</v>
      </c>
      <c r="NL246" s="1521">
        <v>0</v>
      </c>
      <c r="NM246" s="1521">
        <v>0</v>
      </c>
      <c r="NN246" s="1521">
        <v>0</v>
      </c>
      <c r="NO246" s="1521">
        <v>0</v>
      </c>
      <c r="NP246" s="1521">
        <v>0</v>
      </c>
      <c r="NQ246" s="1521">
        <v>0</v>
      </c>
      <c r="NR246" s="1522">
        <v>0</v>
      </c>
      <c r="NS246" s="1520">
        <v>0</v>
      </c>
      <c r="NT246" s="1520">
        <v>0</v>
      </c>
      <c r="NU246" s="1521">
        <v>0</v>
      </c>
      <c r="NV246" s="1521">
        <v>0</v>
      </c>
      <c r="NW246" s="1521">
        <v>0</v>
      </c>
      <c r="NX246" s="1521">
        <v>0</v>
      </c>
      <c r="NY246" s="1521">
        <v>0</v>
      </c>
      <c r="NZ246" s="1521">
        <v>0</v>
      </c>
      <c r="OA246" s="1521">
        <v>0</v>
      </c>
      <c r="OB246" s="1521">
        <v>0</v>
      </c>
      <c r="OC246" s="1521">
        <v>0</v>
      </c>
      <c r="OD246" s="1521">
        <v>0</v>
      </c>
      <c r="OE246" s="1521">
        <v>0</v>
      </c>
      <c r="OF246" s="1521">
        <v>0</v>
      </c>
      <c r="OG246" s="1521">
        <v>0</v>
      </c>
      <c r="OH246" s="1521">
        <v>0</v>
      </c>
      <c r="OI246" s="1521">
        <v>0</v>
      </c>
      <c r="OJ246" s="1521">
        <v>0</v>
      </c>
      <c r="OK246" s="1521">
        <v>0</v>
      </c>
      <c r="OL246" s="1521">
        <v>0</v>
      </c>
      <c r="OM246" s="1522">
        <v>0</v>
      </c>
      <c r="ON246" s="1520">
        <v>0</v>
      </c>
      <c r="OO246" s="1520">
        <v>0</v>
      </c>
      <c r="OP246" s="1521">
        <v>0</v>
      </c>
      <c r="OQ246" s="1521">
        <v>0</v>
      </c>
      <c r="OR246" s="1521">
        <v>0</v>
      </c>
      <c r="OS246" s="1521">
        <v>0</v>
      </c>
      <c r="OT246" s="1521">
        <v>0</v>
      </c>
      <c r="OU246" s="1521">
        <v>0</v>
      </c>
      <c r="OV246" s="1521">
        <v>0</v>
      </c>
      <c r="OW246" s="1521">
        <v>0</v>
      </c>
      <c r="OX246" s="1521">
        <v>0</v>
      </c>
      <c r="OY246" s="1521">
        <v>0</v>
      </c>
      <c r="OZ246" s="1521">
        <v>0</v>
      </c>
      <c r="PA246" s="1521">
        <v>0</v>
      </c>
      <c r="PB246" s="1521">
        <v>0</v>
      </c>
      <c r="PC246" s="1521">
        <v>0</v>
      </c>
      <c r="PD246" s="1521">
        <v>0</v>
      </c>
      <c r="PE246" s="1521">
        <v>0</v>
      </c>
      <c r="PF246" s="1521">
        <v>0</v>
      </c>
      <c r="PG246" s="1521">
        <v>0</v>
      </c>
      <c r="PH246" s="1522">
        <v>0</v>
      </c>
    </row>
    <row r="247" spans="277:424" ht="20.100000000000001" hidden="1" customHeight="1">
      <c r="JQ247" s="1519" t="s">
        <v>183</v>
      </c>
      <c r="JR247" s="1520">
        <v>0</v>
      </c>
      <c r="JS247" s="1520">
        <v>0</v>
      </c>
      <c r="JT247" s="1521">
        <v>0</v>
      </c>
      <c r="JU247" s="1521">
        <v>0</v>
      </c>
      <c r="JV247" s="1521">
        <v>0</v>
      </c>
      <c r="JW247" s="1521">
        <v>0</v>
      </c>
      <c r="JX247" s="1521">
        <v>0</v>
      </c>
      <c r="JY247" s="1521">
        <v>0</v>
      </c>
      <c r="JZ247" s="1521">
        <v>0</v>
      </c>
      <c r="KA247" s="1521">
        <v>0</v>
      </c>
      <c r="KB247" s="1521">
        <v>0</v>
      </c>
      <c r="KC247" s="1521">
        <v>0</v>
      </c>
      <c r="KD247" s="1521">
        <v>0</v>
      </c>
      <c r="KE247" s="1521">
        <v>0</v>
      </c>
      <c r="KF247" s="1521">
        <v>0</v>
      </c>
      <c r="KG247" s="1521">
        <v>0</v>
      </c>
      <c r="KH247" s="1521">
        <v>0</v>
      </c>
      <c r="KI247" s="1521">
        <v>0</v>
      </c>
      <c r="KJ247" s="1521">
        <v>0</v>
      </c>
      <c r="KK247" s="1521">
        <v>0</v>
      </c>
      <c r="KL247" s="1522">
        <v>0</v>
      </c>
      <c r="KM247" s="1520">
        <v>0</v>
      </c>
      <c r="KN247" s="1520">
        <v>0</v>
      </c>
      <c r="KO247" s="1521">
        <v>0</v>
      </c>
      <c r="KP247" s="1521">
        <v>0</v>
      </c>
      <c r="KQ247" s="1521">
        <v>0</v>
      </c>
      <c r="KR247" s="1521">
        <v>0</v>
      </c>
      <c r="KS247" s="1521">
        <v>0</v>
      </c>
      <c r="KT247" s="1521">
        <v>0</v>
      </c>
      <c r="KU247" s="1521">
        <v>0</v>
      </c>
      <c r="KV247" s="1521">
        <v>0</v>
      </c>
      <c r="KW247" s="1521">
        <v>0</v>
      </c>
      <c r="KX247" s="1521">
        <v>0</v>
      </c>
      <c r="KY247" s="1521">
        <v>0</v>
      </c>
      <c r="KZ247" s="1521">
        <v>0</v>
      </c>
      <c r="LA247" s="1521">
        <v>0</v>
      </c>
      <c r="LB247" s="1521">
        <v>0</v>
      </c>
      <c r="LC247" s="1521">
        <v>0</v>
      </c>
      <c r="LD247" s="1521">
        <v>0</v>
      </c>
      <c r="LE247" s="1521">
        <v>0</v>
      </c>
      <c r="LF247" s="1521">
        <v>0</v>
      </c>
      <c r="LG247" s="1522">
        <v>0</v>
      </c>
      <c r="LH247" s="1520">
        <v>0</v>
      </c>
      <c r="LI247" s="1520">
        <v>0</v>
      </c>
      <c r="LJ247" s="1521">
        <v>0</v>
      </c>
      <c r="LK247" s="1521">
        <v>0</v>
      </c>
      <c r="LL247" s="1521">
        <v>0</v>
      </c>
      <c r="LM247" s="1521">
        <v>0</v>
      </c>
      <c r="LN247" s="1521">
        <v>0</v>
      </c>
      <c r="LO247" s="1521">
        <v>0</v>
      </c>
      <c r="LP247" s="1521">
        <v>0</v>
      </c>
      <c r="LQ247" s="1521">
        <v>0</v>
      </c>
      <c r="LR247" s="1521">
        <v>0</v>
      </c>
      <c r="LS247" s="1521">
        <v>0</v>
      </c>
      <c r="LT247" s="1521">
        <v>0</v>
      </c>
      <c r="LU247" s="1521">
        <v>0</v>
      </c>
      <c r="LV247" s="1521">
        <v>0</v>
      </c>
      <c r="LW247" s="1521">
        <v>0</v>
      </c>
      <c r="LX247" s="1521">
        <v>0</v>
      </c>
      <c r="LY247" s="1521">
        <v>0</v>
      </c>
      <c r="LZ247" s="1521">
        <v>0</v>
      </c>
      <c r="MA247" s="1521">
        <v>0</v>
      </c>
      <c r="MB247" s="1522">
        <v>0</v>
      </c>
      <c r="MC247" s="1520">
        <v>0</v>
      </c>
      <c r="MD247" s="1520">
        <v>0</v>
      </c>
      <c r="ME247" s="1521">
        <v>0</v>
      </c>
      <c r="MF247" s="1521">
        <v>0</v>
      </c>
      <c r="MG247" s="1521">
        <v>0</v>
      </c>
      <c r="MH247" s="1521">
        <v>0</v>
      </c>
      <c r="MI247" s="1521">
        <v>0</v>
      </c>
      <c r="MJ247" s="1521">
        <v>0</v>
      </c>
      <c r="MK247" s="1521">
        <v>0</v>
      </c>
      <c r="ML247" s="1521">
        <v>0</v>
      </c>
      <c r="MM247" s="1521">
        <v>0</v>
      </c>
      <c r="MN247" s="1521">
        <v>0</v>
      </c>
      <c r="MO247" s="1521">
        <v>0</v>
      </c>
      <c r="MP247" s="1521">
        <v>0</v>
      </c>
      <c r="MQ247" s="1521">
        <v>0</v>
      </c>
      <c r="MR247" s="1521">
        <v>0</v>
      </c>
      <c r="MS247" s="1521">
        <v>0</v>
      </c>
      <c r="MT247" s="1521">
        <v>0</v>
      </c>
      <c r="MU247" s="1521">
        <v>0</v>
      </c>
      <c r="MV247" s="1521">
        <v>0</v>
      </c>
      <c r="MW247" s="1522">
        <v>0</v>
      </c>
      <c r="MX247" s="1520">
        <v>0</v>
      </c>
      <c r="MY247" s="1520">
        <v>0</v>
      </c>
      <c r="MZ247" s="1521">
        <v>0</v>
      </c>
      <c r="NA247" s="1521">
        <v>0</v>
      </c>
      <c r="NB247" s="1521">
        <v>0</v>
      </c>
      <c r="NC247" s="1521">
        <v>0</v>
      </c>
      <c r="ND247" s="1521">
        <v>0</v>
      </c>
      <c r="NE247" s="1521">
        <v>0</v>
      </c>
      <c r="NF247" s="1521">
        <v>0</v>
      </c>
      <c r="NG247" s="1521">
        <v>0</v>
      </c>
      <c r="NH247" s="1521">
        <v>0</v>
      </c>
      <c r="NI247" s="1521">
        <v>0</v>
      </c>
      <c r="NJ247" s="1521">
        <v>0</v>
      </c>
      <c r="NK247" s="1521">
        <v>0</v>
      </c>
      <c r="NL247" s="1521">
        <v>0</v>
      </c>
      <c r="NM247" s="1521">
        <v>0</v>
      </c>
      <c r="NN247" s="1521">
        <v>0</v>
      </c>
      <c r="NO247" s="1521">
        <v>0</v>
      </c>
      <c r="NP247" s="1521">
        <v>0</v>
      </c>
      <c r="NQ247" s="1521">
        <v>0</v>
      </c>
      <c r="NR247" s="1522">
        <v>0</v>
      </c>
      <c r="NS247" s="1520">
        <v>0</v>
      </c>
      <c r="NT247" s="1520">
        <v>0</v>
      </c>
      <c r="NU247" s="1521">
        <v>0</v>
      </c>
      <c r="NV247" s="1521">
        <v>0</v>
      </c>
      <c r="NW247" s="1521">
        <v>0</v>
      </c>
      <c r="NX247" s="1521">
        <v>0</v>
      </c>
      <c r="NY247" s="1521">
        <v>0</v>
      </c>
      <c r="NZ247" s="1521">
        <v>0</v>
      </c>
      <c r="OA247" s="1521">
        <v>0</v>
      </c>
      <c r="OB247" s="1521">
        <v>0</v>
      </c>
      <c r="OC247" s="1521">
        <v>0</v>
      </c>
      <c r="OD247" s="1521">
        <v>0</v>
      </c>
      <c r="OE247" s="1521">
        <v>0</v>
      </c>
      <c r="OF247" s="1521">
        <v>0</v>
      </c>
      <c r="OG247" s="1521">
        <v>0</v>
      </c>
      <c r="OH247" s="1521">
        <v>0</v>
      </c>
      <c r="OI247" s="1521">
        <v>0</v>
      </c>
      <c r="OJ247" s="1521">
        <v>0</v>
      </c>
      <c r="OK247" s="1521">
        <v>0</v>
      </c>
      <c r="OL247" s="1521">
        <v>0</v>
      </c>
      <c r="OM247" s="1522">
        <v>0</v>
      </c>
      <c r="ON247" s="1520">
        <v>0</v>
      </c>
      <c r="OO247" s="1520">
        <v>0</v>
      </c>
      <c r="OP247" s="1521">
        <v>0</v>
      </c>
      <c r="OQ247" s="1521">
        <v>0</v>
      </c>
      <c r="OR247" s="1521">
        <v>0</v>
      </c>
      <c r="OS247" s="1521">
        <v>0</v>
      </c>
      <c r="OT247" s="1521">
        <v>0</v>
      </c>
      <c r="OU247" s="1521">
        <v>0</v>
      </c>
      <c r="OV247" s="1521">
        <v>0</v>
      </c>
      <c r="OW247" s="1521">
        <v>0</v>
      </c>
      <c r="OX247" s="1521">
        <v>0</v>
      </c>
      <c r="OY247" s="1521">
        <v>0</v>
      </c>
      <c r="OZ247" s="1521">
        <v>0</v>
      </c>
      <c r="PA247" s="1521">
        <v>0</v>
      </c>
      <c r="PB247" s="1521">
        <v>0</v>
      </c>
      <c r="PC247" s="1521">
        <v>0</v>
      </c>
      <c r="PD247" s="1521">
        <v>0</v>
      </c>
      <c r="PE247" s="1521">
        <v>0</v>
      </c>
      <c r="PF247" s="1521">
        <v>0</v>
      </c>
      <c r="PG247" s="1521">
        <v>0</v>
      </c>
      <c r="PH247" s="1522">
        <v>0</v>
      </c>
    </row>
    <row r="248" spans="277:424" ht="20.100000000000001" hidden="1" customHeight="1">
      <c r="JQ248" s="1519" t="s">
        <v>184</v>
      </c>
      <c r="JR248" s="1520">
        <v>0</v>
      </c>
      <c r="JS248" s="1520">
        <v>0</v>
      </c>
      <c r="JT248" s="1521">
        <v>0</v>
      </c>
      <c r="JU248" s="1521">
        <v>0</v>
      </c>
      <c r="JV248" s="1521">
        <v>0</v>
      </c>
      <c r="JW248" s="1521">
        <v>0</v>
      </c>
      <c r="JX248" s="1521">
        <v>0</v>
      </c>
      <c r="JY248" s="1521">
        <v>0</v>
      </c>
      <c r="JZ248" s="1521">
        <v>0</v>
      </c>
      <c r="KA248" s="1521">
        <v>0</v>
      </c>
      <c r="KB248" s="1521">
        <v>0</v>
      </c>
      <c r="KC248" s="1521">
        <v>0</v>
      </c>
      <c r="KD248" s="1521">
        <v>0</v>
      </c>
      <c r="KE248" s="1521">
        <v>0</v>
      </c>
      <c r="KF248" s="1521">
        <v>0</v>
      </c>
      <c r="KG248" s="1521">
        <v>0</v>
      </c>
      <c r="KH248" s="1521">
        <v>0</v>
      </c>
      <c r="KI248" s="1521">
        <v>0</v>
      </c>
      <c r="KJ248" s="1521">
        <v>0</v>
      </c>
      <c r="KK248" s="1521">
        <v>0</v>
      </c>
      <c r="KL248" s="1522">
        <v>0</v>
      </c>
      <c r="KM248" s="1520">
        <v>0</v>
      </c>
      <c r="KN248" s="1520">
        <v>0</v>
      </c>
      <c r="KO248" s="1521">
        <v>0</v>
      </c>
      <c r="KP248" s="1521">
        <v>0</v>
      </c>
      <c r="KQ248" s="1521">
        <v>0</v>
      </c>
      <c r="KR248" s="1521">
        <v>0</v>
      </c>
      <c r="KS248" s="1521">
        <v>0</v>
      </c>
      <c r="KT248" s="1521">
        <v>0</v>
      </c>
      <c r="KU248" s="1521">
        <v>0</v>
      </c>
      <c r="KV248" s="1521">
        <v>0</v>
      </c>
      <c r="KW248" s="1521">
        <v>0</v>
      </c>
      <c r="KX248" s="1521">
        <v>0</v>
      </c>
      <c r="KY248" s="1521">
        <v>0</v>
      </c>
      <c r="KZ248" s="1521">
        <v>0</v>
      </c>
      <c r="LA248" s="1521">
        <v>0</v>
      </c>
      <c r="LB248" s="1521">
        <v>0</v>
      </c>
      <c r="LC248" s="1521">
        <v>0</v>
      </c>
      <c r="LD248" s="1521">
        <v>0</v>
      </c>
      <c r="LE248" s="1521">
        <v>0</v>
      </c>
      <c r="LF248" s="1521">
        <v>0</v>
      </c>
      <c r="LG248" s="1522">
        <v>0</v>
      </c>
      <c r="LH248" s="1520">
        <v>0</v>
      </c>
      <c r="LI248" s="1520">
        <v>0</v>
      </c>
      <c r="LJ248" s="1521">
        <v>0</v>
      </c>
      <c r="LK248" s="1521">
        <v>0</v>
      </c>
      <c r="LL248" s="1521">
        <v>0</v>
      </c>
      <c r="LM248" s="1521">
        <v>0</v>
      </c>
      <c r="LN248" s="1521">
        <v>0</v>
      </c>
      <c r="LO248" s="1521">
        <v>0</v>
      </c>
      <c r="LP248" s="1521">
        <v>0</v>
      </c>
      <c r="LQ248" s="1521">
        <v>0</v>
      </c>
      <c r="LR248" s="1521">
        <v>0</v>
      </c>
      <c r="LS248" s="1521">
        <v>0</v>
      </c>
      <c r="LT248" s="1521">
        <v>0</v>
      </c>
      <c r="LU248" s="1521">
        <v>0</v>
      </c>
      <c r="LV248" s="1521">
        <v>0</v>
      </c>
      <c r="LW248" s="1521">
        <v>0</v>
      </c>
      <c r="LX248" s="1521">
        <v>0</v>
      </c>
      <c r="LY248" s="1521">
        <v>0</v>
      </c>
      <c r="LZ248" s="1521">
        <v>0</v>
      </c>
      <c r="MA248" s="1521">
        <v>0</v>
      </c>
      <c r="MB248" s="1522">
        <v>0</v>
      </c>
      <c r="MC248" s="1520">
        <v>0</v>
      </c>
      <c r="MD248" s="1520">
        <v>0</v>
      </c>
      <c r="ME248" s="1521">
        <v>0</v>
      </c>
      <c r="MF248" s="1521">
        <v>0</v>
      </c>
      <c r="MG248" s="1521">
        <v>0</v>
      </c>
      <c r="MH248" s="1521">
        <v>0</v>
      </c>
      <c r="MI248" s="1521">
        <v>0</v>
      </c>
      <c r="MJ248" s="1521">
        <v>0</v>
      </c>
      <c r="MK248" s="1521">
        <v>0</v>
      </c>
      <c r="ML248" s="1521">
        <v>0</v>
      </c>
      <c r="MM248" s="1521">
        <v>0</v>
      </c>
      <c r="MN248" s="1521">
        <v>0</v>
      </c>
      <c r="MO248" s="1521">
        <v>0</v>
      </c>
      <c r="MP248" s="1521">
        <v>0</v>
      </c>
      <c r="MQ248" s="1521">
        <v>0</v>
      </c>
      <c r="MR248" s="1521">
        <v>0</v>
      </c>
      <c r="MS248" s="1521">
        <v>0</v>
      </c>
      <c r="MT248" s="1521">
        <v>0</v>
      </c>
      <c r="MU248" s="1521">
        <v>0</v>
      </c>
      <c r="MV248" s="1521">
        <v>0</v>
      </c>
      <c r="MW248" s="1522">
        <v>0</v>
      </c>
      <c r="MX248" s="1520">
        <v>0</v>
      </c>
      <c r="MY248" s="1520">
        <v>0</v>
      </c>
      <c r="MZ248" s="1521">
        <v>0</v>
      </c>
      <c r="NA248" s="1521">
        <v>0</v>
      </c>
      <c r="NB248" s="1521">
        <v>0</v>
      </c>
      <c r="NC248" s="1521">
        <v>0</v>
      </c>
      <c r="ND248" s="1521">
        <v>0</v>
      </c>
      <c r="NE248" s="1521">
        <v>0</v>
      </c>
      <c r="NF248" s="1521">
        <v>0</v>
      </c>
      <c r="NG248" s="1521">
        <v>0</v>
      </c>
      <c r="NH248" s="1521">
        <v>0</v>
      </c>
      <c r="NI248" s="1521">
        <v>0</v>
      </c>
      <c r="NJ248" s="1521">
        <v>0</v>
      </c>
      <c r="NK248" s="1521">
        <v>0</v>
      </c>
      <c r="NL248" s="1521">
        <v>0</v>
      </c>
      <c r="NM248" s="1521">
        <v>0</v>
      </c>
      <c r="NN248" s="1521">
        <v>0</v>
      </c>
      <c r="NO248" s="1521">
        <v>0</v>
      </c>
      <c r="NP248" s="1521">
        <v>0</v>
      </c>
      <c r="NQ248" s="1521">
        <v>0</v>
      </c>
      <c r="NR248" s="1522">
        <v>0</v>
      </c>
      <c r="NS248" s="1520">
        <v>0</v>
      </c>
      <c r="NT248" s="1520">
        <v>0</v>
      </c>
      <c r="NU248" s="1521">
        <v>0</v>
      </c>
      <c r="NV248" s="1521">
        <v>0</v>
      </c>
      <c r="NW248" s="1521">
        <v>0</v>
      </c>
      <c r="NX248" s="1521">
        <v>0</v>
      </c>
      <c r="NY248" s="1521">
        <v>0</v>
      </c>
      <c r="NZ248" s="1521">
        <v>0</v>
      </c>
      <c r="OA248" s="1521">
        <v>0</v>
      </c>
      <c r="OB248" s="1521">
        <v>0</v>
      </c>
      <c r="OC248" s="1521">
        <v>0</v>
      </c>
      <c r="OD248" s="1521">
        <v>0</v>
      </c>
      <c r="OE248" s="1521">
        <v>0</v>
      </c>
      <c r="OF248" s="1521">
        <v>0</v>
      </c>
      <c r="OG248" s="1521">
        <v>0</v>
      </c>
      <c r="OH248" s="1521">
        <v>0</v>
      </c>
      <c r="OI248" s="1521">
        <v>0</v>
      </c>
      <c r="OJ248" s="1521">
        <v>0</v>
      </c>
      <c r="OK248" s="1521">
        <v>0</v>
      </c>
      <c r="OL248" s="1521">
        <v>0</v>
      </c>
      <c r="OM248" s="1522">
        <v>0</v>
      </c>
      <c r="ON248" s="1520">
        <v>0</v>
      </c>
      <c r="OO248" s="1520">
        <v>0</v>
      </c>
      <c r="OP248" s="1521">
        <v>0</v>
      </c>
      <c r="OQ248" s="1521">
        <v>0</v>
      </c>
      <c r="OR248" s="1521">
        <v>0</v>
      </c>
      <c r="OS248" s="1521">
        <v>0</v>
      </c>
      <c r="OT248" s="1521">
        <v>0</v>
      </c>
      <c r="OU248" s="1521">
        <v>0</v>
      </c>
      <c r="OV248" s="1521">
        <v>0</v>
      </c>
      <c r="OW248" s="1521">
        <v>0</v>
      </c>
      <c r="OX248" s="1521">
        <v>0</v>
      </c>
      <c r="OY248" s="1521">
        <v>0</v>
      </c>
      <c r="OZ248" s="1521">
        <v>0</v>
      </c>
      <c r="PA248" s="1521">
        <v>0</v>
      </c>
      <c r="PB248" s="1521">
        <v>0</v>
      </c>
      <c r="PC248" s="1521">
        <v>0</v>
      </c>
      <c r="PD248" s="1521">
        <v>0</v>
      </c>
      <c r="PE248" s="1521">
        <v>0</v>
      </c>
      <c r="PF248" s="1521">
        <v>0</v>
      </c>
      <c r="PG248" s="1521">
        <v>0</v>
      </c>
      <c r="PH248" s="1522">
        <v>0</v>
      </c>
    </row>
    <row r="249" spans="277:424" ht="20.100000000000001" hidden="1" customHeight="1">
      <c r="JQ249" s="1519" t="s">
        <v>185</v>
      </c>
      <c r="JR249" s="1520">
        <v>0</v>
      </c>
      <c r="JS249" s="1520">
        <v>0</v>
      </c>
      <c r="JT249" s="1521">
        <v>0</v>
      </c>
      <c r="JU249" s="1521">
        <v>0</v>
      </c>
      <c r="JV249" s="1521">
        <v>0</v>
      </c>
      <c r="JW249" s="1521">
        <v>0</v>
      </c>
      <c r="JX249" s="1521">
        <v>0</v>
      </c>
      <c r="JY249" s="1521">
        <v>0</v>
      </c>
      <c r="JZ249" s="1521">
        <v>0</v>
      </c>
      <c r="KA249" s="1521">
        <v>0</v>
      </c>
      <c r="KB249" s="1521">
        <v>0</v>
      </c>
      <c r="KC249" s="1521">
        <v>0</v>
      </c>
      <c r="KD249" s="1521">
        <v>0</v>
      </c>
      <c r="KE249" s="1521">
        <v>0</v>
      </c>
      <c r="KF249" s="1521">
        <v>0</v>
      </c>
      <c r="KG249" s="1521">
        <v>0</v>
      </c>
      <c r="KH249" s="1521">
        <v>0</v>
      </c>
      <c r="KI249" s="1521">
        <v>0</v>
      </c>
      <c r="KJ249" s="1521">
        <v>0</v>
      </c>
      <c r="KK249" s="1521">
        <v>0</v>
      </c>
      <c r="KL249" s="1522">
        <v>0</v>
      </c>
      <c r="KM249" s="1520">
        <v>0</v>
      </c>
      <c r="KN249" s="1520">
        <v>0</v>
      </c>
      <c r="KO249" s="1521">
        <v>0</v>
      </c>
      <c r="KP249" s="1521">
        <v>0</v>
      </c>
      <c r="KQ249" s="1521">
        <v>0</v>
      </c>
      <c r="KR249" s="1521">
        <v>0</v>
      </c>
      <c r="KS249" s="1521">
        <v>0</v>
      </c>
      <c r="KT249" s="1521">
        <v>0</v>
      </c>
      <c r="KU249" s="1521">
        <v>0</v>
      </c>
      <c r="KV249" s="1521">
        <v>0</v>
      </c>
      <c r="KW249" s="1521">
        <v>0</v>
      </c>
      <c r="KX249" s="1521">
        <v>0</v>
      </c>
      <c r="KY249" s="1521">
        <v>0</v>
      </c>
      <c r="KZ249" s="1521">
        <v>0</v>
      </c>
      <c r="LA249" s="1521">
        <v>0</v>
      </c>
      <c r="LB249" s="1521">
        <v>0</v>
      </c>
      <c r="LC249" s="1521">
        <v>0</v>
      </c>
      <c r="LD249" s="1521">
        <v>0</v>
      </c>
      <c r="LE249" s="1521">
        <v>0</v>
      </c>
      <c r="LF249" s="1521">
        <v>0</v>
      </c>
      <c r="LG249" s="1522">
        <v>0</v>
      </c>
      <c r="LH249" s="1520">
        <v>0</v>
      </c>
      <c r="LI249" s="1520">
        <v>0</v>
      </c>
      <c r="LJ249" s="1521">
        <v>0</v>
      </c>
      <c r="LK249" s="1521">
        <v>0</v>
      </c>
      <c r="LL249" s="1521">
        <v>0</v>
      </c>
      <c r="LM249" s="1521">
        <v>0</v>
      </c>
      <c r="LN249" s="1521">
        <v>0</v>
      </c>
      <c r="LO249" s="1521">
        <v>0</v>
      </c>
      <c r="LP249" s="1521">
        <v>0</v>
      </c>
      <c r="LQ249" s="1521">
        <v>0</v>
      </c>
      <c r="LR249" s="1521">
        <v>0</v>
      </c>
      <c r="LS249" s="1521">
        <v>0</v>
      </c>
      <c r="LT249" s="1521">
        <v>0</v>
      </c>
      <c r="LU249" s="1521">
        <v>0</v>
      </c>
      <c r="LV249" s="1521">
        <v>0</v>
      </c>
      <c r="LW249" s="1521">
        <v>0</v>
      </c>
      <c r="LX249" s="1521">
        <v>0</v>
      </c>
      <c r="LY249" s="1521">
        <v>0</v>
      </c>
      <c r="LZ249" s="1521">
        <v>0</v>
      </c>
      <c r="MA249" s="1521">
        <v>0</v>
      </c>
      <c r="MB249" s="1522">
        <v>0</v>
      </c>
      <c r="MC249" s="1520">
        <v>0</v>
      </c>
      <c r="MD249" s="1520">
        <v>0</v>
      </c>
      <c r="ME249" s="1521">
        <v>0</v>
      </c>
      <c r="MF249" s="1521">
        <v>0</v>
      </c>
      <c r="MG249" s="1521">
        <v>0</v>
      </c>
      <c r="MH249" s="1521">
        <v>0</v>
      </c>
      <c r="MI249" s="1521">
        <v>0</v>
      </c>
      <c r="MJ249" s="1521">
        <v>0</v>
      </c>
      <c r="MK249" s="1521">
        <v>0</v>
      </c>
      <c r="ML249" s="1521">
        <v>0</v>
      </c>
      <c r="MM249" s="1521">
        <v>0</v>
      </c>
      <c r="MN249" s="1521">
        <v>0</v>
      </c>
      <c r="MO249" s="1521">
        <v>0</v>
      </c>
      <c r="MP249" s="1521">
        <v>0</v>
      </c>
      <c r="MQ249" s="1521">
        <v>0</v>
      </c>
      <c r="MR249" s="1521">
        <v>0</v>
      </c>
      <c r="MS249" s="1521">
        <v>0</v>
      </c>
      <c r="MT249" s="1521">
        <v>0</v>
      </c>
      <c r="MU249" s="1521">
        <v>0</v>
      </c>
      <c r="MV249" s="1521">
        <v>0</v>
      </c>
      <c r="MW249" s="1522">
        <v>0</v>
      </c>
      <c r="MX249" s="1520">
        <v>0</v>
      </c>
      <c r="MY249" s="1520">
        <v>0</v>
      </c>
      <c r="MZ249" s="1521">
        <v>0</v>
      </c>
      <c r="NA249" s="1521">
        <v>0</v>
      </c>
      <c r="NB249" s="1521">
        <v>0</v>
      </c>
      <c r="NC249" s="1521">
        <v>0</v>
      </c>
      <c r="ND249" s="1521">
        <v>0</v>
      </c>
      <c r="NE249" s="1521">
        <v>0</v>
      </c>
      <c r="NF249" s="1521">
        <v>0</v>
      </c>
      <c r="NG249" s="1521">
        <v>0</v>
      </c>
      <c r="NH249" s="1521">
        <v>0</v>
      </c>
      <c r="NI249" s="1521">
        <v>0</v>
      </c>
      <c r="NJ249" s="1521">
        <v>0</v>
      </c>
      <c r="NK249" s="1521">
        <v>0</v>
      </c>
      <c r="NL249" s="1521">
        <v>0</v>
      </c>
      <c r="NM249" s="1521">
        <v>0</v>
      </c>
      <c r="NN249" s="1521">
        <v>0</v>
      </c>
      <c r="NO249" s="1521">
        <v>0</v>
      </c>
      <c r="NP249" s="1521">
        <v>0</v>
      </c>
      <c r="NQ249" s="1521">
        <v>0</v>
      </c>
      <c r="NR249" s="1522">
        <v>0</v>
      </c>
      <c r="NS249" s="1520">
        <v>0</v>
      </c>
      <c r="NT249" s="1520">
        <v>0</v>
      </c>
      <c r="NU249" s="1521">
        <v>0</v>
      </c>
      <c r="NV249" s="1521">
        <v>0</v>
      </c>
      <c r="NW249" s="1521">
        <v>0</v>
      </c>
      <c r="NX249" s="1521">
        <v>0</v>
      </c>
      <c r="NY249" s="1521">
        <v>0</v>
      </c>
      <c r="NZ249" s="1521">
        <v>0</v>
      </c>
      <c r="OA249" s="1521">
        <v>0</v>
      </c>
      <c r="OB249" s="1521">
        <v>0</v>
      </c>
      <c r="OC249" s="1521">
        <v>0</v>
      </c>
      <c r="OD249" s="1521">
        <v>0</v>
      </c>
      <c r="OE249" s="1521">
        <v>0</v>
      </c>
      <c r="OF249" s="1521">
        <v>0</v>
      </c>
      <c r="OG249" s="1521">
        <v>0</v>
      </c>
      <c r="OH249" s="1521">
        <v>0</v>
      </c>
      <c r="OI249" s="1521">
        <v>0</v>
      </c>
      <c r="OJ249" s="1521">
        <v>0</v>
      </c>
      <c r="OK249" s="1521">
        <v>0</v>
      </c>
      <c r="OL249" s="1521">
        <v>0</v>
      </c>
      <c r="OM249" s="1522">
        <v>0</v>
      </c>
      <c r="ON249" s="1520">
        <v>0</v>
      </c>
      <c r="OO249" s="1520">
        <v>0</v>
      </c>
      <c r="OP249" s="1521">
        <v>0</v>
      </c>
      <c r="OQ249" s="1521">
        <v>0</v>
      </c>
      <c r="OR249" s="1521">
        <v>0</v>
      </c>
      <c r="OS249" s="1521">
        <v>0</v>
      </c>
      <c r="OT249" s="1521">
        <v>0</v>
      </c>
      <c r="OU249" s="1521">
        <v>0</v>
      </c>
      <c r="OV249" s="1521">
        <v>0</v>
      </c>
      <c r="OW249" s="1521">
        <v>0</v>
      </c>
      <c r="OX249" s="1521">
        <v>0</v>
      </c>
      <c r="OY249" s="1521">
        <v>0</v>
      </c>
      <c r="OZ249" s="1521">
        <v>0</v>
      </c>
      <c r="PA249" s="1521">
        <v>0</v>
      </c>
      <c r="PB249" s="1521">
        <v>0</v>
      </c>
      <c r="PC249" s="1521">
        <v>0</v>
      </c>
      <c r="PD249" s="1521">
        <v>0</v>
      </c>
      <c r="PE249" s="1521">
        <v>0</v>
      </c>
      <c r="PF249" s="1521">
        <v>0</v>
      </c>
      <c r="PG249" s="1521">
        <v>0</v>
      </c>
      <c r="PH249" s="1522">
        <v>0</v>
      </c>
    </row>
    <row r="250" spans="277:424" ht="20.100000000000001" hidden="1" customHeight="1">
      <c r="JQ250" s="1519" t="s">
        <v>198</v>
      </c>
      <c r="JR250" s="1520">
        <v>0</v>
      </c>
      <c r="JS250" s="1520">
        <v>0</v>
      </c>
      <c r="JT250" s="1521">
        <v>0</v>
      </c>
      <c r="JU250" s="1521">
        <v>0</v>
      </c>
      <c r="JV250" s="1521">
        <v>0</v>
      </c>
      <c r="JW250" s="1521">
        <v>0</v>
      </c>
      <c r="JX250" s="1521">
        <v>0</v>
      </c>
      <c r="JY250" s="1521">
        <v>0</v>
      </c>
      <c r="JZ250" s="1521">
        <v>0</v>
      </c>
      <c r="KA250" s="1521">
        <v>0</v>
      </c>
      <c r="KB250" s="1521">
        <v>0</v>
      </c>
      <c r="KC250" s="1521">
        <v>0</v>
      </c>
      <c r="KD250" s="1521">
        <v>0</v>
      </c>
      <c r="KE250" s="1521">
        <v>0</v>
      </c>
      <c r="KF250" s="1521">
        <v>0</v>
      </c>
      <c r="KG250" s="1521">
        <v>0</v>
      </c>
      <c r="KH250" s="1521">
        <v>0</v>
      </c>
      <c r="KI250" s="1521">
        <v>0</v>
      </c>
      <c r="KJ250" s="1521">
        <v>0</v>
      </c>
      <c r="KK250" s="1521">
        <v>0</v>
      </c>
      <c r="KL250" s="1522">
        <v>0</v>
      </c>
      <c r="KM250" s="1520">
        <v>5</v>
      </c>
      <c r="KN250" s="1520">
        <v>0</v>
      </c>
      <c r="KO250" s="1521">
        <v>0</v>
      </c>
      <c r="KP250" s="1521">
        <v>0</v>
      </c>
      <c r="KQ250" s="1521">
        <v>0</v>
      </c>
      <c r="KR250" s="1521">
        <v>0</v>
      </c>
      <c r="KS250" s="1521">
        <v>0</v>
      </c>
      <c r="KT250" s="1521">
        <v>0</v>
      </c>
      <c r="KU250" s="1521">
        <v>0</v>
      </c>
      <c r="KV250" s="1521">
        <v>0</v>
      </c>
      <c r="KW250" s="1521">
        <v>0</v>
      </c>
      <c r="KX250" s="1521">
        <v>0</v>
      </c>
      <c r="KY250" s="1521">
        <v>0</v>
      </c>
      <c r="KZ250" s="1521">
        <v>0</v>
      </c>
      <c r="LA250" s="1521">
        <v>0</v>
      </c>
      <c r="LB250" s="1521">
        <v>0</v>
      </c>
      <c r="LC250" s="1521">
        <v>0</v>
      </c>
      <c r="LD250" s="1521">
        <v>0</v>
      </c>
      <c r="LE250" s="1521">
        <v>0</v>
      </c>
      <c r="LF250" s="1521">
        <v>0</v>
      </c>
      <c r="LG250" s="1522">
        <v>0</v>
      </c>
      <c r="LH250" s="1520">
        <v>0</v>
      </c>
      <c r="LI250" s="1520">
        <v>0</v>
      </c>
      <c r="LJ250" s="1521">
        <v>0</v>
      </c>
      <c r="LK250" s="1521">
        <v>0</v>
      </c>
      <c r="LL250" s="1521">
        <v>0</v>
      </c>
      <c r="LM250" s="1521">
        <v>0</v>
      </c>
      <c r="LN250" s="1521">
        <v>0</v>
      </c>
      <c r="LO250" s="1521">
        <v>0</v>
      </c>
      <c r="LP250" s="1521">
        <v>0</v>
      </c>
      <c r="LQ250" s="1521">
        <v>0</v>
      </c>
      <c r="LR250" s="1521">
        <v>0</v>
      </c>
      <c r="LS250" s="1521">
        <v>0</v>
      </c>
      <c r="LT250" s="1521">
        <v>0</v>
      </c>
      <c r="LU250" s="1521">
        <v>0</v>
      </c>
      <c r="LV250" s="1521">
        <v>0</v>
      </c>
      <c r="LW250" s="1521">
        <v>0</v>
      </c>
      <c r="LX250" s="1521">
        <v>0</v>
      </c>
      <c r="LY250" s="1521">
        <v>0</v>
      </c>
      <c r="LZ250" s="1521">
        <v>0</v>
      </c>
      <c r="MA250" s="1521">
        <v>0</v>
      </c>
      <c r="MB250" s="1522">
        <v>0</v>
      </c>
      <c r="MC250" s="1520">
        <v>0</v>
      </c>
      <c r="MD250" s="1520">
        <v>0</v>
      </c>
      <c r="ME250" s="1521">
        <v>0</v>
      </c>
      <c r="MF250" s="1521">
        <v>0</v>
      </c>
      <c r="MG250" s="1521">
        <v>0</v>
      </c>
      <c r="MH250" s="1521">
        <v>0</v>
      </c>
      <c r="MI250" s="1521">
        <v>0</v>
      </c>
      <c r="MJ250" s="1521">
        <v>0</v>
      </c>
      <c r="MK250" s="1521">
        <v>0</v>
      </c>
      <c r="ML250" s="1521">
        <v>0</v>
      </c>
      <c r="MM250" s="1521">
        <v>0</v>
      </c>
      <c r="MN250" s="1521">
        <v>0</v>
      </c>
      <c r="MO250" s="1521">
        <v>0</v>
      </c>
      <c r="MP250" s="1521">
        <v>0</v>
      </c>
      <c r="MQ250" s="1521">
        <v>0</v>
      </c>
      <c r="MR250" s="1521">
        <v>0</v>
      </c>
      <c r="MS250" s="1521">
        <v>0</v>
      </c>
      <c r="MT250" s="1521">
        <v>0</v>
      </c>
      <c r="MU250" s="1521">
        <v>0</v>
      </c>
      <c r="MV250" s="1521">
        <v>0</v>
      </c>
      <c r="MW250" s="1522">
        <v>0</v>
      </c>
      <c r="MX250" s="1520">
        <v>0</v>
      </c>
      <c r="MY250" s="1520">
        <v>0</v>
      </c>
      <c r="MZ250" s="1521">
        <v>0</v>
      </c>
      <c r="NA250" s="1521">
        <v>0</v>
      </c>
      <c r="NB250" s="1521">
        <v>0</v>
      </c>
      <c r="NC250" s="1521">
        <v>0</v>
      </c>
      <c r="ND250" s="1521">
        <v>0</v>
      </c>
      <c r="NE250" s="1521">
        <v>0</v>
      </c>
      <c r="NF250" s="1521">
        <v>0</v>
      </c>
      <c r="NG250" s="1521">
        <v>0</v>
      </c>
      <c r="NH250" s="1521">
        <v>0</v>
      </c>
      <c r="NI250" s="1521">
        <v>0</v>
      </c>
      <c r="NJ250" s="1521">
        <v>0</v>
      </c>
      <c r="NK250" s="1521">
        <v>0</v>
      </c>
      <c r="NL250" s="1521">
        <v>0</v>
      </c>
      <c r="NM250" s="1521">
        <v>0</v>
      </c>
      <c r="NN250" s="1521">
        <v>0</v>
      </c>
      <c r="NO250" s="1521">
        <v>0</v>
      </c>
      <c r="NP250" s="1521">
        <v>0</v>
      </c>
      <c r="NQ250" s="1521">
        <v>0</v>
      </c>
      <c r="NR250" s="1522">
        <v>0</v>
      </c>
      <c r="NS250" s="1520">
        <v>0</v>
      </c>
      <c r="NT250" s="1520">
        <v>0</v>
      </c>
      <c r="NU250" s="1521">
        <v>0</v>
      </c>
      <c r="NV250" s="1521">
        <v>0</v>
      </c>
      <c r="NW250" s="1521">
        <v>0</v>
      </c>
      <c r="NX250" s="1521">
        <v>0</v>
      </c>
      <c r="NY250" s="1521">
        <v>0</v>
      </c>
      <c r="NZ250" s="1521">
        <v>0</v>
      </c>
      <c r="OA250" s="1521">
        <v>0</v>
      </c>
      <c r="OB250" s="1521">
        <v>0</v>
      </c>
      <c r="OC250" s="1521">
        <v>0</v>
      </c>
      <c r="OD250" s="1521">
        <v>0</v>
      </c>
      <c r="OE250" s="1521">
        <v>0</v>
      </c>
      <c r="OF250" s="1521">
        <v>0</v>
      </c>
      <c r="OG250" s="1521">
        <v>0</v>
      </c>
      <c r="OH250" s="1521">
        <v>0</v>
      </c>
      <c r="OI250" s="1521">
        <v>0</v>
      </c>
      <c r="OJ250" s="1521">
        <v>0</v>
      </c>
      <c r="OK250" s="1521">
        <v>0</v>
      </c>
      <c r="OL250" s="1521">
        <v>0</v>
      </c>
      <c r="OM250" s="1522">
        <v>0</v>
      </c>
      <c r="ON250" s="1520">
        <v>0</v>
      </c>
      <c r="OO250" s="1520">
        <v>0</v>
      </c>
      <c r="OP250" s="1521">
        <v>0</v>
      </c>
      <c r="OQ250" s="1521">
        <v>0</v>
      </c>
      <c r="OR250" s="1521">
        <v>0</v>
      </c>
      <c r="OS250" s="1521">
        <v>0</v>
      </c>
      <c r="OT250" s="1521">
        <v>0</v>
      </c>
      <c r="OU250" s="1521">
        <v>0</v>
      </c>
      <c r="OV250" s="1521">
        <v>0</v>
      </c>
      <c r="OW250" s="1521">
        <v>0</v>
      </c>
      <c r="OX250" s="1521">
        <v>0</v>
      </c>
      <c r="OY250" s="1521">
        <v>0</v>
      </c>
      <c r="OZ250" s="1521">
        <v>0</v>
      </c>
      <c r="PA250" s="1521">
        <v>0</v>
      </c>
      <c r="PB250" s="1521">
        <v>0</v>
      </c>
      <c r="PC250" s="1521">
        <v>0</v>
      </c>
      <c r="PD250" s="1521">
        <v>0</v>
      </c>
      <c r="PE250" s="1521">
        <v>0</v>
      </c>
      <c r="PF250" s="1521">
        <v>0</v>
      </c>
      <c r="PG250" s="1521">
        <v>0</v>
      </c>
      <c r="PH250" s="1522">
        <v>0</v>
      </c>
    </row>
    <row r="251" spans="277:424" ht="20.100000000000001" hidden="1" customHeight="1">
      <c r="JQ251" s="1519" t="s">
        <v>187</v>
      </c>
      <c r="JR251" s="1520">
        <v>0</v>
      </c>
      <c r="JS251" s="1520">
        <v>0</v>
      </c>
      <c r="JT251" s="1521">
        <v>0</v>
      </c>
      <c r="JU251" s="1521">
        <v>0</v>
      </c>
      <c r="JV251" s="1521">
        <v>0</v>
      </c>
      <c r="JW251" s="1521">
        <v>0</v>
      </c>
      <c r="JX251" s="1521">
        <v>0</v>
      </c>
      <c r="JY251" s="1521">
        <v>0</v>
      </c>
      <c r="JZ251" s="1521">
        <v>0</v>
      </c>
      <c r="KA251" s="1521">
        <v>0</v>
      </c>
      <c r="KB251" s="1521">
        <v>0</v>
      </c>
      <c r="KC251" s="1521">
        <v>0</v>
      </c>
      <c r="KD251" s="1521">
        <v>0</v>
      </c>
      <c r="KE251" s="1521">
        <v>0</v>
      </c>
      <c r="KF251" s="1521">
        <v>0</v>
      </c>
      <c r="KG251" s="1521">
        <v>0</v>
      </c>
      <c r="KH251" s="1521">
        <v>0</v>
      </c>
      <c r="KI251" s="1521">
        <v>0</v>
      </c>
      <c r="KJ251" s="1521">
        <v>0</v>
      </c>
      <c r="KK251" s="1521">
        <v>0</v>
      </c>
      <c r="KL251" s="1522">
        <v>0</v>
      </c>
      <c r="KM251" s="1520">
        <v>4</v>
      </c>
      <c r="KN251" s="1520">
        <v>0</v>
      </c>
      <c r="KO251" s="1521">
        <v>0</v>
      </c>
      <c r="KP251" s="1521">
        <v>0</v>
      </c>
      <c r="KQ251" s="1521">
        <v>0</v>
      </c>
      <c r="KR251" s="1521">
        <v>0</v>
      </c>
      <c r="KS251" s="1521">
        <v>0</v>
      </c>
      <c r="KT251" s="1521">
        <v>0</v>
      </c>
      <c r="KU251" s="1521">
        <v>0</v>
      </c>
      <c r="KV251" s="1521">
        <v>0</v>
      </c>
      <c r="KW251" s="1521">
        <v>0</v>
      </c>
      <c r="KX251" s="1521">
        <v>0</v>
      </c>
      <c r="KY251" s="1521">
        <v>0</v>
      </c>
      <c r="KZ251" s="1521">
        <v>0</v>
      </c>
      <c r="LA251" s="1521">
        <v>0</v>
      </c>
      <c r="LB251" s="1521">
        <v>0</v>
      </c>
      <c r="LC251" s="1521">
        <v>0</v>
      </c>
      <c r="LD251" s="1521">
        <v>0</v>
      </c>
      <c r="LE251" s="1521">
        <v>0</v>
      </c>
      <c r="LF251" s="1521">
        <v>0</v>
      </c>
      <c r="LG251" s="1522">
        <v>0</v>
      </c>
      <c r="LH251" s="1520">
        <v>0</v>
      </c>
      <c r="LI251" s="1520">
        <v>0</v>
      </c>
      <c r="LJ251" s="1521">
        <v>0</v>
      </c>
      <c r="LK251" s="1521">
        <v>0</v>
      </c>
      <c r="LL251" s="1521">
        <v>0</v>
      </c>
      <c r="LM251" s="1521">
        <v>0</v>
      </c>
      <c r="LN251" s="1521">
        <v>0</v>
      </c>
      <c r="LO251" s="1521">
        <v>0</v>
      </c>
      <c r="LP251" s="1521">
        <v>0</v>
      </c>
      <c r="LQ251" s="1521">
        <v>0</v>
      </c>
      <c r="LR251" s="1521">
        <v>0</v>
      </c>
      <c r="LS251" s="1521">
        <v>0</v>
      </c>
      <c r="LT251" s="1521">
        <v>0</v>
      </c>
      <c r="LU251" s="1521">
        <v>0</v>
      </c>
      <c r="LV251" s="1521">
        <v>0</v>
      </c>
      <c r="LW251" s="1521">
        <v>0</v>
      </c>
      <c r="LX251" s="1521">
        <v>0</v>
      </c>
      <c r="LY251" s="1521">
        <v>0</v>
      </c>
      <c r="LZ251" s="1521">
        <v>0</v>
      </c>
      <c r="MA251" s="1521">
        <v>0</v>
      </c>
      <c r="MB251" s="1522">
        <v>0</v>
      </c>
      <c r="MC251" s="1520">
        <v>0</v>
      </c>
      <c r="MD251" s="1520">
        <v>0</v>
      </c>
      <c r="ME251" s="1521">
        <v>0</v>
      </c>
      <c r="MF251" s="1521">
        <v>0</v>
      </c>
      <c r="MG251" s="1521">
        <v>0</v>
      </c>
      <c r="MH251" s="1521">
        <v>0</v>
      </c>
      <c r="MI251" s="1521">
        <v>0</v>
      </c>
      <c r="MJ251" s="1521">
        <v>0</v>
      </c>
      <c r="MK251" s="1521">
        <v>0</v>
      </c>
      <c r="ML251" s="1521">
        <v>0</v>
      </c>
      <c r="MM251" s="1521">
        <v>0</v>
      </c>
      <c r="MN251" s="1521">
        <v>0</v>
      </c>
      <c r="MO251" s="1521">
        <v>0</v>
      </c>
      <c r="MP251" s="1521">
        <v>0</v>
      </c>
      <c r="MQ251" s="1521">
        <v>0</v>
      </c>
      <c r="MR251" s="1521">
        <v>0</v>
      </c>
      <c r="MS251" s="1521">
        <v>0</v>
      </c>
      <c r="MT251" s="1521">
        <v>0</v>
      </c>
      <c r="MU251" s="1521">
        <v>0</v>
      </c>
      <c r="MV251" s="1521">
        <v>0</v>
      </c>
      <c r="MW251" s="1522">
        <v>0</v>
      </c>
      <c r="MX251" s="1520">
        <v>0</v>
      </c>
      <c r="MY251" s="1520">
        <v>0</v>
      </c>
      <c r="MZ251" s="1521">
        <v>0</v>
      </c>
      <c r="NA251" s="1521">
        <v>0</v>
      </c>
      <c r="NB251" s="1521">
        <v>0</v>
      </c>
      <c r="NC251" s="1521">
        <v>0</v>
      </c>
      <c r="ND251" s="1521">
        <v>0</v>
      </c>
      <c r="NE251" s="1521">
        <v>0</v>
      </c>
      <c r="NF251" s="1521">
        <v>0</v>
      </c>
      <c r="NG251" s="1521">
        <v>0</v>
      </c>
      <c r="NH251" s="1521">
        <v>0</v>
      </c>
      <c r="NI251" s="1521">
        <v>0</v>
      </c>
      <c r="NJ251" s="1521">
        <v>0</v>
      </c>
      <c r="NK251" s="1521">
        <v>0</v>
      </c>
      <c r="NL251" s="1521">
        <v>0</v>
      </c>
      <c r="NM251" s="1521">
        <v>0</v>
      </c>
      <c r="NN251" s="1521">
        <v>0</v>
      </c>
      <c r="NO251" s="1521">
        <v>0</v>
      </c>
      <c r="NP251" s="1521">
        <v>0</v>
      </c>
      <c r="NQ251" s="1521">
        <v>0</v>
      </c>
      <c r="NR251" s="1522">
        <v>0</v>
      </c>
      <c r="NS251" s="1520">
        <v>0</v>
      </c>
      <c r="NT251" s="1520">
        <v>0</v>
      </c>
      <c r="NU251" s="1521">
        <v>0</v>
      </c>
      <c r="NV251" s="1521">
        <v>0</v>
      </c>
      <c r="NW251" s="1521">
        <v>0</v>
      </c>
      <c r="NX251" s="1521">
        <v>0</v>
      </c>
      <c r="NY251" s="1521">
        <v>0</v>
      </c>
      <c r="NZ251" s="1521">
        <v>0</v>
      </c>
      <c r="OA251" s="1521">
        <v>0</v>
      </c>
      <c r="OB251" s="1521">
        <v>0</v>
      </c>
      <c r="OC251" s="1521">
        <v>0</v>
      </c>
      <c r="OD251" s="1521">
        <v>0</v>
      </c>
      <c r="OE251" s="1521">
        <v>0</v>
      </c>
      <c r="OF251" s="1521">
        <v>0</v>
      </c>
      <c r="OG251" s="1521">
        <v>0</v>
      </c>
      <c r="OH251" s="1521">
        <v>0</v>
      </c>
      <c r="OI251" s="1521">
        <v>0</v>
      </c>
      <c r="OJ251" s="1521">
        <v>0</v>
      </c>
      <c r="OK251" s="1521">
        <v>0</v>
      </c>
      <c r="OL251" s="1521">
        <v>0</v>
      </c>
      <c r="OM251" s="1522">
        <v>0</v>
      </c>
      <c r="ON251" s="1520">
        <v>11</v>
      </c>
      <c r="OO251" s="1520">
        <v>0</v>
      </c>
      <c r="OP251" s="1521">
        <v>0</v>
      </c>
      <c r="OQ251" s="1521">
        <v>0</v>
      </c>
      <c r="OR251" s="1521">
        <v>0</v>
      </c>
      <c r="OS251" s="1521">
        <v>0</v>
      </c>
      <c r="OT251" s="1521">
        <v>0</v>
      </c>
      <c r="OU251" s="1521">
        <v>0</v>
      </c>
      <c r="OV251" s="1521">
        <v>0</v>
      </c>
      <c r="OW251" s="1521">
        <v>0</v>
      </c>
      <c r="OX251" s="1521">
        <v>0</v>
      </c>
      <c r="OY251" s="1521">
        <v>0</v>
      </c>
      <c r="OZ251" s="1521">
        <v>0</v>
      </c>
      <c r="PA251" s="1521">
        <v>0</v>
      </c>
      <c r="PB251" s="1521">
        <v>0</v>
      </c>
      <c r="PC251" s="1521">
        <v>0</v>
      </c>
      <c r="PD251" s="1521">
        <v>0</v>
      </c>
      <c r="PE251" s="1521">
        <v>0</v>
      </c>
      <c r="PF251" s="1521">
        <v>0</v>
      </c>
      <c r="PG251" s="1521">
        <v>0</v>
      </c>
      <c r="PH251" s="1522">
        <v>0</v>
      </c>
    </row>
    <row r="252" spans="277:424" ht="20.100000000000001" hidden="1" customHeight="1">
      <c r="JQ252" s="1519" t="s">
        <v>199</v>
      </c>
      <c r="JR252" s="1520">
        <v>0</v>
      </c>
      <c r="JS252" s="1520">
        <v>0</v>
      </c>
      <c r="JT252" s="1521">
        <v>0</v>
      </c>
      <c r="JU252" s="1521">
        <v>0</v>
      </c>
      <c r="JV252" s="1521">
        <v>0</v>
      </c>
      <c r="JW252" s="1521">
        <v>0</v>
      </c>
      <c r="JX252" s="1521">
        <v>0</v>
      </c>
      <c r="JY252" s="1521">
        <v>0</v>
      </c>
      <c r="JZ252" s="1521">
        <v>0</v>
      </c>
      <c r="KA252" s="1521">
        <v>0</v>
      </c>
      <c r="KB252" s="1521">
        <v>0</v>
      </c>
      <c r="KC252" s="1521">
        <v>0</v>
      </c>
      <c r="KD252" s="1521">
        <v>0</v>
      </c>
      <c r="KE252" s="1521">
        <v>0</v>
      </c>
      <c r="KF252" s="1521">
        <v>0</v>
      </c>
      <c r="KG252" s="1521">
        <v>0</v>
      </c>
      <c r="KH252" s="1521">
        <v>0</v>
      </c>
      <c r="KI252" s="1521">
        <v>0</v>
      </c>
      <c r="KJ252" s="1521">
        <v>0</v>
      </c>
      <c r="KK252" s="1521">
        <v>0</v>
      </c>
      <c r="KL252" s="1522">
        <v>0</v>
      </c>
      <c r="KM252" s="1520">
        <v>0</v>
      </c>
      <c r="KN252" s="1520">
        <v>0</v>
      </c>
      <c r="KO252" s="1521">
        <v>0</v>
      </c>
      <c r="KP252" s="1521">
        <v>0</v>
      </c>
      <c r="KQ252" s="1521">
        <v>0</v>
      </c>
      <c r="KR252" s="1521">
        <v>0</v>
      </c>
      <c r="KS252" s="1521">
        <v>0</v>
      </c>
      <c r="KT252" s="1521">
        <v>0</v>
      </c>
      <c r="KU252" s="1521">
        <v>0</v>
      </c>
      <c r="KV252" s="1521">
        <v>0</v>
      </c>
      <c r="KW252" s="1521">
        <v>0</v>
      </c>
      <c r="KX252" s="1521">
        <v>0</v>
      </c>
      <c r="KY252" s="1521">
        <v>0</v>
      </c>
      <c r="KZ252" s="1521">
        <v>0</v>
      </c>
      <c r="LA252" s="1521">
        <v>0</v>
      </c>
      <c r="LB252" s="1521">
        <v>0</v>
      </c>
      <c r="LC252" s="1521">
        <v>0</v>
      </c>
      <c r="LD252" s="1521">
        <v>0</v>
      </c>
      <c r="LE252" s="1521">
        <v>0</v>
      </c>
      <c r="LF252" s="1521">
        <v>0</v>
      </c>
      <c r="LG252" s="1522">
        <v>0</v>
      </c>
      <c r="LH252" s="1520">
        <v>0</v>
      </c>
      <c r="LI252" s="1520">
        <v>0</v>
      </c>
      <c r="LJ252" s="1521">
        <v>0</v>
      </c>
      <c r="LK252" s="1521">
        <v>0</v>
      </c>
      <c r="LL252" s="1521">
        <v>0</v>
      </c>
      <c r="LM252" s="1521">
        <v>0</v>
      </c>
      <c r="LN252" s="1521">
        <v>0</v>
      </c>
      <c r="LO252" s="1521">
        <v>0</v>
      </c>
      <c r="LP252" s="1521">
        <v>0</v>
      </c>
      <c r="LQ252" s="1521">
        <v>0</v>
      </c>
      <c r="LR252" s="1521">
        <v>0</v>
      </c>
      <c r="LS252" s="1521">
        <v>0</v>
      </c>
      <c r="LT252" s="1521">
        <v>0</v>
      </c>
      <c r="LU252" s="1521">
        <v>0</v>
      </c>
      <c r="LV252" s="1521">
        <v>0</v>
      </c>
      <c r="LW252" s="1521">
        <v>0</v>
      </c>
      <c r="LX252" s="1521">
        <v>0</v>
      </c>
      <c r="LY252" s="1521">
        <v>0</v>
      </c>
      <c r="LZ252" s="1521">
        <v>0</v>
      </c>
      <c r="MA252" s="1521">
        <v>0</v>
      </c>
      <c r="MB252" s="1522">
        <v>0</v>
      </c>
      <c r="MC252" s="1520">
        <v>0</v>
      </c>
      <c r="MD252" s="1520">
        <v>0</v>
      </c>
      <c r="ME252" s="1521">
        <v>0</v>
      </c>
      <c r="MF252" s="1521">
        <v>0</v>
      </c>
      <c r="MG252" s="1521">
        <v>0</v>
      </c>
      <c r="MH252" s="1521">
        <v>0</v>
      </c>
      <c r="MI252" s="1521">
        <v>0</v>
      </c>
      <c r="MJ252" s="1521">
        <v>0</v>
      </c>
      <c r="MK252" s="1521">
        <v>0</v>
      </c>
      <c r="ML252" s="1521">
        <v>0</v>
      </c>
      <c r="MM252" s="1521">
        <v>0</v>
      </c>
      <c r="MN252" s="1521">
        <v>0</v>
      </c>
      <c r="MO252" s="1521">
        <v>0</v>
      </c>
      <c r="MP252" s="1521">
        <v>0</v>
      </c>
      <c r="MQ252" s="1521">
        <v>0</v>
      </c>
      <c r="MR252" s="1521">
        <v>0</v>
      </c>
      <c r="MS252" s="1521">
        <v>0</v>
      </c>
      <c r="MT252" s="1521">
        <v>0</v>
      </c>
      <c r="MU252" s="1521">
        <v>0</v>
      </c>
      <c r="MV252" s="1521">
        <v>0</v>
      </c>
      <c r="MW252" s="1522">
        <v>0</v>
      </c>
      <c r="MX252" s="1520">
        <v>0</v>
      </c>
      <c r="MY252" s="1520">
        <v>0</v>
      </c>
      <c r="MZ252" s="1521">
        <v>0</v>
      </c>
      <c r="NA252" s="1521">
        <v>0</v>
      </c>
      <c r="NB252" s="1521">
        <v>0</v>
      </c>
      <c r="NC252" s="1521">
        <v>0</v>
      </c>
      <c r="ND252" s="1521">
        <v>0</v>
      </c>
      <c r="NE252" s="1521">
        <v>0</v>
      </c>
      <c r="NF252" s="1521">
        <v>0</v>
      </c>
      <c r="NG252" s="1521">
        <v>0</v>
      </c>
      <c r="NH252" s="1521">
        <v>0</v>
      </c>
      <c r="NI252" s="1521">
        <v>0</v>
      </c>
      <c r="NJ252" s="1521">
        <v>0</v>
      </c>
      <c r="NK252" s="1521">
        <v>0</v>
      </c>
      <c r="NL252" s="1521">
        <v>0</v>
      </c>
      <c r="NM252" s="1521">
        <v>0</v>
      </c>
      <c r="NN252" s="1521">
        <v>0</v>
      </c>
      <c r="NO252" s="1521">
        <v>0</v>
      </c>
      <c r="NP252" s="1521">
        <v>0</v>
      </c>
      <c r="NQ252" s="1521">
        <v>0</v>
      </c>
      <c r="NR252" s="1522">
        <v>0</v>
      </c>
      <c r="NS252" s="1520">
        <v>0</v>
      </c>
      <c r="NT252" s="1520">
        <v>0</v>
      </c>
      <c r="NU252" s="1521">
        <v>0</v>
      </c>
      <c r="NV252" s="1521">
        <v>0</v>
      </c>
      <c r="NW252" s="1521">
        <v>0</v>
      </c>
      <c r="NX252" s="1521">
        <v>0</v>
      </c>
      <c r="NY252" s="1521">
        <v>0</v>
      </c>
      <c r="NZ252" s="1521">
        <v>0</v>
      </c>
      <c r="OA252" s="1521">
        <v>0</v>
      </c>
      <c r="OB252" s="1521">
        <v>0</v>
      </c>
      <c r="OC252" s="1521">
        <v>0</v>
      </c>
      <c r="OD252" s="1521">
        <v>0</v>
      </c>
      <c r="OE252" s="1521">
        <v>0</v>
      </c>
      <c r="OF252" s="1521">
        <v>0</v>
      </c>
      <c r="OG252" s="1521">
        <v>0</v>
      </c>
      <c r="OH252" s="1521">
        <v>0</v>
      </c>
      <c r="OI252" s="1521">
        <v>0</v>
      </c>
      <c r="OJ252" s="1521">
        <v>0</v>
      </c>
      <c r="OK252" s="1521">
        <v>0</v>
      </c>
      <c r="OL252" s="1521">
        <v>0</v>
      </c>
      <c r="OM252" s="1522">
        <v>0</v>
      </c>
      <c r="ON252" s="1520">
        <v>0</v>
      </c>
      <c r="OO252" s="1520">
        <v>0</v>
      </c>
      <c r="OP252" s="1521">
        <v>0</v>
      </c>
      <c r="OQ252" s="1521">
        <v>0</v>
      </c>
      <c r="OR252" s="1521">
        <v>0</v>
      </c>
      <c r="OS252" s="1521">
        <v>0</v>
      </c>
      <c r="OT252" s="1521">
        <v>0</v>
      </c>
      <c r="OU252" s="1521">
        <v>0</v>
      </c>
      <c r="OV252" s="1521">
        <v>0</v>
      </c>
      <c r="OW252" s="1521">
        <v>0</v>
      </c>
      <c r="OX252" s="1521">
        <v>0</v>
      </c>
      <c r="OY252" s="1521">
        <v>0</v>
      </c>
      <c r="OZ252" s="1521">
        <v>0</v>
      </c>
      <c r="PA252" s="1521">
        <v>0</v>
      </c>
      <c r="PB252" s="1521">
        <v>0</v>
      </c>
      <c r="PC252" s="1521">
        <v>0</v>
      </c>
      <c r="PD252" s="1521">
        <v>0</v>
      </c>
      <c r="PE252" s="1521">
        <v>0</v>
      </c>
      <c r="PF252" s="1521">
        <v>0</v>
      </c>
      <c r="PG252" s="1521">
        <v>0</v>
      </c>
      <c r="PH252" s="1522">
        <v>0</v>
      </c>
    </row>
    <row r="253" spans="277:424" ht="20.100000000000001" hidden="1" customHeight="1">
      <c r="JQ253" s="1519" t="s">
        <v>200</v>
      </c>
      <c r="JR253" s="1520">
        <v>0</v>
      </c>
      <c r="JS253" s="1520">
        <v>0</v>
      </c>
      <c r="JT253" s="1521">
        <v>0</v>
      </c>
      <c r="JU253" s="1521">
        <v>0</v>
      </c>
      <c r="JV253" s="1521">
        <v>0</v>
      </c>
      <c r="JW253" s="1521">
        <v>0</v>
      </c>
      <c r="JX253" s="1521">
        <v>0</v>
      </c>
      <c r="JY253" s="1521">
        <v>0</v>
      </c>
      <c r="JZ253" s="1521">
        <v>0</v>
      </c>
      <c r="KA253" s="1521">
        <v>0</v>
      </c>
      <c r="KB253" s="1521">
        <v>0</v>
      </c>
      <c r="KC253" s="1521">
        <v>0</v>
      </c>
      <c r="KD253" s="1521">
        <v>0</v>
      </c>
      <c r="KE253" s="1521">
        <v>0</v>
      </c>
      <c r="KF253" s="1521">
        <v>0</v>
      </c>
      <c r="KG253" s="1521">
        <v>0</v>
      </c>
      <c r="KH253" s="1521">
        <v>0</v>
      </c>
      <c r="KI253" s="1521">
        <v>0</v>
      </c>
      <c r="KJ253" s="1521">
        <v>0</v>
      </c>
      <c r="KK253" s="1521">
        <v>0</v>
      </c>
      <c r="KL253" s="1522">
        <v>0</v>
      </c>
      <c r="KM253" s="1520">
        <v>0</v>
      </c>
      <c r="KN253" s="1520">
        <v>0</v>
      </c>
      <c r="KO253" s="1521">
        <v>0</v>
      </c>
      <c r="KP253" s="1521">
        <v>0</v>
      </c>
      <c r="KQ253" s="1521">
        <v>0</v>
      </c>
      <c r="KR253" s="1521">
        <v>0</v>
      </c>
      <c r="KS253" s="1521">
        <v>0</v>
      </c>
      <c r="KT253" s="1521">
        <v>0</v>
      </c>
      <c r="KU253" s="1521">
        <v>0</v>
      </c>
      <c r="KV253" s="1521">
        <v>0</v>
      </c>
      <c r="KW253" s="1521">
        <v>0</v>
      </c>
      <c r="KX253" s="1521">
        <v>0</v>
      </c>
      <c r="KY253" s="1521">
        <v>0</v>
      </c>
      <c r="KZ253" s="1521">
        <v>0</v>
      </c>
      <c r="LA253" s="1521">
        <v>0</v>
      </c>
      <c r="LB253" s="1521">
        <v>0</v>
      </c>
      <c r="LC253" s="1521">
        <v>0</v>
      </c>
      <c r="LD253" s="1521">
        <v>0</v>
      </c>
      <c r="LE253" s="1521">
        <v>0</v>
      </c>
      <c r="LF253" s="1521">
        <v>0</v>
      </c>
      <c r="LG253" s="1522">
        <v>0</v>
      </c>
      <c r="LH253" s="1520">
        <v>0</v>
      </c>
      <c r="LI253" s="1520">
        <v>0</v>
      </c>
      <c r="LJ253" s="1521">
        <v>0</v>
      </c>
      <c r="LK253" s="1521">
        <v>0</v>
      </c>
      <c r="LL253" s="1521">
        <v>0</v>
      </c>
      <c r="LM253" s="1521">
        <v>0</v>
      </c>
      <c r="LN253" s="1521">
        <v>0</v>
      </c>
      <c r="LO253" s="1521">
        <v>0</v>
      </c>
      <c r="LP253" s="1521">
        <v>0</v>
      </c>
      <c r="LQ253" s="1521">
        <v>0</v>
      </c>
      <c r="LR253" s="1521">
        <v>0</v>
      </c>
      <c r="LS253" s="1521">
        <v>0</v>
      </c>
      <c r="LT253" s="1521">
        <v>0</v>
      </c>
      <c r="LU253" s="1521">
        <v>0</v>
      </c>
      <c r="LV253" s="1521">
        <v>0</v>
      </c>
      <c r="LW253" s="1521">
        <v>0</v>
      </c>
      <c r="LX253" s="1521">
        <v>0</v>
      </c>
      <c r="LY253" s="1521">
        <v>0</v>
      </c>
      <c r="LZ253" s="1521">
        <v>0</v>
      </c>
      <c r="MA253" s="1521">
        <v>0</v>
      </c>
      <c r="MB253" s="1522">
        <v>0</v>
      </c>
      <c r="MC253" s="1520">
        <v>0</v>
      </c>
      <c r="MD253" s="1520">
        <v>0</v>
      </c>
      <c r="ME253" s="1521">
        <v>0</v>
      </c>
      <c r="MF253" s="1521">
        <v>0</v>
      </c>
      <c r="MG253" s="1521">
        <v>0</v>
      </c>
      <c r="MH253" s="1521">
        <v>0</v>
      </c>
      <c r="MI253" s="1521">
        <v>0</v>
      </c>
      <c r="MJ253" s="1521">
        <v>0</v>
      </c>
      <c r="MK253" s="1521">
        <v>0</v>
      </c>
      <c r="ML253" s="1521">
        <v>0</v>
      </c>
      <c r="MM253" s="1521">
        <v>0</v>
      </c>
      <c r="MN253" s="1521">
        <v>0</v>
      </c>
      <c r="MO253" s="1521">
        <v>0</v>
      </c>
      <c r="MP253" s="1521">
        <v>0</v>
      </c>
      <c r="MQ253" s="1521">
        <v>0</v>
      </c>
      <c r="MR253" s="1521">
        <v>0</v>
      </c>
      <c r="MS253" s="1521">
        <v>0</v>
      </c>
      <c r="MT253" s="1521">
        <v>0</v>
      </c>
      <c r="MU253" s="1521">
        <v>0</v>
      </c>
      <c r="MV253" s="1521">
        <v>0</v>
      </c>
      <c r="MW253" s="1522">
        <v>0</v>
      </c>
      <c r="MX253" s="1520">
        <v>0</v>
      </c>
      <c r="MY253" s="1520">
        <v>0</v>
      </c>
      <c r="MZ253" s="1521">
        <v>0</v>
      </c>
      <c r="NA253" s="1521">
        <v>0</v>
      </c>
      <c r="NB253" s="1521">
        <v>0</v>
      </c>
      <c r="NC253" s="1521">
        <v>0</v>
      </c>
      <c r="ND253" s="1521">
        <v>0</v>
      </c>
      <c r="NE253" s="1521">
        <v>0</v>
      </c>
      <c r="NF253" s="1521">
        <v>0</v>
      </c>
      <c r="NG253" s="1521">
        <v>0</v>
      </c>
      <c r="NH253" s="1521">
        <v>0</v>
      </c>
      <c r="NI253" s="1521">
        <v>0</v>
      </c>
      <c r="NJ253" s="1521">
        <v>0</v>
      </c>
      <c r="NK253" s="1521">
        <v>0</v>
      </c>
      <c r="NL253" s="1521">
        <v>0</v>
      </c>
      <c r="NM253" s="1521">
        <v>0</v>
      </c>
      <c r="NN253" s="1521">
        <v>0</v>
      </c>
      <c r="NO253" s="1521">
        <v>0</v>
      </c>
      <c r="NP253" s="1521">
        <v>0</v>
      </c>
      <c r="NQ253" s="1521">
        <v>0</v>
      </c>
      <c r="NR253" s="1522">
        <v>0</v>
      </c>
      <c r="NS253" s="1520">
        <v>0</v>
      </c>
      <c r="NT253" s="1520">
        <v>0</v>
      </c>
      <c r="NU253" s="1521">
        <v>0</v>
      </c>
      <c r="NV253" s="1521">
        <v>0</v>
      </c>
      <c r="NW253" s="1521">
        <v>0</v>
      </c>
      <c r="NX253" s="1521">
        <v>0</v>
      </c>
      <c r="NY253" s="1521">
        <v>0</v>
      </c>
      <c r="NZ253" s="1521">
        <v>0</v>
      </c>
      <c r="OA253" s="1521">
        <v>0</v>
      </c>
      <c r="OB253" s="1521">
        <v>0</v>
      </c>
      <c r="OC253" s="1521">
        <v>0</v>
      </c>
      <c r="OD253" s="1521">
        <v>0</v>
      </c>
      <c r="OE253" s="1521">
        <v>0</v>
      </c>
      <c r="OF253" s="1521">
        <v>0</v>
      </c>
      <c r="OG253" s="1521">
        <v>0</v>
      </c>
      <c r="OH253" s="1521">
        <v>0</v>
      </c>
      <c r="OI253" s="1521">
        <v>0</v>
      </c>
      <c r="OJ253" s="1521">
        <v>0</v>
      </c>
      <c r="OK253" s="1521">
        <v>0</v>
      </c>
      <c r="OL253" s="1521">
        <v>0</v>
      </c>
      <c r="OM253" s="1522">
        <v>0</v>
      </c>
      <c r="ON253" s="1520">
        <v>0</v>
      </c>
      <c r="OO253" s="1520">
        <v>0</v>
      </c>
      <c r="OP253" s="1521">
        <v>0</v>
      </c>
      <c r="OQ253" s="1521">
        <v>0</v>
      </c>
      <c r="OR253" s="1521">
        <v>0</v>
      </c>
      <c r="OS253" s="1521">
        <v>0</v>
      </c>
      <c r="OT253" s="1521">
        <v>0</v>
      </c>
      <c r="OU253" s="1521">
        <v>0</v>
      </c>
      <c r="OV253" s="1521">
        <v>0</v>
      </c>
      <c r="OW253" s="1521">
        <v>0</v>
      </c>
      <c r="OX253" s="1521">
        <v>0</v>
      </c>
      <c r="OY253" s="1521">
        <v>0</v>
      </c>
      <c r="OZ253" s="1521">
        <v>0</v>
      </c>
      <c r="PA253" s="1521">
        <v>0</v>
      </c>
      <c r="PB253" s="1521">
        <v>0</v>
      </c>
      <c r="PC253" s="1521">
        <v>0</v>
      </c>
      <c r="PD253" s="1521">
        <v>0</v>
      </c>
      <c r="PE253" s="1521">
        <v>0</v>
      </c>
      <c r="PF253" s="1521">
        <v>0</v>
      </c>
      <c r="PG253" s="1521">
        <v>0</v>
      </c>
      <c r="PH253" s="1522">
        <v>0</v>
      </c>
    </row>
    <row r="254" spans="277:424" ht="20.100000000000001" hidden="1" customHeight="1">
      <c r="JQ254" s="1519" t="s">
        <v>190</v>
      </c>
      <c r="JR254" s="1520">
        <v>0</v>
      </c>
      <c r="JS254" s="1520">
        <v>0</v>
      </c>
      <c r="JT254" s="1521">
        <v>0</v>
      </c>
      <c r="JU254" s="1521">
        <v>0</v>
      </c>
      <c r="JV254" s="1521">
        <v>0</v>
      </c>
      <c r="JW254" s="1521">
        <v>0</v>
      </c>
      <c r="JX254" s="1521">
        <v>0</v>
      </c>
      <c r="JY254" s="1521">
        <v>0</v>
      </c>
      <c r="JZ254" s="1521">
        <v>0</v>
      </c>
      <c r="KA254" s="1521">
        <v>0</v>
      </c>
      <c r="KB254" s="1521">
        <v>0</v>
      </c>
      <c r="KC254" s="1521">
        <v>0</v>
      </c>
      <c r="KD254" s="1521">
        <v>0</v>
      </c>
      <c r="KE254" s="1521">
        <v>0</v>
      </c>
      <c r="KF254" s="1521">
        <v>0</v>
      </c>
      <c r="KG254" s="1521">
        <v>0</v>
      </c>
      <c r="KH254" s="1521">
        <v>0</v>
      </c>
      <c r="KI254" s="1521">
        <v>0</v>
      </c>
      <c r="KJ254" s="1521">
        <v>0</v>
      </c>
      <c r="KK254" s="1521">
        <v>0</v>
      </c>
      <c r="KL254" s="1522">
        <v>0</v>
      </c>
      <c r="KM254" s="1520">
        <v>0</v>
      </c>
      <c r="KN254" s="1520">
        <v>0</v>
      </c>
      <c r="KO254" s="1521">
        <v>0</v>
      </c>
      <c r="KP254" s="1521">
        <v>0</v>
      </c>
      <c r="KQ254" s="1521">
        <v>0</v>
      </c>
      <c r="KR254" s="1521">
        <v>0</v>
      </c>
      <c r="KS254" s="1521">
        <v>0</v>
      </c>
      <c r="KT254" s="1521">
        <v>0</v>
      </c>
      <c r="KU254" s="1521">
        <v>0</v>
      </c>
      <c r="KV254" s="1521">
        <v>0</v>
      </c>
      <c r="KW254" s="1521">
        <v>0</v>
      </c>
      <c r="KX254" s="1521">
        <v>0</v>
      </c>
      <c r="KY254" s="1521">
        <v>0</v>
      </c>
      <c r="KZ254" s="1521">
        <v>0</v>
      </c>
      <c r="LA254" s="1521">
        <v>0</v>
      </c>
      <c r="LB254" s="1521">
        <v>0</v>
      </c>
      <c r="LC254" s="1521">
        <v>0</v>
      </c>
      <c r="LD254" s="1521">
        <v>0</v>
      </c>
      <c r="LE254" s="1521">
        <v>0</v>
      </c>
      <c r="LF254" s="1521">
        <v>0</v>
      </c>
      <c r="LG254" s="1522">
        <v>0</v>
      </c>
      <c r="LH254" s="1520">
        <v>0</v>
      </c>
      <c r="LI254" s="1520">
        <v>0</v>
      </c>
      <c r="LJ254" s="1521">
        <v>0</v>
      </c>
      <c r="LK254" s="1521">
        <v>0</v>
      </c>
      <c r="LL254" s="1521">
        <v>0</v>
      </c>
      <c r="LM254" s="1521">
        <v>0</v>
      </c>
      <c r="LN254" s="1521">
        <v>0</v>
      </c>
      <c r="LO254" s="1521">
        <v>0</v>
      </c>
      <c r="LP254" s="1521">
        <v>0</v>
      </c>
      <c r="LQ254" s="1521">
        <v>0</v>
      </c>
      <c r="LR254" s="1521">
        <v>0</v>
      </c>
      <c r="LS254" s="1521">
        <v>0</v>
      </c>
      <c r="LT254" s="1521">
        <v>0</v>
      </c>
      <c r="LU254" s="1521">
        <v>0</v>
      </c>
      <c r="LV254" s="1521">
        <v>0</v>
      </c>
      <c r="LW254" s="1521">
        <v>0</v>
      </c>
      <c r="LX254" s="1521">
        <v>0</v>
      </c>
      <c r="LY254" s="1521">
        <v>0</v>
      </c>
      <c r="LZ254" s="1521">
        <v>0</v>
      </c>
      <c r="MA254" s="1521">
        <v>0</v>
      </c>
      <c r="MB254" s="1522">
        <v>0</v>
      </c>
      <c r="MC254" s="1520">
        <v>0</v>
      </c>
      <c r="MD254" s="1520">
        <v>0</v>
      </c>
      <c r="ME254" s="1521">
        <v>0</v>
      </c>
      <c r="MF254" s="1521">
        <v>0</v>
      </c>
      <c r="MG254" s="1521">
        <v>0</v>
      </c>
      <c r="MH254" s="1521">
        <v>0</v>
      </c>
      <c r="MI254" s="1521">
        <v>0</v>
      </c>
      <c r="MJ254" s="1521">
        <v>0</v>
      </c>
      <c r="MK254" s="1521">
        <v>0</v>
      </c>
      <c r="ML254" s="1521">
        <v>0</v>
      </c>
      <c r="MM254" s="1521">
        <v>0</v>
      </c>
      <c r="MN254" s="1521">
        <v>0</v>
      </c>
      <c r="MO254" s="1521">
        <v>0</v>
      </c>
      <c r="MP254" s="1521">
        <v>0</v>
      </c>
      <c r="MQ254" s="1521">
        <v>0</v>
      </c>
      <c r="MR254" s="1521">
        <v>0</v>
      </c>
      <c r="MS254" s="1521">
        <v>0</v>
      </c>
      <c r="MT254" s="1521">
        <v>0</v>
      </c>
      <c r="MU254" s="1521">
        <v>0</v>
      </c>
      <c r="MV254" s="1521">
        <v>0</v>
      </c>
      <c r="MW254" s="1522">
        <v>0</v>
      </c>
      <c r="MX254" s="1520">
        <v>0</v>
      </c>
      <c r="MY254" s="1520">
        <v>0</v>
      </c>
      <c r="MZ254" s="1521">
        <v>0</v>
      </c>
      <c r="NA254" s="1521">
        <v>0</v>
      </c>
      <c r="NB254" s="1521">
        <v>0</v>
      </c>
      <c r="NC254" s="1521">
        <v>0</v>
      </c>
      <c r="ND254" s="1521">
        <v>0</v>
      </c>
      <c r="NE254" s="1521">
        <v>0</v>
      </c>
      <c r="NF254" s="1521">
        <v>0</v>
      </c>
      <c r="NG254" s="1521">
        <v>0</v>
      </c>
      <c r="NH254" s="1521">
        <v>0</v>
      </c>
      <c r="NI254" s="1521">
        <v>0</v>
      </c>
      <c r="NJ254" s="1521">
        <v>0</v>
      </c>
      <c r="NK254" s="1521">
        <v>0</v>
      </c>
      <c r="NL254" s="1521">
        <v>0</v>
      </c>
      <c r="NM254" s="1521">
        <v>0</v>
      </c>
      <c r="NN254" s="1521">
        <v>0</v>
      </c>
      <c r="NO254" s="1521">
        <v>0</v>
      </c>
      <c r="NP254" s="1521">
        <v>0</v>
      </c>
      <c r="NQ254" s="1521">
        <v>0</v>
      </c>
      <c r="NR254" s="1522">
        <v>0</v>
      </c>
      <c r="NS254" s="1520">
        <v>0</v>
      </c>
      <c r="NT254" s="1520">
        <v>0</v>
      </c>
      <c r="NU254" s="1521">
        <v>0</v>
      </c>
      <c r="NV254" s="1521">
        <v>0</v>
      </c>
      <c r="NW254" s="1521">
        <v>0</v>
      </c>
      <c r="NX254" s="1521">
        <v>0</v>
      </c>
      <c r="NY254" s="1521">
        <v>0</v>
      </c>
      <c r="NZ254" s="1521">
        <v>0</v>
      </c>
      <c r="OA254" s="1521">
        <v>0</v>
      </c>
      <c r="OB254" s="1521">
        <v>0</v>
      </c>
      <c r="OC254" s="1521">
        <v>0</v>
      </c>
      <c r="OD254" s="1521">
        <v>0</v>
      </c>
      <c r="OE254" s="1521">
        <v>0</v>
      </c>
      <c r="OF254" s="1521">
        <v>0</v>
      </c>
      <c r="OG254" s="1521">
        <v>0</v>
      </c>
      <c r="OH254" s="1521">
        <v>0</v>
      </c>
      <c r="OI254" s="1521">
        <v>0</v>
      </c>
      <c r="OJ254" s="1521">
        <v>0</v>
      </c>
      <c r="OK254" s="1521">
        <v>0</v>
      </c>
      <c r="OL254" s="1521">
        <v>0</v>
      </c>
      <c r="OM254" s="1522">
        <v>0</v>
      </c>
      <c r="ON254" s="1520">
        <v>0</v>
      </c>
      <c r="OO254" s="1520">
        <v>0</v>
      </c>
      <c r="OP254" s="1521">
        <v>0</v>
      </c>
      <c r="OQ254" s="1521">
        <v>0</v>
      </c>
      <c r="OR254" s="1521">
        <v>0</v>
      </c>
      <c r="OS254" s="1521">
        <v>0</v>
      </c>
      <c r="OT254" s="1521">
        <v>0</v>
      </c>
      <c r="OU254" s="1521">
        <v>0</v>
      </c>
      <c r="OV254" s="1521">
        <v>0</v>
      </c>
      <c r="OW254" s="1521">
        <v>0</v>
      </c>
      <c r="OX254" s="1521">
        <v>0</v>
      </c>
      <c r="OY254" s="1521">
        <v>0</v>
      </c>
      <c r="OZ254" s="1521">
        <v>0</v>
      </c>
      <c r="PA254" s="1521">
        <v>0</v>
      </c>
      <c r="PB254" s="1521">
        <v>0</v>
      </c>
      <c r="PC254" s="1521">
        <v>0</v>
      </c>
      <c r="PD254" s="1521">
        <v>0</v>
      </c>
      <c r="PE254" s="1521">
        <v>0</v>
      </c>
      <c r="PF254" s="1521">
        <v>0</v>
      </c>
      <c r="PG254" s="1521">
        <v>0</v>
      </c>
      <c r="PH254" s="1522">
        <v>0</v>
      </c>
    </row>
    <row r="255" spans="277:424" ht="20.100000000000001" hidden="1" customHeight="1">
      <c r="JQ255" s="1519" t="s">
        <v>201</v>
      </c>
      <c r="JR255" s="1520">
        <v>0</v>
      </c>
      <c r="JS255" s="1520">
        <v>0</v>
      </c>
      <c r="JT255" s="1521">
        <v>0</v>
      </c>
      <c r="JU255" s="1521">
        <v>0</v>
      </c>
      <c r="JV255" s="1521">
        <v>0</v>
      </c>
      <c r="JW255" s="1521">
        <v>0</v>
      </c>
      <c r="JX255" s="1521">
        <v>0</v>
      </c>
      <c r="JY255" s="1521">
        <v>0</v>
      </c>
      <c r="JZ255" s="1521">
        <v>0</v>
      </c>
      <c r="KA255" s="1521">
        <v>0</v>
      </c>
      <c r="KB255" s="1521">
        <v>0</v>
      </c>
      <c r="KC255" s="1521">
        <v>0</v>
      </c>
      <c r="KD255" s="1521">
        <v>0</v>
      </c>
      <c r="KE255" s="1521">
        <v>0</v>
      </c>
      <c r="KF255" s="1521">
        <v>0</v>
      </c>
      <c r="KG255" s="1521">
        <v>0</v>
      </c>
      <c r="KH255" s="1521">
        <v>0</v>
      </c>
      <c r="KI255" s="1521">
        <v>0</v>
      </c>
      <c r="KJ255" s="1521">
        <v>0</v>
      </c>
      <c r="KK255" s="1521">
        <v>0</v>
      </c>
      <c r="KL255" s="1522">
        <v>0</v>
      </c>
      <c r="KM255" s="1520">
        <v>0</v>
      </c>
      <c r="KN255" s="1520">
        <v>0</v>
      </c>
      <c r="KO255" s="1521">
        <v>0</v>
      </c>
      <c r="KP255" s="1521">
        <v>0</v>
      </c>
      <c r="KQ255" s="1521">
        <v>0</v>
      </c>
      <c r="KR255" s="1521">
        <v>0</v>
      </c>
      <c r="KS255" s="1521">
        <v>0</v>
      </c>
      <c r="KT255" s="1521">
        <v>0</v>
      </c>
      <c r="KU255" s="1521">
        <v>0</v>
      </c>
      <c r="KV255" s="1521">
        <v>0</v>
      </c>
      <c r="KW255" s="1521">
        <v>0</v>
      </c>
      <c r="KX255" s="1521">
        <v>0</v>
      </c>
      <c r="KY255" s="1521">
        <v>0</v>
      </c>
      <c r="KZ255" s="1521">
        <v>0</v>
      </c>
      <c r="LA255" s="1521">
        <v>0</v>
      </c>
      <c r="LB255" s="1521">
        <v>0</v>
      </c>
      <c r="LC255" s="1521">
        <v>0</v>
      </c>
      <c r="LD255" s="1521">
        <v>0</v>
      </c>
      <c r="LE255" s="1521">
        <v>0</v>
      </c>
      <c r="LF255" s="1521">
        <v>0</v>
      </c>
      <c r="LG255" s="1522">
        <v>0</v>
      </c>
      <c r="LH255" s="1520">
        <v>0</v>
      </c>
      <c r="LI255" s="1520">
        <v>0</v>
      </c>
      <c r="LJ255" s="1521">
        <v>0</v>
      </c>
      <c r="LK255" s="1521">
        <v>0</v>
      </c>
      <c r="LL255" s="1521">
        <v>0</v>
      </c>
      <c r="LM255" s="1521">
        <v>0</v>
      </c>
      <c r="LN255" s="1521">
        <v>0</v>
      </c>
      <c r="LO255" s="1521">
        <v>0</v>
      </c>
      <c r="LP255" s="1521">
        <v>0</v>
      </c>
      <c r="LQ255" s="1521">
        <v>0</v>
      </c>
      <c r="LR255" s="1521">
        <v>0</v>
      </c>
      <c r="LS255" s="1521">
        <v>0</v>
      </c>
      <c r="LT255" s="1521">
        <v>0</v>
      </c>
      <c r="LU255" s="1521">
        <v>0</v>
      </c>
      <c r="LV255" s="1521">
        <v>0</v>
      </c>
      <c r="LW255" s="1521">
        <v>0</v>
      </c>
      <c r="LX255" s="1521">
        <v>0</v>
      </c>
      <c r="LY255" s="1521">
        <v>0</v>
      </c>
      <c r="LZ255" s="1521">
        <v>0</v>
      </c>
      <c r="MA255" s="1521">
        <v>0</v>
      </c>
      <c r="MB255" s="1522">
        <v>0</v>
      </c>
      <c r="MC255" s="1520">
        <v>0</v>
      </c>
      <c r="MD255" s="1520">
        <v>0</v>
      </c>
      <c r="ME255" s="1521">
        <v>0</v>
      </c>
      <c r="MF255" s="1521">
        <v>0</v>
      </c>
      <c r="MG255" s="1521">
        <v>0</v>
      </c>
      <c r="MH255" s="1521">
        <v>0</v>
      </c>
      <c r="MI255" s="1521">
        <v>0</v>
      </c>
      <c r="MJ255" s="1521">
        <v>0</v>
      </c>
      <c r="MK255" s="1521">
        <v>0</v>
      </c>
      <c r="ML255" s="1521">
        <v>0</v>
      </c>
      <c r="MM255" s="1521">
        <v>0</v>
      </c>
      <c r="MN255" s="1521">
        <v>0</v>
      </c>
      <c r="MO255" s="1521">
        <v>0</v>
      </c>
      <c r="MP255" s="1521">
        <v>0</v>
      </c>
      <c r="MQ255" s="1521">
        <v>0</v>
      </c>
      <c r="MR255" s="1521">
        <v>0</v>
      </c>
      <c r="MS255" s="1521">
        <v>0</v>
      </c>
      <c r="MT255" s="1521">
        <v>0</v>
      </c>
      <c r="MU255" s="1521">
        <v>0</v>
      </c>
      <c r="MV255" s="1521">
        <v>0</v>
      </c>
      <c r="MW255" s="1522">
        <v>0</v>
      </c>
      <c r="MX255" s="1520">
        <v>0</v>
      </c>
      <c r="MY255" s="1520">
        <v>0</v>
      </c>
      <c r="MZ255" s="1521">
        <v>0</v>
      </c>
      <c r="NA255" s="1521">
        <v>0</v>
      </c>
      <c r="NB255" s="1521">
        <v>0</v>
      </c>
      <c r="NC255" s="1521">
        <v>0</v>
      </c>
      <c r="ND255" s="1521">
        <v>0</v>
      </c>
      <c r="NE255" s="1521">
        <v>0</v>
      </c>
      <c r="NF255" s="1521">
        <v>0</v>
      </c>
      <c r="NG255" s="1521">
        <v>0</v>
      </c>
      <c r="NH255" s="1521">
        <v>0</v>
      </c>
      <c r="NI255" s="1521">
        <v>0</v>
      </c>
      <c r="NJ255" s="1521">
        <v>0</v>
      </c>
      <c r="NK255" s="1521">
        <v>0</v>
      </c>
      <c r="NL255" s="1521">
        <v>0</v>
      </c>
      <c r="NM255" s="1521">
        <v>0</v>
      </c>
      <c r="NN255" s="1521">
        <v>0</v>
      </c>
      <c r="NO255" s="1521">
        <v>0</v>
      </c>
      <c r="NP255" s="1521">
        <v>0</v>
      </c>
      <c r="NQ255" s="1521">
        <v>0</v>
      </c>
      <c r="NR255" s="1522">
        <v>0</v>
      </c>
      <c r="NS255" s="1520">
        <v>0</v>
      </c>
      <c r="NT255" s="1520">
        <v>0</v>
      </c>
      <c r="NU255" s="1521">
        <v>0</v>
      </c>
      <c r="NV255" s="1521">
        <v>0</v>
      </c>
      <c r="NW255" s="1521">
        <v>0</v>
      </c>
      <c r="NX255" s="1521">
        <v>0</v>
      </c>
      <c r="NY255" s="1521">
        <v>0</v>
      </c>
      <c r="NZ255" s="1521">
        <v>0</v>
      </c>
      <c r="OA255" s="1521">
        <v>0</v>
      </c>
      <c r="OB255" s="1521">
        <v>0</v>
      </c>
      <c r="OC255" s="1521">
        <v>0</v>
      </c>
      <c r="OD255" s="1521">
        <v>0</v>
      </c>
      <c r="OE255" s="1521">
        <v>0</v>
      </c>
      <c r="OF255" s="1521">
        <v>0</v>
      </c>
      <c r="OG255" s="1521">
        <v>0</v>
      </c>
      <c r="OH255" s="1521">
        <v>0</v>
      </c>
      <c r="OI255" s="1521">
        <v>0</v>
      </c>
      <c r="OJ255" s="1521">
        <v>0</v>
      </c>
      <c r="OK255" s="1521">
        <v>0</v>
      </c>
      <c r="OL255" s="1521">
        <v>0</v>
      </c>
      <c r="OM255" s="1522">
        <v>0</v>
      </c>
      <c r="ON255" s="1520">
        <v>0</v>
      </c>
      <c r="OO255" s="1520">
        <v>0</v>
      </c>
      <c r="OP255" s="1521">
        <v>0</v>
      </c>
      <c r="OQ255" s="1521">
        <v>0</v>
      </c>
      <c r="OR255" s="1521">
        <v>0</v>
      </c>
      <c r="OS255" s="1521">
        <v>0</v>
      </c>
      <c r="OT255" s="1521">
        <v>0</v>
      </c>
      <c r="OU255" s="1521">
        <v>0</v>
      </c>
      <c r="OV255" s="1521">
        <v>0</v>
      </c>
      <c r="OW255" s="1521">
        <v>0</v>
      </c>
      <c r="OX255" s="1521">
        <v>0</v>
      </c>
      <c r="OY255" s="1521">
        <v>0</v>
      </c>
      <c r="OZ255" s="1521">
        <v>0</v>
      </c>
      <c r="PA255" s="1521">
        <v>0</v>
      </c>
      <c r="PB255" s="1521">
        <v>0</v>
      </c>
      <c r="PC255" s="1521">
        <v>0</v>
      </c>
      <c r="PD255" s="1521">
        <v>0</v>
      </c>
      <c r="PE255" s="1521">
        <v>0</v>
      </c>
      <c r="PF255" s="1521">
        <v>0</v>
      </c>
      <c r="PG255" s="1521">
        <v>0</v>
      </c>
      <c r="PH255" s="1522">
        <v>0</v>
      </c>
    </row>
    <row r="256" spans="277:424" ht="20.100000000000001" hidden="1" customHeight="1">
      <c r="JQ256" s="1519" t="s">
        <v>192</v>
      </c>
      <c r="JR256" s="1520">
        <v>0</v>
      </c>
      <c r="JS256" s="1520">
        <v>0</v>
      </c>
      <c r="JT256" s="1521">
        <v>0</v>
      </c>
      <c r="JU256" s="1521">
        <v>0</v>
      </c>
      <c r="JV256" s="1521">
        <v>0</v>
      </c>
      <c r="JW256" s="1521">
        <v>0</v>
      </c>
      <c r="JX256" s="1521">
        <v>0</v>
      </c>
      <c r="JY256" s="1521">
        <v>0</v>
      </c>
      <c r="JZ256" s="1521">
        <v>0</v>
      </c>
      <c r="KA256" s="1521">
        <v>0</v>
      </c>
      <c r="KB256" s="1521">
        <v>0</v>
      </c>
      <c r="KC256" s="1521">
        <v>0</v>
      </c>
      <c r="KD256" s="1521">
        <v>0</v>
      </c>
      <c r="KE256" s="1521">
        <v>0</v>
      </c>
      <c r="KF256" s="1521">
        <v>0</v>
      </c>
      <c r="KG256" s="1521">
        <v>0</v>
      </c>
      <c r="KH256" s="1521">
        <v>0</v>
      </c>
      <c r="KI256" s="1521">
        <v>0</v>
      </c>
      <c r="KJ256" s="1521">
        <v>0</v>
      </c>
      <c r="KK256" s="1521">
        <v>0</v>
      </c>
      <c r="KL256" s="1522">
        <v>0</v>
      </c>
      <c r="KM256" s="1520">
        <v>1</v>
      </c>
      <c r="KN256" s="1520">
        <v>0</v>
      </c>
      <c r="KO256" s="1521">
        <v>0</v>
      </c>
      <c r="KP256" s="1521">
        <v>0</v>
      </c>
      <c r="KQ256" s="1521">
        <v>0</v>
      </c>
      <c r="KR256" s="1521">
        <v>0</v>
      </c>
      <c r="KS256" s="1521">
        <v>0</v>
      </c>
      <c r="KT256" s="1521">
        <v>0</v>
      </c>
      <c r="KU256" s="1521">
        <v>0</v>
      </c>
      <c r="KV256" s="1521">
        <v>0</v>
      </c>
      <c r="KW256" s="1521">
        <v>0</v>
      </c>
      <c r="KX256" s="1521">
        <v>0</v>
      </c>
      <c r="KY256" s="1521">
        <v>0</v>
      </c>
      <c r="KZ256" s="1521">
        <v>0</v>
      </c>
      <c r="LA256" s="1521">
        <v>0</v>
      </c>
      <c r="LB256" s="1521">
        <v>0</v>
      </c>
      <c r="LC256" s="1521">
        <v>0</v>
      </c>
      <c r="LD256" s="1521">
        <v>0</v>
      </c>
      <c r="LE256" s="1521">
        <v>0</v>
      </c>
      <c r="LF256" s="1521">
        <v>0</v>
      </c>
      <c r="LG256" s="1522">
        <v>0</v>
      </c>
      <c r="LH256" s="1520">
        <v>0</v>
      </c>
      <c r="LI256" s="1520">
        <v>0</v>
      </c>
      <c r="LJ256" s="1521">
        <v>0</v>
      </c>
      <c r="LK256" s="1521">
        <v>0</v>
      </c>
      <c r="LL256" s="1521">
        <v>0</v>
      </c>
      <c r="LM256" s="1521">
        <v>0</v>
      </c>
      <c r="LN256" s="1521">
        <v>0</v>
      </c>
      <c r="LO256" s="1521">
        <v>0</v>
      </c>
      <c r="LP256" s="1521">
        <v>0</v>
      </c>
      <c r="LQ256" s="1521">
        <v>0</v>
      </c>
      <c r="LR256" s="1521">
        <v>0</v>
      </c>
      <c r="LS256" s="1521">
        <v>0</v>
      </c>
      <c r="LT256" s="1521">
        <v>0</v>
      </c>
      <c r="LU256" s="1521">
        <v>0</v>
      </c>
      <c r="LV256" s="1521">
        <v>0</v>
      </c>
      <c r="LW256" s="1521">
        <v>0</v>
      </c>
      <c r="LX256" s="1521">
        <v>0</v>
      </c>
      <c r="LY256" s="1521">
        <v>0</v>
      </c>
      <c r="LZ256" s="1521">
        <v>0</v>
      </c>
      <c r="MA256" s="1521">
        <v>0</v>
      </c>
      <c r="MB256" s="1522">
        <v>0</v>
      </c>
      <c r="MC256" s="1520">
        <v>0</v>
      </c>
      <c r="MD256" s="1520">
        <v>0</v>
      </c>
      <c r="ME256" s="1521">
        <v>0</v>
      </c>
      <c r="MF256" s="1521">
        <v>0</v>
      </c>
      <c r="MG256" s="1521">
        <v>0</v>
      </c>
      <c r="MH256" s="1521">
        <v>0</v>
      </c>
      <c r="MI256" s="1521">
        <v>0</v>
      </c>
      <c r="MJ256" s="1521">
        <v>0</v>
      </c>
      <c r="MK256" s="1521">
        <v>0</v>
      </c>
      <c r="ML256" s="1521">
        <v>0</v>
      </c>
      <c r="MM256" s="1521">
        <v>0</v>
      </c>
      <c r="MN256" s="1521">
        <v>0</v>
      </c>
      <c r="MO256" s="1521">
        <v>0</v>
      </c>
      <c r="MP256" s="1521">
        <v>0</v>
      </c>
      <c r="MQ256" s="1521">
        <v>0</v>
      </c>
      <c r="MR256" s="1521">
        <v>0</v>
      </c>
      <c r="MS256" s="1521">
        <v>0</v>
      </c>
      <c r="MT256" s="1521">
        <v>0</v>
      </c>
      <c r="MU256" s="1521">
        <v>0</v>
      </c>
      <c r="MV256" s="1521">
        <v>0</v>
      </c>
      <c r="MW256" s="1522">
        <v>0</v>
      </c>
      <c r="MX256" s="1520">
        <v>0</v>
      </c>
      <c r="MY256" s="1520">
        <v>0</v>
      </c>
      <c r="MZ256" s="1521">
        <v>0</v>
      </c>
      <c r="NA256" s="1521">
        <v>0</v>
      </c>
      <c r="NB256" s="1521">
        <v>0</v>
      </c>
      <c r="NC256" s="1521">
        <v>0</v>
      </c>
      <c r="ND256" s="1521">
        <v>0</v>
      </c>
      <c r="NE256" s="1521">
        <v>0</v>
      </c>
      <c r="NF256" s="1521">
        <v>0</v>
      </c>
      <c r="NG256" s="1521">
        <v>0</v>
      </c>
      <c r="NH256" s="1521">
        <v>0</v>
      </c>
      <c r="NI256" s="1521">
        <v>0</v>
      </c>
      <c r="NJ256" s="1521">
        <v>0</v>
      </c>
      <c r="NK256" s="1521">
        <v>0</v>
      </c>
      <c r="NL256" s="1521">
        <v>0</v>
      </c>
      <c r="NM256" s="1521">
        <v>0</v>
      </c>
      <c r="NN256" s="1521">
        <v>0</v>
      </c>
      <c r="NO256" s="1521">
        <v>0</v>
      </c>
      <c r="NP256" s="1521">
        <v>0</v>
      </c>
      <c r="NQ256" s="1521">
        <v>0</v>
      </c>
      <c r="NR256" s="1522">
        <v>0</v>
      </c>
      <c r="NS256" s="1520">
        <v>4</v>
      </c>
      <c r="NT256" s="1520">
        <v>0</v>
      </c>
      <c r="NU256" s="1521">
        <v>0</v>
      </c>
      <c r="NV256" s="1521">
        <v>0</v>
      </c>
      <c r="NW256" s="1521">
        <v>0</v>
      </c>
      <c r="NX256" s="1521">
        <v>0</v>
      </c>
      <c r="NY256" s="1521">
        <v>0</v>
      </c>
      <c r="NZ256" s="1521">
        <v>0</v>
      </c>
      <c r="OA256" s="1521">
        <v>0</v>
      </c>
      <c r="OB256" s="1521">
        <v>0</v>
      </c>
      <c r="OC256" s="1521">
        <v>0</v>
      </c>
      <c r="OD256" s="1521">
        <v>0</v>
      </c>
      <c r="OE256" s="1521">
        <v>0</v>
      </c>
      <c r="OF256" s="1521">
        <v>0</v>
      </c>
      <c r="OG256" s="1521">
        <v>0</v>
      </c>
      <c r="OH256" s="1521">
        <v>0</v>
      </c>
      <c r="OI256" s="1521">
        <v>0</v>
      </c>
      <c r="OJ256" s="1521">
        <v>0</v>
      </c>
      <c r="OK256" s="1521">
        <v>0</v>
      </c>
      <c r="OL256" s="1521">
        <v>0</v>
      </c>
      <c r="OM256" s="1522">
        <v>0</v>
      </c>
      <c r="ON256" s="1520">
        <v>6</v>
      </c>
      <c r="OO256" s="1520">
        <v>0</v>
      </c>
      <c r="OP256" s="1521">
        <v>0</v>
      </c>
      <c r="OQ256" s="1521">
        <v>0</v>
      </c>
      <c r="OR256" s="1521">
        <v>0</v>
      </c>
      <c r="OS256" s="1521">
        <v>0</v>
      </c>
      <c r="OT256" s="1521">
        <v>0</v>
      </c>
      <c r="OU256" s="1521">
        <v>0</v>
      </c>
      <c r="OV256" s="1521">
        <v>0</v>
      </c>
      <c r="OW256" s="1521">
        <v>0</v>
      </c>
      <c r="OX256" s="1521">
        <v>0</v>
      </c>
      <c r="OY256" s="1521">
        <v>0</v>
      </c>
      <c r="OZ256" s="1521">
        <v>0</v>
      </c>
      <c r="PA256" s="1521">
        <v>0</v>
      </c>
      <c r="PB256" s="1521">
        <v>0</v>
      </c>
      <c r="PC256" s="1521">
        <v>0</v>
      </c>
      <c r="PD256" s="1521">
        <v>0</v>
      </c>
      <c r="PE256" s="1521">
        <v>0</v>
      </c>
      <c r="PF256" s="1521">
        <v>0</v>
      </c>
      <c r="PG256" s="1521">
        <v>0</v>
      </c>
      <c r="PH256" s="1522">
        <v>0</v>
      </c>
    </row>
    <row r="257" spans="277:424" ht="20.100000000000001" hidden="1" customHeight="1">
      <c r="JQ257" s="1519" t="s">
        <v>202</v>
      </c>
      <c r="JR257" s="1520">
        <v>0</v>
      </c>
      <c r="JS257" s="1520">
        <v>0</v>
      </c>
      <c r="JT257" s="1521">
        <v>0</v>
      </c>
      <c r="JU257" s="1521">
        <v>0</v>
      </c>
      <c r="JV257" s="1521">
        <v>0</v>
      </c>
      <c r="JW257" s="1521">
        <v>0</v>
      </c>
      <c r="JX257" s="1521">
        <v>0</v>
      </c>
      <c r="JY257" s="1521">
        <v>0</v>
      </c>
      <c r="JZ257" s="1521">
        <v>0</v>
      </c>
      <c r="KA257" s="1521">
        <v>0</v>
      </c>
      <c r="KB257" s="1521">
        <v>0</v>
      </c>
      <c r="KC257" s="1521">
        <v>0</v>
      </c>
      <c r="KD257" s="1521">
        <v>0</v>
      </c>
      <c r="KE257" s="1521">
        <v>0</v>
      </c>
      <c r="KF257" s="1521">
        <v>0</v>
      </c>
      <c r="KG257" s="1521">
        <v>0</v>
      </c>
      <c r="KH257" s="1521">
        <v>0</v>
      </c>
      <c r="KI257" s="1521">
        <v>0</v>
      </c>
      <c r="KJ257" s="1521">
        <v>0</v>
      </c>
      <c r="KK257" s="1521">
        <v>0</v>
      </c>
      <c r="KL257" s="1522">
        <v>0</v>
      </c>
      <c r="KM257" s="1520">
        <v>0</v>
      </c>
      <c r="KN257" s="1520">
        <v>0</v>
      </c>
      <c r="KO257" s="1521">
        <v>0</v>
      </c>
      <c r="KP257" s="1521">
        <v>0</v>
      </c>
      <c r="KQ257" s="1521">
        <v>0</v>
      </c>
      <c r="KR257" s="1521">
        <v>0</v>
      </c>
      <c r="KS257" s="1521">
        <v>0</v>
      </c>
      <c r="KT257" s="1521">
        <v>0</v>
      </c>
      <c r="KU257" s="1521">
        <v>0</v>
      </c>
      <c r="KV257" s="1521">
        <v>0</v>
      </c>
      <c r="KW257" s="1521">
        <v>0</v>
      </c>
      <c r="KX257" s="1521">
        <v>0</v>
      </c>
      <c r="KY257" s="1521">
        <v>0</v>
      </c>
      <c r="KZ257" s="1521">
        <v>0</v>
      </c>
      <c r="LA257" s="1521">
        <v>0</v>
      </c>
      <c r="LB257" s="1521">
        <v>0</v>
      </c>
      <c r="LC257" s="1521">
        <v>0</v>
      </c>
      <c r="LD257" s="1521">
        <v>0</v>
      </c>
      <c r="LE257" s="1521">
        <v>0</v>
      </c>
      <c r="LF257" s="1521">
        <v>0</v>
      </c>
      <c r="LG257" s="1522">
        <v>0</v>
      </c>
      <c r="LH257" s="1520">
        <v>0</v>
      </c>
      <c r="LI257" s="1520">
        <v>0</v>
      </c>
      <c r="LJ257" s="1521">
        <v>0</v>
      </c>
      <c r="LK257" s="1521">
        <v>0</v>
      </c>
      <c r="LL257" s="1521">
        <v>0</v>
      </c>
      <c r="LM257" s="1521">
        <v>0</v>
      </c>
      <c r="LN257" s="1521">
        <v>0</v>
      </c>
      <c r="LO257" s="1521">
        <v>0</v>
      </c>
      <c r="LP257" s="1521">
        <v>0</v>
      </c>
      <c r="LQ257" s="1521">
        <v>0</v>
      </c>
      <c r="LR257" s="1521">
        <v>0</v>
      </c>
      <c r="LS257" s="1521">
        <v>0</v>
      </c>
      <c r="LT257" s="1521">
        <v>0</v>
      </c>
      <c r="LU257" s="1521">
        <v>0</v>
      </c>
      <c r="LV257" s="1521">
        <v>0</v>
      </c>
      <c r="LW257" s="1521">
        <v>0</v>
      </c>
      <c r="LX257" s="1521">
        <v>0</v>
      </c>
      <c r="LY257" s="1521">
        <v>0</v>
      </c>
      <c r="LZ257" s="1521">
        <v>0</v>
      </c>
      <c r="MA257" s="1521">
        <v>0</v>
      </c>
      <c r="MB257" s="1522">
        <v>0</v>
      </c>
      <c r="MC257" s="1520">
        <v>0</v>
      </c>
      <c r="MD257" s="1520">
        <v>0</v>
      </c>
      <c r="ME257" s="1521">
        <v>0</v>
      </c>
      <c r="MF257" s="1521">
        <v>0</v>
      </c>
      <c r="MG257" s="1521">
        <v>0</v>
      </c>
      <c r="MH257" s="1521">
        <v>0</v>
      </c>
      <c r="MI257" s="1521">
        <v>0</v>
      </c>
      <c r="MJ257" s="1521">
        <v>0</v>
      </c>
      <c r="MK257" s="1521">
        <v>0</v>
      </c>
      <c r="ML257" s="1521">
        <v>0</v>
      </c>
      <c r="MM257" s="1521">
        <v>0</v>
      </c>
      <c r="MN257" s="1521">
        <v>0</v>
      </c>
      <c r="MO257" s="1521">
        <v>0</v>
      </c>
      <c r="MP257" s="1521">
        <v>0</v>
      </c>
      <c r="MQ257" s="1521">
        <v>0</v>
      </c>
      <c r="MR257" s="1521">
        <v>0</v>
      </c>
      <c r="MS257" s="1521">
        <v>0</v>
      </c>
      <c r="MT257" s="1521">
        <v>0</v>
      </c>
      <c r="MU257" s="1521">
        <v>0</v>
      </c>
      <c r="MV257" s="1521">
        <v>0</v>
      </c>
      <c r="MW257" s="1522">
        <v>0</v>
      </c>
      <c r="MX257" s="1520">
        <v>0</v>
      </c>
      <c r="MY257" s="1520">
        <v>0</v>
      </c>
      <c r="MZ257" s="1521">
        <v>0</v>
      </c>
      <c r="NA257" s="1521">
        <v>0</v>
      </c>
      <c r="NB257" s="1521">
        <v>0</v>
      </c>
      <c r="NC257" s="1521">
        <v>0</v>
      </c>
      <c r="ND257" s="1521">
        <v>0</v>
      </c>
      <c r="NE257" s="1521">
        <v>0</v>
      </c>
      <c r="NF257" s="1521">
        <v>0</v>
      </c>
      <c r="NG257" s="1521">
        <v>0</v>
      </c>
      <c r="NH257" s="1521">
        <v>0</v>
      </c>
      <c r="NI257" s="1521">
        <v>0</v>
      </c>
      <c r="NJ257" s="1521">
        <v>0</v>
      </c>
      <c r="NK257" s="1521">
        <v>0</v>
      </c>
      <c r="NL257" s="1521">
        <v>0</v>
      </c>
      <c r="NM257" s="1521">
        <v>0</v>
      </c>
      <c r="NN257" s="1521">
        <v>0</v>
      </c>
      <c r="NO257" s="1521">
        <v>0</v>
      </c>
      <c r="NP257" s="1521">
        <v>0</v>
      </c>
      <c r="NQ257" s="1521">
        <v>0</v>
      </c>
      <c r="NR257" s="1522">
        <v>0</v>
      </c>
      <c r="NS257" s="1520">
        <v>0</v>
      </c>
      <c r="NT257" s="1520">
        <v>0</v>
      </c>
      <c r="NU257" s="1521">
        <v>0</v>
      </c>
      <c r="NV257" s="1521">
        <v>0</v>
      </c>
      <c r="NW257" s="1521">
        <v>0</v>
      </c>
      <c r="NX257" s="1521">
        <v>0</v>
      </c>
      <c r="NY257" s="1521">
        <v>0</v>
      </c>
      <c r="NZ257" s="1521">
        <v>0</v>
      </c>
      <c r="OA257" s="1521">
        <v>0</v>
      </c>
      <c r="OB257" s="1521">
        <v>0</v>
      </c>
      <c r="OC257" s="1521">
        <v>0</v>
      </c>
      <c r="OD257" s="1521">
        <v>0</v>
      </c>
      <c r="OE257" s="1521">
        <v>0</v>
      </c>
      <c r="OF257" s="1521">
        <v>0</v>
      </c>
      <c r="OG257" s="1521">
        <v>0</v>
      </c>
      <c r="OH257" s="1521">
        <v>0</v>
      </c>
      <c r="OI257" s="1521">
        <v>0</v>
      </c>
      <c r="OJ257" s="1521">
        <v>0</v>
      </c>
      <c r="OK257" s="1521">
        <v>0</v>
      </c>
      <c r="OL257" s="1521">
        <v>0</v>
      </c>
      <c r="OM257" s="1522">
        <v>0</v>
      </c>
      <c r="ON257" s="1520">
        <v>0</v>
      </c>
      <c r="OO257" s="1520">
        <v>0</v>
      </c>
      <c r="OP257" s="1521">
        <v>0</v>
      </c>
      <c r="OQ257" s="1521">
        <v>0</v>
      </c>
      <c r="OR257" s="1521">
        <v>0</v>
      </c>
      <c r="OS257" s="1521">
        <v>0</v>
      </c>
      <c r="OT257" s="1521">
        <v>0</v>
      </c>
      <c r="OU257" s="1521">
        <v>0</v>
      </c>
      <c r="OV257" s="1521">
        <v>0</v>
      </c>
      <c r="OW257" s="1521">
        <v>0</v>
      </c>
      <c r="OX257" s="1521">
        <v>0</v>
      </c>
      <c r="OY257" s="1521">
        <v>0</v>
      </c>
      <c r="OZ257" s="1521">
        <v>0</v>
      </c>
      <c r="PA257" s="1521">
        <v>0</v>
      </c>
      <c r="PB257" s="1521">
        <v>0</v>
      </c>
      <c r="PC257" s="1521">
        <v>0</v>
      </c>
      <c r="PD257" s="1521">
        <v>0</v>
      </c>
      <c r="PE257" s="1521">
        <v>0</v>
      </c>
      <c r="PF257" s="1521">
        <v>0</v>
      </c>
      <c r="PG257" s="1521">
        <v>0</v>
      </c>
      <c r="PH257" s="1522">
        <v>0</v>
      </c>
    </row>
    <row r="258" spans="277:424" ht="20.100000000000001" hidden="1" customHeight="1">
      <c r="JQ258" s="1519" t="s">
        <v>203</v>
      </c>
      <c r="JR258" s="1520">
        <v>0</v>
      </c>
      <c r="JS258" s="1520">
        <v>0</v>
      </c>
      <c r="JT258" s="1521">
        <v>0</v>
      </c>
      <c r="JU258" s="1521">
        <v>0</v>
      </c>
      <c r="JV258" s="1521">
        <v>0</v>
      </c>
      <c r="JW258" s="1521">
        <v>0</v>
      </c>
      <c r="JX258" s="1521">
        <v>0</v>
      </c>
      <c r="JY258" s="1521">
        <v>0</v>
      </c>
      <c r="JZ258" s="1521">
        <v>0</v>
      </c>
      <c r="KA258" s="1521">
        <v>0</v>
      </c>
      <c r="KB258" s="1521">
        <v>0</v>
      </c>
      <c r="KC258" s="1521">
        <v>0</v>
      </c>
      <c r="KD258" s="1521">
        <v>0</v>
      </c>
      <c r="KE258" s="1521">
        <v>0</v>
      </c>
      <c r="KF258" s="1521">
        <v>0</v>
      </c>
      <c r="KG258" s="1521">
        <v>0</v>
      </c>
      <c r="KH258" s="1521">
        <v>0</v>
      </c>
      <c r="KI258" s="1521">
        <v>0</v>
      </c>
      <c r="KJ258" s="1521">
        <v>0</v>
      </c>
      <c r="KK258" s="1521">
        <v>0</v>
      </c>
      <c r="KL258" s="1522">
        <v>0</v>
      </c>
      <c r="KM258" s="1520">
        <v>0</v>
      </c>
      <c r="KN258" s="1520">
        <v>0</v>
      </c>
      <c r="KO258" s="1521">
        <v>0</v>
      </c>
      <c r="KP258" s="1521">
        <v>0</v>
      </c>
      <c r="KQ258" s="1521">
        <v>0</v>
      </c>
      <c r="KR258" s="1521">
        <v>0</v>
      </c>
      <c r="KS258" s="1521">
        <v>0</v>
      </c>
      <c r="KT258" s="1521">
        <v>0</v>
      </c>
      <c r="KU258" s="1521">
        <v>0</v>
      </c>
      <c r="KV258" s="1521">
        <v>0</v>
      </c>
      <c r="KW258" s="1521">
        <v>0</v>
      </c>
      <c r="KX258" s="1521">
        <v>0</v>
      </c>
      <c r="KY258" s="1521">
        <v>0</v>
      </c>
      <c r="KZ258" s="1521">
        <v>0</v>
      </c>
      <c r="LA258" s="1521">
        <v>0</v>
      </c>
      <c r="LB258" s="1521">
        <v>0</v>
      </c>
      <c r="LC258" s="1521">
        <v>0</v>
      </c>
      <c r="LD258" s="1521">
        <v>0</v>
      </c>
      <c r="LE258" s="1521">
        <v>0</v>
      </c>
      <c r="LF258" s="1521">
        <v>0</v>
      </c>
      <c r="LG258" s="1522">
        <v>0</v>
      </c>
      <c r="LH258" s="1520">
        <v>0</v>
      </c>
      <c r="LI258" s="1520">
        <v>0</v>
      </c>
      <c r="LJ258" s="1521">
        <v>0</v>
      </c>
      <c r="LK258" s="1521">
        <v>0</v>
      </c>
      <c r="LL258" s="1521">
        <v>0</v>
      </c>
      <c r="LM258" s="1521">
        <v>0</v>
      </c>
      <c r="LN258" s="1521">
        <v>0</v>
      </c>
      <c r="LO258" s="1521">
        <v>0</v>
      </c>
      <c r="LP258" s="1521">
        <v>0</v>
      </c>
      <c r="LQ258" s="1521">
        <v>0</v>
      </c>
      <c r="LR258" s="1521">
        <v>0</v>
      </c>
      <c r="LS258" s="1521">
        <v>0</v>
      </c>
      <c r="LT258" s="1521">
        <v>0</v>
      </c>
      <c r="LU258" s="1521">
        <v>0</v>
      </c>
      <c r="LV258" s="1521">
        <v>0</v>
      </c>
      <c r="LW258" s="1521">
        <v>0</v>
      </c>
      <c r="LX258" s="1521">
        <v>0</v>
      </c>
      <c r="LY258" s="1521">
        <v>0</v>
      </c>
      <c r="LZ258" s="1521">
        <v>0</v>
      </c>
      <c r="MA258" s="1521">
        <v>0</v>
      </c>
      <c r="MB258" s="1522">
        <v>0</v>
      </c>
      <c r="MC258" s="1520">
        <v>0</v>
      </c>
      <c r="MD258" s="1520">
        <v>0</v>
      </c>
      <c r="ME258" s="1521">
        <v>0</v>
      </c>
      <c r="MF258" s="1521">
        <v>0</v>
      </c>
      <c r="MG258" s="1521">
        <v>0</v>
      </c>
      <c r="MH258" s="1521">
        <v>0</v>
      </c>
      <c r="MI258" s="1521">
        <v>0</v>
      </c>
      <c r="MJ258" s="1521">
        <v>0</v>
      </c>
      <c r="MK258" s="1521">
        <v>0</v>
      </c>
      <c r="ML258" s="1521">
        <v>0</v>
      </c>
      <c r="MM258" s="1521">
        <v>0</v>
      </c>
      <c r="MN258" s="1521">
        <v>0</v>
      </c>
      <c r="MO258" s="1521">
        <v>0</v>
      </c>
      <c r="MP258" s="1521">
        <v>0</v>
      </c>
      <c r="MQ258" s="1521">
        <v>0</v>
      </c>
      <c r="MR258" s="1521">
        <v>0</v>
      </c>
      <c r="MS258" s="1521">
        <v>0</v>
      </c>
      <c r="MT258" s="1521">
        <v>0</v>
      </c>
      <c r="MU258" s="1521">
        <v>0</v>
      </c>
      <c r="MV258" s="1521">
        <v>0</v>
      </c>
      <c r="MW258" s="1522">
        <v>0</v>
      </c>
      <c r="MX258" s="1520">
        <v>0</v>
      </c>
      <c r="MY258" s="1520">
        <v>0</v>
      </c>
      <c r="MZ258" s="1521">
        <v>0</v>
      </c>
      <c r="NA258" s="1521">
        <v>0</v>
      </c>
      <c r="NB258" s="1521">
        <v>0</v>
      </c>
      <c r="NC258" s="1521">
        <v>0</v>
      </c>
      <c r="ND258" s="1521">
        <v>0</v>
      </c>
      <c r="NE258" s="1521">
        <v>0</v>
      </c>
      <c r="NF258" s="1521">
        <v>0</v>
      </c>
      <c r="NG258" s="1521">
        <v>0</v>
      </c>
      <c r="NH258" s="1521">
        <v>0</v>
      </c>
      <c r="NI258" s="1521">
        <v>0</v>
      </c>
      <c r="NJ258" s="1521">
        <v>0</v>
      </c>
      <c r="NK258" s="1521">
        <v>0</v>
      </c>
      <c r="NL258" s="1521">
        <v>0</v>
      </c>
      <c r="NM258" s="1521">
        <v>0</v>
      </c>
      <c r="NN258" s="1521">
        <v>0</v>
      </c>
      <c r="NO258" s="1521">
        <v>0</v>
      </c>
      <c r="NP258" s="1521">
        <v>0</v>
      </c>
      <c r="NQ258" s="1521">
        <v>0</v>
      </c>
      <c r="NR258" s="1522">
        <v>0</v>
      </c>
      <c r="NS258" s="1520">
        <v>0</v>
      </c>
      <c r="NT258" s="1520">
        <v>0</v>
      </c>
      <c r="NU258" s="1521">
        <v>0</v>
      </c>
      <c r="NV258" s="1521">
        <v>0</v>
      </c>
      <c r="NW258" s="1521">
        <v>0</v>
      </c>
      <c r="NX258" s="1521">
        <v>0</v>
      </c>
      <c r="NY258" s="1521">
        <v>0</v>
      </c>
      <c r="NZ258" s="1521">
        <v>0</v>
      </c>
      <c r="OA258" s="1521">
        <v>0</v>
      </c>
      <c r="OB258" s="1521">
        <v>0</v>
      </c>
      <c r="OC258" s="1521">
        <v>0</v>
      </c>
      <c r="OD258" s="1521">
        <v>0</v>
      </c>
      <c r="OE258" s="1521">
        <v>0</v>
      </c>
      <c r="OF258" s="1521">
        <v>0</v>
      </c>
      <c r="OG258" s="1521">
        <v>0</v>
      </c>
      <c r="OH258" s="1521">
        <v>0</v>
      </c>
      <c r="OI258" s="1521">
        <v>0</v>
      </c>
      <c r="OJ258" s="1521">
        <v>0</v>
      </c>
      <c r="OK258" s="1521">
        <v>0</v>
      </c>
      <c r="OL258" s="1521">
        <v>0</v>
      </c>
      <c r="OM258" s="1522">
        <v>0</v>
      </c>
      <c r="ON258" s="1520">
        <v>0</v>
      </c>
      <c r="OO258" s="1520">
        <v>0</v>
      </c>
      <c r="OP258" s="1521">
        <v>0</v>
      </c>
      <c r="OQ258" s="1521">
        <v>0</v>
      </c>
      <c r="OR258" s="1521">
        <v>0</v>
      </c>
      <c r="OS258" s="1521">
        <v>0</v>
      </c>
      <c r="OT258" s="1521">
        <v>0</v>
      </c>
      <c r="OU258" s="1521">
        <v>0</v>
      </c>
      <c r="OV258" s="1521">
        <v>0</v>
      </c>
      <c r="OW258" s="1521">
        <v>0</v>
      </c>
      <c r="OX258" s="1521">
        <v>0</v>
      </c>
      <c r="OY258" s="1521">
        <v>0</v>
      </c>
      <c r="OZ258" s="1521">
        <v>0</v>
      </c>
      <c r="PA258" s="1521">
        <v>0</v>
      </c>
      <c r="PB258" s="1521">
        <v>0</v>
      </c>
      <c r="PC258" s="1521">
        <v>0</v>
      </c>
      <c r="PD258" s="1521">
        <v>0</v>
      </c>
      <c r="PE258" s="1521">
        <v>0</v>
      </c>
      <c r="PF258" s="1521">
        <v>0</v>
      </c>
      <c r="PG258" s="1521">
        <v>0</v>
      </c>
      <c r="PH258" s="1522">
        <v>0</v>
      </c>
    </row>
    <row r="259" spans="277:424" ht="20.100000000000001" hidden="1" customHeight="1">
      <c r="JQ259" s="1519" t="s">
        <v>204</v>
      </c>
      <c r="JR259" s="1520">
        <v>0</v>
      </c>
      <c r="JS259" s="1520">
        <v>0</v>
      </c>
      <c r="JT259" s="1521">
        <v>0</v>
      </c>
      <c r="JU259" s="1521">
        <v>0</v>
      </c>
      <c r="JV259" s="1521">
        <v>0</v>
      </c>
      <c r="JW259" s="1521">
        <v>0</v>
      </c>
      <c r="JX259" s="1521">
        <v>0</v>
      </c>
      <c r="JY259" s="1521">
        <v>0</v>
      </c>
      <c r="JZ259" s="1521">
        <v>0</v>
      </c>
      <c r="KA259" s="1521">
        <v>0</v>
      </c>
      <c r="KB259" s="1521">
        <v>0</v>
      </c>
      <c r="KC259" s="1521">
        <v>0</v>
      </c>
      <c r="KD259" s="1521">
        <v>0</v>
      </c>
      <c r="KE259" s="1521">
        <v>0</v>
      </c>
      <c r="KF259" s="1521">
        <v>0</v>
      </c>
      <c r="KG259" s="1521">
        <v>0</v>
      </c>
      <c r="KH259" s="1521">
        <v>0</v>
      </c>
      <c r="KI259" s="1521">
        <v>0</v>
      </c>
      <c r="KJ259" s="1521">
        <v>0</v>
      </c>
      <c r="KK259" s="1521">
        <v>0</v>
      </c>
      <c r="KL259" s="1522">
        <v>0</v>
      </c>
      <c r="KM259" s="1520">
        <v>0</v>
      </c>
      <c r="KN259" s="1520">
        <v>0</v>
      </c>
      <c r="KO259" s="1521">
        <v>0</v>
      </c>
      <c r="KP259" s="1521">
        <v>0</v>
      </c>
      <c r="KQ259" s="1521">
        <v>0</v>
      </c>
      <c r="KR259" s="1521">
        <v>0</v>
      </c>
      <c r="KS259" s="1521">
        <v>0</v>
      </c>
      <c r="KT259" s="1521">
        <v>0</v>
      </c>
      <c r="KU259" s="1521">
        <v>0</v>
      </c>
      <c r="KV259" s="1521">
        <v>0</v>
      </c>
      <c r="KW259" s="1521">
        <v>0</v>
      </c>
      <c r="KX259" s="1521">
        <v>0</v>
      </c>
      <c r="KY259" s="1521">
        <v>0</v>
      </c>
      <c r="KZ259" s="1521">
        <v>0</v>
      </c>
      <c r="LA259" s="1521">
        <v>0</v>
      </c>
      <c r="LB259" s="1521">
        <v>0</v>
      </c>
      <c r="LC259" s="1521">
        <v>0</v>
      </c>
      <c r="LD259" s="1521">
        <v>0</v>
      </c>
      <c r="LE259" s="1521">
        <v>0</v>
      </c>
      <c r="LF259" s="1521">
        <v>0</v>
      </c>
      <c r="LG259" s="1522">
        <v>0</v>
      </c>
      <c r="LH259" s="1520">
        <v>0</v>
      </c>
      <c r="LI259" s="1520">
        <v>0</v>
      </c>
      <c r="LJ259" s="1521">
        <v>0</v>
      </c>
      <c r="LK259" s="1521">
        <v>0</v>
      </c>
      <c r="LL259" s="1521">
        <v>0</v>
      </c>
      <c r="LM259" s="1521">
        <v>0</v>
      </c>
      <c r="LN259" s="1521">
        <v>0</v>
      </c>
      <c r="LO259" s="1521">
        <v>0</v>
      </c>
      <c r="LP259" s="1521">
        <v>0</v>
      </c>
      <c r="LQ259" s="1521">
        <v>0</v>
      </c>
      <c r="LR259" s="1521">
        <v>0</v>
      </c>
      <c r="LS259" s="1521">
        <v>0</v>
      </c>
      <c r="LT259" s="1521">
        <v>0</v>
      </c>
      <c r="LU259" s="1521">
        <v>0</v>
      </c>
      <c r="LV259" s="1521">
        <v>0</v>
      </c>
      <c r="LW259" s="1521">
        <v>0</v>
      </c>
      <c r="LX259" s="1521">
        <v>0</v>
      </c>
      <c r="LY259" s="1521">
        <v>0</v>
      </c>
      <c r="LZ259" s="1521">
        <v>0</v>
      </c>
      <c r="MA259" s="1521">
        <v>0</v>
      </c>
      <c r="MB259" s="1522">
        <v>0</v>
      </c>
      <c r="MC259" s="1520">
        <v>0</v>
      </c>
      <c r="MD259" s="1520">
        <v>0</v>
      </c>
      <c r="ME259" s="1521">
        <v>0</v>
      </c>
      <c r="MF259" s="1521">
        <v>0</v>
      </c>
      <c r="MG259" s="1521">
        <v>0</v>
      </c>
      <c r="MH259" s="1521">
        <v>0</v>
      </c>
      <c r="MI259" s="1521">
        <v>0</v>
      </c>
      <c r="MJ259" s="1521">
        <v>0</v>
      </c>
      <c r="MK259" s="1521">
        <v>0</v>
      </c>
      <c r="ML259" s="1521">
        <v>0</v>
      </c>
      <c r="MM259" s="1521">
        <v>0</v>
      </c>
      <c r="MN259" s="1521">
        <v>0</v>
      </c>
      <c r="MO259" s="1521">
        <v>0</v>
      </c>
      <c r="MP259" s="1521">
        <v>0</v>
      </c>
      <c r="MQ259" s="1521">
        <v>0</v>
      </c>
      <c r="MR259" s="1521">
        <v>0</v>
      </c>
      <c r="MS259" s="1521">
        <v>0</v>
      </c>
      <c r="MT259" s="1521">
        <v>0</v>
      </c>
      <c r="MU259" s="1521">
        <v>0</v>
      </c>
      <c r="MV259" s="1521">
        <v>0</v>
      </c>
      <c r="MW259" s="1522">
        <v>0</v>
      </c>
      <c r="MX259" s="1520">
        <v>0</v>
      </c>
      <c r="MY259" s="1520">
        <v>0</v>
      </c>
      <c r="MZ259" s="1521">
        <v>0</v>
      </c>
      <c r="NA259" s="1521">
        <v>0</v>
      </c>
      <c r="NB259" s="1521">
        <v>0</v>
      </c>
      <c r="NC259" s="1521">
        <v>0</v>
      </c>
      <c r="ND259" s="1521">
        <v>0</v>
      </c>
      <c r="NE259" s="1521">
        <v>0</v>
      </c>
      <c r="NF259" s="1521">
        <v>0</v>
      </c>
      <c r="NG259" s="1521">
        <v>0</v>
      </c>
      <c r="NH259" s="1521">
        <v>0</v>
      </c>
      <c r="NI259" s="1521">
        <v>0</v>
      </c>
      <c r="NJ259" s="1521">
        <v>0</v>
      </c>
      <c r="NK259" s="1521">
        <v>0</v>
      </c>
      <c r="NL259" s="1521">
        <v>0</v>
      </c>
      <c r="NM259" s="1521">
        <v>0</v>
      </c>
      <c r="NN259" s="1521">
        <v>0</v>
      </c>
      <c r="NO259" s="1521">
        <v>0</v>
      </c>
      <c r="NP259" s="1521">
        <v>0</v>
      </c>
      <c r="NQ259" s="1521">
        <v>0</v>
      </c>
      <c r="NR259" s="1522">
        <v>0</v>
      </c>
      <c r="NS259" s="1520">
        <v>0</v>
      </c>
      <c r="NT259" s="1520">
        <v>0</v>
      </c>
      <c r="NU259" s="1521">
        <v>0</v>
      </c>
      <c r="NV259" s="1521">
        <v>0</v>
      </c>
      <c r="NW259" s="1521">
        <v>0</v>
      </c>
      <c r="NX259" s="1521">
        <v>0</v>
      </c>
      <c r="NY259" s="1521">
        <v>0</v>
      </c>
      <c r="NZ259" s="1521">
        <v>0</v>
      </c>
      <c r="OA259" s="1521">
        <v>0</v>
      </c>
      <c r="OB259" s="1521">
        <v>0</v>
      </c>
      <c r="OC259" s="1521">
        <v>0</v>
      </c>
      <c r="OD259" s="1521">
        <v>0</v>
      </c>
      <c r="OE259" s="1521">
        <v>0</v>
      </c>
      <c r="OF259" s="1521">
        <v>0</v>
      </c>
      <c r="OG259" s="1521">
        <v>0</v>
      </c>
      <c r="OH259" s="1521">
        <v>0</v>
      </c>
      <c r="OI259" s="1521">
        <v>0</v>
      </c>
      <c r="OJ259" s="1521">
        <v>0</v>
      </c>
      <c r="OK259" s="1521">
        <v>0</v>
      </c>
      <c r="OL259" s="1521">
        <v>0</v>
      </c>
      <c r="OM259" s="1522">
        <v>0</v>
      </c>
      <c r="ON259" s="1520">
        <v>0</v>
      </c>
      <c r="OO259" s="1520">
        <v>0</v>
      </c>
      <c r="OP259" s="1521">
        <v>0</v>
      </c>
      <c r="OQ259" s="1521">
        <v>0</v>
      </c>
      <c r="OR259" s="1521">
        <v>0</v>
      </c>
      <c r="OS259" s="1521">
        <v>0</v>
      </c>
      <c r="OT259" s="1521">
        <v>0</v>
      </c>
      <c r="OU259" s="1521">
        <v>0</v>
      </c>
      <c r="OV259" s="1521">
        <v>0</v>
      </c>
      <c r="OW259" s="1521">
        <v>0</v>
      </c>
      <c r="OX259" s="1521">
        <v>0</v>
      </c>
      <c r="OY259" s="1521">
        <v>0</v>
      </c>
      <c r="OZ259" s="1521">
        <v>0</v>
      </c>
      <c r="PA259" s="1521">
        <v>0</v>
      </c>
      <c r="PB259" s="1521">
        <v>0</v>
      </c>
      <c r="PC259" s="1521">
        <v>0</v>
      </c>
      <c r="PD259" s="1521">
        <v>0</v>
      </c>
      <c r="PE259" s="1521">
        <v>0</v>
      </c>
      <c r="PF259" s="1521">
        <v>0</v>
      </c>
      <c r="PG259" s="1521">
        <v>0</v>
      </c>
      <c r="PH259" s="1522">
        <v>0</v>
      </c>
    </row>
    <row r="260" spans="277:424" ht="30" hidden="1" customHeight="1" thickBot="1">
      <c r="JQ260" s="1523" t="s">
        <v>3</v>
      </c>
      <c r="JR260" s="1524">
        <f>SUM(JR240:JR259)</f>
        <v>0</v>
      </c>
      <c r="JS260" s="1525">
        <f t="shared" ref="JS260:KL260" si="39">SUM(JS240:JS259)</f>
        <v>0</v>
      </c>
      <c r="JT260" s="1525">
        <f t="shared" si="39"/>
        <v>0</v>
      </c>
      <c r="JU260" s="1525">
        <f t="shared" si="39"/>
        <v>0</v>
      </c>
      <c r="JV260" s="1525">
        <f t="shared" si="39"/>
        <v>0</v>
      </c>
      <c r="JW260" s="1525">
        <f t="shared" si="39"/>
        <v>0</v>
      </c>
      <c r="JX260" s="1525">
        <f t="shared" si="39"/>
        <v>0</v>
      </c>
      <c r="JY260" s="1525">
        <f t="shared" si="39"/>
        <v>0</v>
      </c>
      <c r="JZ260" s="1525">
        <f t="shared" si="39"/>
        <v>0</v>
      </c>
      <c r="KA260" s="1525">
        <f t="shared" si="39"/>
        <v>0</v>
      </c>
      <c r="KB260" s="1525">
        <f t="shared" si="39"/>
        <v>0</v>
      </c>
      <c r="KC260" s="1525">
        <f t="shared" si="39"/>
        <v>0</v>
      </c>
      <c r="KD260" s="1525">
        <f t="shared" si="39"/>
        <v>0</v>
      </c>
      <c r="KE260" s="1525">
        <f t="shared" si="39"/>
        <v>0</v>
      </c>
      <c r="KF260" s="1525">
        <f t="shared" si="39"/>
        <v>0</v>
      </c>
      <c r="KG260" s="1525">
        <f t="shared" si="39"/>
        <v>0</v>
      </c>
      <c r="KH260" s="1525">
        <f t="shared" si="39"/>
        <v>0</v>
      </c>
      <c r="KI260" s="1525">
        <f t="shared" si="39"/>
        <v>0</v>
      </c>
      <c r="KJ260" s="1525">
        <f t="shared" si="39"/>
        <v>0</v>
      </c>
      <c r="KK260" s="1525">
        <f t="shared" si="39"/>
        <v>0</v>
      </c>
      <c r="KL260" s="1526">
        <f t="shared" si="39"/>
        <v>0</v>
      </c>
      <c r="KM260" s="1524">
        <f>SUM(KM240:KM259)</f>
        <v>15</v>
      </c>
      <c r="KN260" s="1525">
        <f t="shared" ref="KN260:LG260" si="40">SUM(KN240:KN259)</f>
        <v>0</v>
      </c>
      <c r="KO260" s="1525">
        <f t="shared" si="40"/>
        <v>0</v>
      </c>
      <c r="KP260" s="1525">
        <f t="shared" si="40"/>
        <v>0</v>
      </c>
      <c r="KQ260" s="1525">
        <f t="shared" si="40"/>
        <v>0</v>
      </c>
      <c r="KR260" s="1525">
        <f t="shared" si="40"/>
        <v>0</v>
      </c>
      <c r="KS260" s="1525">
        <f t="shared" si="40"/>
        <v>0</v>
      </c>
      <c r="KT260" s="1525">
        <f t="shared" si="40"/>
        <v>0</v>
      </c>
      <c r="KU260" s="1525">
        <f t="shared" si="40"/>
        <v>0</v>
      </c>
      <c r="KV260" s="1525">
        <f t="shared" si="40"/>
        <v>0</v>
      </c>
      <c r="KW260" s="1525">
        <f t="shared" si="40"/>
        <v>0</v>
      </c>
      <c r="KX260" s="1525">
        <f t="shared" si="40"/>
        <v>0</v>
      </c>
      <c r="KY260" s="1525">
        <f t="shared" si="40"/>
        <v>0</v>
      </c>
      <c r="KZ260" s="1525">
        <f t="shared" si="40"/>
        <v>0</v>
      </c>
      <c r="LA260" s="1525">
        <f t="shared" si="40"/>
        <v>0</v>
      </c>
      <c r="LB260" s="1525">
        <f t="shared" si="40"/>
        <v>0</v>
      </c>
      <c r="LC260" s="1525">
        <f t="shared" si="40"/>
        <v>0</v>
      </c>
      <c r="LD260" s="1525">
        <f t="shared" si="40"/>
        <v>0</v>
      </c>
      <c r="LE260" s="1525">
        <f t="shared" si="40"/>
        <v>0</v>
      </c>
      <c r="LF260" s="1525">
        <f t="shared" si="40"/>
        <v>0</v>
      </c>
      <c r="LG260" s="1526">
        <f t="shared" si="40"/>
        <v>0</v>
      </c>
      <c r="LH260" s="1524">
        <f>SUM(LH240:LH259)</f>
        <v>2</v>
      </c>
      <c r="LI260" s="1525">
        <f t="shared" ref="LI260:MB260" si="41">SUM(LI240:LI259)</f>
        <v>0</v>
      </c>
      <c r="LJ260" s="1525">
        <f t="shared" si="41"/>
        <v>0</v>
      </c>
      <c r="LK260" s="1525">
        <f t="shared" si="41"/>
        <v>0</v>
      </c>
      <c r="LL260" s="1525">
        <f t="shared" si="41"/>
        <v>0</v>
      </c>
      <c r="LM260" s="1525">
        <f t="shared" si="41"/>
        <v>0</v>
      </c>
      <c r="LN260" s="1525">
        <f t="shared" si="41"/>
        <v>0</v>
      </c>
      <c r="LO260" s="1525">
        <f t="shared" si="41"/>
        <v>0</v>
      </c>
      <c r="LP260" s="1525">
        <f t="shared" si="41"/>
        <v>0</v>
      </c>
      <c r="LQ260" s="1525">
        <f t="shared" si="41"/>
        <v>0</v>
      </c>
      <c r="LR260" s="1525">
        <f t="shared" si="41"/>
        <v>0</v>
      </c>
      <c r="LS260" s="1525">
        <f t="shared" si="41"/>
        <v>0</v>
      </c>
      <c r="LT260" s="1525">
        <f t="shared" si="41"/>
        <v>0</v>
      </c>
      <c r="LU260" s="1525">
        <f t="shared" si="41"/>
        <v>0</v>
      </c>
      <c r="LV260" s="1525">
        <f t="shared" si="41"/>
        <v>0</v>
      </c>
      <c r="LW260" s="1525">
        <f t="shared" si="41"/>
        <v>0</v>
      </c>
      <c r="LX260" s="1525">
        <f t="shared" si="41"/>
        <v>0</v>
      </c>
      <c r="LY260" s="1525">
        <f t="shared" si="41"/>
        <v>0</v>
      </c>
      <c r="LZ260" s="1525">
        <f t="shared" si="41"/>
        <v>0</v>
      </c>
      <c r="MA260" s="1525">
        <f t="shared" si="41"/>
        <v>0</v>
      </c>
      <c r="MB260" s="1526">
        <f t="shared" si="41"/>
        <v>0</v>
      </c>
      <c r="MC260" s="1524">
        <f>SUM(MC240:MC259)</f>
        <v>0</v>
      </c>
      <c r="MD260" s="1525">
        <f t="shared" ref="MD260:NR260" si="42">SUM(MD240:MD259)</f>
        <v>0</v>
      </c>
      <c r="ME260" s="1525">
        <f t="shared" si="42"/>
        <v>0</v>
      </c>
      <c r="MF260" s="1525">
        <f t="shared" si="42"/>
        <v>0</v>
      </c>
      <c r="MG260" s="1525">
        <f t="shared" si="42"/>
        <v>0</v>
      </c>
      <c r="MH260" s="1525">
        <f t="shared" si="42"/>
        <v>0</v>
      </c>
      <c r="MI260" s="1525">
        <f t="shared" si="42"/>
        <v>0</v>
      </c>
      <c r="MJ260" s="1525">
        <f t="shared" si="42"/>
        <v>0</v>
      </c>
      <c r="MK260" s="1525">
        <f t="shared" si="42"/>
        <v>0</v>
      </c>
      <c r="ML260" s="1525">
        <f t="shared" si="42"/>
        <v>0</v>
      </c>
      <c r="MM260" s="1525">
        <f t="shared" si="42"/>
        <v>0</v>
      </c>
      <c r="MN260" s="1525">
        <f t="shared" si="42"/>
        <v>0</v>
      </c>
      <c r="MO260" s="1525">
        <f t="shared" si="42"/>
        <v>0</v>
      </c>
      <c r="MP260" s="1525">
        <f t="shared" si="42"/>
        <v>0</v>
      </c>
      <c r="MQ260" s="1525">
        <f t="shared" si="42"/>
        <v>0</v>
      </c>
      <c r="MR260" s="1525">
        <f t="shared" si="42"/>
        <v>0</v>
      </c>
      <c r="MS260" s="1525">
        <f t="shared" si="42"/>
        <v>0</v>
      </c>
      <c r="MT260" s="1525">
        <f t="shared" si="42"/>
        <v>0</v>
      </c>
      <c r="MU260" s="1525">
        <f t="shared" si="42"/>
        <v>0</v>
      </c>
      <c r="MV260" s="1525">
        <f t="shared" si="42"/>
        <v>0</v>
      </c>
      <c r="MW260" s="1526">
        <f t="shared" si="42"/>
        <v>0</v>
      </c>
      <c r="MX260" s="1524">
        <f>SUM(MX240:MX259)</f>
        <v>0</v>
      </c>
      <c r="MY260" s="1525">
        <f t="shared" si="42"/>
        <v>0</v>
      </c>
      <c r="MZ260" s="1525">
        <f t="shared" si="42"/>
        <v>0</v>
      </c>
      <c r="NA260" s="1525">
        <f t="shared" si="42"/>
        <v>0</v>
      </c>
      <c r="NB260" s="1525">
        <f t="shared" si="42"/>
        <v>0</v>
      </c>
      <c r="NC260" s="1525">
        <f t="shared" si="42"/>
        <v>0</v>
      </c>
      <c r="ND260" s="1525">
        <f t="shared" si="42"/>
        <v>0</v>
      </c>
      <c r="NE260" s="1525">
        <f t="shared" si="42"/>
        <v>0</v>
      </c>
      <c r="NF260" s="1525">
        <f t="shared" si="42"/>
        <v>0</v>
      </c>
      <c r="NG260" s="1525">
        <f t="shared" si="42"/>
        <v>0</v>
      </c>
      <c r="NH260" s="1525">
        <f t="shared" si="42"/>
        <v>0</v>
      </c>
      <c r="NI260" s="1525">
        <f t="shared" si="42"/>
        <v>0</v>
      </c>
      <c r="NJ260" s="1525">
        <f t="shared" si="42"/>
        <v>0</v>
      </c>
      <c r="NK260" s="1525">
        <f t="shared" si="42"/>
        <v>0</v>
      </c>
      <c r="NL260" s="1525">
        <f t="shared" si="42"/>
        <v>0</v>
      </c>
      <c r="NM260" s="1525">
        <f t="shared" si="42"/>
        <v>0</v>
      </c>
      <c r="NN260" s="1525">
        <f t="shared" si="42"/>
        <v>0</v>
      </c>
      <c r="NO260" s="1525">
        <f t="shared" si="42"/>
        <v>0</v>
      </c>
      <c r="NP260" s="1525">
        <f t="shared" si="42"/>
        <v>0</v>
      </c>
      <c r="NQ260" s="1525">
        <f t="shared" si="42"/>
        <v>0</v>
      </c>
      <c r="NR260" s="1526">
        <f t="shared" si="42"/>
        <v>0</v>
      </c>
      <c r="NS260" s="1524">
        <f>SUM(NS240:NS259)</f>
        <v>14</v>
      </c>
      <c r="NT260" s="1525">
        <f t="shared" ref="NT260:OM260" si="43">SUM(NT240:NT259)</f>
        <v>0</v>
      </c>
      <c r="NU260" s="1525">
        <f t="shared" si="43"/>
        <v>0</v>
      </c>
      <c r="NV260" s="1525">
        <f t="shared" si="43"/>
        <v>0</v>
      </c>
      <c r="NW260" s="1525">
        <f t="shared" si="43"/>
        <v>0</v>
      </c>
      <c r="NX260" s="1525">
        <f t="shared" si="43"/>
        <v>0</v>
      </c>
      <c r="NY260" s="1525">
        <f t="shared" si="43"/>
        <v>0</v>
      </c>
      <c r="NZ260" s="1525">
        <f t="shared" si="43"/>
        <v>0</v>
      </c>
      <c r="OA260" s="1525">
        <f t="shared" si="43"/>
        <v>0</v>
      </c>
      <c r="OB260" s="1525">
        <f t="shared" si="43"/>
        <v>0</v>
      </c>
      <c r="OC260" s="1525">
        <f t="shared" si="43"/>
        <v>0</v>
      </c>
      <c r="OD260" s="1525">
        <f t="shared" si="43"/>
        <v>0</v>
      </c>
      <c r="OE260" s="1525">
        <f t="shared" si="43"/>
        <v>0</v>
      </c>
      <c r="OF260" s="1525">
        <f t="shared" si="43"/>
        <v>0</v>
      </c>
      <c r="OG260" s="1525">
        <f t="shared" si="43"/>
        <v>0</v>
      </c>
      <c r="OH260" s="1525">
        <f t="shared" si="43"/>
        <v>0</v>
      </c>
      <c r="OI260" s="1525">
        <f t="shared" si="43"/>
        <v>0</v>
      </c>
      <c r="OJ260" s="1525">
        <f t="shared" si="43"/>
        <v>0</v>
      </c>
      <c r="OK260" s="1525">
        <f t="shared" si="43"/>
        <v>0</v>
      </c>
      <c r="OL260" s="1525">
        <f t="shared" si="43"/>
        <v>0</v>
      </c>
      <c r="OM260" s="1526">
        <f t="shared" si="43"/>
        <v>0</v>
      </c>
      <c r="ON260" s="1524">
        <f>SUM(ON240:ON259)</f>
        <v>21</v>
      </c>
      <c r="OO260" s="1525">
        <f t="shared" ref="OO260:PH260" si="44">SUM(OO240:OO259)</f>
        <v>0</v>
      </c>
      <c r="OP260" s="1525">
        <f t="shared" si="44"/>
        <v>0</v>
      </c>
      <c r="OQ260" s="1525">
        <f t="shared" si="44"/>
        <v>0</v>
      </c>
      <c r="OR260" s="1525">
        <f t="shared" si="44"/>
        <v>0</v>
      </c>
      <c r="OS260" s="1525">
        <f t="shared" si="44"/>
        <v>0</v>
      </c>
      <c r="OT260" s="1525">
        <f t="shared" si="44"/>
        <v>0</v>
      </c>
      <c r="OU260" s="1525">
        <f t="shared" si="44"/>
        <v>0</v>
      </c>
      <c r="OV260" s="1525">
        <f t="shared" si="44"/>
        <v>0</v>
      </c>
      <c r="OW260" s="1525">
        <f t="shared" si="44"/>
        <v>0</v>
      </c>
      <c r="OX260" s="1525">
        <f t="shared" si="44"/>
        <v>0</v>
      </c>
      <c r="OY260" s="1525">
        <f t="shared" si="44"/>
        <v>0</v>
      </c>
      <c r="OZ260" s="1525">
        <f t="shared" si="44"/>
        <v>0</v>
      </c>
      <c r="PA260" s="1525">
        <f t="shared" si="44"/>
        <v>0</v>
      </c>
      <c r="PB260" s="1525">
        <f t="shared" si="44"/>
        <v>0</v>
      </c>
      <c r="PC260" s="1525">
        <f t="shared" si="44"/>
        <v>0</v>
      </c>
      <c r="PD260" s="1525">
        <f t="shared" si="44"/>
        <v>0</v>
      </c>
      <c r="PE260" s="1525">
        <f t="shared" si="44"/>
        <v>0</v>
      </c>
      <c r="PF260" s="1525">
        <f t="shared" si="44"/>
        <v>0</v>
      </c>
      <c r="PG260" s="1525">
        <f t="shared" si="44"/>
        <v>0</v>
      </c>
      <c r="PH260" s="1526">
        <f t="shared" si="44"/>
        <v>0</v>
      </c>
    </row>
    <row r="261" spans="277:424" ht="24.95" hidden="1" customHeight="1">
      <c r="JQ261" s="1529" t="s">
        <v>331</v>
      </c>
      <c r="JR261" s="1527">
        <v>0</v>
      </c>
      <c r="JS261" s="1527">
        <v>0</v>
      </c>
      <c r="JT261" s="1527">
        <v>0</v>
      </c>
      <c r="JU261" s="1527">
        <v>0</v>
      </c>
      <c r="JV261" s="1527">
        <v>0</v>
      </c>
      <c r="JW261" s="1527">
        <v>0</v>
      </c>
      <c r="JX261" s="1527">
        <v>0</v>
      </c>
      <c r="JY261" s="1527">
        <v>0</v>
      </c>
      <c r="JZ261" s="1527">
        <v>0</v>
      </c>
      <c r="KA261" s="1527">
        <v>0</v>
      </c>
      <c r="KB261" s="1527">
        <v>0</v>
      </c>
      <c r="KC261" s="1527">
        <v>0</v>
      </c>
      <c r="KD261" s="1527">
        <v>0</v>
      </c>
      <c r="KE261" s="1527">
        <v>0</v>
      </c>
      <c r="KF261" s="1527">
        <v>0</v>
      </c>
      <c r="KG261" s="1527">
        <v>0</v>
      </c>
      <c r="KH261" s="1527">
        <v>0</v>
      </c>
      <c r="KI261" s="1527">
        <v>0</v>
      </c>
      <c r="KJ261" s="1527">
        <v>0</v>
      </c>
      <c r="KK261" s="1527">
        <v>0</v>
      </c>
      <c r="KL261" s="1527">
        <v>0</v>
      </c>
      <c r="KM261" s="1527">
        <v>15</v>
      </c>
      <c r="KN261" s="1527">
        <v>0</v>
      </c>
      <c r="KO261" s="1527">
        <v>0</v>
      </c>
      <c r="KP261" s="1527">
        <v>0</v>
      </c>
      <c r="KQ261" s="1527">
        <v>0</v>
      </c>
      <c r="KR261" s="1527">
        <v>0</v>
      </c>
      <c r="KS261" s="1527">
        <v>0</v>
      </c>
      <c r="KT261" s="1527">
        <v>0</v>
      </c>
      <c r="KU261" s="1527">
        <v>0</v>
      </c>
      <c r="KV261" s="1527">
        <v>0</v>
      </c>
      <c r="KW261" s="1527">
        <v>0</v>
      </c>
      <c r="KX261" s="1527">
        <v>0</v>
      </c>
      <c r="KY261" s="1527">
        <v>0</v>
      </c>
      <c r="KZ261" s="1527">
        <v>0</v>
      </c>
      <c r="LA261" s="1527">
        <v>0</v>
      </c>
      <c r="LB261" s="1527">
        <v>0</v>
      </c>
      <c r="LC261" s="1527">
        <v>0</v>
      </c>
      <c r="LD261" s="1527">
        <v>0</v>
      </c>
      <c r="LE261" s="1527">
        <v>0</v>
      </c>
      <c r="LF261" s="1527">
        <v>0</v>
      </c>
      <c r="LG261" s="1527">
        <v>0</v>
      </c>
      <c r="LH261" s="1527">
        <v>2</v>
      </c>
      <c r="LI261" s="1527">
        <v>0</v>
      </c>
      <c r="LJ261" s="1527">
        <v>0</v>
      </c>
      <c r="LK261" s="1527">
        <v>0</v>
      </c>
      <c r="LL261" s="1527">
        <v>0</v>
      </c>
      <c r="LM261" s="1527">
        <v>0</v>
      </c>
      <c r="LN261" s="1527">
        <v>0</v>
      </c>
      <c r="LO261" s="1527">
        <v>0</v>
      </c>
      <c r="LP261" s="1527">
        <v>0</v>
      </c>
      <c r="LQ261" s="1527">
        <v>0</v>
      </c>
      <c r="LR261" s="1527">
        <v>0</v>
      </c>
      <c r="LS261" s="1527">
        <v>0</v>
      </c>
      <c r="LT261" s="1527">
        <v>0</v>
      </c>
      <c r="LU261" s="1527">
        <v>0</v>
      </c>
      <c r="LV261" s="1527">
        <v>0</v>
      </c>
      <c r="LW261" s="1527">
        <v>0</v>
      </c>
      <c r="LX261" s="1527">
        <v>0</v>
      </c>
      <c r="LY261" s="1527">
        <v>0</v>
      </c>
      <c r="LZ261" s="1527">
        <v>0</v>
      </c>
      <c r="MA261" s="1527">
        <v>0</v>
      </c>
      <c r="MB261" s="1527">
        <v>0</v>
      </c>
      <c r="MC261" s="1527">
        <v>0</v>
      </c>
      <c r="MD261" s="1527">
        <v>0</v>
      </c>
      <c r="ME261" s="1527">
        <v>0</v>
      </c>
      <c r="MF261" s="1527">
        <v>0</v>
      </c>
      <c r="MG261" s="1527">
        <v>0</v>
      </c>
      <c r="MH261" s="1527">
        <v>0</v>
      </c>
      <c r="MI261" s="1527">
        <v>0</v>
      </c>
      <c r="MJ261" s="1527">
        <v>0</v>
      </c>
      <c r="MK261" s="1527">
        <v>0</v>
      </c>
      <c r="ML261" s="1527">
        <v>0</v>
      </c>
      <c r="MM261" s="1527">
        <v>0</v>
      </c>
      <c r="MN261" s="1527">
        <v>0</v>
      </c>
      <c r="MO261" s="1527">
        <v>0</v>
      </c>
      <c r="MP261" s="1527">
        <v>0</v>
      </c>
      <c r="MQ261" s="1527">
        <v>0</v>
      </c>
      <c r="MR261" s="1527">
        <v>0</v>
      </c>
      <c r="MS261" s="1527">
        <v>0</v>
      </c>
      <c r="MT261" s="1527">
        <v>0</v>
      </c>
      <c r="MU261" s="1527">
        <v>0</v>
      </c>
      <c r="MV261" s="1527">
        <v>0</v>
      </c>
      <c r="MW261" s="1527">
        <v>0</v>
      </c>
      <c r="MX261" s="1528">
        <v>0</v>
      </c>
      <c r="MY261" s="1528">
        <v>0</v>
      </c>
      <c r="MZ261" s="1528">
        <v>0</v>
      </c>
      <c r="NA261" s="1528">
        <v>0</v>
      </c>
      <c r="NB261" s="1528">
        <v>0</v>
      </c>
      <c r="NC261" s="1528">
        <v>0</v>
      </c>
      <c r="ND261" s="1528">
        <v>0</v>
      </c>
      <c r="NE261" s="1528">
        <v>0</v>
      </c>
      <c r="NF261" s="1528">
        <v>0</v>
      </c>
      <c r="NG261" s="1528">
        <v>0</v>
      </c>
      <c r="NH261" s="1528">
        <v>0</v>
      </c>
      <c r="NI261" s="1528">
        <v>0</v>
      </c>
      <c r="NJ261" s="1528">
        <v>0</v>
      </c>
      <c r="NK261" s="1528">
        <v>0</v>
      </c>
      <c r="NL261" s="1528">
        <v>0</v>
      </c>
      <c r="NM261" s="1528">
        <v>0</v>
      </c>
      <c r="NN261" s="1528">
        <v>0</v>
      </c>
      <c r="NO261" s="1528">
        <v>0</v>
      </c>
      <c r="NP261" s="1528">
        <v>0</v>
      </c>
      <c r="NQ261" s="1528">
        <v>0</v>
      </c>
      <c r="NR261" s="1528">
        <v>0</v>
      </c>
      <c r="NS261" s="1527">
        <v>14</v>
      </c>
      <c r="NT261" s="1527">
        <v>0</v>
      </c>
      <c r="NU261" s="1527">
        <v>0</v>
      </c>
      <c r="NV261" s="1527">
        <v>0</v>
      </c>
      <c r="NW261" s="1527">
        <v>0</v>
      </c>
      <c r="NX261" s="1527">
        <v>0</v>
      </c>
      <c r="NY261" s="1527">
        <v>0</v>
      </c>
      <c r="NZ261" s="1527">
        <v>0</v>
      </c>
      <c r="OA261" s="1527">
        <v>0</v>
      </c>
      <c r="OB261" s="1527">
        <v>0</v>
      </c>
      <c r="OC261" s="1527">
        <v>0</v>
      </c>
      <c r="OD261" s="1527">
        <v>0</v>
      </c>
      <c r="OE261" s="1527">
        <v>0</v>
      </c>
      <c r="OF261" s="1527">
        <v>0</v>
      </c>
      <c r="OG261" s="1527">
        <v>0</v>
      </c>
      <c r="OH261" s="1527">
        <v>0</v>
      </c>
      <c r="OI261" s="1527">
        <v>0</v>
      </c>
      <c r="OJ261" s="1527">
        <v>0</v>
      </c>
      <c r="OK261" s="1527">
        <v>0</v>
      </c>
      <c r="OL261" s="1527">
        <v>0</v>
      </c>
      <c r="OM261" s="1527">
        <v>0</v>
      </c>
      <c r="ON261" s="1527">
        <v>21</v>
      </c>
      <c r="OO261" s="1527">
        <v>0</v>
      </c>
      <c r="OP261" s="1527">
        <v>0</v>
      </c>
      <c r="OQ261" s="1527">
        <v>0</v>
      </c>
      <c r="OR261" s="1527">
        <v>0</v>
      </c>
      <c r="OS261" s="1527">
        <v>0</v>
      </c>
      <c r="OT261" s="1527">
        <v>0</v>
      </c>
      <c r="OU261" s="1527">
        <v>0</v>
      </c>
      <c r="OV261" s="1527">
        <v>0</v>
      </c>
      <c r="OW261" s="1527">
        <v>0</v>
      </c>
      <c r="OX261" s="1527">
        <v>0</v>
      </c>
      <c r="OY261" s="1527">
        <v>0</v>
      </c>
      <c r="OZ261" s="1527">
        <v>0</v>
      </c>
      <c r="PA261" s="1527">
        <v>0</v>
      </c>
      <c r="PB261" s="1527">
        <v>0</v>
      </c>
      <c r="PC261" s="1527">
        <v>0</v>
      </c>
      <c r="PD261" s="1527">
        <v>0</v>
      </c>
      <c r="PE261" s="1527">
        <v>0</v>
      </c>
      <c r="PF261" s="1527">
        <v>0</v>
      </c>
      <c r="PG261" s="1527">
        <v>0</v>
      </c>
      <c r="PH261" s="1527">
        <v>0</v>
      </c>
    </row>
    <row r="262" spans="277:424" ht="15" hidden="1" customHeight="1"/>
    <row r="263" spans="277:424" ht="15" hidden="1" customHeight="1"/>
    <row r="264" spans="277:424" ht="15" hidden="1" customHeight="1"/>
    <row r="265" spans="277:424" ht="15" hidden="1" customHeight="1"/>
  </sheetData>
  <sheetProtection password="E23E" sheet="1" objects="1" scenarios="1"/>
  <mergeCells count="93">
    <mergeCell ref="NS235:OM235"/>
    <mergeCell ref="ON235:PH235"/>
    <mergeCell ref="JR236:JR237"/>
    <mergeCell ref="JS236:KL236"/>
    <mergeCell ref="KM236:KM237"/>
    <mergeCell ref="KN236:LG236"/>
    <mergeCell ref="LH236:LH237"/>
    <mergeCell ref="LI236:MB236"/>
    <mergeCell ref="MC236:MC237"/>
    <mergeCell ref="MD236:MW236"/>
    <mergeCell ref="MX236:MX237"/>
    <mergeCell ref="MY236:NR236"/>
    <mergeCell ref="NS236:NS237"/>
    <mergeCell ref="NT236:OM236"/>
    <mergeCell ref="ON236:ON237"/>
    <mergeCell ref="OO236:PH236"/>
    <mergeCell ref="JR235:KL235"/>
    <mergeCell ref="KM235:LG235"/>
    <mergeCell ref="LH235:MB235"/>
    <mergeCell ref="MC235:MW235"/>
    <mergeCell ref="MX235:NR235"/>
    <mergeCell ref="S64:T64"/>
    <mergeCell ref="U7:AO7"/>
    <mergeCell ref="AP7:BJ7"/>
    <mergeCell ref="AH35:AL35"/>
    <mergeCell ref="Y64:Z64"/>
    <mergeCell ref="AM35:AM36"/>
    <mergeCell ref="U64:V64"/>
    <mergeCell ref="W64:X64"/>
    <mergeCell ref="AK64:AL64"/>
    <mergeCell ref="AM64:AN64"/>
    <mergeCell ref="AO64:AP64"/>
    <mergeCell ref="AQ64:AR64"/>
    <mergeCell ref="S7:T7"/>
    <mergeCell ref="CK123:CL123"/>
    <mergeCell ref="A36:B36"/>
    <mergeCell ref="C63:AR63"/>
    <mergeCell ref="C64:D64"/>
    <mergeCell ref="E64:F64"/>
    <mergeCell ref="G64:H64"/>
    <mergeCell ref="I64:J64"/>
    <mergeCell ref="K64:L64"/>
    <mergeCell ref="M64:N64"/>
    <mergeCell ref="C35:C36"/>
    <mergeCell ref="E35:G35"/>
    <mergeCell ref="H35:J35"/>
    <mergeCell ref="K35:V35"/>
    <mergeCell ref="W35:AG35"/>
    <mergeCell ref="O64:P64"/>
    <mergeCell ref="Q64:R64"/>
    <mergeCell ref="BM64:BM65"/>
    <mergeCell ref="AA64:AB64"/>
    <mergeCell ref="AC64:AD64"/>
    <mergeCell ref="AE64:AF64"/>
    <mergeCell ref="AG64:AH64"/>
    <mergeCell ref="AI64:AJ64"/>
    <mergeCell ref="EY178:FR178"/>
    <mergeCell ref="CQ152:CU152"/>
    <mergeCell ref="CV152:CZ152"/>
    <mergeCell ref="DA152:DE152"/>
    <mergeCell ref="DH177:EB177"/>
    <mergeCell ref="EC177:EW177"/>
    <mergeCell ref="EX177:FR177"/>
    <mergeCell ref="DH178:DH179"/>
    <mergeCell ref="DI178:EB178"/>
    <mergeCell ref="EC178:EC179"/>
    <mergeCell ref="ED178:EW178"/>
    <mergeCell ref="EX178:EX179"/>
    <mergeCell ref="HJ178:IC178"/>
    <mergeCell ref="FS177:GM177"/>
    <mergeCell ref="GN177:HH177"/>
    <mergeCell ref="HI177:IC177"/>
    <mergeCell ref="ID177:IX177"/>
    <mergeCell ref="FS178:FS179"/>
    <mergeCell ref="FT178:GM178"/>
    <mergeCell ref="GN178:GN179"/>
    <mergeCell ref="GO178:HH178"/>
    <mergeCell ref="HI178:HI179"/>
    <mergeCell ref="JL206:JM206"/>
    <mergeCell ref="JN206:JO206"/>
    <mergeCell ref="ID178:ID179"/>
    <mergeCell ref="IE178:IX178"/>
    <mergeCell ref="JB206:JC206"/>
    <mergeCell ref="JD206:JE206"/>
    <mergeCell ref="JF206:JG206"/>
    <mergeCell ref="JH206:JI206"/>
    <mergeCell ref="A7:B7"/>
    <mergeCell ref="E7:E8"/>
    <mergeCell ref="F6:L6"/>
    <mergeCell ref="N7:R7"/>
    <mergeCell ref="C6:E6"/>
    <mergeCell ref="C7:D7"/>
    <mergeCell ref="M6:BJ6"/>
  </mergeCells>
  <dataValidations count="1">
    <dataValidation allowBlank="1" sqref="CX139:CY139 D85:D94 CV139 CW153 CW154:CZ171 DA153:DA171 EP172 DH172:DI172 CE139 DK172 CG139 DM172 CO125:DE138 DO172 CI139:CJ139 DQ172 BV125:CJ138 DS172 CN139 DU172 DW172 DY172 EA172 CS139:CT139 DB154:DE171 CQ139 ER172 ET172 DC139:DD139 DA139 DB153 H36:I36 AK90:AK95 BJ35:BL35 AO96:AP96 C85:C88 C71:AN82 AO99:AP99 AS85:BK95 BM85:BM95 BM68:BM83 AQ68:AR69 AO103:AP104 AT97:BK103 C90:C95 B68:B103 E90:E95 F85:F94 E85:E88 G85:G88 G90:G95 H85:H94 I85:I88 I90:I95 J85:J94 K85:K88 K90:K95 L85:L94 M85:M88 M90:M95 N85:N94 O85:O88 O90:O95 P85:P94 Q85:Q88 Q90:Q95 R85:R94 S85:S88 S90:S95 T85:T94 U85:U88 U90:U95 V85:V94 W85:W88 W90:W95 X85:X94 Y85:Y88 Y90:Y95 Z85:Z94 AA85:AA88 AA90:AA95 AB85:AB94 AC85:AC88 AC90:AC95 AD85:AD94 AE85:AE88 AE90:AE95 AF85:AF94 AG85:AG88 AG90:AG95 AH85:AH94 C96:AN104 AI85:AI88 AI90:AI95 AJ85:AJ94 C68:AN69 AL85:AL94 AK85:AK88 AM90:AM95 AN85:AN94 AM85:AM88 AO74:AP75 AO82:AP82 AP89 AQ71:AR82 AQ85:AQ88 AQ90:AQ95 AR85:AR94 AQ96:AR104 AS68:BK83 CM126:CN138 CV153:CV171 CR153 CR154:CU171 CQ153:CQ171 EV172 EC172:ED172 EF172 EH172 EJ172 EL172 EN172 EX172:EY172 FA172 FC172 FE172 FG172 FI172 FK172 FM172 FO172 FQ172 FS172:FT172 FV172 FX172 FZ172 GB172 GD172 GF172 GH172 GJ172 GL172 GN172:GO172 GQ172 GS172 GU172 GW172 GY172 HA172 HC172 HE172 HG172 HI172:HJ172 HL172 HN172 HP172 HR172 HT172 HV172 HX172 HZ172 IB172 ID172:IE172 IG172 II172 IK172 IM172 IO172 IQ172 IS172 IU172 IW172 A4 E9 F5:F6 AT104:BL104 D8:D29 F8:K9 L9:T9 W9:AN9 E4:R4 AS97:AS104 BM97:BM104 DF145:IX171 W4 B5 F10:AO29 C4 C6:C29 D5 H5 J5 L5 N5 P5 R5 T5 V5 X5 Z5 AB5 AD5 AF5 AH5 AJ5 AL5 AN5 AP26:BJ27 AP10:BJ19 AR9:BI9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Q70"/>
  <sheetViews>
    <sheetView zoomScale="75" zoomScaleNormal="75" workbookViewId="0"/>
  </sheetViews>
  <sheetFormatPr defaultColWidth="9.140625" defaultRowHeight="15"/>
  <cols>
    <col min="1" max="1" width="72.85546875" style="437" customWidth="1"/>
    <col min="2" max="4" width="15.7109375" style="437" customWidth="1"/>
    <col min="5" max="5" width="5.7109375" style="437" customWidth="1"/>
    <col min="6" max="6" width="15.7109375" style="437" customWidth="1"/>
    <col min="7" max="7" width="5.7109375" style="437" customWidth="1"/>
    <col min="8" max="8" width="16.7109375" style="437" customWidth="1"/>
    <col min="9" max="9" width="5.7109375" style="437" customWidth="1"/>
    <col min="10" max="10" width="16.7109375" style="437" customWidth="1"/>
    <col min="11" max="12" width="5.7109375" style="437" customWidth="1"/>
    <col min="13" max="15" width="35.7109375" style="437" customWidth="1"/>
    <col min="16" max="17" width="3.7109375" style="437" customWidth="1"/>
    <col min="18" max="20" width="13.7109375" style="437" customWidth="1"/>
    <col min="21" max="21" width="15.7109375" style="437" customWidth="1"/>
    <col min="22" max="23" width="4.7109375" style="437" customWidth="1"/>
    <col min="24" max="26" width="13.7109375" style="437" customWidth="1"/>
    <col min="27" max="27" width="4.85546875" style="437" customWidth="1"/>
    <col min="28" max="28" width="17.5703125" style="437" hidden="1" customWidth="1"/>
    <col min="29" max="29" width="12.7109375" style="442" hidden="1" customWidth="1"/>
    <col min="30" max="30" width="14.140625" style="442" hidden="1" customWidth="1"/>
    <col min="31" max="31" width="15.28515625" style="442" hidden="1" customWidth="1"/>
    <col min="32" max="32" width="12.7109375" style="442" hidden="1" customWidth="1"/>
    <col min="33" max="33" width="3.5703125" style="441" hidden="1" customWidth="1"/>
    <col min="34" max="34" width="12.7109375" style="442" hidden="1" customWidth="1"/>
    <col min="35" max="35" width="13.85546875" style="442" hidden="1" customWidth="1"/>
    <col min="36" max="36" width="15.140625" style="442" hidden="1" customWidth="1"/>
    <col min="37" max="37" width="12.7109375" style="442" hidden="1" customWidth="1"/>
    <col min="38" max="38" width="9.140625" style="437" hidden="1" customWidth="1"/>
    <col min="39" max="39" width="12.7109375" style="442" hidden="1" customWidth="1"/>
    <col min="40" max="40" width="15.140625" style="442" hidden="1" customWidth="1"/>
    <col min="41" max="41" width="12.7109375" style="442" hidden="1" customWidth="1"/>
    <col min="42" max="42" width="9.140625" style="437" hidden="1" customWidth="1"/>
    <col min="43" max="16384" width="9.140625" style="437"/>
  </cols>
  <sheetData>
    <row r="1" spans="1:41" s="483" customFormat="1" ht="35.1" customHeight="1">
      <c r="A1" s="22" t="s">
        <v>42</v>
      </c>
      <c r="B1" s="23" t="s">
        <v>149</v>
      </c>
      <c r="C1" s="24"/>
      <c r="D1" s="25"/>
      <c r="E1" s="25"/>
      <c r="F1" s="25"/>
      <c r="G1" s="25"/>
      <c r="H1" s="25"/>
      <c r="I1" s="25"/>
      <c r="J1" s="669"/>
      <c r="K1" s="25"/>
      <c r="L1" s="25"/>
      <c r="M1" s="26"/>
      <c r="N1" s="26"/>
      <c r="O1" s="26"/>
      <c r="P1" s="26"/>
      <c r="Q1" s="27"/>
      <c r="R1" s="27"/>
      <c r="S1" s="27"/>
      <c r="T1" s="27"/>
      <c r="U1" s="27"/>
      <c r="V1" s="27"/>
      <c r="W1" s="28"/>
      <c r="X1" s="28"/>
      <c r="Y1" s="28"/>
      <c r="Z1" s="670" t="s">
        <v>136</v>
      </c>
      <c r="AA1" s="29"/>
      <c r="AB1" s="482"/>
      <c r="AC1" s="442"/>
      <c r="AD1" s="442"/>
      <c r="AE1" s="442"/>
      <c r="AF1" s="442"/>
      <c r="AG1" s="441"/>
      <c r="AH1" s="442"/>
      <c r="AI1" s="442"/>
      <c r="AJ1" s="442"/>
      <c r="AK1" s="442"/>
      <c r="AM1" s="442"/>
      <c r="AN1" s="442"/>
      <c r="AO1" s="442"/>
    </row>
    <row r="2" spans="1:41" s="483" customFormat="1" ht="35.1" customHeight="1">
      <c r="A2" s="30" t="s">
        <v>5</v>
      </c>
      <c r="B2" s="1776" t="str">
        <f>'Background 17-18'!$D$2</f>
        <v>Glasgow, University of</v>
      </c>
      <c r="C2" s="1777"/>
      <c r="D2" s="1778"/>
      <c r="E2" s="31"/>
      <c r="F2" s="32"/>
      <c r="G2" s="32"/>
      <c r="H2" s="32"/>
      <c r="I2" s="32"/>
      <c r="J2" s="32"/>
      <c r="K2" s="32"/>
      <c r="L2" s="32"/>
      <c r="M2" s="406"/>
      <c r="N2" s="406"/>
      <c r="O2" s="406"/>
      <c r="P2" s="406"/>
      <c r="Q2" s="33"/>
      <c r="R2" s="210"/>
      <c r="S2" s="210"/>
      <c r="T2" s="34"/>
      <c r="U2" s="34"/>
      <c r="V2" s="33"/>
      <c r="W2" s="35"/>
      <c r="X2" s="36"/>
      <c r="Y2" s="36"/>
      <c r="Z2" s="36"/>
      <c r="AA2" s="79"/>
      <c r="AB2" s="482"/>
      <c r="AC2" s="442"/>
      <c r="AD2" s="442"/>
      <c r="AE2" s="442"/>
      <c r="AF2" s="442"/>
      <c r="AG2" s="441"/>
      <c r="AH2" s="442"/>
      <c r="AI2" s="442"/>
      <c r="AJ2" s="442"/>
      <c r="AK2" s="442"/>
      <c r="AM2" s="442"/>
      <c r="AN2" s="442"/>
      <c r="AO2" s="442"/>
    </row>
    <row r="3" spans="1:41" s="484" customFormat="1" ht="24.95" customHeight="1">
      <c r="A3" s="37" t="s">
        <v>25</v>
      </c>
      <c r="B3" s="32"/>
      <c r="C3" s="32"/>
      <c r="D3" s="32"/>
      <c r="E3" s="32"/>
      <c r="F3" s="32"/>
      <c r="G3" s="32"/>
      <c r="H3" s="32"/>
      <c r="I3" s="38"/>
      <c r="J3" s="38"/>
      <c r="K3" s="38"/>
      <c r="L3" s="38"/>
      <c r="M3" s="406"/>
      <c r="N3" s="406"/>
      <c r="O3" s="406"/>
      <c r="P3" s="406"/>
      <c r="Q3" s="39"/>
      <c r="R3" s="33"/>
      <c r="S3" s="33"/>
      <c r="T3" s="33"/>
      <c r="U3" s="33"/>
      <c r="V3" s="40"/>
      <c r="W3" s="41"/>
      <c r="X3" s="407"/>
      <c r="Y3" s="407"/>
      <c r="Z3" s="407"/>
      <c r="AA3" s="79"/>
      <c r="AB3" s="482"/>
      <c r="AC3" s="442"/>
      <c r="AD3" s="442"/>
      <c r="AE3" s="442"/>
      <c r="AF3" s="442"/>
      <c r="AG3" s="441"/>
      <c r="AH3" s="442"/>
      <c r="AI3" s="442"/>
      <c r="AJ3" s="442"/>
      <c r="AK3" s="442"/>
      <c r="AM3" s="442"/>
      <c r="AN3" s="442"/>
      <c r="AO3" s="442"/>
    </row>
    <row r="4" spans="1:41" s="484" customFormat="1" ht="15" customHeight="1" thickBot="1">
      <c r="A4" s="42"/>
      <c r="B4" s="43"/>
      <c r="C4" s="43"/>
      <c r="D4" s="43"/>
      <c r="E4" s="43"/>
      <c r="F4" s="43"/>
      <c r="G4" s="43"/>
      <c r="H4" s="43"/>
      <c r="I4" s="38"/>
      <c r="J4" s="38"/>
      <c r="K4" s="38"/>
      <c r="L4" s="38"/>
      <c r="M4" s="408"/>
      <c r="N4" s="408"/>
      <c r="O4" s="408"/>
      <c r="P4" s="408"/>
      <c r="Q4" s="39"/>
      <c r="R4" s="44"/>
      <c r="S4" s="44"/>
      <c r="T4" s="44"/>
      <c r="U4" s="44"/>
      <c r="V4" s="44"/>
      <c r="W4" s="41"/>
      <c r="X4" s="407"/>
      <c r="Y4" s="407"/>
      <c r="Z4" s="407"/>
      <c r="AA4" s="79"/>
      <c r="AB4" s="482"/>
      <c r="AC4" s="442"/>
      <c r="AD4" s="442"/>
      <c r="AE4" s="442"/>
      <c r="AF4" s="442"/>
      <c r="AG4" s="441"/>
      <c r="AH4" s="442"/>
      <c r="AI4" s="442"/>
      <c r="AJ4" s="442"/>
      <c r="AK4" s="442"/>
      <c r="AM4" s="442"/>
      <c r="AN4" s="442"/>
      <c r="AO4" s="442"/>
    </row>
    <row r="5" spans="1:41" s="484" customFormat="1" ht="50.1" customHeight="1">
      <c r="A5" s="46"/>
      <c r="B5" s="1785" t="s">
        <v>155</v>
      </c>
      <c r="C5" s="1786"/>
      <c r="D5" s="1786"/>
      <c r="E5" s="1786"/>
      <c r="F5" s="1786"/>
      <c r="G5" s="1787"/>
      <c r="H5" s="1788"/>
      <c r="I5" s="212"/>
      <c r="J5" s="1795" t="s">
        <v>157</v>
      </c>
      <c r="K5" s="263"/>
      <c r="L5" s="216"/>
      <c r="M5" s="1797" t="s">
        <v>58</v>
      </c>
      <c r="N5" s="1798"/>
      <c r="O5" s="1799"/>
      <c r="P5" s="73"/>
      <c r="Q5" s="47"/>
      <c r="R5" s="233" t="s">
        <v>156</v>
      </c>
      <c r="S5" s="234"/>
      <c r="T5" s="234"/>
      <c r="U5" s="235"/>
      <c r="V5" s="48"/>
      <c r="W5" s="49"/>
      <c r="X5" s="1808" t="s">
        <v>69</v>
      </c>
      <c r="Y5" s="1809"/>
      <c r="Z5" s="1810"/>
      <c r="AA5" s="50"/>
      <c r="AB5" s="1816" t="s">
        <v>342</v>
      </c>
      <c r="AC5" s="1789" t="s">
        <v>0</v>
      </c>
      <c r="AD5" s="1790"/>
      <c r="AE5" s="1790"/>
      <c r="AF5" s="1791"/>
      <c r="AG5" s="485"/>
      <c r="AH5" s="1789" t="s">
        <v>1</v>
      </c>
      <c r="AI5" s="1790"/>
      <c r="AJ5" s="1790"/>
      <c r="AK5" s="1791"/>
      <c r="AM5" s="1789" t="s">
        <v>134</v>
      </c>
      <c r="AN5" s="1790"/>
      <c r="AO5" s="1791"/>
    </row>
    <row r="6" spans="1:41" ht="39.950000000000003" customHeight="1">
      <c r="A6" s="51"/>
      <c r="B6" s="1781" t="s">
        <v>43</v>
      </c>
      <c r="C6" s="1782"/>
      <c r="D6" s="1782"/>
      <c r="E6" s="52"/>
      <c r="F6" s="1779" t="s">
        <v>4</v>
      </c>
      <c r="G6" s="53"/>
      <c r="H6" s="54" t="s">
        <v>3</v>
      </c>
      <c r="I6" s="211"/>
      <c r="J6" s="1796"/>
      <c r="K6" s="263"/>
      <c r="L6" s="214"/>
      <c r="M6" s="1800" t="s">
        <v>46</v>
      </c>
      <c r="N6" s="1801"/>
      <c r="O6" s="1802" t="s">
        <v>133</v>
      </c>
      <c r="P6" s="409"/>
      <c r="Q6" s="56"/>
      <c r="R6" s="1792" t="s">
        <v>46</v>
      </c>
      <c r="S6" s="1793"/>
      <c r="T6" s="1794"/>
      <c r="U6" s="1804" t="s">
        <v>67</v>
      </c>
      <c r="V6" s="410"/>
      <c r="W6" s="49"/>
      <c r="X6" s="1806" t="s">
        <v>46</v>
      </c>
      <c r="Y6" s="1807"/>
      <c r="Z6" s="1811" t="s">
        <v>67</v>
      </c>
      <c r="AA6" s="50"/>
      <c r="AB6" s="1816"/>
      <c r="AC6" s="1783" t="s">
        <v>59</v>
      </c>
      <c r="AD6" s="1814" t="s">
        <v>70</v>
      </c>
      <c r="AE6" s="1814" t="s">
        <v>74</v>
      </c>
      <c r="AF6" s="1812" t="s">
        <v>72</v>
      </c>
      <c r="AG6" s="486"/>
      <c r="AH6" s="1783" t="s">
        <v>73</v>
      </c>
      <c r="AI6" s="1814" t="s">
        <v>71</v>
      </c>
      <c r="AJ6" s="1814" t="s">
        <v>74</v>
      </c>
      <c r="AK6" s="1812" t="s">
        <v>72</v>
      </c>
      <c r="AM6" s="1783" t="s">
        <v>73</v>
      </c>
      <c r="AN6" s="1814" t="s">
        <v>104</v>
      </c>
      <c r="AO6" s="1812" t="s">
        <v>72</v>
      </c>
    </row>
    <row r="7" spans="1:41" ht="60" customHeight="1">
      <c r="A7" s="57" t="s">
        <v>66</v>
      </c>
      <c r="B7" s="58" t="s">
        <v>44</v>
      </c>
      <c r="C7" s="59" t="s">
        <v>40</v>
      </c>
      <c r="D7" s="411" t="s">
        <v>3</v>
      </c>
      <c r="E7" s="412"/>
      <c r="F7" s="1780"/>
      <c r="G7" s="60"/>
      <c r="H7" s="61"/>
      <c r="I7" s="211"/>
      <c r="J7" s="1796"/>
      <c r="K7" s="263"/>
      <c r="L7" s="214"/>
      <c r="M7" s="413" t="s">
        <v>68</v>
      </c>
      <c r="N7" s="414" t="s">
        <v>2</v>
      </c>
      <c r="O7" s="1803"/>
      <c r="P7" s="415"/>
      <c r="Q7" s="62"/>
      <c r="R7" s="63" t="s">
        <v>45</v>
      </c>
      <c r="S7" s="64" t="s">
        <v>2</v>
      </c>
      <c r="T7" s="65" t="s">
        <v>3</v>
      </c>
      <c r="U7" s="1805"/>
      <c r="V7" s="66"/>
      <c r="W7" s="67"/>
      <c r="X7" s="68" t="s">
        <v>45</v>
      </c>
      <c r="Y7" s="69" t="s">
        <v>2</v>
      </c>
      <c r="Z7" s="1811"/>
      <c r="AA7" s="70"/>
      <c r="AB7" s="1816"/>
      <c r="AC7" s="1784"/>
      <c r="AD7" s="1815"/>
      <c r="AE7" s="1815"/>
      <c r="AF7" s="1813"/>
      <c r="AG7" s="486"/>
      <c r="AH7" s="1784"/>
      <c r="AI7" s="1815"/>
      <c r="AJ7" s="1815"/>
      <c r="AK7" s="1813"/>
      <c r="AM7" s="1784"/>
      <c r="AN7" s="1815"/>
      <c r="AO7" s="1813"/>
    </row>
    <row r="8" spans="1:41" ht="30">
      <c r="A8" s="71"/>
      <c r="B8" s="228" t="s">
        <v>6</v>
      </c>
      <c r="C8" s="229" t="s">
        <v>6</v>
      </c>
      <c r="D8" s="230" t="s">
        <v>80</v>
      </c>
      <c r="E8" s="72"/>
      <c r="F8" s="231" t="s">
        <v>6</v>
      </c>
      <c r="G8" s="72"/>
      <c r="H8" s="230" t="s">
        <v>80</v>
      </c>
      <c r="I8" s="212"/>
      <c r="J8" s="232" t="s">
        <v>6</v>
      </c>
      <c r="K8" s="264"/>
      <c r="L8" s="215"/>
      <c r="M8" s="416"/>
      <c r="N8" s="417"/>
      <c r="O8" s="417"/>
      <c r="P8" s="418"/>
      <c r="Q8" s="62"/>
      <c r="R8" s="74" t="s">
        <v>7</v>
      </c>
      <c r="S8" s="75" t="s">
        <v>7</v>
      </c>
      <c r="T8" s="76" t="s">
        <v>7</v>
      </c>
      <c r="U8" s="236" t="s">
        <v>7</v>
      </c>
      <c r="V8" s="66"/>
      <c r="W8" s="67"/>
      <c r="X8" s="77" t="s">
        <v>7</v>
      </c>
      <c r="Y8" s="78" t="s">
        <v>7</v>
      </c>
      <c r="Z8" s="247" t="s">
        <v>7</v>
      </c>
      <c r="AA8" s="79"/>
      <c r="AC8" s="1784"/>
      <c r="AD8" s="1815"/>
      <c r="AE8" s="1815"/>
      <c r="AF8" s="1813"/>
      <c r="AG8" s="486"/>
      <c r="AH8" s="1784"/>
      <c r="AI8" s="1815"/>
      <c r="AJ8" s="1815"/>
      <c r="AK8" s="1813"/>
      <c r="AM8" s="1784"/>
      <c r="AN8" s="1815"/>
      <c r="AO8" s="1813"/>
    </row>
    <row r="9" spans="1:41" ht="27" customHeight="1">
      <c r="A9" s="71"/>
      <c r="B9" s="429" t="s">
        <v>26</v>
      </c>
      <c r="C9" s="422" t="s">
        <v>26</v>
      </c>
      <c r="D9" s="430" t="s">
        <v>26</v>
      </c>
      <c r="E9" s="422"/>
      <c r="F9" s="431" t="s">
        <v>26</v>
      </c>
      <c r="G9" s="422"/>
      <c r="H9" s="432" t="s">
        <v>26</v>
      </c>
      <c r="I9" s="213"/>
      <c r="J9" s="553" t="s">
        <v>26</v>
      </c>
      <c r="K9" s="264"/>
      <c r="L9" s="215"/>
      <c r="M9" s="416"/>
      <c r="N9" s="417"/>
      <c r="O9" s="417"/>
      <c r="P9" s="418"/>
      <c r="Q9" s="62"/>
      <c r="R9" s="81" t="s">
        <v>26</v>
      </c>
      <c r="S9" s="82" t="s">
        <v>26</v>
      </c>
      <c r="T9" s="83" t="s">
        <v>26</v>
      </c>
      <c r="U9" s="237" t="s">
        <v>26</v>
      </c>
      <c r="V9" s="66"/>
      <c r="W9" s="67"/>
      <c r="X9" s="555" t="s">
        <v>26</v>
      </c>
      <c r="Y9" s="556" t="s">
        <v>26</v>
      </c>
      <c r="Z9" s="248" t="s">
        <v>26</v>
      </c>
      <c r="AA9" s="79"/>
      <c r="AC9" s="1416"/>
      <c r="AD9" s="1418"/>
      <c r="AE9" s="1418"/>
      <c r="AF9" s="1417"/>
      <c r="AG9" s="486"/>
      <c r="AH9" s="1416"/>
      <c r="AI9" s="1418"/>
      <c r="AJ9" s="1418"/>
      <c r="AK9" s="1417"/>
      <c r="AM9" s="1416"/>
      <c r="AN9" s="1418"/>
      <c r="AO9" s="1417"/>
    </row>
    <row r="10" spans="1:41" ht="27" customHeight="1" thickBot="1">
      <c r="A10" s="71"/>
      <c r="B10" s="419">
        <v>1</v>
      </c>
      <c r="C10" s="420">
        <v>2</v>
      </c>
      <c r="D10" s="421">
        <v>3</v>
      </c>
      <c r="E10" s="422"/>
      <c r="F10" s="421">
        <v>4</v>
      </c>
      <c r="G10" s="422"/>
      <c r="H10" s="226">
        <v>5</v>
      </c>
      <c r="I10" s="212"/>
      <c r="J10" s="227">
        <v>6</v>
      </c>
      <c r="K10" s="265"/>
      <c r="L10" s="215"/>
      <c r="M10" s="227">
        <v>7</v>
      </c>
      <c r="N10" s="423">
        <v>8</v>
      </c>
      <c r="O10" s="423">
        <v>9</v>
      </c>
      <c r="P10" s="424"/>
      <c r="Q10" s="62"/>
      <c r="R10" s="425">
        <v>10</v>
      </c>
      <c r="S10" s="426">
        <v>11</v>
      </c>
      <c r="T10" s="427">
        <v>12</v>
      </c>
      <c r="U10" s="428">
        <v>13</v>
      </c>
      <c r="V10" s="80"/>
      <c r="W10" s="67"/>
      <c r="X10" s="557">
        <v>14</v>
      </c>
      <c r="Y10" s="558">
        <v>15</v>
      </c>
      <c r="Z10" s="285">
        <v>16</v>
      </c>
      <c r="AA10" s="79"/>
      <c r="AC10" s="487">
        <v>17</v>
      </c>
      <c r="AD10" s="488">
        <v>18</v>
      </c>
      <c r="AE10" s="488">
        <v>19</v>
      </c>
      <c r="AF10" s="489">
        <v>20</v>
      </c>
      <c r="AG10" s="486"/>
      <c r="AH10" s="487">
        <v>21</v>
      </c>
      <c r="AI10" s="488">
        <v>22</v>
      </c>
      <c r="AJ10" s="488">
        <v>23</v>
      </c>
      <c r="AK10" s="489">
        <v>24</v>
      </c>
      <c r="AM10" s="487">
        <v>25</v>
      </c>
      <c r="AN10" s="488">
        <v>26</v>
      </c>
      <c r="AO10" s="489">
        <v>27</v>
      </c>
    </row>
    <row r="11" spans="1:41" ht="37.5" customHeight="1" thickBot="1">
      <c r="A11" s="84" t="s">
        <v>11</v>
      </c>
      <c r="B11" s="217"/>
      <c r="C11" s="218"/>
      <c r="D11" s="219">
        <v>1412</v>
      </c>
      <c r="E11" s="268" t="str">
        <f>IF(AF11=1,"?","")</f>
        <v/>
      </c>
      <c r="F11" s="319">
        <v>245.69999999999851</v>
      </c>
      <c r="G11" s="274" t="str">
        <f>IF(AK11=1,"?","")</f>
        <v>?</v>
      </c>
      <c r="H11" s="86">
        <f>SUM(D11,F11)</f>
        <v>1657.6999999999985</v>
      </c>
      <c r="I11" s="211"/>
      <c r="J11" s="221"/>
      <c r="K11" s="211"/>
      <c r="L11" s="214"/>
      <c r="M11" s="1097" t="str">
        <f>IF(AD11=1,Warning1,IF(AE11=1,Warning2_for_RPG,""))</f>
        <v/>
      </c>
      <c r="N11" s="554" t="str">
        <f>IF(AI11=1,Warning1,IF(AJ11=1,Warning2_for_RPG,""))</f>
        <v>At least 10 FTE and 10% difference between Final Figures and Early Statistics</v>
      </c>
      <c r="O11" s="280"/>
      <c r="P11" s="224"/>
      <c r="Q11" s="62"/>
      <c r="R11" s="87">
        <f>VLOOKUP($AB11,Early_Stats,VLOOKUP('Background 17-18'!$C$2,Inst_Tables,3,FALSE),FALSE)</f>
        <v>1416</v>
      </c>
      <c r="S11" s="88">
        <f>VLOOKUP($AB11,Early_Stats,VLOOKUP('Background 17-18'!$C$2,Inst_Tables,4,FALSE),FALSE)</f>
        <v>221</v>
      </c>
      <c r="T11" s="89">
        <f>SUM(R11:S11)</f>
        <v>1637</v>
      </c>
      <c r="U11" s="244"/>
      <c r="V11" s="44"/>
      <c r="W11" s="67"/>
      <c r="X11" s="90">
        <f>IF(R11&gt;0,(D11-R11)/R11,"")</f>
        <v>-2.8248587570621469E-3</v>
      </c>
      <c r="Y11" s="91">
        <f>IF(S11&gt;0,(F11-S11)/S11,"")</f>
        <v>0.1117647058823462</v>
      </c>
      <c r="Z11" s="253"/>
      <c r="AA11" s="92"/>
      <c r="AB11" s="490">
        <v>1</v>
      </c>
      <c r="AC11" s="559">
        <f>IF(AND(MAX(D11,R11)&gt;0,OR(MIN(D11,R11)=0,D11="")),1,0)</f>
        <v>0</v>
      </c>
      <c r="AD11" s="560">
        <f>IF(ABS(D11-R11)&gt;=5,AC11,0)</f>
        <v>0</v>
      </c>
      <c r="AE11" s="560">
        <f>IF(D11&lt;&gt;"",IF(X11&lt;&gt;"",IF(AND(MIN(D11,R11)&gt;0,ABS(D11-R11)&gt;=RPG_FTE_Tol,ABS(X11)&gt;=RPG_Per_Tol),1,0),0),0)</f>
        <v>0</v>
      </c>
      <c r="AF11" s="561">
        <f>IF(SUM(AD11,AE11)&gt;0,1,0)</f>
        <v>0</v>
      </c>
      <c r="AG11" s="494"/>
      <c r="AH11" s="559">
        <f>IF(AND(MAX(F11,S11)&gt;0,OR(MIN(F11,S11)=0,F11="")),1,0)</f>
        <v>0</v>
      </c>
      <c r="AI11" s="560">
        <f>IF(ABS(F11-S11)&gt;=5,AH11,0)</f>
        <v>0</v>
      </c>
      <c r="AJ11" s="560">
        <f>IF(F11&lt;&gt;"",IF(Y11&lt;&gt;"",IF(AND(MIN(F11,S11)&gt;0,ABS(F11-S11)&gt;=RPG_FTE_Tol,ABS(Y11)&gt;=RPG_Per_Tol),1,0),0),0)</f>
        <v>1</v>
      </c>
      <c r="AK11" s="561">
        <f>IF(SUM(AI11,AJ11)&gt;0,1,0)</f>
        <v>1</v>
      </c>
      <c r="AM11" s="559"/>
      <c r="AN11" s="560"/>
      <c r="AO11" s="561"/>
    </row>
    <row r="12" spans="1:41" ht="35.1" customHeight="1">
      <c r="A12" s="93" t="s">
        <v>13</v>
      </c>
      <c r="B12" s="94"/>
      <c r="C12" s="95"/>
      <c r="D12" s="96"/>
      <c r="E12" s="269"/>
      <c r="F12" s="96"/>
      <c r="G12" s="275"/>
      <c r="H12" s="61"/>
      <c r="I12" s="211"/>
      <c r="J12" s="55"/>
      <c r="K12" s="265"/>
      <c r="L12" s="214"/>
      <c r="M12" s="97"/>
      <c r="N12" s="98"/>
      <c r="O12" s="61"/>
      <c r="P12" s="96"/>
      <c r="Q12" s="62"/>
      <c r="R12" s="99"/>
      <c r="S12" s="100"/>
      <c r="T12" s="101"/>
      <c r="U12" s="239"/>
      <c r="V12" s="44"/>
      <c r="W12" s="67"/>
      <c r="X12" s="102"/>
      <c r="Y12" s="103"/>
      <c r="Z12" s="249"/>
      <c r="AA12" s="50"/>
      <c r="AC12" s="495"/>
      <c r="AD12" s="496"/>
      <c r="AE12" s="496"/>
      <c r="AF12" s="497"/>
      <c r="AG12" s="494"/>
      <c r="AH12" s="495"/>
      <c r="AI12" s="496"/>
      <c r="AJ12" s="496"/>
      <c r="AK12" s="497"/>
      <c r="AM12" s="495"/>
      <c r="AN12" s="496"/>
      <c r="AO12" s="497"/>
    </row>
    <row r="13" spans="1:41" ht="30" customHeight="1">
      <c r="A13" s="14" t="s">
        <v>27</v>
      </c>
      <c r="B13" s="104"/>
      <c r="C13" s="105"/>
      <c r="D13" s="106"/>
      <c r="E13" s="269"/>
      <c r="F13" s="106"/>
      <c r="G13" s="275"/>
      <c r="H13" s="107"/>
      <c r="I13" s="211"/>
      <c r="J13" s="55"/>
      <c r="K13" s="265"/>
      <c r="L13" s="214"/>
      <c r="M13" s="108"/>
      <c r="N13" s="61"/>
      <c r="O13" s="61"/>
      <c r="P13" s="96"/>
      <c r="Q13" s="62"/>
      <c r="R13" s="1094"/>
      <c r="S13" s="1095"/>
      <c r="T13" s="156"/>
      <c r="U13" s="239"/>
      <c r="V13" s="44"/>
      <c r="W13" s="67"/>
      <c r="X13" s="109"/>
      <c r="Y13" s="110"/>
      <c r="Z13" s="249"/>
      <c r="AA13" s="50"/>
      <c r="AC13" s="495"/>
      <c r="AD13" s="496"/>
      <c r="AE13" s="496"/>
      <c r="AF13" s="497"/>
      <c r="AG13" s="494"/>
      <c r="AH13" s="495"/>
      <c r="AI13" s="496"/>
      <c r="AJ13" s="496"/>
      <c r="AK13" s="497"/>
      <c r="AM13" s="495"/>
      <c r="AN13" s="496"/>
      <c r="AO13" s="497"/>
    </row>
    <row r="14" spans="1:41" ht="30" customHeight="1">
      <c r="A14" s="16" t="s">
        <v>28</v>
      </c>
      <c r="B14" s="1688"/>
      <c r="C14" s="112"/>
      <c r="D14" s="113">
        <f>C14</f>
        <v>0</v>
      </c>
      <c r="E14" s="270" t="str">
        <f t="shared" ref="E14:E45" si="0">IF(AF14=1,"?","")</f>
        <v/>
      </c>
      <c r="F14" s="111"/>
      <c r="G14" s="276" t="str">
        <f t="shared" ref="G14:G45" si="1">IF(AK14=1,"?","")</f>
        <v/>
      </c>
      <c r="H14" s="114">
        <f>SUM(D14,F14)</f>
        <v>0</v>
      </c>
      <c r="I14" s="211"/>
      <c r="J14" s="284"/>
      <c r="K14" s="265"/>
      <c r="L14" s="214"/>
      <c r="M14" s="1098" t="str">
        <f>IF(AD14=1,Warning1,IF(AE14=1,Warning2_for_Control,""))</f>
        <v/>
      </c>
      <c r="N14" s="116" t="str">
        <f>IF(AI14=1,Warning1,IF(AJ14=1,Warning2_for_Control,""))</f>
        <v/>
      </c>
      <c r="O14" s="1098" t="str">
        <f>IF(AM14=1,Warning1,IF(AN14=1,Warning2_for_RUK_Control,""))</f>
        <v/>
      </c>
      <c r="P14" s="224"/>
      <c r="Q14" s="62"/>
      <c r="R14" s="120">
        <f>VLOOKUP($AB14,Early_Stats,VLOOKUP('Background 17-18'!$C$2,Inst_Tables,3,FALSE),FALSE)</f>
        <v>0</v>
      </c>
      <c r="S14" s="121">
        <f>VLOOKUP($AB14,Early_Stats,VLOOKUP('Background 17-18'!$C$2,Inst_Tables,4,FALSE),FALSE)</f>
        <v>0</v>
      </c>
      <c r="T14" s="122">
        <f>SUM(R14:S14)</f>
        <v>0</v>
      </c>
      <c r="U14" s="243">
        <f>VLOOKUP($AB14,Early_Stats,VLOOKUP('Background 17-18'!$C$2,Inst_Tables,5,FALSE),FALSE)</f>
        <v>0</v>
      </c>
      <c r="V14" s="44"/>
      <c r="W14" s="67"/>
      <c r="X14" s="118" t="str">
        <f>IF(R14&gt;0,(D14-R14)/R14,"")</f>
        <v/>
      </c>
      <c r="Y14" s="119" t="str">
        <f>IF(S14&gt;0,(F14-S14)/S14,"")</f>
        <v/>
      </c>
      <c r="Z14" s="251" t="str">
        <f>IF(U14&gt;0,(J14-U14)/U14,"")</f>
        <v/>
      </c>
      <c r="AA14" s="92"/>
      <c r="AB14" s="490">
        <v>2</v>
      </c>
      <c r="AC14" s="491">
        <f>IF(AND(MAX(D14,R14)&gt;0,MIN(D14,R14)=0),1,0)</f>
        <v>0</v>
      </c>
      <c r="AD14" s="492">
        <f>IF(ABS(D14-R14)&gt;=5,AC14,0)</f>
        <v>0</v>
      </c>
      <c r="AE14" s="492">
        <f>IF(X14&lt;&gt;"",IF(AND(MIN(D14,R14)&gt;0,ABS(D14-R14)&gt;=Control_FTE_Tol,ABS(X14)&gt;=Control_Per_Tol),1,0),0)</f>
        <v>0</v>
      </c>
      <c r="AF14" s="493">
        <f>IF(SUM(AD14,AE14)&gt;0,1,0)</f>
        <v>0</v>
      </c>
      <c r="AG14" s="494"/>
      <c r="AH14" s="491">
        <f>IF(AND(MAX(F14,S14)&gt;0,OR(MIN(F14,S14)=0,F14="")),1,0)</f>
        <v>0</v>
      </c>
      <c r="AI14" s="492">
        <f>IF(ABS(F14-S14)&gt;=5,AH14,0)</f>
        <v>0</v>
      </c>
      <c r="AJ14" s="492">
        <f>IF(F14&lt;&gt;"",IF(Y14&lt;&gt;"",IF(AND(MIN(F14,S14)&gt;0,ABS(F14-S14)&gt;=Control_FTE_Tol,ABS(Y14)&gt;=Control_Per_Tol),1,0),0),0)</f>
        <v>0</v>
      </c>
      <c r="AK14" s="493">
        <f>IF(SUM(AI14,AJ14)&gt;0,1,0)</f>
        <v>0</v>
      </c>
      <c r="AM14" s="491">
        <f>IF(AND(MAX(J14,U14)&gt;0,OR(MIN(J14,U14)=0,J14="")),1,0)</f>
        <v>0</v>
      </c>
      <c r="AN14" s="492">
        <f>IF(J14&lt;&gt;"",IF(U14&lt;&gt;"",IF(AND(MIN(J14,U14)&gt;0,ABS(J14-U14)&gt;=RUK_Control_FTE_Tol),1,0),0),0)</f>
        <v>0</v>
      </c>
      <c r="AO14" s="493">
        <f>IF(SUM(AM14,AN14)&gt;0,1,0)</f>
        <v>0</v>
      </c>
    </row>
    <row r="15" spans="1:41" ht="30" customHeight="1">
      <c r="A15" s="14" t="s">
        <v>29</v>
      </c>
      <c r="B15" s="111"/>
      <c r="C15" s="112">
        <v>1074</v>
      </c>
      <c r="D15" s="113">
        <f>SUM(B15:C15)</f>
        <v>1074</v>
      </c>
      <c r="E15" s="270" t="str">
        <f t="shared" si="0"/>
        <v/>
      </c>
      <c r="F15" s="111">
        <v>243.15800000000002</v>
      </c>
      <c r="G15" s="276" t="str">
        <f t="shared" si="1"/>
        <v>?</v>
      </c>
      <c r="H15" s="114">
        <f>SUM(D15,F15)</f>
        <v>1317.1579999999999</v>
      </c>
      <c r="I15" s="211"/>
      <c r="J15" s="55"/>
      <c r="K15" s="265"/>
      <c r="L15" s="214"/>
      <c r="M15" s="1099" t="str">
        <f>IF(AD15=1,Warning1,IF(AE15=1,Warning2_for_Non_Control,""))</f>
        <v/>
      </c>
      <c r="N15" s="1096" t="str">
        <f>IF(AI15=1,Warning1,IF(AJ15=1,Warning2_for_Non_Control,""))</f>
        <v>At least 20 FTE and 5% difference between Final Figures and Early Statistics</v>
      </c>
      <c r="O15" s="225"/>
      <c r="P15" s="224"/>
      <c r="Q15" s="62"/>
      <c r="R15" s="120">
        <f>VLOOKUP($AB15,Early_Stats,VLOOKUP('Background 17-18'!$C$2,Inst_Tables,3,FALSE),FALSE)</f>
        <v>1095</v>
      </c>
      <c r="S15" s="121">
        <f>VLOOKUP($AB15,Early_Stats,VLOOKUP('Background 17-18'!$C$2,Inst_Tables,4,FALSE),FALSE)</f>
        <v>275.45999999999998</v>
      </c>
      <c r="T15" s="122">
        <f>SUM(R15:S15)</f>
        <v>1370.46</v>
      </c>
      <c r="U15" s="245"/>
      <c r="V15" s="44"/>
      <c r="W15" s="67"/>
      <c r="X15" s="118">
        <f>IF(R15&gt;0,(D15-R15)/R15,"")</f>
        <v>-1.9178082191780823E-2</v>
      </c>
      <c r="Y15" s="119">
        <f>IF(S15&gt;0,(F15-S15)/S15,"")</f>
        <v>-0.11726566470630932</v>
      </c>
      <c r="Z15" s="254"/>
      <c r="AA15" s="92"/>
      <c r="AB15" s="490">
        <v>3</v>
      </c>
      <c r="AC15" s="491">
        <f>IF(AND(MAX(D15,R15)&gt;0,MIN(D15,R15)=0),1,0)</f>
        <v>0</v>
      </c>
      <c r="AD15" s="492">
        <f>IF(ABS(D15-R15)&gt;=5,AC15,0)</f>
        <v>0</v>
      </c>
      <c r="AE15" s="492">
        <f>IF(X15&lt;&gt;"",IF(AND(MIN(D15,R15)&gt;0,ABS(D15-R15)&gt;=Non_Control_FTE_Tol,ABS(X15)&gt;=Non_Control_Per_Tol),1,0),0)</f>
        <v>0</v>
      </c>
      <c r="AF15" s="493">
        <f>IF(SUM(AD15,AE15)&gt;0,1,0)</f>
        <v>0</v>
      </c>
      <c r="AG15" s="494"/>
      <c r="AH15" s="491">
        <f>IF(AND(MAX(F15,S15)&gt;0,OR(MIN(F15,S15)=0,F15="")),1,0)</f>
        <v>0</v>
      </c>
      <c r="AI15" s="492">
        <f>IF(ABS(F15-S15)&gt;=5,AH15,0)</f>
        <v>0</v>
      </c>
      <c r="AJ15" s="492">
        <f>IF(F15&lt;&gt;"",IF(Y15&lt;&gt;"",IF(AND(MIN(F15,S15)&gt;0,ABS(F15-S15)&gt;=Non_Control_FTE_Tol,ABS(Y15)&gt;=Non_Control_Per_Tol),1,0),0),0)</f>
        <v>1</v>
      </c>
      <c r="AK15" s="493">
        <f>IF(SUM(AI15,AJ15)&gt;0,1,0)</f>
        <v>1</v>
      </c>
      <c r="AM15" s="491"/>
      <c r="AN15" s="492"/>
      <c r="AO15" s="493"/>
    </row>
    <row r="16" spans="1:41" ht="35.1" customHeight="1" thickBot="1">
      <c r="A16" s="123" t="s">
        <v>3</v>
      </c>
      <c r="B16" s="124">
        <f>B15</f>
        <v>0</v>
      </c>
      <c r="C16" s="125">
        <f>SUM(C14:C15)</f>
        <v>1074</v>
      </c>
      <c r="D16" s="124">
        <f>SUM(D14:D15)</f>
        <v>1074</v>
      </c>
      <c r="E16" s="269"/>
      <c r="F16" s="126">
        <f>SUM(F14:F15)</f>
        <v>243.15800000000002</v>
      </c>
      <c r="G16" s="275"/>
      <c r="H16" s="127">
        <f>SUM(H14:H15)</f>
        <v>1317.1579999999999</v>
      </c>
      <c r="I16" s="211"/>
      <c r="J16" s="55"/>
      <c r="K16" s="265"/>
      <c r="L16" s="214"/>
      <c r="M16" s="128"/>
      <c r="N16" s="148"/>
      <c r="O16" s="281"/>
      <c r="P16" s="96"/>
      <c r="Q16" s="62"/>
      <c r="R16" s="130">
        <f>SUM(R14:R15)</f>
        <v>1095</v>
      </c>
      <c r="S16" s="131">
        <f>SUM(S14:S15)</f>
        <v>275.45999999999998</v>
      </c>
      <c r="T16" s="132">
        <f>SUM(T14:T15)</f>
        <v>1370.46</v>
      </c>
      <c r="U16" s="246"/>
      <c r="V16" s="44"/>
      <c r="W16" s="67"/>
      <c r="X16" s="133"/>
      <c r="Y16" s="134"/>
      <c r="Z16" s="50"/>
      <c r="AA16" s="50"/>
      <c r="AC16" s="498"/>
      <c r="AD16" s="499"/>
      <c r="AE16" s="499"/>
      <c r="AF16" s="500"/>
      <c r="AG16" s="494"/>
      <c r="AH16" s="495"/>
      <c r="AI16" s="496"/>
      <c r="AJ16" s="496"/>
      <c r="AK16" s="500"/>
      <c r="AM16" s="495"/>
      <c r="AN16" s="496"/>
      <c r="AO16" s="497"/>
    </row>
    <row r="17" spans="1:41" ht="35.1" customHeight="1">
      <c r="A17" s="12" t="s">
        <v>15</v>
      </c>
      <c r="B17" s="135"/>
      <c r="C17" s="136"/>
      <c r="D17" s="137"/>
      <c r="E17" s="271"/>
      <c r="F17" s="137"/>
      <c r="G17" s="277"/>
      <c r="H17" s="98"/>
      <c r="I17" s="211"/>
      <c r="J17" s="223"/>
      <c r="K17" s="265"/>
      <c r="L17" s="214"/>
      <c r="M17" s="97"/>
      <c r="N17" s="98"/>
      <c r="O17" s="61"/>
      <c r="P17" s="96"/>
      <c r="Q17" s="62"/>
      <c r="R17" s="99"/>
      <c r="S17" s="138"/>
      <c r="T17" s="139"/>
      <c r="U17" s="239"/>
      <c r="V17" s="44"/>
      <c r="W17" s="67"/>
      <c r="X17" s="109"/>
      <c r="Y17" s="110"/>
      <c r="Z17" s="259"/>
      <c r="AA17" s="50"/>
      <c r="AB17" s="501"/>
      <c r="AC17" s="495"/>
      <c r="AD17" s="496"/>
      <c r="AE17" s="496"/>
      <c r="AF17" s="497"/>
      <c r="AG17" s="494"/>
      <c r="AH17" s="495"/>
      <c r="AI17" s="496"/>
      <c r="AJ17" s="496"/>
      <c r="AK17" s="497"/>
      <c r="AM17" s="495"/>
      <c r="AN17" s="496"/>
      <c r="AO17" s="497"/>
    </row>
    <row r="18" spans="1:41" ht="30" customHeight="1">
      <c r="A18" s="14" t="s">
        <v>27</v>
      </c>
      <c r="B18" s="104"/>
      <c r="C18" s="105"/>
      <c r="D18" s="106"/>
      <c r="E18" s="269"/>
      <c r="F18" s="106"/>
      <c r="G18" s="275"/>
      <c r="H18" s="107"/>
      <c r="I18" s="211"/>
      <c r="J18" s="55"/>
      <c r="K18" s="265"/>
      <c r="L18" s="214"/>
      <c r="M18" s="108"/>
      <c r="N18" s="107"/>
      <c r="O18" s="61"/>
      <c r="P18" s="96"/>
      <c r="Q18" s="62"/>
      <c r="R18" s="140"/>
      <c r="S18" s="141"/>
      <c r="T18" s="142"/>
      <c r="U18" s="239"/>
      <c r="V18" s="44"/>
      <c r="W18" s="67"/>
      <c r="X18" s="109"/>
      <c r="Y18" s="110"/>
      <c r="Z18" s="260"/>
      <c r="AA18" s="50"/>
      <c r="AB18" s="501"/>
      <c r="AC18" s="495"/>
      <c r="AD18" s="496"/>
      <c r="AE18" s="496"/>
      <c r="AF18" s="497"/>
      <c r="AG18" s="494"/>
      <c r="AH18" s="495"/>
      <c r="AI18" s="496"/>
      <c r="AJ18" s="496"/>
      <c r="AK18" s="497"/>
      <c r="AM18" s="495"/>
      <c r="AN18" s="496"/>
      <c r="AO18" s="497"/>
    </row>
    <row r="19" spans="1:41" ht="30" customHeight="1">
      <c r="A19" s="16" t="s">
        <v>30</v>
      </c>
      <c r="B19" s="1689"/>
      <c r="C19" s="112">
        <v>203</v>
      </c>
      <c r="D19" s="113">
        <f>C19</f>
        <v>203</v>
      </c>
      <c r="E19" s="270" t="str">
        <f t="shared" si="0"/>
        <v/>
      </c>
      <c r="F19" s="111"/>
      <c r="G19" s="276" t="str">
        <f t="shared" si="1"/>
        <v/>
      </c>
      <c r="H19" s="114">
        <f t="shared" ref="H19:H23" si="2">SUM(D19,F19)</f>
        <v>203</v>
      </c>
      <c r="I19" s="211"/>
      <c r="J19" s="284"/>
      <c r="K19" s="267" t="str">
        <f t="shared" ref="K19:K22" si="3">IF(AO19=1,"?","")</f>
        <v>?</v>
      </c>
      <c r="L19" s="214"/>
      <c r="M19" s="1098" t="str">
        <f>IF(AD19=1,Warning1,IF(AE19=1,Warning2_for_Control,""))</f>
        <v/>
      </c>
      <c r="N19" s="116" t="str">
        <f>IF(AI19=1,Warning1,IF(AJ19=1,Warning2_for_Control,""))</f>
        <v/>
      </c>
      <c r="O19" s="1098" t="str">
        <f>IF(AM19=1,Warning1,IF(AN19=1,Warning2_for_RUK_Control,""))</f>
        <v>Non-zero FTE in only one of Early Statistics or Final Figures</v>
      </c>
      <c r="P19" s="224"/>
      <c r="Q19" s="62"/>
      <c r="R19" s="208">
        <f>VLOOKUP($AB19,Early_Stats,VLOOKUP('Background 17-18'!$C$2,Inst_Tables,3,FALSE),FALSE)</f>
        <v>194</v>
      </c>
      <c r="S19" s="143">
        <f>VLOOKUP($AB19,Early_Stats,VLOOKUP('Background 17-18'!$C$2,Inst_Tables,4,FALSE),FALSE)</f>
        <v>0</v>
      </c>
      <c r="T19" s="117">
        <f>SUM(R19:S19)</f>
        <v>194</v>
      </c>
      <c r="U19" s="243">
        <f>VLOOKUP($AB19,Early_Stats,VLOOKUP('Background 17-18'!$C$2,Inst_Tables,5,FALSE),FALSE)</f>
        <v>2</v>
      </c>
      <c r="V19" s="44"/>
      <c r="W19" s="67"/>
      <c r="X19" s="144">
        <f>IF(R19&gt;0,(D19-R19)/R19,"")</f>
        <v>4.6391752577319589E-2</v>
      </c>
      <c r="Y19" s="145" t="str">
        <f>IF(S19&gt;0,(F19-S19)/S19,"")</f>
        <v/>
      </c>
      <c r="Z19" s="251">
        <f>IF(U19&gt;0,(J19-U19)/U19,"")</f>
        <v>-1</v>
      </c>
      <c r="AA19" s="92"/>
      <c r="AB19" s="490">
        <v>4</v>
      </c>
      <c r="AC19" s="491">
        <f>IF(AND(MAX(D19,R19)&gt;0,MIN(D19,R19)=0),1,0)</f>
        <v>0</v>
      </c>
      <c r="AD19" s="492">
        <f>IF(ABS(D19-R19)&gt;=5,AC19,0)</f>
        <v>0</v>
      </c>
      <c r="AE19" s="492">
        <f>IF(X19&lt;&gt;"",IF(AND(MIN(D19,R19)&gt;0,ABS(D19-R19)&gt;=Control_FTE_Tol,ABS(X19)&gt;=Control_Per_Tol),1,0),0)</f>
        <v>0</v>
      </c>
      <c r="AF19" s="493">
        <f>IF(SUM(AD19,AE19)&gt;0,1,0)</f>
        <v>0</v>
      </c>
      <c r="AG19" s="494"/>
      <c r="AH19" s="491">
        <f>IF(AND(MAX(F19,S19)&gt;0,OR(MIN(F19,S19)=0,F19="")),1,0)</f>
        <v>0</v>
      </c>
      <c r="AI19" s="492">
        <f>IF(ABS(F19-S19)&gt;=5,AH19,0)</f>
        <v>0</v>
      </c>
      <c r="AJ19" s="492">
        <f>IF(F19&lt;&gt;"",IF(Y19&lt;&gt;"",IF(AND(MIN(F19,S19)&gt;0,ABS(F19-S19)&gt;=Control_FTE_Tol,ABS(Y19)&gt;=Control_Per_Tol),1,0),0),0)</f>
        <v>0</v>
      </c>
      <c r="AK19" s="493">
        <f>IF(SUM(AI19,AJ19)&gt;0,1,0)</f>
        <v>0</v>
      </c>
      <c r="AM19" s="491">
        <f>IF(AND(MAX(J19,U19)&gt;0,OR(MIN(J19,U19)=0,J19="")),1,0)</f>
        <v>1</v>
      </c>
      <c r="AN19" s="492">
        <f>IF(J19&lt;&gt;"",IF(U19&lt;&gt;"",IF(AND(MIN(J19,U19)&gt;0,ABS(J19-U19)&gt;=RUK_Control_FTE_Tol),1,0),0),0)</f>
        <v>0</v>
      </c>
      <c r="AO19" s="493">
        <f>IF(SUM(AM19,AN19)&gt;0,1,0)</f>
        <v>1</v>
      </c>
    </row>
    <row r="20" spans="1:41" ht="30" customHeight="1">
      <c r="A20" s="16" t="s">
        <v>31</v>
      </c>
      <c r="B20" s="1689"/>
      <c r="C20" s="112">
        <v>205</v>
      </c>
      <c r="D20" s="113">
        <f t="shared" ref="D20:D22" si="4">C20</f>
        <v>205</v>
      </c>
      <c r="E20" s="270" t="str">
        <f t="shared" si="0"/>
        <v/>
      </c>
      <c r="F20" s="111">
        <v>0.5</v>
      </c>
      <c r="G20" s="276" t="str">
        <f t="shared" si="1"/>
        <v/>
      </c>
      <c r="H20" s="114">
        <f t="shared" si="2"/>
        <v>205.5</v>
      </c>
      <c r="I20" s="211"/>
      <c r="J20" s="284">
        <v>4</v>
      </c>
      <c r="K20" s="267" t="str">
        <f t="shared" si="3"/>
        <v/>
      </c>
      <c r="L20" s="214"/>
      <c r="M20" s="1098" t="str">
        <f>IF(AD20=1,Warning1,IF(AE20=1,Warning2_for_Control,""))</f>
        <v/>
      </c>
      <c r="N20" s="116" t="str">
        <f>IF(AI20=1,Warning1,IF(AJ20=1,Warning2_for_Control,""))</f>
        <v/>
      </c>
      <c r="O20" s="1098" t="str">
        <f>IF(AM20=1,Warning1,IF(AN20=1,Warning2_for_RUK_Control,""))</f>
        <v/>
      </c>
      <c r="P20" s="224"/>
      <c r="Q20" s="62"/>
      <c r="R20" s="209">
        <f>VLOOKUP($AB20,Early_Stats,VLOOKUP('Background 17-18'!$C$2,Inst_Tables,3,FALSE),FALSE)</f>
        <v>204</v>
      </c>
      <c r="S20" s="121">
        <f>VLOOKUP($AB20,Early_Stats,VLOOKUP('Background 17-18'!$C$2,Inst_Tables,4,FALSE),FALSE)</f>
        <v>0.5</v>
      </c>
      <c r="T20" s="122">
        <f>SUM(R20:S20)</f>
        <v>204.5</v>
      </c>
      <c r="U20" s="243">
        <f>VLOOKUP($AB20,Early_Stats,VLOOKUP('Background 17-18'!$C$2,Inst_Tables,5,FALSE),FALSE)</f>
        <v>6</v>
      </c>
      <c r="V20" s="44"/>
      <c r="W20" s="67"/>
      <c r="X20" s="118">
        <f>IF(R20&gt;0,(D20-R20)/R20,"")</f>
        <v>4.9019607843137254E-3</v>
      </c>
      <c r="Y20" s="119">
        <f t="shared" ref="Y20" si="5">IF(S20&gt;0,(F20-S20)/S20,"")</f>
        <v>0</v>
      </c>
      <c r="Z20" s="251">
        <f>IF(U20&gt;0,(J20-U20)/U20,"")</f>
        <v>-0.33333333333333331</v>
      </c>
      <c r="AA20" s="92"/>
      <c r="AB20" s="490">
        <v>5</v>
      </c>
      <c r="AC20" s="491">
        <f>IF(AND(MAX(D20,R20)&gt;0,MIN(D20,R20)=0),1,0)</f>
        <v>0</v>
      </c>
      <c r="AD20" s="492">
        <f>IF(ABS(D20-R20)&gt;=5,AC20,0)</f>
        <v>0</v>
      </c>
      <c r="AE20" s="492">
        <f>IF(X20&lt;&gt;"",IF(AND(MIN(D20,R20)&gt;0,ABS(D20-R20)&gt;=Control_FTE_Tol,ABS(X20)&gt;=Control_Per_Tol),1,0),0)</f>
        <v>0</v>
      </c>
      <c r="AF20" s="493">
        <f>IF(SUM(AD20,AE20)&gt;0,1,0)</f>
        <v>0</v>
      </c>
      <c r="AG20" s="494"/>
      <c r="AH20" s="491">
        <f>IF(AND(MAX(F20,S20)&gt;0,OR(MIN(F20,S20)=0,F20="")),1,0)</f>
        <v>0</v>
      </c>
      <c r="AI20" s="492">
        <f>IF(ABS(F20-S20)&gt;=5,AH20,0)</f>
        <v>0</v>
      </c>
      <c r="AJ20" s="492">
        <f>IF(F20&lt;&gt;"",IF(Y20&lt;&gt;"",IF(AND(MIN(F20,S20)&gt;0,ABS(F20-S20)&gt;=Control_FTE_Tol,ABS(Y20)&gt;=Control_Per_Tol),1,0),0),0)</f>
        <v>0</v>
      </c>
      <c r="AK20" s="493">
        <f>IF(SUM(AI20,AJ20)&gt;0,1,0)</f>
        <v>0</v>
      </c>
      <c r="AM20" s="491">
        <f>IF(AND(MAX(J20,U20)&gt;0,OR(MIN(J20,U20)=0,J20="")),1,0)</f>
        <v>0</v>
      </c>
      <c r="AN20" s="492">
        <f>IF(J20&lt;&gt;"",IF(U20&lt;&gt;"",IF(AND(MIN(J20,U20)&gt;0,ABS(J20-U20)&gt;=RUK_Control_FTE_Tol),1,0),0),0)</f>
        <v>0</v>
      </c>
      <c r="AO20" s="493">
        <f>IF(SUM(AM20,AN20)&gt;0,1,0)</f>
        <v>0</v>
      </c>
    </row>
    <row r="21" spans="1:41" ht="30" customHeight="1">
      <c r="A21" s="16" t="s">
        <v>159</v>
      </c>
      <c r="B21" s="1689"/>
      <c r="C21" s="112">
        <v>8</v>
      </c>
      <c r="D21" s="113">
        <f t="shared" si="4"/>
        <v>8</v>
      </c>
      <c r="E21" s="270" t="str">
        <f t="shared" si="0"/>
        <v/>
      </c>
      <c r="F21" s="111"/>
      <c r="G21" s="276" t="str">
        <f t="shared" si="1"/>
        <v/>
      </c>
      <c r="H21" s="114">
        <f t="shared" si="2"/>
        <v>8</v>
      </c>
      <c r="I21" s="211"/>
      <c r="J21" s="284"/>
      <c r="K21" s="267" t="str">
        <f t="shared" si="3"/>
        <v/>
      </c>
      <c r="L21" s="214"/>
      <c r="M21" s="1098" t="str">
        <f>IF(AD21=1,Warning1,IF(AE21=1,Warning2_for_Control,""))</f>
        <v/>
      </c>
      <c r="N21" s="116" t="str">
        <f>IF(AI21=1,Warning1,IF(AJ21=1,Warning2_for_Control,""))</f>
        <v/>
      </c>
      <c r="O21" s="1098" t="str">
        <f>IF(AM21=1,Warning1,IF(AN21=1,Warning2_for_RUK_Control,""))</f>
        <v/>
      </c>
      <c r="P21" s="224"/>
      <c r="Q21" s="62"/>
      <c r="R21" s="209">
        <f>VLOOKUP($AB21,Early_Stats,VLOOKUP('Background 17-18'!$C$2,Inst_Tables,3,FALSE),FALSE)</f>
        <v>17</v>
      </c>
      <c r="S21" s="121">
        <f>VLOOKUP($AB21,Early_Stats,VLOOKUP('Background 17-18'!$C$2,Inst_Tables,4,FALSE),FALSE)</f>
        <v>0</v>
      </c>
      <c r="T21" s="122">
        <f t="shared" ref="T21:T22" si="6">SUM(R21:S21)</f>
        <v>17</v>
      </c>
      <c r="U21" s="243">
        <f>VLOOKUP($AB21,Early_Stats,VLOOKUP('Background 17-18'!$C$2,Inst_Tables,5,FALSE),FALSE)</f>
        <v>0</v>
      </c>
      <c r="V21" s="44"/>
      <c r="W21" s="67"/>
      <c r="X21" s="118">
        <f t="shared" ref="X21:X23" si="7">IF(R21&gt;0,(D21-R21)/R21,"")</f>
        <v>-0.52941176470588236</v>
      </c>
      <c r="Y21" s="119" t="str">
        <f t="shared" ref="Y21:Y23" si="8">IF(S21&gt;0,(F21-S21)/S21,"")</f>
        <v/>
      </c>
      <c r="Z21" s="251" t="str">
        <f>IF(U21&gt;0,(J21-U21)/U21,"")</f>
        <v/>
      </c>
      <c r="AA21" s="92"/>
      <c r="AB21" s="490">
        <v>6</v>
      </c>
      <c r="AC21" s="491">
        <f t="shared" ref="AC21:AC22" si="9">IF(AND(MAX(D21,R21)&gt;0,MIN(D21,R21)=0),1,0)</f>
        <v>0</v>
      </c>
      <c r="AD21" s="492">
        <f t="shared" ref="AD21:AD23" si="10">IF(ABS(D21-R21)&gt;=5,AC21,0)</f>
        <v>0</v>
      </c>
      <c r="AE21" s="492">
        <f>IF(X21&lt;&gt;"",IF(AND(MIN(D21,R21)&gt;0,ABS(D21-R21)&gt;=Control_FTE_Tol,ABS(X21)&gt;=Control_Per_Tol),1,0),0)</f>
        <v>0</v>
      </c>
      <c r="AF21" s="493">
        <f t="shared" ref="AF21:AF22" si="11">IF(SUM(AD21,AE21)&gt;0,1,0)</f>
        <v>0</v>
      </c>
      <c r="AG21" s="494"/>
      <c r="AH21" s="491">
        <f t="shared" ref="AH21:AH22" si="12">IF(AND(MAX(F21,S21)&gt;0,OR(MIN(F21,S21)=0,F21="")),1,0)</f>
        <v>0</v>
      </c>
      <c r="AI21" s="492">
        <f t="shared" ref="AI21:AI22" si="13">IF(ABS(F21-S21)&gt;=5,AH21,0)</f>
        <v>0</v>
      </c>
      <c r="AJ21" s="492">
        <f>IF(F21&lt;&gt;"",IF(Y21&lt;&gt;"",IF(AND(MIN(F21,S21)&gt;0,ABS(F21-S21)&gt;=Control_FTE_Tol,ABS(Y21)&gt;=Control_Per_Tol),1,0),0),0)</f>
        <v>0</v>
      </c>
      <c r="AK21" s="493">
        <f t="shared" ref="AK21:AK22" si="14">IF(SUM(AI21,AJ21)&gt;0,1,0)</f>
        <v>0</v>
      </c>
      <c r="AM21" s="491">
        <f t="shared" ref="AM21:AM22" si="15">IF(AND(MAX(J21,U21)&gt;0,OR(MIN(J21,U21)=0,J21="")),1,0)</f>
        <v>0</v>
      </c>
      <c r="AN21" s="492">
        <f>IF(J21&lt;&gt;"",IF(U21&lt;&gt;"",IF(AND(MIN(J21,U21)&gt;0,ABS(J21-U21)&gt;=RUK_Control_FTE_Tol),1,0),0),0)</f>
        <v>0</v>
      </c>
      <c r="AO21" s="493">
        <f t="shared" ref="AO21:AO22" si="16">IF(SUM(AM21,AN21)&gt;0,1,0)</f>
        <v>0</v>
      </c>
    </row>
    <row r="22" spans="1:41" ht="30" customHeight="1">
      <c r="A22" s="16" t="s">
        <v>207</v>
      </c>
      <c r="B22" s="1688"/>
      <c r="C22" s="112"/>
      <c r="D22" s="113">
        <f t="shared" si="4"/>
        <v>0</v>
      </c>
      <c r="E22" s="270" t="str">
        <f t="shared" si="0"/>
        <v/>
      </c>
      <c r="F22" s="111"/>
      <c r="G22" s="276" t="str">
        <f t="shared" si="1"/>
        <v/>
      </c>
      <c r="H22" s="114">
        <f t="shared" si="2"/>
        <v>0</v>
      </c>
      <c r="I22" s="211"/>
      <c r="J22" s="284"/>
      <c r="K22" s="267" t="str">
        <f t="shared" si="3"/>
        <v/>
      </c>
      <c r="L22" s="214"/>
      <c r="M22" s="1098" t="str">
        <f>IF(AD22=1,Warning1,IF(AE22=1,Warning2_for_Control,""))</f>
        <v/>
      </c>
      <c r="N22" s="116" t="str">
        <f>IF(AI22=1,Warning1,IF(AJ22=1,Warning2_for_Control,""))</f>
        <v/>
      </c>
      <c r="O22" s="1098" t="str">
        <f>IF(AM22=1,Warning1,IF(AN22=1,Warning2_for_RUK_Control,""))</f>
        <v/>
      </c>
      <c r="P22" s="224"/>
      <c r="Q22" s="62"/>
      <c r="R22" s="209">
        <f>VLOOKUP($AB22,Early_Stats,VLOOKUP('Background 17-18'!$C$2,Inst_Tables,3,FALSE),FALSE)</f>
        <v>0</v>
      </c>
      <c r="S22" s="121">
        <f>VLOOKUP($AB22,Early_Stats,VLOOKUP('Background 17-18'!$C$2,Inst_Tables,4,FALSE),FALSE)</f>
        <v>0</v>
      </c>
      <c r="T22" s="122">
        <f t="shared" si="6"/>
        <v>0</v>
      </c>
      <c r="U22" s="243">
        <f>VLOOKUP($AB22,Early_Stats,VLOOKUP('Background 17-18'!$C$2,Inst_Tables,5,FALSE),FALSE)</f>
        <v>0</v>
      </c>
      <c r="V22" s="44"/>
      <c r="W22" s="67"/>
      <c r="X22" s="118" t="str">
        <f t="shared" si="7"/>
        <v/>
      </c>
      <c r="Y22" s="119" t="str">
        <f t="shared" si="8"/>
        <v/>
      </c>
      <c r="Z22" s="251" t="str">
        <f>IF(U22&gt;0,(J22-U22)/U22,"")</f>
        <v/>
      </c>
      <c r="AA22" s="92"/>
      <c r="AB22" s="490">
        <v>7</v>
      </c>
      <c r="AC22" s="491">
        <f t="shared" si="9"/>
        <v>0</v>
      </c>
      <c r="AD22" s="492">
        <f t="shared" si="10"/>
        <v>0</v>
      </c>
      <c r="AE22" s="492">
        <f>IF(X22&lt;&gt;"",IF(AND(MIN(D22,R22)&gt;0,ABS(D22-R22)&gt;=Control_FTE_Tol,ABS(X22)&gt;=Control_Per_Tol),1,0),0)</f>
        <v>0</v>
      </c>
      <c r="AF22" s="493">
        <f t="shared" si="11"/>
        <v>0</v>
      </c>
      <c r="AG22" s="494"/>
      <c r="AH22" s="491">
        <f t="shared" si="12"/>
        <v>0</v>
      </c>
      <c r="AI22" s="492">
        <f t="shared" si="13"/>
        <v>0</v>
      </c>
      <c r="AJ22" s="492">
        <f>IF(F22&lt;&gt;"",IF(Y22&lt;&gt;"",IF(AND(MIN(F22,S22)&gt;0,ABS(F22-S22)&gt;=Control_FTE_Tol,ABS(Y22)&gt;=Control_Per_Tol),1,0),0),0)</f>
        <v>0</v>
      </c>
      <c r="AK22" s="493">
        <f t="shared" si="14"/>
        <v>0</v>
      </c>
      <c r="AM22" s="491">
        <f t="shared" si="15"/>
        <v>0</v>
      </c>
      <c r="AN22" s="492">
        <f>IF(J22&lt;&gt;"",IF(U22&lt;&gt;"",IF(AND(MIN(J22,U22)&gt;0,ABS(J22-U22)&gt;=RUK_Control_FTE_Tol),1,0),0),0)</f>
        <v>0</v>
      </c>
      <c r="AO22" s="493">
        <f t="shared" si="16"/>
        <v>0</v>
      </c>
    </row>
    <row r="23" spans="1:41" ht="30" customHeight="1">
      <c r="A23" s="14" t="s">
        <v>29</v>
      </c>
      <c r="B23" s="111"/>
      <c r="C23" s="112">
        <v>7</v>
      </c>
      <c r="D23" s="113">
        <f>SUM(B23:C23)</f>
        <v>7</v>
      </c>
      <c r="E23" s="270" t="str">
        <f t="shared" si="0"/>
        <v/>
      </c>
      <c r="F23" s="111">
        <v>206.11810900000006</v>
      </c>
      <c r="G23" s="276" t="str">
        <f t="shared" si="1"/>
        <v>?</v>
      </c>
      <c r="H23" s="114">
        <f t="shared" si="2"/>
        <v>213.11810900000006</v>
      </c>
      <c r="I23" s="211"/>
      <c r="J23" s="55"/>
      <c r="K23" s="265"/>
      <c r="L23" s="214"/>
      <c r="M23" s="1098" t="str">
        <f>IF(AD23=1,Warning1,IF(AE23=1,Warning2_for_Non_Control,""))</f>
        <v/>
      </c>
      <c r="N23" s="116" t="str">
        <f>IF(AI23=1,Warning1,IF(AJ23=1,Warning2_for_Non_Control,""))</f>
        <v>At least 20 FTE and 5% difference between Final Figures and Early Statistics</v>
      </c>
      <c r="O23" s="225"/>
      <c r="P23" s="224"/>
      <c r="Q23" s="62"/>
      <c r="R23" s="209">
        <f>VLOOKUP($AB23,Early_Stats,VLOOKUP('Background 17-18'!$C$2,Inst_Tables,3,FALSE),FALSE)</f>
        <v>8</v>
      </c>
      <c r="S23" s="121">
        <f>VLOOKUP($AB23,Early_Stats,VLOOKUP('Background 17-18'!$C$2,Inst_Tables,4,FALSE),FALSE)</f>
        <v>184.99</v>
      </c>
      <c r="T23" s="122">
        <f>SUM(R23:S23)</f>
        <v>192.99</v>
      </c>
      <c r="U23" s="238"/>
      <c r="V23" s="44"/>
      <c r="W23" s="67"/>
      <c r="X23" s="118">
        <f t="shared" si="7"/>
        <v>-0.125</v>
      </c>
      <c r="Y23" s="119">
        <f t="shared" si="8"/>
        <v>0.11421216822530975</v>
      </c>
      <c r="Z23" s="261"/>
      <c r="AA23" s="92"/>
      <c r="AB23" s="490">
        <v>8</v>
      </c>
      <c r="AC23" s="491">
        <f>IF(AND(MAX(D23,R23)&gt;0,MIN(D23,R23)=0),1,0)</f>
        <v>0</v>
      </c>
      <c r="AD23" s="492">
        <f t="shared" si="10"/>
        <v>0</v>
      </c>
      <c r="AE23" s="492">
        <f>IF(X23&lt;&gt;"",IF(AND(MIN(D23,R23)&gt;0,ABS(D23-R23)&gt;=Non_Control_FTE_Tol,ABS(X23)&gt;=Non_Control_Per_Tol),1,0),0)</f>
        <v>0</v>
      </c>
      <c r="AF23" s="493">
        <f>IF(SUM(AD23,AE23)&gt;0,1,0)</f>
        <v>0</v>
      </c>
      <c r="AG23" s="494"/>
      <c r="AH23" s="491">
        <f>IF(AND(MAX(F23,S23)&gt;0,OR(MIN(F23,S23)=0,F23="")),1,0)</f>
        <v>0</v>
      </c>
      <c r="AI23" s="492">
        <f>IF(ABS(F23-S23)&gt;=5,AH23,0)</f>
        <v>0</v>
      </c>
      <c r="AJ23" s="492">
        <f>IF(F23&lt;&gt;"",IF(Y23&lt;&gt;"",IF(AND(MIN(F23,S23)&gt;0,ABS(F23-S23)&gt;=Non_Control_FTE_Tol,ABS(Y23)&gt;=Non_Control_Per_Tol),1,0),0),0)</f>
        <v>1</v>
      </c>
      <c r="AK23" s="493">
        <f>IF(SUM(AI23,AJ23)&gt;0,1,0)</f>
        <v>1</v>
      </c>
      <c r="AM23" s="491"/>
      <c r="AN23" s="492"/>
      <c r="AO23" s="493"/>
    </row>
    <row r="24" spans="1:41" ht="35.1" customHeight="1" thickBot="1">
      <c r="A24" s="123" t="s">
        <v>3</v>
      </c>
      <c r="B24" s="124">
        <f>B23</f>
        <v>0</v>
      </c>
      <c r="C24" s="125">
        <f>SUM(C19:C23)</f>
        <v>423</v>
      </c>
      <c r="D24" s="124">
        <f>SUM(D19:D23)</f>
        <v>423</v>
      </c>
      <c r="E24" s="272"/>
      <c r="F24" s="124">
        <f>SUM(F19:F23)</f>
        <v>206.61810900000006</v>
      </c>
      <c r="G24" s="278"/>
      <c r="H24" s="146">
        <f>SUM(H19:H23)</f>
        <v>629.618109</v>
      </c>
      <c r="I24" s="211"/>
      <c r="J24" s="220"/>
      <c r="K24" s="265"/>
      <c r="L24" s="214"/>
      <c r="M24" s="147"/>
      <c r="N24" s="148"/>
      <c r="O24" s="61"/>
      <c r="P24" s="96"/>
      <c r="Q24" s="62"/>
      <c r="R24" s="241">
        <f>SUM(R19:R23)</f>
        <v>423</v>
      </c>
      <c r="S24" s="242">
        <f>SUM(S19:S23)</f>
        <v>185.49</v>
      </c>
      <c r="T24" s="132">
        <f>SUM(T19:T23)</f>
        <v>608.49</v>
      </c>
      <c r="U24" s="240"/>
      <c r="V24" s="44"/>
      <c r="W24" s="67"/>
      <c r="X24" s="150"/>
      <c r="Y24" s="151"/>
      <c r="Z24" s="262"/>
      <c r="AA24" s="50"/>
      <c r="AB24" s="502"/>
      <c r="AC24" s="495"/>
      <c r="AD24" s="496"/>
      <c r="AE24" s="496"/>
      <c r="AF24" s="497"/>
      <c r="AG24" s="494"/>
      <c r="AH24" s="495"/>
      <c r="AI24" s="496"/>
      <c r="AJ24" s="496"/>
      <c r="AK24" s="497"/>
      <c r="AM24" s="495"/>
      <c r="AN24" s="496"/>
      <c r="AO24" s="497"/>
    </row>
    <row r="25" spans="1:41" ht="35.1" customHeight="1">
      <c r="A25" s="152" t="s">
        <v>17</v>
      </c>
      <c r="B25" s="153"/>
      <c r="C25" s="136"/>
      <c r="D25" s="137"/>
      <c r="E25" s="269"/>
      <c r="F25" s="96"/>
      <c r="G25" s="275"/>
      <c r="H25" s="61"/>
      <c r="I25" s="211"/>
      <c r="J25" s="55"/>
      <c r="K25" s="265"/>
      <c r="L25" s="214"/>
      <c r="M25" s="97"/>
      <c r="N25" s="98"/>
      <c r="O25" s="97"/>
      <c r="P25" s="96"/>
      <c r="Q25" s="62"/>
      <c r="R25" s="154"/>
      <c r="S25" s="155"/>
      <c r="T25" s="156"/>
      <c r="U25" s="239"/>
      <c r="V25" s="44"/>
      <c r="W25" s="67"/>
      <c r="X25" s="102"/>
      <c r="Y25" s="103"/>
      <c r="Z25" s="249"/>
      <c r="AA25" s="50"/>
      <c r="AB25" s="501"/>
      <c r="AC25" s="495"/>
      <c r="AD25" s="496"/>
      <c r="AE25" s="496"/>
      <c r="AF25" s="497"/>
      <c r="AG25" s="494"/>
      <c r="AH25" s="495"/>
      <c r="AI25" s="496"/>
      <c r="AJ25" s="496"/>
      <c r="AK25" s="497"/>
      <c r="AM25" s="495"/>
      <c r="AN25" s="496"/>
      <c r="AO25" s="497"/>
    </row>
    <row r="26" spans="1:41" ht="30" customHeight="1">
      <c r="A26" s="157" t="s">
        <v>27</v>
      </c>
      <c r="B26" s="157"/>
      <c r="C26" s="105"/>
      <c r="D26" s="96"/>
      <c r="E26" s="269"/>
      <c r="F26" s="96"/>
      <c r="G26" s="275"/>
      <c r="H26" s="61"/>
      <c r="I26" s="211"/>
      <c r="J26" s="55"/>
      <c r="K26" s="265"/>
      <c r="L26" s="214"/>
      <c r="M26" s="108"/>
      <c r="N26" s="61"/>
      <c r="O26" s="108"/>
      <c r="P26" s="96"/>
      <c r="Q26" s="62"/>
      <c r="R26" s="154"/>
      <c r="S26" s="155"/>
      <c r="T26" s="156"/>
      <c r="U26" s="239"/>
      <c r="V26" s="44"/>
      <c r="W26" s="67"/>
      <c r="X26" s="109"/>
      <c r="Y26" s="110"/>
      <c r="Z26" s="249"/>
      <c r="AA26" s="50"/>
      <c r="AB26" s="501"/>
      <c r="AC26" s="495"/>
      <c r="AD26" s="496"/>
      <c r="AE26" s="496"/>
      <c r="AF26" s="497"/>
      <c r="AG26" s="494"/>
      <c r="AH26" s="495"/>
      <c r="AI26" s="496"/>
      <c r="AJ26" s="496"/>
      <c r="AK26" s="497"/>
      <c r="AM26" s="495"/>
      <c r="AN26" s="496"/>
      <c r="AO26" s="497"/>
    </row>
    <row r="27" spans="1:41" ht="30" customHeight="1">
      <c r="A27" s="158" t="s">
        <v>32</v>
      </c>
      <c r="B27" s="158"/>
      <c r="C27" s="159"/>
      <c r="D27" s="96"/>
      <c r="E27" s="269"/>
      <c r="F27" s="96"/>
      <c r="G27" s="275"/>
      <c r="H27" s="61"/>
      <c r="I27" s="211"/>
      <c r="J27" s="55"/>
      <c r="K27" s="265"/>
      <c r="L27" s="214"/>
      <c r="M27" s="108"/>
      <c r="N27" s="107"/>
      <c r="O27" s="108"/>
      <c r="P27" s="96"/>
      <c r="Q27" s="62"/>
      <c r="R27" s="154"/>
      <c r="S27" s="155"/>
      <c r="T27" s="160"/>
      <c r="U27" s="239"/>
      <c r="V27" s="44"/>
      <c r="W27" s="67"/>
      <c r="X27" s="109"/>
      <c r="Y27" s="110"/>
      <c r="Z27" s="249"/>
      <c r="AA27" s="50"/>
      <c r="AB27" s="501"/>
      <c r="AC27" s="495"/>
      <c r="AD27" s="496"/>
      <c r="AE27" s="496"/>
      <c r="AF27" s="497"/>
      <c r="AG27" s="494"/>
      <c r="AH27" s="495"/>
      <c r="AI27" s="496"/>
      <c r="AJ27" s="496"/>
      <c r="AK27" s="497"/>
      <c r="AM27" s="495"/>
      <c r="AN27" s="496"/>
      <c r="AO27" s="497"/>
    </row>
    <row r="28" spans="1:41" ht="30" customHeight="1">
      <c r="A28" s="161" t="s">
        <v>23</v>
      </c>
      <c r="B28" s="162">
        <v>7</v>
      </c>
      <c r="C28" s="163">
        <v>522</v>
      </c>
      <c r="D28" s="113">
        <f>SUM(B28:C28)</f>
        <v>529</v>
      </c>
      <c r="E28" s="270" t="str">
        <f t="shared" si="0"/>
        <v/>
      </c>
      <c r="F28" s="111"/>
      <c r="G28" s="276" t="str">
        <f t="shared" si="1"/>
        <v/>
      </c>
      <c r="H28" s="114">
        <f t="shared" ref="H28:H31" si="17">SUM(D28,F28)</f>
        <v>529</v>
      </c>
      <c r="I28" s="211"/>
      <c r="J28" s="284">
        <v>170</v>
      </c>
      <c r="K28" s="267" t="str">
        <f t="shared" ref="K28:K31" si="18">IF(AO28=1,"?","")</f>
        <v/>
      </c>
      <c r="L28" s="214"/>
      <c r="M28" s="1098" t="str">
        <f>IF(AD28=1,Warning1,IF(AE28=1,Warning2_for_Control,""))</f>
        <v/>
      </c>
      <c r="N28" s="116" t="str">
        <f>IF(AI28=1,Warning1,IF(AJ28=1,Warning2_for_Control,""))</f>
        <v/>
      </c>
      <c r="O28" s="1098" t="str">
        <f>IF(AM28=1,Warning1,IF(AN28=1,Warning2_for_RUK_Control,""))</f>
        <v/>
      </c>
      <c r="P28" s="224"/>
      <c r="Q28" s="62"/>
      <c r="R28" s="120">
        <f>VLOOKUP($AB28,Early_Stats,VLOOKUP('Background 17-18'!$C$2,Inst_Tables,3,FALSE),FALSE)</f>
        <v>530</v>
      </c>
      <c r="S28" s="121">
        <f>VLOOKUP($AB28,Early_Stats,VLOOKUP('Background 17-18'!$C$2,Inst_Tables,4,FALSE),FALSE)</f>
        <v>0</v>
      </c>
      <c r="T28" s="122">
        <f>SUM(R28:S28)</f>
        <v>530</v>
      </c>
      <c r="U28" s="243">
        <f>VLOOKUP($AB28,Early_Stats,VLOOKUP('Background 17-18'!$C$2,Inst_Tables,5,FALSE),FALSE)</f>
        <v>173</v>
      </c>
      <c r="V28" s="44"/>
      <c r="W28" s="67"/>
      <c r="X28" s="144">
        <f>IF(R28&gt;0,(D28-R28)/R28,"")</f>
        <v>-1.8867924528301887E-3</v>
      </c>
      <c r="Y28" s="145" t="str">
        <f t="shared" ref="Y28:Y31" si="19">IF(S28&gt;0,(F28-S28)/S28,"")</f>
        <v/>
      </c>
      <c r="Z28" s="251">
        <f t="shared" ref="Z28:Z31" si="20">IF(U28&gt;0,(J28-U28)/U28,"")</f>
        <v>-1.7341040462427744E-2</v>
      </c>
      <c r="AA28" s="92"/>
      <c r="AB28" s="490">
        <v>9</v>
      </c>
      <c r="AC28" s="491">
        <f>IF(AND(MAX(D28,R28)&gt;0,MIN(D28,R28)=0),1,0)</f>
        <v>0</v>
      </c>
      <c r="AD28" s="492">
        <f>IF(ABS(D28-R28)&gt;=5,AC28,0)</f>
        <v>0</v>
      </c>
      <c r="AE28" s="492">
        <f>IF(X28&lt;&gt;"",IF(AND(MIN(D28,R28)&gt;0,ABS(D28-R28)&gt;=Control_FTE_Tol,ABS(X28)&gt;=Control_Per_Tol),1,0),0)</f>
        <v>0</v>
      </c>
      <c r="AF28" s="493">
        <f>IF(SUM(AD28,AE28)&gt;0,1,0)</f>
        <v>0</v>
      </c>
      <c r="AG28" s="494"/>
      <c r="AH28" s="491">
        <f>IF(AND(MAX(F28,S28)&gt;0,OR(MIN(F28,S28)=0,F28="")),1,0)</f>
        <v>0</v>
      </c>
      <c r="AI28" s="492">
        <f>IF(ABS(F28-S28)&gt;=5,AH28,0)</f>
        <v>0</v>
      </c>
      <c r="AJ28" s="492">
        <f>IF(F28&lt;&gt;"",IF(Y28&lt;&gt;"",IF(AND(MIN(F28,S28)&gt;0,ABS(F28-S28)&gt;=Control_FTE_Tol,ABS(Y28)&gt;=Control_Per_Tol),1,0),0),0)</f>
        <v>0</v>
      </c>
      <c r="AK28" s="493">
        <f>IF(SUM(AI28,AJ28)&gt;0,1,0)</f>
        <v>0</v>
      </c>
      <c r="AM28" s="491">
        <f t="shared" ref="AM28:AM31" si="21">IF(AND(MAX(J28,U28)&gt;0,OR(MIN(J28,U28)=0,J28="")),1,0)</f>
        <v>0</v>
      </c>
      <c r="AN28" s="492">
        <f>IF(J28&lt;&gt;"",IF(U28&lt;&gt;"",IF(AND(MIN(J28,U28)&gt;0,ABS(J28-U28)&gt;=RUK_Control_FTE_Tol),1,0),0),0)</f>
        <v>0</v>
      </c>
      <c r="AO28" s="493">
        <f t="shared" ref="AO28:AO31" si="22">IF(SUM(AM28,AN28)&gt;0,1,0)</f>
        <v>0</v>
      </c>
    </row>
    <row r="29" spans="1:41" ht="30" customHeight="1">
      <c r="A29" s="161" t="s">
        <v>24</v>
      </c>
      <c r="B29" s="162"/>
      <c r="C29" s="163">
        <v>226</v>
      </c>
      <c r="D29" s="113">
        <f t="shared" ref="D29:D45" si="23">SUM(B29:C29)</f>
        <v>226</v>
      </c>
      <c r="E29" s="270" t="str">
        <f t="shared" si="0"/>
        <v/>
      </c>
      <c r="F29" s="111"/>
      <c r="G29" s="276" t="str">
        <f t="shared" si="1"/>
        <v/>
      </c>
      <c r="H29" s="114">
        <f t="shared" si="17"/>
        <v>226</v>
      </c>
      <c r="I29" s="211"/>
      <c r="J29" s="284">
        <v>58</v>
      </c>
      <c r="K29" s="267" t="str">
        <f t="shared" si="18"/>
        <v/>
      </c>
      <c r="L29" s="214"/>
      <c r="M29" s="1098" t="str">
        <f>IF(AD29=1,Warning1,IF(AE29=1,Warning2_for_Control,""))</f>
        <v/>
      </c>
      <c r="N29" s="116" t="str">
        <f>IF(AI29=1,Warning1,IF(AJ29=1,Warning2_for_Control,""))</f>
        <v/>
      </c>
      <c r="O29" s="1098" t="str">
        <f>IF(AM29=1,Warning1,IF(AN29=1,Warning2_for_RUK_Control,""))</f>
        <v/>
      </c>
      <c r="P29" s="224"/>
      <c r="Q29" s="62"/>
      <c r="R29" s="120">
        <f>VLOOKUP($AB29,Early_Stats,VLOOKUP('Background 17-18'!$C$2,Inst_Tables,3,FALSE),FALSE)</f>
        <v>227</v>
      </c>
      <c r="S29" s="121">
        <f>VLOOKUP($AB29,Early_Stats,VLOOKUP('Background 17-18'!$C$2,Inst_Tables,4,FALSE),FALSE)</f>
        <v>0</v>
      </c>
      <c r="T29" s="122">
        <f>SUM(R29:S29)</f>
        <v>227</v>
      </c>
      <c r="U29" s="243">
        <f>VLOOKUP($AB29,Early_Stats,VLOOKUP('Background 17-18'!$C$2,Inst_Tables,5,FALSE),FALSE)</f>
        <v>58</v>
      </c>
      <c r="V29" s="44"/>
      <c r="W29" s="67"/>
      <c r="X29" s="118">
        <f>IF(R29&gt;0,(D29-R29)/R29,"")</f>
        <v>-4.4052863436123352E-3</v>
      </c>
      <c r="Y29" s="119" t="str">
        <f t="shared" si="19"/>
        <v/>
      </c>
      <c r="Z29" s="251">
        <f t="shared" si="20"/>
        <v>0</v>
      </c>
      <c r="AA29" s="92"/>
      <c r="AB29" s="490">
        <v>10</v>
      </c>
      <c r="AC29" s="491">
        <f>IF(AND(MAX(D29,R29)&gt;0,MIN(D29,R29)=0),1,0)</f>
        <v>0</v>
      </c>
      <c r="AD29" s="492">
        <f>IF(ABS(D29-R29)&gt;=5,AC29,0)</f>
        <v>0</v>
      </c>
      <c r="AE29" s="492">
        <f>IF(X29&lt;&gt;"",IF(AND(MIN(D29,R29)&gt;0,ABS(D29-R29)&gt;=Control_FTE_Tol,ABS(X29)&gt;=Control_Per_Tol),1,0),0)</f>
        <v>0</v>
      </c>
      <c r="AF29" s="493">
        <f>IF(SUM(AD29,AE29)&gt;0,1,0)</f>
        <v>0</v>
      </c>
      <c r="AG29" s="494"/>
      <c r="AH29" s="491">
        <f>IF(AND(MAX(F29,S29)&gt;0,OR(MIN(F29,S29)=0,F29="")),1,0)</f>
        <v>0</v>
      </c>
      <c r="AI29" s="492">
        <f>IF(ABS(F29-S29)&gt;=5,AH29,0)</f>
        <v>0</v>
      </c>
      <c r="AJ29" s="492">
        <f>IF(F29&lt;&gt;"",IF(Y29&lt;&gt;"",IF(AND(MIN(F29,S29)&gt;0,ABS(F29-S29)&gt;=Control_FTE_Tol,ABS(Y29)&gt;=Control_Per_Tol),1,0),0),0)</f>
        <v>0</v>
      </c>
      <c r="AK29" s="493">
        <f>IF(SUM(AI29,AJ29)&gt;0,1,0)</f>
        <v>0</v>
      </c>
      <c r="AM29" s="491">
        <f t="shared" si="21"/>
        <v>0</v>
      </c>
      <c r="AN29" s="492">
        <f>IF(J29&lt;&gt;"",IF(U29&lt;&gt;"",IF(AND(MIN(J29,U29)&gt;0,ABS(J29-U29)&gt;=RUK_Control_FTE_Tol),1,0),0),0)</f>
        <v>0</v>
      </c>
      <c r="AO29" s="493">
        <f t="shared" si="22"/>
        <v>0</v>
      </c>
    </row>
    <row r="30" spans="1:41" ht="30" customHeight="1">
      <c r="A30" s="161" t="s">
        <v>8</v>
      </c>
      <c r="B30" s="162"/>
      <c r="C30" s="163">
        <v>330</v>
      </c>
      <c r="D30" s="113">
        <f t="shared" si="23"/>
        <v>330</v>
      </c>
      <c r="E30" s="270" t="str">
        <f t="shared" si="0"/>
        <v/>
      </c>
      <c r="F30" s="111"/>
      <c r="G30" s="276" t="str">
        <f t="shared" si="1"/>
        <v/>
      </c>
      <c r="H30" s="114">
        <f t="shared" si="17"/>
        <v>330</v>
      </c>
      <c r="I30" s="211"/>
      <c r="J30" s="284">
        <v>115</v>
      </c>
      <c r="K30" s="267" t="str">
        <f t="shared" si="18"/>
        <v>?</v>
      </c>
      <c r="L30" s="214"/>
      <c r="M30" s="1098" t="str">
        <f>IF(AD30=1,Warning1,IF(AE30=1,Warning2_for_Control,""))</f>
        <v/>
      </c>
      <c r="N30" s="116" t="str">
        <f>IF(AI30=1,Warning1,IF(AJ30=1,Warning2_for_Control,""))</f>
        <v/>
      </c>
      <c r="O30" s="1098" t="str">
        <f>IF(AM30=1,Warning1,IF(AN30=1,Warning2_for_RUK_Control,""))</f>
        <v>At least 5 FTE difference between Final Figures and Early Statistics</v>
      </c>
      <c r="P30" s="224"/>
      <c r="Q30" s="62"/>
      <c r="R30" s="120">
        <f>VLOOKUP($AB30,Early_Stats,VLOOKUP('Background 17-18'!$C$2,Inst_Tables,3,FALSE),FALSE)</f>
        <v>330</v>
      </c>
      <c r="S30" s="121">
        <f>VLOOKUP($AB30,Early_Stats,VLOOKUP('Background 17-18'!$C$2,Inst_Tables,4,FALSE),FALSE)</f>
        <v>0</v>
      </c>
      <c r="T30" s="122">
        <f>SUM(R30:S30)</f>
        <v>330</v>
      </c>
      <c r="U30" s="243">
        <f>VLOOKUP($AB30,Early_Stats,VLOOKUP('Background 17-18'!$C$2,Inst_Tables,5,FALSE),FALSE)</f>
        <v>120</v>
      </c>
      <c r="V30" s="44"/>
      <c r="W30" s="67"/>
      <c r="X30" s="118">
        <f>IF(R30&gt;0,(D30-R30)/R30,"")</f>
        <v>0</v>
      </c>
      <c r="Y30" s="119" t="str">
        <f t="shared" si="19"/>
        <v/>
      </c>
      <c r="Z30" s="251">
        <f t="shared" si="20"/>
        <v>-4.1666666666666664E-2</v>
      </c>
      <c r="AA30" s="92"/>
      <c r="AB30" s="490">
        <v>11</v>
      </c>
      <c r="AC30" s="491">
        <f>IF(AND(MAX(D30,R30)&gt;0,MIN(D30,R30)=0),1,0)</f>
        <v>0</v>
      </c>
      <c r="AD30" s="492">
        <f>IF(ABS(D30-R30)&gt;=5,AC30,0)</f>
        <v>0</v>
      </c>
      <c r="AE30" s="492">
        <f>IF(X30&lt;&gt;"",IF(AND(MIN(D30,R30)&gt;0,ABS(D30-R30)&gt;=Control_FTE_Tol,ABS(X30)&gt;=Control_Per_Tol),1,0),0)</f>
        <v>0</v>
      </c>
      <c r="AF30" s="493">
        <f>IF(SUM(AD30,AE30)&gt;0,1,0)</f>
        <v>0</v>
      </c>
      <c r="AG30" s="494"/>
      <c r="AH30" s="491">
        <f>IF(AND(MAX(F30,S30)&gt;0,OR(MIN(F30,S30)=0,F30="")),1,0)</f>
        <v>0</v>
      </c>
      <c r="AI30" s="492">
        <f>IF(ABS(F30-S30)&gt;=5,AH30,0)</f>
        <v>0</v>
      </c>
      <c r="AJ30" s="492">
        <f>IF(F30&lt;&gt;"",IF(Y30&lt;&gt;"",IF(AND(MIN(F30,S30)&gt;0,ABS(F30-S30)&gt;=Control_FTE_Tol,ABS(Y30)&gt;=Control_Per_Tol),1,0),0),0)</f>
        <v>0</v>
      </c>
      <c r="AK30" s="493">
        <f>IF(SUM(AI30,AJ30)&gt;0,1,0)</f>
        <v>0</v>
      </c>
      <c r="AM30" s="491">
        <f t="shared" si="21"/>
        <v>0</v>
      </c>
      <c r="AN30" s="492">
        <f>IF(J30&lt;&gt;"",IF(U30&lt;&gt;"",IF(AND(MIN(J30,U30)&gt;0,ABS(J30-U30)&gt;=RUK_Control_FTE_Tol),1,0),0),0)</f>
        <v>1</v>
      </c>
      <c r="AO30" s="493">
        <f t="shared" si="22"/>
        <v>1</v>
      </c>
    </row>
    <row r="31" spans="1:41" ht="30" customHeight="1">
      <c r="A31" s="161" t="s">
        <v>9</v>
      </c>
      <c r="B31" s="1691"/>
      <c r="C31" s="163">
        <v>53</v>
      </c>
      <c r="D31" s="113">
        <f>C31</f>
        <v>53</v>
      </c>
      <c r="E31" s="270" t="str">
        <f t="shared" si="0"/>
        <v/>
      </c>
      <c r="F31" s="111"/>
      <c r="G31" s="276" t="str">
        <f t="shared" si="1"/>
        <v/>
      </c>
      <c r="H31" s="114">
        <f t="shared" si="17"/>
        <v>53</v>
      </c>
      <c r="I31" s="211"/>
      <c r="J31" s="284">
        <v>14</v>
      </c>
      <c r="K31" s="267" t="str">
        <f t="shared" si="18"/>
        <v/>
      </c>
      <c r="L31" s="214"/>
      <c r="M31" s="1098" t="str">
        <f>IF(AD31=1,Warning1,IF(AE31=1,Warning2_for_Control,""))</f>
        <v/>
      </c>
      <c r="N31" s="116" t="str">
        <f>IF(AI31=1,Warning1,IF(AJ31=1,Warning2_for_Control,""))</f>
        <v/>
      </c>
      <c r="O31" s="1098" t="str">
        <f>IF(AM31=1,Warning1,IF(AN31=1,Warning2_for_RUK_Control,""))</f>
        <v/>
      </c>
      <c r="P31" s="224"/>
      <c r="Q31" s="62"/>
      <c r="R31" s="120">
        <f>VLOOKUP($AB31,Early_Stats,VLOOKUP('Background 17-18'!$C$2,Inst_Tables,3,FALSE),FALSE)</f>
        <v>53</v>
      </c>
      <c r="S31" s="121">
        <f>VLOOKUP($AB31,Early_Stats,VLOOKUP('Background 17-18'!$C$2,Inst_Tables,4,FALSE),FALSE)</f>
        <v>0</v>
      </c>
      <c r="T31" s="122">
        <f>SUM(R31:S31)</f>
        <v>53</v>
      </c>
      <c r="U31" s="243">
        <f>VLOOKUP($AB31,Early_Stats,VLOOKUP('Background 17-18'!$C$2,Inst_Tables,5,FALSE),FALSE)</f>
        <v>14</v>
      </c>
      <c r="V31" s="44"/>
      <c r="W31" s="67"/>
      <c r="X31" s="118">
        <f>IF(R31&gt;0,(D31-R31)/R31,"")</f>
        <v>0</v>
      </c>
      <c r="Y31" s="119" t="str">
        <f t="shared" si="19"/>
        <v/>
      </c>
      <c r="Z31" s="251">
        <f t="shared" si="20"/>
        <v>0</v>
      </c>
      <c r="AA31" s="92"/>
      <c r="AB31" s="490">
        <v>12</v>
      </c>
      <c r="AC31" s="491">
        <f>IF(AND(MAX(D31,R31)&gt;0,MIN(D31,R31)=0),1,0)</f>
        <v>0</v>
      </c>
      <c r="AD31" s="492">
        <f>IF(ABS(D31-R31)&gt;=5,AC31,0)</f>
        <v>0</v>
      </c>
      <c r="AE31" s="492">
        <f>IF(X31&lt;&gt;"",IF(AND(MIN(D31,R31)&gt;0,ABS(D31-R31)&gt;=Control_FTE_Tol,ABS(X31)&gt;=Control_Per_Tol),1,0),0)</f>
        <v>0</v>
      </c>
      <c r="AF31" s="493">
        <f>IF(SUM(AD31,AE31)&gt;0,1,0)</f>
        <v>0</v>
      </c>
      <c r="AG31" s="494"/>
      <c r="AH31" s="491">
        <f>IF(AND(MAX(F31,S31)&gt;0,OR(MIN(F31,S31)=0,F31="")),1,0)</f>
        <v>0</v>
      </c>
      <c r="AI31" s="492">
        <f>IF(ABS(F31-S31)&gt;=5,AH31,0)</f>
        <v>0</v>
      </c>
      <c r="AJ31" s="492">
        <f>IF(F31&lt;&gt;"",IF(Y31&lt;&gt;"",IF(AND(MIN(F31,S31)&gt;0,ABS(F31-S31)&gt;=Control_FTE_Tol,ABS(Y31)&gt;=Control_Per_Tol),1,0),0),0)</f>
        <v>0</v>
      </c>
      <c r="AK31" s="493">
        <f>IF(SUM(AI31,AJ31)&gt;0,1,0)</f>
        <v>0</v>
      </c>
      <c r="AM31" s="491">
        <f t="shared" si="21"/>
        <v>0</v>
      </c>
      <c r="AN31" s="492">
        <f>IF(J31&lt;&gt;"",IF(U31&lt;&gt;"",IF(AND(MIN(J31,U31)&gt;0,ABS(J31-U31)&gt;=RUK_Control_FTE_Tol),1,0),0),0)</f>
        <v>0</v>
      </c>
      <c r="AO31" s="493">
        <f t="shared" si="22"/>
        <v>0</v>
      </c>
    </row>
    <row r="32" spans="1:41" ht="30" customHeight="1">
      <c r="A32" s="158" t="s">
        <v>10</v>
      </c>
      <c r="B32" s="211"/>
      <c r="C32" s="164"/>
      <c r="D32" s="165"/>
      <c r="E32" s="269"/>
      <c r="F32" s="165"/>
      <c r="G32" s="275"/>
      <c r="H32" s="166"/>
      <c r="I32" s="211"/>
      <c r="J32" s="55"/>
      <c r="K32" s="265"/>
      <c r="L32" s="214"/>
      <c r="M32" s="167"/>
      <c r="N32" s="168"/>
      <c r="O32" s="283"/>
      <c r="P32" s="216"/>
      <c r="Q32" s="62"/>
      <c r="R32" s="169"/>
      <c r="S32" s="170"/>
      <c r="T32" s="171"/>
      <c r="U32" s="239"/>
      <c r="V32" s="44"/>
      <c r="W32" s="67"/>
      <c r="X32" s="172"/>
      <c r="Y32" s="173"/>
      <c r="Z32" s="249"/>
      <c r="AA32" s="50"/>
      <c r="AB32" s="502"/>
      <c r="AC32" s="495"/>
      <c r="AD32" s="496"/>
      <c r="AE32" s="496"/>
      <c r="AF32" s="497"/>
      <c r="AG32" s="494"/>
      <c r="AH32" s="495"/>
      <c r="AI32" s="496"/>
      <c r="AJ32" s="496"/>
      <c r="AK32" s="497"/>
      <c r="AM32" s="495"/>
      <c r="AN32" s="496"/>
      <c r="AO32" s="497"/>
    </row>
    <row r="33" spans="1:41" ht="30" customHeight="1">
      <c r="A33" s="161" t="s">
        <v>33</v>
      </c>
      <c r="B33" s="1689"/>
      <c r="C33" s="163">
        <v>503</v>
      </c>
      <c r="D33" s="113">
        <f>C33</f>
        <v>503</v>
      </c>
      <c r="E33" s="270" t="str">
        <f t="shared" si="0"/>
        <v/>
      </c>
      <c r="F33" s="111">
        <v>3.2130000000000001</v>
      </c>
      <c r="G33" s="276" t="str">
        <f t="shared" si="1"/>
        <v/>
      </c>
      <c r="H33" s="114">
        <f t="shared" ref="H33:H38" si="24">SUM(D33,F33)</f>
        <v>506.21300000000002</v>
      </c>
      <c r="I33" s="211"/>
      <c r="J33" s="284">
        <v>8</v>
      </c>
      <c r="K33" s="267" t="str">
        <f t="shared" ref="K33:K41" si="25">IF(AO33=1,"?","")</f>
        <v/>
      </c>
      <c r="L33" s="214"/>
      <c r="M33" s="1098" t="str">
        <f t="shared" ref="M33:M38" si="26">IF(AD33=1,Warning1,IF(AE33=1,Warning2_for_Control,""))</f>
        <v/>
      </c>
      <c r="N33" s="116" t="str">
        <f t="shared" ref="N33:N38" si="27">IF(AI33=1,Warning1,IF(AJ33=1,Warning2_for_Control,""))</f>
        <v/>
      </c>
      <c r="O33" s="1098" t="str">
        <f t="shared" ref="O33:O38" si="28">IF(AM33=1,Warning1,IF(AN33=1,Warning2_for_RUK_Control,""))</f>
        <v/>
      </c>
      <c r="P33" s="224"/>
      <c r="Q33" s="62"/>
      <c r="R33" s="120">
        <f>VLOOKUP($AB33,Early_Stats,VLOOKUP('Background 17-18'!$C$2,Inst_Tables,3,FALSE),FALSE)</f>
        <v>510</v>
      </c>
      <c r="S33" s="121">
        <f>VLOOKUP($AB33,Early_Stats,VLOOKUP('Background 17-18'!$C$2,Inst_Tables,4,FALSE),FALSE)</f>
        <v>3.2430000000000003</v>
      </c>
      <c r="T33" s="122">
        <f>SUM(R33:S33)</f>
        <v>513.24300000000005</v>
      </c>
      <c r="U33" s="243">
        <f>VLOOKUP($AB33,Early_Stats,VLOOKUP('Background 17-18'!$C$2,Inst_Tables,5,FALSE),FALSE)</f>
        <v>8</v>
      </c>
      <c r="V33" s="44"/>
      <c r="W33" s="67"/>
      <c r="X33" s="174">
        <f>IF(R33&gt;0,(D33-R33)/R33,"")</f>
        <v>-1.3725490196078431E-2</v>
      </c>
      <c r="Y33" s="175">
        <f t="shared" ref="Y33:Y36" si="29">IF(S33&gt;0,(F33-S33)/S33,"")</f>
        <v>-9.250693802035229E-3</v>
      </c>
      <c r="Z33" s="251">
        <f t="shared" ref="Z33:Z36" si="30">IF(U33&gt;0,(J33-U33)/U33,"")</f>
        <v>0</v>
      </c>
      <c r="AA33" s="92"/>
      <c r="AB33" s="490">
        <v>13</v>
      </c>
      <c r="AC33" s="491">
        <f>IF(AND(MAX(D33,R33)&gt;0,MIN(D33,R33)=0),1,0)</f>
        <v>0</v>
      </c>
      <c r="AD33" s="492">
        <f>IF(ABS(D33-R33)&gt;=5,AC33,0)</f>
        <v>0</v>
      </c>
      <c r="AE33" s="492">
        <f t="shared" ref="AE33:AE38" si="31">IF(X33&lt;&gt;"",IF(AND(MIN(D33,R33)&gt;0,ABS(D33-R33)&gt;=Control_FTE_Tol,ABS(X33)&gt;=Control_Per_Tol),1,0),0)</f>
        <v>0</v>
      </c>
      <c r="AF33" s="493">
        <f>IF(SUM(AD33,AE33)&gt;0,1,0)</f>
        <v>0</v>
      </c>
      <c r="AG33" s="494"/>
      <c r="AH33" s="491">
        <f>IF(AND(MAX(F33,S33)&gt;0,OR(MIN(F33,S33)=0,F33="")),1,0)</f>
        <v>0</v>
      </c>
      <c r="AI33" s="492">
        <f>IF(ABS(F33-S33)&gt;=5,AH33,0)</f>
        <v>0</v>
      </c>
      <c r="AJ33" s="492">
        <f t="shared" ref="AJ33:AJ38" si="32">IF(F33&lt;&gt;"",IF(Y33&lt;&gt;"",IF(AND(MIN(F33,S33)&gt;0,ABS(F33-S33)&gt;=Control_FTE_Tol,ABS(Y33)&gt;=Control_Per_Tol),1,0),0),0)</f>
        <v>0</v>
      </c>
      <c r="AK33" s="493">
        <f>IF(SUM(AI33,AJ33)&gt;0,1,0)</f>
        <v>0</v>
      </c>
      <c r="AM33" s="491">
        <f t="shared" ref="AM33:AM38" si="33">IF(AND(MAX(J33,U33)&gt;0,OR(MIN(J33,U33)=0,J33="")),1,0)</f>
        <v>0</v>
      </c>
      <c r="AN33" s="492">
        <f t="shared" ref="AN33:AN38" si="34">IF(J33&lt;&gt;"",IF(U33&lt;&gt;"",IF(AND(MIN(J33,U33)&gt;0,ABS(J33-U33)&gt;=RUK_Control_FTE_Tol),1,0),0),0)</f>
        <v>0</v>
      </c>
      <c r="AO33" s="493">
        <f t="shared" ref="AO33:AO38" si="35">IF(SUM(AM33,AN33)&gt;0,1,0)</f>
        <v>0</v>
      </c>
    </row>
    <row r="34" spans="1:41" ht="30" customHeight="1">
      <c r="A34" s="161" t="s">
        <v>34</v>
      </c>
      <c r="B34" s="1689"/>
      <c r="C34" s="163"/>
      <c r="D34" s="113">
        <f t="shared" ref="D34:D38" si="36">C34</f>
        <v>0</v>
      </c>
      <c r="E34" s="270" t="str">
        <f t="shared" si="0"/>
        <v/>
      </c>
      <c r="F34" s="111"/>
      <c r="G34" s="276" t="str">
        <f t="shared" si="1"/>
        <v/>
      </c>
      <c r="H34" s="114">
        <f t="shared" si="24"/>
        <v>0</v>
      </c>
      <c r="I34" s="211"/>
      <c r="J34" s="284"/>
      <c r="K34" s="266" t="str">
        <f t="shared" si="25"/>
        <v/>
      </c>
      <c r="L34" s="214"/>
      <c r="M34" s="1098" t="str">
        <f t="shared" si="26"/>
        <v/>
      </c>
      <c r="N34" s="116" t="str">
        <f t="shared" si="27"/>
        <v/>
      </c>
      <c r="O34" s="1098" t="str">
        <f t="shared" si="28"/>
        <v/>
      </c>
      <c r="P34" s="224"/>
      <c r="Q34" s="62"/>
      <c r="R34" s="120">
        <f>VLOOKUP($AB34,Early_Stats,VLOOKUP('Background 17-18'!$C$2,Inst_Tables,3,FALSE),FALSE)</f>
        <v>0</v>
      </c>
      <c r="S34" s="121">
        <f>VLOOKUP($AB34,Early_Stats,VLOOKUP('Background 17-18'!$C$2,Inst_Tables,4,FALSE),FALSE)</f>
        <v>0</v>
      </c>
      <c r="T34" s="122">
        <f>SUM(R34:S34)</f>
        <v>0</v>
      </c>
      <c r="U34" s="243">
        <f>VLOOKUP($AB34,Early_Stats,VLOOKUP('Background 17-18'!$C$2,Inst_Tables,5,FALSE),FALSE)</f>
        <v>0</v>
      </c>
      <c r="V34" s="44"/>
      <c r="W34" s="67"/>
      <c r="X34" s="118" t="str">
        <f>IF(R34&gt;0,(D34-R34)/R34,"")</f>
        <v/>
      </c>
      <c r="Y34" s="119" t="str">
        <f t="shared" si="29"/>
        <v/>
      </c>
      <c r="Z34" s="251" t="str">
        <f t="shared" si="30"/>
        <v/>
      </c>
      <c r="AA34" s="92"/>
      <c r="AB34" s="490">
        <v>14</v>
      </c>
      <c r="AC34" s="491">
        <f>IF(AND(MAX(D34,R34)&gt;0,MIN(D34,R34)=0),1,0)</f>
        <v>0</v>
      </c>
      <c r="AD34" s="492">
        <f>IF(ABS(D34-R34)&gt;=5,AC34,0)</f>
        <v>0</v>
      </c>
      <c r="AE34" s="492">
        <f t="shared" si="31"/>
        <v>0</v>
      </c>
      <c r="AF34" s="493">
        <f>IF(SUM(AD34,AE34)&gt;0,1,0)</f>
        <v>0</v>
      </c>
      <c r="AG34" s="494"/>
      <c r="AH34" s="491">
        <f>IF(AND(MAX(F34,S34)&gt;0,OR(MIN(F34,S34)=0,F34="")),1,0)</f>
        <v>0</v>
      </c>
      <c r="AI34" s="492">
        <f>IF(ABS(F34-S34)&gt;=5,AH34,0)</f>
        <v>0</v>
      </c>
      <c r="AJ34" s="492">
        <f t="shared" si="32"/>
        <v>0</v>
      </c>
      <c r="AK34" s="493">
        <f>IF(SUM(AI34,AJ34)&gt;0,1,0)</f>
        <v>0</v>
      </c>
      <c r="AM34" s="491">
        <f t="shared" si="33"/>
        <v>0</v>
      </c>
      <c r="AN34" s="492">
        <f t="shared" si="34"/>
        <v>0</v>
      </c>
      <c r="AO34" s="493">
        <f t="shared" si="35"/>
        <v>0</v>
      </c>
    </row>
    <row r="35" spans="1:41" ht="30" customHeight="1">
      <c r="A35" s="161" t="s">
        <v>35</v>
      </c>
      <c r="B35" s="1689"/>
      <c r="C35" s="163"/>
      <c r="D35" s="113">
        <f t="shared" si="36"/>
        <v>0</v>
      </c>
      <c r="E35" s="270" t="str">
        <f t="shared" si="0"/>
        <v/>
      </c>
      <c r="F35" s="111"/>
      <c r="G35" s="276" t="str">
        <f t="shared" si="1"/>
        <v/>
      </c>
      <c r="H35" s="114">
        <f t="shared" si="24"/>
        <v>0</v>
      </c>
      <c r="I35" s="211"/>
      <c r="J35" s="284"/>
      <c r="K35" s="266" t="str">
        <f t="shared" si="25"/>
        <v/>
      </c>
      <c r="L35" s="214"/>
      <c r="M35" s="1098" t="str">
        <f t="shared" si="26"/>
        <v/>
      </c>
      <c r="N35" s="116" t="str">
        <f t="shared" si="27"/>
        <v/>
      </c>
      <c r="O35" s="1098" t="str">
        <f t="shared" si="28"/>
        <v/>
      </c>
      <c r="P35" s="224"/>
      <c r="Q35" s="62"/>
      <c r="R35" s="120">
        <f>VLOOKUP($AB35,Early_Stats,VLOOKUP('Background 17-18'!$C$2,Inst_Tables,3,FALSE),FALSE)</f>
        <v>0</v>
      </c>
      <c r="S35" s="121">
        <f>VLOOKUP($AB35,Early_Stats,VLOOKUP('Background 17-18'!$C$2,Inst_Tables,4,FALSE),FALSE)</f>
        <v>0</v>
      </c>
      <c r="T35" s="122">
        <f>SUM(R35:S35)</f>
        <v>0</v>
      </c>
      <c r="U35" s="243">
        <f>VLOOKUP($AB35,Early_Stats,VLOOKUP('Background 17-18'!$C$2,Inst_Tables,5,FALSE),FALSE)</f>
        <v>0</v>
      </c>
      <c r="V35" s="44"/>
      <c r="W35" s="67"/>
      <c r="X35" s="118" t="str">
        <f>IF(R35&gt;0,(D35-R35)/R35,"")</f>
        <v/>
      </c>
      <c r="Y35" s="119" t="str">
        <f t="shared" si="29"/>
        <v/>
      </c>
      <c r="Z35" s="251" t="str">
        <f t="shared" si="30"/>
        <v/>
      </c>
      <c r="AA35" s="92"/>
      <c r="AB35" s="490">
        <v>15</v>
      </c>
      <c r="AC35" s="491">
        <f t="shared" ref="AC35:AC38" si="37">IF(AND(MAX(D35,R35)&gt;0,MIN(D35,R35)=0),1,0)</f>
        <v>0</v>
      </c>
      <c r="AD35" s="492">
        <f t="shared" ref="AD35:AD38" si="38">IF(ABS(D35-R35)&gt;=5,AC35,0)</f>
        <v>0</v>
      </c>
      <c r="AE35" s="492">
        <f t="shared" si="31"/>
        <v>0</v>
      </c>
      <c r="AF35" s="493">
        <f t="shared" ref="AF35:AF38" si="39">IF(SUM(AD35,AE35)&gt;0,1,0)</f>
        <v>0</v>
      </c>
      <c r="AG35" s="494"/>
      <c r="AH35" s="491">
        <f>IF(AND(MAX(F35,S35)&gt;0,OR(MIN(F35,S35)=0,F35="")),1,0)</f>
        <v>0</v>
      </c>
      <c r="AI35" s="492">
        <f>IF(ABS(F35-S35)&gt;=5,AH35,0)</f>
        <v>0</v>
      </c>
      <c r="AJ35" s="492">
        <f t="shared" si="32"/>
        <v>0</v>
      </c>
      <c r="AK35" s="493">
        <f t="shared" ref="AK35:AK38" si="40">IF(SUM(AI35,AJ35)&gt;0,1,0)</f>
        <v>0</v>
      </c>
      <c r="AM35" s="491">
        <f t="shared" si="33"/>
        <v>0</v>
      </c>
      <c r="AN35" s="492">
        <f t="shared" si="34"/>
        <v>0</v>
      </c>
      <c r="AO35" s="493">
        <f t="shared" si="35"/>
        <v>0</v>
      </c>
    </row>
    <row r="36" spans="1:41" ht="30" customHeight="1">
      <c r="A36" s="161" t="s">
        <v>36</v>
      </c>
      <c r="B36" s="1689"/>
      <c r="C36" s="163">
        <v>87</v>
      </c>
      <c r="D36" s="113">
        <f t="shared" si="36"/>
        <v>87</v>
      </c>
      <c r="E36" s="270" t="str">
        <f t="shared" si="0"/>
        <v/>
      </c>
      <c r="F36" s="111"/>
      <c r="G36" s="276" t="str">
        <f t="shared" si="1"/>
        <v/>
      </c>
      <c r="H36" s="114">
        <f t="shared" si="24"/>
        <v>87</v>
      </c>
      <c r="I36" s="211"/>
      <c r="J36" s="284"/>
      <c r="K36" s="266" t="str">
        <f t="shared" si="25"/>
        <v/>
      </c>
      <c r="L36" s="214"/>
      <c r="M36" s="1098" t="str">
        <f t="shared" si="26"/>
        <v/>
      </c>
      <c r="N36" s="116" t="str">
        <f t="shared" si="27"/>
        <v/>
      </c>
      <c r="O36" s="1098" t="str">
        <f t="shared" si="28"/>
        <v/>
      </c>
      <c r="P36" s="224"/>
      <c r="Q36" s="62"/>
      <c r="R36" s="120">
        <f>VLOOKUP($AB36,Early_Stats,VLOOKUP('Background 17-18'!$C$2,Inst_Tables,3,FALSE),FALSE)</f>
        <v>87</v>
      </c>
      <c r="S36" s="121">
        <f>VLOOKUP($AB36,Early_Stats,VLOOKUP('Background 17-18'!$C$2,Inst_Tables,4,FALSE),FALSE)</f>
        <v>2.4</v>
      </c>
      <c r="T36" s="122">
        <f>SUM(R36:S36)</f>
        <v>89.4</v>
      </c>
      <c r="U36" s="243">
        <f>VLOOKUP($AB36,Early_Stats,VLOOKUP('Background 17-18'!$C$2,Inst_Tables,5,FALSE),FALSE)</f>
        <v>0</v>
      </c>
      <c r="V36" s="44"/>
      <c r="W36" s="67"/>
      <c r="X36" s="118">
        <f>IF(R36&gt;0,(D36-R36)/R36,"")</f>
        <v>0</v>
      </c>
      <c r="Y36" s="119">
        <f t="shared" si="29"/>
        <v>-1</v>
      </c>
      <c r="Z36" s="251" t="str">
        <f t="shared" si="30"/>
        <v/>
      </c>
      <c r="AA36" s="92"/>
      <c r="AB36" s="490">
        <v>16</v>
      </c>
      <c r="AC36" s="491">
        <f t="shared" si="37"/>
        <v>0</v>
      </c>
      <c r="AD36" s="492">
        <f t="shared" si="38"/>
        <v>0</v>
      </c>
      <c r="AE36" s="492">
        <f t="shared" si="31"/>
        <v>0</v>
      </c>
      <c r="AF36" s="493">
        <f t="shared" si="39"/>
        <v>0</v>
      </c>
      <c r="AG36" s="494"/>
      <c r="AH36" s="491">
        <f>IF(AND(MAX(F36,S36)&gt;0,OR(MIN(F36,S36)=0,F36="")),1,0)</f>
        <v>1</v>
      </c>
      <c r="AI36" s="492">
        <f>IF(ABS(F36-S36)&gt;=5,AH36,0)</f>
        <v>0</v>
      </c>
      <c r="AJ36" s="492">
        <f t="shared" si="32"/>
        <v>0</v>
      </c>
      <c r="AK36" s="493">
        <f t="shared" si="40"/>
        <v>0</v>
      </c>
      <c r="AM36" s="491">
        <f t="shared" si="33"/>
        <v>0</v>
      </c>
      <c r="AN36" s="492">
        <f t="shared" si="34"/>
        <v>0</v>
      </c>
      <c r="AO36" s="493">
        <f t="shared" si="35"/>
        <v>0</v>
      </c>
    </row>
    <row r="37" spans="1:41" ht="30" customHeight="1">
      <c r="A37" s="161" t="s">
        <v>159</v>
      </c>
      <c r="B37" s="1689"/>
      <c r="C37" s="163"/>
      <c r="D37" s="113">
        <f t="shared" si="36"/>
        <v>0</v>
      </c>
      <c r="E37" s="270" t="str">
        <f t="shared" si="0"/>
        <v/>
      </c>
      <c r="F37" s="777"/>
      <c r="G37" s="276" t="str">
        <f t="shared" si="1"/>
        <v/>
      </c>
      <c r="H37" s="114">
        <f t="shared" si="24"/>
        <v>0</v>
      </c>
      <c r="I37" s="211"/>
      <c r="J37" s="284"/>
      <c r="K37" s="266" t="str">
        <f t="shared" si="25"/>
        <v/>
      </c>
      <c r="L37" s="214"/>
      <c r="M37" s="1098" t="str">
        <f t="shared" si="26"/>
        <v/>
      </c>
      <c r="N37" s="116" t="str">
        <f t="shared" si="27"/>
        <v/>
      </c>
      <c r="O37" s="1098" t="str">
        <f t="shared" si="28"/>
        <v/>
      </c>
      <c r="P37" s="224"/>
      <c r="Q37" s="62"/>
      <c r="R37" s="120">
        <f>VLOOKUP($AB37,Early_Stats,VLOOKUP('Background 17-18'!$C$2,Inst_Tables,3,FALSE),FALSE)</f>
        <v>0</v>
      </c>
      <c r="S37" s="121">
        <f>VLOOKUP($AB37,Early_Stats,VLOOKUP('Background 17-18'!$C$2,Inst_Tables,4,FALSE),FALSE)</f>
        <v>0</v>
      </c>
      <c r="T37" s="122">
        <f t="shared" ref="T37:T38" si="41">SUM(R37:S37)</f>
        <v>0</v>
      </c>
      <c r="U37" s="243">
        <f>VLOOKUP($AB37,Early_Stats,VLOOKUP('Background 17-18'!$C$2,Inst_Tables,5,FALSE),FALSE)</f>
        <v>0</v>
      </c>
      <c r="V37" s="44"/>
      <c r="W37" s="67"/>
      <c r="X37" s="118" t="str">
        <f t="shared" ref="X37:X38" si="42">IF(R37&gt;0,(D37-R37)/R37,"")</f>
        <v/>
      </c>
      <c r="Y37" s="119" t="str">
        <f t="shared" ref="Y37:Y38" si="43">IF(S37&gt;0,(F37-S37)/S37,"")</f>
        <v/>
      </c>
      <c r="Z37" s="251" t="str">
        <f t="shared" ref="Z37:Z41" si="44">IF(U37&gt;0,(J37-U37)/U37,"")</f>
        <v/>
      </c>
      <c r="AA37" s="92"/>
      <c r="AB37" s="490">
        <v>17</v>
      </c>
      <c r="AC37" s="491">
        <f t="shared" si="37"/>
        <v>0</v>
      </c>
      <c r="AD37" s="492">
        <f t="shared" si="38"/>
        <v>0</v>
      </c>
      <c r="AE37" s="492">
        <f t="shared" si="31"/>
        <v>0</v>
      </c>
      <c r="AF37" s="493">
        <f t="shared" si="39"/>
        <v>0</v>
      </c>
      <c r="AG37" s="494"/>
      <c r="AH37" s="491">
        <f t="shared" ref="AH37:AH38" si="45">IF(AND(MAX(F37,S37)&gt;0,OR(MIN(F37,S37)=0,F37="")),1,0)</f>
        <v>0</v>
      </c>
      <c r="AI37" s="492">
        <f t="shared" ref="AI37:AI38" si="46">IF(ABS(F37-S37)&gt;=5,AH37,0)</f>
        <v>0</v>
      </c>
      <c r="AJ37" s="492">
        <f t="shared" si="32"/>
        <v>0</v>
      </c>
      <c r="AK37" s="493">
        <f t="shared" si="40"/>
        <v>0</v>
      </c>
      <c r="AM37" s="491">
        <f t="shared" si="33"/>
        <v>0</v>
      </c>
      <c r="AN37" s="492">
        <f t="shared" si="34"/>
        <v>0</v>
      </c>
      <c r="AO37" s="493">
        <f t="shared" si="35"/>
        <v>0</v>
      </c>
    </row>
    <row r="38" spans="1:41" ht="30" customHeight="1">
      <c r="A38" s="161" t="s">
        <v>207</v>
      </c>
      <c r="B38" s="1689"/>
      <c r="C38" s="163"/>
      <c r="D38" s="113">
        <f t="shared" si="36"/>
        <v>0</v>
      </c>
      <c r="E38" s="270" t="str">
        <f t="shared" si="0"/>
        <v/>
      </c>
      <c r="F38" s="777"/>
      <c r="G38" s="276" t="str">
        <f t="shared" si="1"/>
        <v/>
      </c>
      <c r="H38" s="114">
        <f t="shared" si="24"/>
        <v>0</v>
      </c>
      <c r="I38" s="211"/>
      <c r="J38" s="284"/>
      <c r="K38" s="266" t="str">
        <f t="shared" si="25"/>
        <v/>
      </c>
      <c r="L38" s="214"/>
      <c r="M38" s="1098" t="str">
        <f t="shared" si="26"/>
        <v/>
      </c>
      <c r="N38" s="116" t="str">
        <f t="shared" si="27"/>
        <v/>
      </c>
      <c r="O38" s="1098" t="str">
        <f t="shared" si="28"/>
        <v/>
      </c>
      <c r="P38" s="224"/>
      <c r="Q38" s="62"/>
      <c r="R38" s="120">
        <f>VLOOKUP($AB38,Early_Stats,VLOOKUP('Background 17-18'!$C$2,Inst_Tables,3,FALSE),FALSE)</f>
        <v>0</v>
      </c>
      <c r="S38" s="121">
        <f>VLOOKUP($AB38,Early_Stats,VLOOKUP('Background 17-18'!$C$2,Inst_Tables,4,FALSE),FALSE)</f>
        <v>0</v>
      </c>
      <c r="T38" s="122">
        <f t="shared" si="41"/>
        <v>0</v>
      </c>
      <c r="U38" s="243">
        <f>VLOOKUP($AB38,Early_Stats,VLOOKUP('Background 17-18'!$C$2,Inst_Tables,5,FALSE),FALSE)</f>
        <v>0</v>
      </c>
      <c r="V38" s="44"/>
      <c r="W38" s="67"/>
      <c r="X38" s="118" t="str">
        <f t="shared" si="42"/>
        <v/>
      </c>
      <c r="Y38" s="119" t="str">
        <f t="shared" si="43"/>
        <v/>
      </c>
      <c r="Z38" s="251" t="str">
        <f t="shared" si="44"/>
        <v/>
      </c>
      <c r="AA38" s="92"/>
      <c r="AB38" s="490">
        <v>18</v>
      </c>
      <c r="AC38" s="491">
        <f t="shared" si="37"/>
        <v>0</v>
      </c>
      <c r="AD38" s="492">
        <f t="shared" si="38"/>
        <v>0</v>
      </c>
      <c r="AE38" s="492">
        <f t="shared" si="31"/>
        <v>0</v>
      </c>
      <c r="AF38" s="493">
        <f t="shared" si="39"/>
        <v>0</v>
      </c>
      <c r="AG38" s="494"/>
      <c r="AH38" s="491">
        <f t="shared" si="45"/>
        <v>0</v>
      </c>
      <c r="AI38" s="492">
        <f t="shared" si="46"/>
        <v>0</v>
      </c>
      <c r="AJ38" s="492">
        <f t="shared" si="32"/>
        <v>0</v>
      </c>
      <c r="AK38" s="493">
        <f t="shared" si="40"/>
        <v>0</v>
      </c>
      <c r="AM38" s="491">
        <f t="shared" si="33"/>
        <v>0</v>
      </c>
      <c r="AN38" s="492">
        <f t="shared" si="34"/>
        <v>0</v>
      </c>
      <c r="AO38" s="493">
        <f t="shared" si="35"/>
        <v>0</v>
      </c>
    </row>
    <row r="39" spans="1:41" ht="30" customHeight="1">
      <c r="A39" s="158" t="s">
        <v>28</v>
      </c>
      <c r="B39" s="1690"/>
      <c r="C39" s="256"/>
      <c r="D39" s="255"/>
      <c r="E39" s="270"/>
      <c r="F39" s="165"/>
      <c r="G39" s="275"/>
      <c r="H39" s="166"/>
      <c r="I39" s="211"/>
      <c r="J39" s="55"/>
      <c r="K39" s="265"/>
      <c r="L39" s="214"/>
      <c r="M39" s="115"/>
      <c r="N39" s="116"/>
      <c r="O39" s="282"/>
      <c r="P39" s="224"/>
      <c r="Q39" s="62"/>
      <c r="R39" s="120"/>
      <c r="S39" s="121"/>
      <c r="T39" s="122"/>
      <c r="U39" s="238"/>
      <c r="V39" s="44"/>
      <c r="W39" s="67"/>
      <c r="X39" s="257"/>
      <c r="Y39" s="258"/>
      <c r="Z39" s="254"/>
      <c r="AA39" s="92"/>
      <c r="AB39" s="490"/>
      <c r="AC39" s="491"/>
      <c r="AD39" s="492"/>
      <c r="AE39" s="492"/>
      <c r="AF39" s="493"/>
      <c r="AG39" s="494"/>
      <c r="AH39" s="491"/>
      <c r="AI39" s="492"/>
      <c r="AJ39" s="492"/>
      <c r="AK39" s="493"/>
      <c r="AM39" s="491"/>
      <c r="AN39" s="492"/>
      <c r="AO39" s="493"/>
    </row>
    <row r="40" spans="1:41" ht="30" customHeight="1">
      <c r="A40" s="161" t="s">
        <v>119</v>
      </c>
      <c r="B40" s="1689"/>
      <c r="C40" s="163"/>
      <c r="D40" s="113">
        <f>C40</f>
        <v>0</v>
      </c>
      <c r="E40" s="270" t="str">
        <f t="shared" si="0"/>
        <v/>
      </c>
      <c r="F40" s="111"/>
      <c r="G40" s="276" t="str">
        <f t="shared" si="1"/>
        <v/>
      </c>
      <c r="H40" s="114">
        <f t="shared" ref="H40:H41" si="47">SUM(D40,F40)</f>
        <v>0</v>
      </c>
      <c r="I40" s="211"/>
      <c r="J40" s="284"/>
      <c r="K40" s="266" t="str">
        <f t="shared" si="25"/>
        <v/>
      </c>
      <c r="L40" s="214"/>
      <c r="M40" s="1098" t="str">
        <f>IF(AD40=1,Warning1,IF(AE40=1,Warning2_for_Control,""))</f>
        <v/>
      </c>
      <c r="N40" s="116" t="str">
        <f>IF(AI40=1,Warning1,IF(AJ40=1,Warning2_for_Control,""))</f>
        <v/>
      </c>
      <c r="O40" s="1098" t="str">
        <f>IF(AM40=1,Warning1,IF(AN40=1,Warning2_for_RUK_Control,""))</f>
        <v/>
      </c>
      <c r="P40" s="224"/>
      <c r="Q40" s="62"/>
      <c r="R40" s="120">
        <f>VLOOKUP($AB40,Early_Stats,VLOOKUP('Background 17-18'!$C$2,Inst_Tables,3,FALSE),FALSE)</f>
        <v>0</v>
      </c>
      <c r="S40" s="121">
        <f>VLOOKUP($AB40,Early_Stats,VLOOKUP('Background 17-18'!$C$2,Inst_Tables,4,FALSE),FALSE)</f>
        <v>0</v>
      </c>
      <c r="T40" s="122">
        <f t="shared" ref="T40:T41" si="48">SUM(R40:S40)</f>
        <v>0</v>
      </c>
      <c r="U40" s="243">
        <f>VLOOKUP($AB40,Early_Stats,VLOOKUP('Background 17-18'!$C$2,Inst_Tables,5,FALSE),FALSE)</f>
        <v>0</v>
      </c>
      <c r="V40" s="44"/>
      <c r="W40" s="67"/>
      <c r="X40" s="118" t="str">
        <f t="shared" ref="X40:X41" si="49">IF(R40&gt;0,(D40-R40)/R40,"")</f>
        <v/>
      </c>
      <c r="Y40" s="119" t="str">
        <f t="shared" ref="Y40:Y41" si="50">IF(S40&gt;0,(F40-S40)/S40,"")</f>
        <v/>
      </c>
      <c r="Z40" s="251" t="str">
        <f t="shared" si="44"/>
        <v/>
      </c>
      <c r="AA40" s="92"/>
      <c r="AB40" s="490">
        <v>19</v>
      </c>
      <c r="AC40" s="491">
        <f t="shared" ref="AC40:AC41" si="51">IF(AND(MAX(D40,R40)&gt;0,MIN(D40,R40)=0),1,0)</f>
        <v>0</v>
      </c>
      <c r="AD40" s="492">
        <f t="shared" ref="AD40:AD41" si="52">IF(ABS(D40-R40)&gt;=5,AC40,0)</f>
        <v>0</v>
      </c>
      <c r="AE40" s="492">
        <f>IF(X40&lt;&gt;"",IF(AND(MIN(D40,R40)&gt;0,ABS(D40-R40)&gt;=Control_FTE_Tol,ABS(X40)&gt;=Control_Per_Tol),1,0),0)</f>
        <v>0</v>
      </c>
      <c r="AF40" s="493">
        <f t="shared" ref="AF40:AF41" si="53">IF(SUM(AD40,AE40)&gt;0,1,0)</f>
        <v>0</v>
      </c>
      <c r="AG40" s="494"/>
      <c r="AH40" s="491">
        <f t="shared" ref="AH40:AH41" si="54">IF(AND(MAX(F40,S40)&gt;0,OR(MIN(F40,S40)=0,F40="")),1,0)</f>
        <v>0</v>
      </c>
      <c r="AI40" s="492">
        <f t="shared" ref="AI40:AI41" si="55">IF(ABS(F40-S40)&gt;=5,AH40,0)</f>
        <v>0</v>
      </c>
      <c r="AJ40" s="492">
        <f>IF(F40&lt;&gt;"",IF(Y40&lt;&gt;"",IF(AND(MIN(F40,S40)&gt;0,ABS(F40-S40)&gt;=Control_FTE_Tol,ABS(Y40)&gt;=Control_Per_Tol),1,0),0),0)</f>
        <v>0</v>
      </c>
      <c r="AK40" s="493">
        <f t="shared" ref="AK40:AK41" si="56">IF(SUM(AI40,AJ40)&gt;0,1,0)</f>
        <v>0</v>
      </c>
      <c r="AM40" s="491">
        <f t="shared" ref="AM40:AM41" si="57">IF(AND(MAX(J40,U40)&gt;0,OR(MIN(J40,U40)=0,J40="")),1,0)</f>
        <v>0</v>
      </c>
      <c r="AN40" s="492">
        <f>IF(J40&lt;&gt;"",IF(U40&lt;&gt;"",IF(AND(MIN(J40,U40)&gt;0,ABS(J40-U40)&gt;=RUK_Control_FTE_Tol),1,0),0),0)</f>
        <v>0</v>
      </c>
      <c r="AO40" s="493">
        <f t="shared" ref="AO40:AO41" si="58">IF(SUM(AM40,AN40)&gt;0,1,0)</f>
        <v>0</v>
      </c>
    </row>
    <row r="41" spans="1:41" ht="30" customHeight="1">
      <c r="A41" s="161" t="s">
        <v>343</v>
      </c>
      <c r="B41" s="1689"/>
      <c r="C41" s="163">
        <v>162</v>
      </c>
      <c r="D41" s="113">
        <f>C41</f>
        <v>162</v>
      </c>
      <c r="E41" s="270" t="str">
        <f t="shared" si="0"/>
        <v/>
      </c>
      <c r="F41" s="111">
        <v>0.75</v>
      </c>
      <c r="G41" s="276" t="str">
        <f t="shared" si="1"/>
        <v/>
      </c>
      <c r="H41" s="114">
        <f t="shared" si="47"/>
        <v>162.75</v>
      </c>
      <c r="I41" s="211"/>
      <c r="J41" s="284">
        <v>3</v>
      </c>
      <c r="K41" s="266" t="str">
        <f t="shared" si="25"/>
        <v/>
      </c>
      <c r="L41" s="214"/>
      <c r="M41" s="1098" t="str">
        <f>IF(AD41=1,Warning1,IF(AE41=1,Warning2_for_Control,""))</f>
        <v/>
      </c>
      <c r="N41" s="116" t="str">
        <f>IF(AI41=1,Warning1,IF(AJ41=1,Warning2_for_Control,""))</f>
        <v/>
      </c>
      <c r="O41" s="1098" t="str">
        <f>IF(AM41=1,Warning1,IF(AN41=1,Warning2_for_RUK_Control,""))</f>
        <v/>
      </c>
      <c r="P41" s="224"/>
      <c r="Q41" s="62"/>
      <c r="R41" s="120">
        <f>VLOOKUP($AB41,Early_Stats,VLOOKUP('Background 17-18'!$C$2,Inst_Tables,3,FALSE),FALSE)</f>
        <v>162</v>
      </c>
      <c r="S41" s="121">
        <f>VLOOKUP($AB41,Early_Stats,VLOOKUP('Background 17-18'!$C$2,Inst_Tables,4,FALSE),FALSE)</f>
        <v>0.75</v>
      </c>
      <c r="T41" s="122">
        <f t="shared" si="48"/>
        <v>162.75</v>
      </c>
      <c r="U41" s="243">
        <f>VLOOKUP($AB41,Early_Stats,VLOOKUP('Background 17-18'!$C$2,Inst_Tables,5,FALSE),FALSE)</f>
        <v>3</v>
      </c>
      <c r="V41" s="44"/>
      <c r="W41" s="67"/>
      <c r="X41" s="118">
        <f t="shared" si="49"/>
        <v>0</v>
      </c>
      <c r="Y41" s="119">
        <f t="shared" si="50"/>
        <v>0</v>
      </c>
      <c r="Z41" s="251">
        <f t="shared" si="44"/>
        <v>0</v>
      </c>
      <c r="AA41" s="92"/>
      <c r="AB41" s="490">
        <v>20</v>
      </c>
      <c r="AC41" s="491">
        <f t="shared" si="51"/>
        <v>0</v>
      </c>
      <c r="AD41" s="492">
        <f t="shared" si="52"/>
        <v>0</v>
      </c>
      <c r="AE41" s="492">
        <f>IF(X41&lt;&gt;"",IF(AND(MIN(D41,R41)&gt;0,ABS(D41-R41)&gt;=Control_FTE_Tol,ABS(X41)&gt;=Control_Per_Tol),1,0),0)</f>
        <v>0</v>
      </c>
      <c r="AF41" s="493">
        <f t="shared" si="53"/>
        <v>0</v>
      </c>
      <c r="AG41" s="494"/>
      <c r="AH41" s="491">
        <f t="shared" si="54"/>
        <v>0</v>
      </c>
      <c r="AI41" s="492">
        <f t="shared" si="55"/>
        <v>0</v>
      </c>
      <c r="AJ41" s="492">
        <f>IF(F41&lt;&gt;"",IF(Y41&lt;&gt;"",IF(AND(MIN(F41,S41)&gt;0,ABS(F41-S41)&gt;=Control_FTE_Tol,ABS(Y41)&gt;=Control_Per_Tol),1,0),0),0)</f>
        <v>0</v>
      </c>
      <c r="AK41" s="493">
        <f t="shared" si="56"/>
        <v>0</v>
      </c>
      <c r="AM41" s="491">
        <f t="shared" si="57"/>
        <v>0</v>
      </c>
      <c r="AN41" s="492">
        <f>IF(J41&lt;&gt;"",IF(U41&lt;&gt;"",IF(AND(MIN(J41,U41)&gt;0,ABS(J41-U41)&gt;=RUK_Control_FTE_Tol),1,0),0),0)</f>
        <v>0</v>
      </c>
      <c r="AO41" s="493">
        <f t="shared" si="58"/>
        <v>0</v>
      </c>
    </row>
    <row r="42" spans="1:41" ht="30" customHeight="1">
      <c r="A42" s="157" t="s">
        <v>29</v>
      </c>
      <c r="B42" s="211"/>
      <c r="C42" s="176"/>
      <c r="D42" s="177"/>
      <c r="E42" s="269"/>
      <c r="F42" s="177"/>
      <c r="G42" s="275"/>
      <c r="H42" s="178"/>
      <c r="I42" s="211"/>
      <c r="J42" s="55"/>
      <c r="K42" s="265"/>
      <c r="L42" s="214"/>
      <c r="M42" s="167"/>
      <c r="N42" s="168"/>
      <c r="O42" s="283"/>
      <c r="P42" s="216"/>
      <c r="Q42" s="62"/>
      <c r="R42" s="120"/>
      <c r="S42" s="121"/>
      <c r="T42" s="122"/>
      <c r="U42" s="238"/>
      <c r="V42" s="44"/>
      <c r="W42" s="67"/>
      <c r="X42" s="172"/>
      <c r="Y42" s="173"/>
      <c r="Z42" s="249"/>
      <c r="AA42" s="50"/>
      <c r="AB42" s="502"/>
      <c r="AC42" s="491"/>
      <c r="AD42" s="492"/>
      <c r="AE42" s="492"/>
      <c r="AF42" s="493"/>
      <c r="AG42" s="494"/>
      <c r="AH42" s="491"/>
      <c r="AI42" s="492"/>
      <c r="AJ42" s="492"/>
      <c r="AK42" s="493"/>
      <c r="AM42" s="491"/>
      <c r="AN42" s="492"/>
      <c r="AO42" s="493"/>
    </row>
    <row r="43" spans="1:41" ht="30" customHeight="1">
      <c r="A43" s="179" t="s">
        <v>160</v>
      </c>
      <c r="B43" s="1688"/>
      <c r="C43" s="112">
        <v>21</v>
      </c>
      <c r="D43" s="113">
        <f>C43</f>
        <v>21</v>
      </c>
      <c r="E43" s="270" t="str">
        <f t="shared" ref="E43" si="59">IF(AF43=1,"?","")</f>
        <v/>
      </c>
      <c r="F43" s="320"/>
      <c r="G43" s="276" t="str">
        <f t="shared" si="1"/>
        <v/>
      </c>
      <c r="H43" s="114">
        <f t="shared" ref="H43:H45" si="60">SUM(D43,F43)</f>
        <v>21</v>
      </c>
      <c r="I43" s="211"/>
      <c r="J43" s="55"/>
      <c r="K43" s="265"/>
      <c r="L43" s="214"/>
      <c r="M43" s="1098" t="str">
        <f>IF(AD43=1,Warning1,IF(AE43=1,Warning2_for_Non_Control,""))</f>
        <v/>
      </c>
      <c r="N43" s="116" t="str">
        <f>IF(AI43=1,Warning1,IF(AJ43=1,Warning2_for_Non_Control,""))</f>
        <v/>
      </c>
      <c r="O43" s="283"/>
      <c r="P43" s="216"/>
      <c r="Q43" s="62"/>
      <c r="R43" s="120">
        <f>VLOOKUP($AB43,Early_Stats,VLOOKUP('Background 17-18'!$C$2,Inst_Tables,3,FALSE),FALSE)</f>
        <v>21</v>
      </c>
      <c r="S43" s="121">
        <f>VLOOKUP($AB43,Early_Stats,VLOOKUP('Background 17-18'!$C$2,Inst_Tables,4,FALSE),FALSE)</f>
        <v>0</v>
      </c>
      <c r="T43" s="122">
        <f t="shared" ref="T43" si="61">SUM(R43:S43)</f>
        <v>21</v>
      </c>
      <c r="U43" s="238"/>
      <c r="V43" s="44"/>
      <c r="W43" s="67"/>
      <c r="X43" s="118">
        <f>IF(R43&gt;0,(D43-R43)/R43,"")</f>
        <v>0</v>
      </c>
      <c r="Y43" s="119" t="str">
        <f>IF(S43&gt;0,(F43-S43)/S43,"")</f>
        <v/>
      </c>
      <c r="Z43" s="249"/>
      <c r="AA43" s="50"/>
      <c r="AB43" s="490">
        <v>21</v>
      </c>
      <c r="AC43" s="491">
        <f>IF(AND(MAX(D43,R43)&gt;0,MIN(D43,R43)=0),1,0)</f>
        <v>0</v>
      </c>
      <c r="AD43" s="492">
        <f>IF(ABS(D43-R43)&gt;=5,AC43,0)</f>
        <v>0</v>
      </c>
      <c r="AE43" s="492">
        <f>IF(X43&lt;&gt;"",IF(AND(MIN(D43,R43)&gt;0,ABS(D43-R43)&gt;=Non_Control_FTE_Tol,ABS(X43)&gt;=Non_Control_Per_Tol),1,0),0)</f>
        <v>0</v>
      </c>
      <c r="AF43" s="493">
        <f>IF(SUM(AD43,AE43)&gt;0,1,0)</f>
        <v>0</v>
      </c>
      <c r="AG43" s="494"/>
      <c r="AH43" s="491">
        <f>IF(AND(MAX(F43,S43)&gt;0,OR(MIN(F43,S43)=0,F43="")),1,0)</f>
        <v>0</v>
      </c>
      <c r="AI43" s="492">
        <f>IF(ABS(F43-S43)&gt;=5,AH43,0)</f>
        <v>0</v>
      </c>
      <c r="AJ43" s="492">
        <f>IF(F43&lt;&gt;"",IF(Y43&lt;&gt;"",IF(AND(MIN(F43,S43)&gt;0,ABS(F43-S43)&gt;=Non_Control_FTE_Tol,ABS(Y43)&gt;=Non_Control_Per_Tol),1,0),0),0)</f>
        <v>0</v>
      </c>
      <c r="AK43" s="493">
        <f>IF(SUM(AI43,AJ43)&gt;0,1,0)</f>
        <v>0</v>
      </c>
      <c r="AM43" s="491"/>
      <c r="AN43" s="492"/>
      <c r="AO43" s="493"/>
    </row>
    <row r="44" spans="1:41" ht="30" customHeight="1">
      <c r="A44" s="179" t="s">
        <v>37</v>
      </c>
      <c r="B44" s="180"/>
      <c r="C44" s="112">
        <v>4890.0880000000107</v>
      </c>
      <c r="D44" s="113">
        <f t="shared" si="23"/>
        <v>4890.0880000000107</v>
      </c>
      <c r="E44" s="270" t="str">
        <f t="shared" si="0"/>
        <v/>
      </c>
      <c r="F44" s="320">
        <v>10.566500000000003</v>
      </c>
      <c r="G44" s="276" t="str">
        <f t="shared" si="1"/>
        <v/>
      </c>
      <c r="H44" s="114">
        <f t="shared" si="60"/>
        <v>4900.6545000000106</v>
      </c>
      <c r="I44" s="211"/>
      <c r="J44" s="55"/>
      <c r="K44" s="265"/>
      <c r="L44" s="214"/>
      <c r="M44" s="1098" t="str">
        <f>IF(AD44=1,Warning1,IF(AE44=1,Warning2_for_Non_Control,""))</f>
        <v/>
      </c>
      <c r="N44" s="116" t="str">
        <f>IF(AI44=1,Warning1,IF(AJ44=1,Warning2_for_Non_Control,""))</f>
        <v/>
      </c>
      <c r="O44" s="282"/>
      <c r="P44" s="224"/>
      <c r="Q44" s="62"/>
      <c r="R44" s="120">
        <f>VLOOKUP($AB44,Early_Stats,VLOOKUP('Background 17-18'!$C$2,Inst_Tables,3,FALSE),FALSE)</f>
        <v>4942.1840000000002</v>
      </c>
      <c r="S44" s="121">
        <f>VLOOKUP($AB44,Early_Stats,VLOOKUP('Background 17-18'!$C$2,Inst_Tables,4,FALSE),FALSE)</f>
        <v>10.92</v>
      </c>
      <c r="T44" s="122">
        <f>SUM(R44:S44)</f>
        <v>4953.1040000000003</v>
      </c>
      <c r="U44" s="238"/>
      <c r="V44" s="44"/>
      <c r="W44" s="67"/>
      <c r="X44" s="118">
        <f>IF(R44&gt;0,(D44-R44)/R44,"")</f>
        <v>-1.0541088717050912E-2</v>
      </c>
      <c r="Y44" s="119">
        <f>IF(S44&gt;0,(F44-S44)/S44,"")</f>
        <v>-3.2371794871794583E-2</v>
      </c>
      <c r="Z44" s="254"/>
      <c r="AA44" s="92"/>
      <c r="AB44" s="490">
        <v>22</v>
      </c>
      <c r="AC44" s="491">
        <f>IF(AND(MAX(D44,R44)&gt;0,MIN(D44,R44)=0),1,0)</f>
        <v>0</v>
      </c>
      <c r="AD44" s="492">
        <f>IF(ABS(D44-R44)&gt;=5,AC44,0)</f>
        <v>0</v>
      </c>
      <c r="AE44" s="492">
        <f>IF(X44&lt;&gt;"",IF(AND(MIN(D44,R44)&gt;0,ABS(D44-R44)&gt;=Non_Control_FTE_Tol,ABS(X44)&gt;=Non_Control_Per_Tol),1,0),0)</f>
        <v>0</v>
      </c>
      <c r="AF44" s="493">
        <f>IF(SUM(AD44,AE44)&gt;0,1,0)</f>
        <v>0</v>
      </c>
      <c r="AG44" s="494"/>
      <c r="AH44" s="491">
        <f>IF(AND(MAX(F44,S44)&gt;0,OR(MIN(F44,S44)=0,F44="")),1,0)</f>
        <v>0</v>
      </c>
      <c r="AI44" s="492">
        <f>IF(ABS(F44-S44)&gt;=5,AH44,0)</f>
        <v>0</v>
      </c>
      <c r="AJ44" s="492">
        <f>IF(F44&lt;&gt;"",IF(Y44&lt;&gt;"",IF(AND(MIN(F44,S44)&gt;0,ABS(F44-S44)&gt;=Non_Control_FTE_Tol,ABS(Y44)&gt;=Non_Control_Per_Tol),1,0),0),0)</f>
        <v>0</v>
      </c>
      <c r="AK44" s="493">
        <f>IF(SUM(AI44,AJ44)&gt;0,1,0)</f>
        <v>0</v>
      </c>
      <c r="AM44" s="491"/>
      <c r="AN44" s="492"/>
      <c r="AO44" s="493"/>
    </row>
    <row r="45" spans="1:41" ht="30" customHeight="1">
      <c r="A45" s="179" t="s">
        <v>38</v>
      </c>
      <c r="B45" s="180">
        <v>1</v>
      </c>
      <c r="C45" s="112">
        <v>6279.3119999999954</v>
      </c>
      <c r="D45" s="113">
        <f t="shared" si="23"/>
        <v>6280.3119999999954</v>
      </c>
      <c r="E45" s="270" t="str">
        <f t="shared" si="0"/>
        <v/>
      </c>
      <c r="F45" s="320">
        <v>227.69750000000025</v>
      </c>
      <c r="G45" s="276" t="str">
        <f t="shared" si="1"/>
        <v/>
      </c>
      <c r="H45" s="114">
        <f t="shared" si="60"/>
        <v>6508.0094999999956</v>
      </c>
      <c r="I45" s="211"/>
      <c r="J45" s="55"/>
      <c r="K45" s="265"/>
      <c r="L45" s="214"/>
      <c r="M45" s="1098" t="str">
        <f>IF(AD45=1,Warning1,IF(AE45=1,Warning2_for_Non_Control,""))</f>
        <v/>
      </c>
      <c r="N45" s="116" t="str">
        <f>IF(AI45=1,Warning1,IF(AJ45=1,Warning2_for_Non_Control,""))</f>
        <v/>
      </c>
      <c r="O45" s="282"/>
      <c r="P45" s="224"/>
      <c r="Q45" s="62"/>
      <c r="R45" s="120">
        <f>VLOOKUP($AB45,Early_Stats,VLOOKUP('Background 17-18'!$C$2,Inst_Tables,3,FALSE),FALSE)</f>
        <v>6290.7160000000003</v>
      </c>
      <c r="S45" s="121">
        <f>VLOOKUP($AB45,Early_Stats,VLOOKUP('Background 17-18'!$C$2,Inst_Tables,4,FALSE),FALSE)</f>
        <v>217.011</v>
      </c>
      <c r="T45" s="122">
        <f>SUM(R45:S45)</f>
        <v>6507.7270000000008</v>
      </c>
      <c r="U45" s="238"/>
      <c r="V45" s="44"/>
      <c r="W45" s="67"/>
      <c r="X45" s="118">
        <f>IF(R45&gt;0,(D45-R45)/R45,"")</f>
        <v>-1.6538657920664355E-3</v>
      </c>
      <c r="Y45" s="119">
        <f>IF(S45&gt;0,(F45-S45)/S45,"")</f>
        <v>4.9244047536761967E-2</v>
      </c>
      <c r="Z45" s="254"/>
      <c r="AA45" s="92"/>
      <c r="AB45" s="490">
        <v>23</v>
      </c>
      <c r="AC45" s="491">
        <f>IF(AND(MAX(D45,R45)&gt;0,MIN(D45,R45)=0),1,0)</f>
        <v>0</v>
      </c>
      <c r="AD45" s="492">
        <f>IF(ABS(D45-R45)&gt;=5,AC45,0)</f>
        <v>0</v>
      </c>
      <c r="AE45" s="492">
        <f>IF(X45&lt;&gt;"",IF(AND(MIN(D45,R45)&gt;0,ABS(D45-R45)&gt;=Non_Control_FTE_Tol,ABS(X45)&gt;=Non_Control_Per_Tol),1,0),0)</f>
        <v>0</v>
      </c>
      <c r="AF45" s="493">
        <f>IF(SUM(AD45,AE45)&gt;0,1,0)</f>
        <v>0</v>
      </c>
      <c r="AG45" s="494"/>
      <c r="AH45" s="491">
        <f>IF(AND(MAX(F45,S45)&gt;0,OR(MIN(F45,S45)=0,F45="")),1,0)</f>
        <v>0</v>
      </c>
      <c r="AI45" s="492">
        <f>IF(ABS(F45-S45)&gt;=5,AH45,0)</f>
        <v>0</v>
      </c>
      <c r="AJ45" s="492">
        <f>IF(F45&lt;&gt;"",IF(Y45&lt;&gt;"",IF(AND(MIN(F45,S45)&gt;0,ABS(F45-S45)&gt;=Non_Control_FTE_Tol,ABS(Y45)&gt;=Non_Control_Per_Tol),1,0),0),0)</f>
        <v>0</v>
      </c>
      <c r="AK45" s="493">
        <f>IF(SUM(AI45,AJ45)&gt;0,1,0)</f>
        <v>0</v>
      </c>
      <c r="AM45" s="491"/>
      <c r="AN45" s="492"/>
      <c r="AO45" s="493"/>
    </row>
    <row r="46" spans="1:41" ht="35.1" customHeight="1" thickBot="1">
      <c r="A46" s="181" t="s">
        <v>3</v>
      </c>
      <c r="B46" s="182">
        <f>SUM(B28:B30,B44:B45)</f>
        <v>8</v>
      </c>
      <c r="C46" s="183">
        <f>SUM(C28:C31,C33:C38,C40:C41,C43:C45)</f>
        <v>13073.400000000005</v>
      </c>
      <c r="D46" s="126">
        <f>SUM(D28:D31,D33:D38,D40:D41,D43:D45)</f>
        <v>13081.400000000005</v>
      </c>
      <c r="E46" s="269"/>
      <c r="F46" s="126">
        <f>SUM(F28:F31,F33:F38,F40:F41,F43:F45)</f>
        <v>242.22700000000026</v>
      </c>
      <c r="G46" s="269"/>
      <c r="H46" s="127">
        <f>SUM(H28:H31,H33:H38,H40:H41,H43:H45)</f>
        <v>13323.627000000006</v>
      </c>
      <c r="I46" s="211"/>
      <c r="J46" s="55"/>
      <c r="K46" s="265"/>
      <c r="L46" s="214"/>
      <c r="M46" s="147"/>
      <c r="N46" s="129"/>
      <c r="O46" s="281"/>
      <c r="P46" s="96"/>
      <c r="Q46" s="62"/>
      <c r="R46" s="149">
        <f>SUM(R28:R31,R33:R38,R40:R41,R43:R45)</f>
        <v>13152.900000000001</v>
      </c>
      <c r="S46" s="131">
        <f>SUM(S28:S31,S33:S38,S40:S41,S43:S45)</f>
        <v>234.32400000000001</v>
      </c>
      <c r="T46" s="132">
        <f>SUM(T28:T31,T33:T38,T40:T41,T43:T45)</f>
        <v>13387.224000000002</v>
      </c>
      <c r="U46" s="238"/>
      <c r="V46" s="44"/>
      <c r="W46" s="67"/>
      <c r="X46" s="184"/>
      <c r="Y46" s="151"/>
      <c r="Z46" s="50"/>
      <c r="AA46" s="50"/>
      <c r="AB46" s="482"/>
      <c r="AC46" s="495"/>
      <c r="AD46" s="496"/>
      <c r="AE46" s="496"/>
      <c r="AF46" s="651"/>
      <c r="AG46" s="443"/>
      <c r="AH46" s="495"/>
      <c r="AI46" s="496"/>
      <c r="AJ46" s="496"/>
      <c r="AK46" s="651"/>
      <c r="AL46" s="484"/>
      <c r="AM46" s="495"/>
      <c r="AN46" s="496"/>
      <c r="AO46" s="651"/>
    </row>
    <row r="47" spans="1:41" ht="35.1" customHeight="1" thickBot="1">
      <c r="A47" s="185" t="s">
        <v>39</v>
      </c>
      <c r="B47" s="186">
        <f>SUM(B16,B24,B46)</f>
        <v>8</v>
      </c>
      <c r="C47" s="85">
        <f>SUM(C16,C24,C46)</f>
        <v>14570.400000000005</v>
      </c>
      <c r="D47" s="187">
        <f>SUM(D11,D16,D24,D46)</f>
        <v>15990.400000000005</v>
      </c>
      <c r="E47" s="273"/>
      <c r="F47" s="187">
        <f>SUM(F11,F16,F24,F46)</f>
        <v>937.7031089999989</v>
      </c>
      <c r="G47" s="279"/>
      <c r="H47" s="188">
        <f>SUM(H11,H16,H24,H46)</f>
        <v>16928.103109000003</v>
      </c>
      <c r="I47" s="211"/>
      <c r="J47" s="222">
        <f>SUM(J19:J20,J28:J31,J33:J38,J40:J41)</f>
        <v>372</v>
      </c>
      <c r="K47" s="265"/>
      <c r="L47" s="214"/>
      <c r="M47" s="147"/>
      <c r="N47" s="148"/>
      <c r="O47" s="148"/>
      <c r="P47" s="96"/>
      <c r="Q47" s="62"/>
      <c r="R47" s="189">
        <f>SUM(R11,R16,R24,R46)</f>
        <v>16086.900000000001</v>
      </c>
      <c r="S47" s="190">
        <f>SUM(S11,S16,S24,S46)</f>
        <v>916.27400000000011</v>
      </c>
      <c r="T47" s="89">
        <f>SUM(T11,T16,T24,T46)</f>
        <v>17003.174000000003</v>
      </c>
      <c r="U47" s="252">
        <f>SUM(U14,U19:U22,U28:U31,U33:U38,U40:U41)</f>
        <v>384</v>
      </c>
      <c r="V47" s="44"/>
      <c r="W47" s="67"/>
      <c r="X47" s="191"/>
      <c r="Y47" s="192"/>
      <c r="Z47" s="250"/>
      <c r="AA47" s="50"/>
      <c r="AB47" s="482"/>
      <c r="AC47" s="652"/>
      <c r="AD47" s="653"/>
      <c r="AE47" s="653"/>
      <c r="AF47" s="654"/>
      <c r="AG47" s="443"/>
      <c r="AH47" s="652"/>
      <c r="AI47" s="653"/>
      <c r="AJ47" s="653"/>
      <c r="AK47" s="654"/>
      <c r="AL47" s="484"/>
      <c r="AM47" s="655"/>
      <c r="AN47" s="656"/>
      <c r="AO47" s="657"/>
    </row>
    <row r="48" spans="1:41">
      <c r="A48" s="193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62"/>
      <c r="R48" s="62"/>
      <c r="S48" s="62"/>
      <c r="T48" s="62"/>
      <c r="U48" s="62"/>
      <c r="V48" s="44"/>
      <c r="W48" s="67"/>
      <c r="X48" s="194"/>
      <c r="Y48" s="194"/>
      <c r="Z48" s="194"/>
      <c r="AA48" s="50"/>
      <c r="AB48" s="503"/>
      <c r="AC48" s="504"/>
      <c r="AD48" s="443"/>
      <c r="AE48" s="443"/>
      <c r="AF48" s="443"/>
      <c r="AG48" s="443"/>
      <c r="AH48" s="504"/>
      <c r="AI48" s="443"/>
      <c r="AJ48" s="443"/>
      <c r="AK48" s="443"/>
      <c r="AL48" s="435"/>
      <c r="AM48" s="504"/>
      <c r="AN48" s="443"/>
      <c r="AO48" s="505"/>
    </row>
    <row r="49" spans="1:43" ht="18.75" customHeight="1">
      <c r="A49" s="195" t="s">
        <v>81</v>
      </c>
      <c r="B49" s="196"/>
      <c r="C49" s="1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62"/>
      <c r="R49" s="1093"/>
      <c r="S49" s="1093"/>
      <c r="T49" s="197"/>
      <c r="U49" s="1093"/>
      <c r="V49" s="198"/>
      <c r="W49" s="67"/>
      <c r="X49" s="199"/>
      <c r="Y49" s="199"/>
      <c r="Z49" s="199"/>
      <c r="AA49" s="50"/>
      <c r="AB49" s="1092">
        <v>24</v>
      </c>
      <c r="AC49" s="506"/>
      <c r="AD49" s="494"/>
      <c r="AE49" s="494"/>
      <c r="AF49" s="494"/>
      <c r="AG49" s="494"/>
      <c r="AH49" s="506"/>
      <c r="AI49" s="494"/>
      <c r="AJ49" s="494"/>
      <c r="AK49" s="494"/>
      <c r="AL49" s="435"/>
      <c r="AM49" s="506"/>
      <c r="AN49" s="494"/>
      <c r="AO49" s="507"/>
    </row>
    <row r="50" spans="1:43" ht="18.75" customHeight="1">
      <c r="A50" s="193" t="s">
        <v>139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62"/>
      <c r="R50" s="62"/>
      <c r="S50" s="62"/>
      <c r="T50" s="62"/>
      <c r="U50" s="62"/>
      <c r="V50" s="44"/>
      <c r="W50" s="67"/>
      <c r="X50" s="194"/>
      <c r="Y50" s="194"/>
      <c r="Z50" s="194"/>
      <c r="AA50" s="50"/>
      <c r="AB50" s="503"/>
      <c r="AC50" s="494"/>
      <c r="AD50" s="494"/>
      <c r="AE50" s="494"/>
      <c r="AF50" s="494"/>
      <c r="AG50" s="494"/>
      <c r="AH50" s="494"/>
      <c r="AI50" s="494"/>
      <c r="AJ50" s="494"/>
      <c r="AK50" s="494"/>
      <c r="AL50" s="435"/>
      <c r="AM50" s="494"/>
      <c r="AN50" s="494"/>
      <c r="AO50" s="507"/>
    </row>
    <row r="51" spans="1:43" ht="24.95" customHeight="1">
      <c r="A51" s="193" t="s">
        <v>161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62"/>
      <c r="R51" s="200"/>
      <c r="S51" s="200"/>
      <c r="T51" s="200"/>
      <c r="U51" s="200"/>
      <c r="V51" s="44"/>
      <c r="W51" s="67"/>
      <c r="X51" s="201"/>
      <c r="Y51" s="201"/>
      <c r="Z51" s="201"/>
      <c r="AA51" s="50"/>
      <c r="AB51" s="503"/>
      <c r="AC51" s="506"/>
      <c r="AD51" s="494"/>
      <c r="AE51" s="494"/>
      <c r="AF51" s="494"/>
      <c r="AG51" s="494"/>
      <c r="AH51" s="506"/>
      <c r="AI51" s="494"/>
      <c r="AJ51" s="494"/>
      <c r="AK51" s="494"/>
      <c r="AL51" s="435"/>
      <c r="AM51" s="506"/>
      <c r="AN51" s="494"/>
      <c r="AO51" s="507"/>
    </row>
    <row r="52" spans="1:43" ht="18.75" customHeight="1" thickBot="1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4"/>
      <c r="R52" s="204"/>
      <c r="S52" s="204"/>
      <c r="T52" s="204"/>
      <c r="U52" s="204"/>
      <c r="V52" s="45"/>
      <c r="W52" s="205"/>
      <c r="X52" s="206"/>
      <c r="Y52" s="206"/>
      <c r="Z52" s="206"/>
      <c r="AA52" s="207"/>
      <c r="AB52" s="508"/>
      <c r="AC52" s="509"/>
      <c r="AD52" s="509"/>
      <c r="AE52" s="509"/>
      <c r="AF52" s="509"/>
      <c r="AG52" s="509"/>
      <c r="AH52" s="509"/>
      <c r="AI52" s="509"/>
      <c r="AJ52" s="509"/>
      <c r="AK52" s="509"/>
      <c r="AL52" s="510"/>
      <c r="AM52" s="509"/>
      <c r="AN52" s="509"/>
      <c r="AO52" s="511"/>
    </row>
    <row r="53" spans="1:43" ht="18.75" customHeight="1">
      <c r="A53" s="434"/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6"/>
      <c r="S53" s="436"/>
      <c r="T53" s="436"/>
      <c r="U53" s="436"/>
      <c r="V53" s="436"/>
      <c r="W53" s="435"/>
      <c r="X53" s="436"/>
      <c r="Y53" s="436"/>
      <c r="Z53" s="436"/>
      <c r="AA53" s="436"/>
      <c r="AC53" s="438"/>
      <c r="AD53" s="438"/>
      <c r="AE53" s="438"/>
      <c r="AF53" s="438"/>
      <c r="AG53" s="439"/>
      <c r="AH53" s="438"/>
      <c r="AI53" s="438"/>
      <c r="AJ53" s="438"/>
      <c r="AK53" s="438"/>
      <c r="AM53" s="438"/>
      <c r="AN53" s="438"/>
      <c r="AO53" s="438"/>
    </row>
    <row r="54" spans="1:43" ht="24.95" hidden="1" customHeight="1" thickBot="1">
      <c r="A54" s="434"/>
      <c r="B54" s="435"/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C54" s="440" t="s">
        <v>12</v>
      </c>
      <c r="AD54" s="441"/>
      <c r="AE54" s="441"/>
      <c r="AH54" s="440" t="s">
        <v>18</v>
      </c>
      <c r="AI54" s="443"/>
      <c r="AJ54" s="443"/>
      <c r="AK54" s="443"/>
      <c r="AM54" s="440"/>
      <c r="AN54" s="443"/>
      <c r="AO54" s="443"/>
    </row>
    <row r="55" spans="1:43" ht="24.95" hidden="1" customHeight="1">
      <c r="AC55" s="444" t="s">
        <v>14</v>
      </c>
      <c r="AD55" s="445"/>
      <c r="AE55" s="446">
        <v>10</v>
      </c>
      <c r="AH55" s="447" t="s">
        <v>51</v>
      </c>
      <c r="AI55" s="448"/>
      <c r="AJ55" s="445"/>
      <c r="AK55" s="449" t="s">
        <v>19</v>
      </c>
      <c r="AL55" s="450"/>
      <c r="AM55" s="447"/>
      <c r="AN55" s="445"/>
      <c r="AO55" s="451"/>
      <c r="AP55" s="452"/>
      <c r="AQ55" s="453"/>
    </row>
    <row r="56" spans="1:43" ht="24.95" hidden="1" customHeight="1">
      <c r="AC56" s="454" t="s">
        <v>16</v>
      </c>
      <c r="AD56" s="455"/>
      <c r="AE56" s="456">
        <v>0.1</v>
      </c>
      <c r="AH56" s="457" t="s">
        <v>20</v>
      </c>
      <c r="AI56" s="458"/>
      <c r="AJ56" s="455"/>
      <c r="AK56" s="459" t="s">
        <v>52</v>
      </c>
      <c r="AL56" s="460"/>
      <c r="AM56" s="457"/>
      <c r="AN56" s="455"/>
      <c r="AO56" s="461"/>
      <c r="AP56" s="462"/>
      <c r="AQ56" s="463"/>
    </row>
    <row r="57" spans="1:43" ht="24.75" hidden="1" customHeight="1">
      <c r="AC57" s="454" t="s">
        <v>47</v>
      </c>
      <c r="AD57" s="455"/>
      <c r="AE57" s="464">
        <v>10</v>
      </c>
      <c r="AH57" s="457" t="s">
        <v>54</v>
      </c>
      <c r="AI57" s="458"/>
      <c r="AJ57" s="455"/>
      <c r="AK57" s="459" t="s">
        <v>21</v>
      </c>
      <c r="AL57" s="460"/>
      <c r="AM57" s="457"/>
      <c r="AN57" s="455"/>
      <c r="AO57" s="461"/>
      <c r="AP57" s="462"/>
      <c r="AQ57" s="463"/>
    </row>
    <row r="58" spans="1:43" ht="24.75" hidden="1" customHeight="1">
      <c r="AC58" s="454" t="s">
        <v>48</v>
      </c>
      <c r="AD58" s="455"/>
      <c r="AE58" s="456">
        <v>0.05</v>
      </c>
      <c r="AH58" s="465" t="s">
        <v>55</v>
      </c>
      <c r="AI58" s="466"/>
      <c r="AJ58" s="467"/>
      <c r="AK58" s="468" t="s">
        <v>53</v>
      </c>
      <c r="AL58" s="469"/>
      <c r="AM58" s="465"/>
      <c r="AN58" s="467"/>
      <c r="AO58" s="470"/>
      <c r="AP58" s="435"/>
      <c r="AQ58" s="471"/>
    </row>
    <row r="59" spans="1:43" ht="24.95" hidden="1" customHeight="1" thickBot="1">
      <c r="AC59" s="454" t="s">
        <v>49</v>
      </c>
      <c r="AD59" s="455"/>
      <c r="AE59" s="464">
        <v>20</v>
      </c>
      <c r="AH59" s="472" t="s">
        <v>77</v>
      </c>
      <c r="AI59" s="473"/>
      <c r="AJ59" s="473"/>
      <c r="AK59" s="474" t="s">
        <v>76</v>
      </c>
      <c r="AL59" s="475"/>
      <c r="AM59" s="473"/>
      <c r="AN59" s="473"/>
      <c r="AO59" s="473"/>
      <c r="AP59" s="475"/>
      <c r="AQ59" s="476"/>
    </row>
    <row r="60" spans="1:43" ht="24.95" hidden="1" customHeight="1">
      <c r="AC60" s="477" t="s">
        <v>50</v>
      </c>
      <c r="AD60" s="467"/>
      <c r="AE60" s="478">
        <v>0.05</v>
      </c>
    </row>
    <row r="61" spans="1:43" ht="24.95" hidden="1" customHeight="1" thickBot="1">
      <c r="AC61" s="479" t="s">
        <v>75</v>
      </c>
      <c r="AD61" s="473"/>
      <c r="AE61" s="480">
        <v>5</v>
      </c>
    </row>
    <row r="62" spans="1:43" hidden="1"/>
    <row r="63" spans="1:43" ht="18.75" customHeight="1"/>
    <row r="66" spans="29:41">
      <c r="AC66" s="481"/>
      <c r="AD66" s="481"/>
      <c r="AE66" s="481"/>
      <c r="AF66" s="481"/>
      <c r="AG66" s="470"/>
      <c r="AH66" s="481"/>
      <c r="AI66" s="481"/>
      <c r="AJ66" s="481"/>
      <c r="AK66" s="481"/>
      <c r="AM66" s="481"/>
      <c r="AN66" s="481"/>
      <c r="AO66" s="481"/>
    </row>
    <row r="67" spans="29:41">
      <c r="AC67" s="481"/>
      <c r="AD67" s="481"/>
      <c r="AE67" s="481"/>
      <c r="AF67" s="481"/>
      <c r="AG67" s="470"/>
      <c r="AH67" s="481"/>
      <c r="AI67" s="481"/>
      <c r="AJ67" s="481"/>
      <c r="AK67" s="481"/>
      <c r="AM67" s="481"/>
      <c r="AN67" s="481"/>
      <c r="AO67" s="481"/>
    </row>
    <row r="68" spans="29:41">
      <c r="AC68" s="481"/>
      <c r="AD68" s="481"/>
      <c r="AE68" s="481"/>
      <c r="AF68" s="481"/>
      <c r="AG68" s="470"/>
      <c r="AH68" s="481"/>
      <c r="AI68" s="481"/>
      <c r="AJ68" s="481"/>
      <c r="AK68" s="481"/>
      <c r="AM68" s="481"/>
      <c r="AN68" s="481"/>
      <c r="AO68" s="481"/>
    </row>
    <row r="69" spans="29:41">
      <c r="AC69" s="481"/>
      <c r="AD69" s="481"/>
      <c r="AE69" s="481"/>
      <c r="AF69" s="481"/>
      <c r="AG69" s="470"/>
      <c r="AH69" s="481"/>
      <c r="AI69" s="481"/>
      <c r="AJ69" s="481"/>
      <c r="AK69" s="481"/>
      <c r="AM69" s="481"/>
      <c r="AN69" s="481"/>
      <c r="AO69" s="481"/>
    </row>
    <row r="70" spans="29:41">
      <c r="AC70" s="481"/>
      <c r="AD70" s="481"/>
      <c r="AE70" s="481"/>
      <c r="AF70" s="481"/>
      <c r="AG70" s="470"/>
      <c r="AH70" s="481"/>
      <c r="AI70" s="481"/>
      <c r="AJ70" s="481"/>
      <c r="AK70" s="481"/>
      <c r="AM70" s="481"/>
      <c r="AN70" s="481"/>
      <c r="AO70" s="481"/>
    </row>
  </sheetData>
  <sheetProtection password="E23E" sheet="1" objects="1" scenarios="1"/>
  <mergeCells count="28">
    <mergeCell ref="AE6:AE8"/>
    <mergeCell ref="AB5:AB7"/>
    <mergeCell ref="AH6:AH8"/>
    <mergeCell ref="AH5:AK5"/>
    <mergeCell ref="AI6:AI8"/>
    <mergeCell ref="AJ6:AJ8"/>
    <mergeCell ref="AD6:AD8"/>
    <mergeCell ref="AM5:AO5"/>
    <mergeCell ref="AM6:AM8"/>
    <mergeCell ref="AN6:AN8"/>
    <mergeCell ref="AO6:AO8"/>
    <mergeCell ref="AK6:AK8"/>
    <mergeCell ref="B2:D2"/>
    <mergeCell ref="F6:F7"/>
    <mergeCell ref="B6:D6"/>
    <mergeCell ref="AC6:AC8"/>
    <mergeCell ref="B5:H5"/>
    <mergeCell ref="AC5:AF5"/>
    <mergeCell ref="R6:T6"/>
    <mergeCell ref="J5:J7"/>
    <mergeCell ref="M5:O5"/>
    <mergeCell ref="M6:N6"/>
    <mergeCell ref="O6:O7"/>
    <mergeCell ref="U6:U7"/>
    <mergeCell ref="X6:Y6"/>
    <mergeCell ref="X5:Z5"/>
    <mergeCell ref="Z6:Z7"/>
    <mergeCell ref="AF6:AF8"/>
  </mergeCells>
  <conditionalFormatting sqref="AC11:AF47 AM11:AO47 AH11:AK47">
    <cfRule type="cellIs" dxfId="110" priority="109" stopIfTrue="1" operator="equal">
      <formula>0</formula>
    </cfRule>
  </conditionalFormatting>
  <conditionalFormatting sqref="D11 D14:D15 D19:D23 D28:D31 D33:D38 D40:D41 D43:D45">
    <cfRule type="expression" dxfId="109" priority="9">
      <formula>AF11=1</formula>
    </cfRule>
  </conditionalFormatting>
  <conditionalFormatting sqref="F11 F14:F15 F19:F23 F28:F31 F33:F38 F40:F41 F43:F45">
    <cfRule type="expression" dxfId="108" priority="8">
      <formula>AK11=1</formula>
    </cfRule>
  </conditionalFormatting>
  <conditionalFormatting sqref="J14 J19:J22 J28:J31 J33:J38 J40:J41">
    <cfRule type="expression" dxfId="107" priority="7">
      <formula>AO14=1</formula>
    </cfRule>
  </conditionalFormatting>
  <conditionalFormatting sqref="M11 M14:M15 M19:M23 M28:M31 M33:M38 M40:M41 M43:M45">
    <cfRule type="expression" dxfId="106" priority="6">
      <formula>AF11=1</formula>
    </cfRule>
  </conditionalFormatting>
  <conditionalFormatting sqref="N11 N14:N15 N19:N23 N28:N31 N33:N38 N40:N41 N43:N45">
    <cfRule type="expression" dxfId="105" priority="5">
      <formula>AK11=1</formula>
    </cfRule>
  </conditionalFormatting>
  <conditionalFormatting sqref="O14 O19:O22 O28:O31 O33:O38 O40:O41">
    <cfRule type="expression" dxfId="104" priority="3">
      <formula>AO14=1</formula>
    </cfRule>
  </conditionalFormatting>
  <dataValidations count="2">
    <dataValidation allowBlank="1" sqref="AP1:DU2 A5:B5 B6 R49:S49 A7:C7 AH10:AK10 M46:P47 D1:G1 D3:G3 D4:L4 R2:U2 X49:AA49 X1 AC54:AE58 AC6:AE6 AC10:AF10 J8 M12:P13 M16:P18 M24:P27 X2:Z2 X12:AA13 X16:AA18 X24:AA27 X32:AA32 G11:G47 I6:I9 X5 AC59:AC60 AH6:AJ6 B8:G8 AM10:AO10 X46:AB47 R5:R7 R1 S7:T7 AP3:DR5 AB1:AB5 L6:L9 R8:U9 AM6:AN6 F46:F47 B46:C47 F12:F13 K11:L47 B42:C42 F39 B39:C39 J32 F32 B32:C32 J23:J27 F24:F27 B24:C27 J42:J47 B11:C13 H6:H8 K8:K9 X7:Y10 Z8:AB10 V8:V10 W3:W10 Q1:Q10 AL1:AL47 AP6:DS47 I11:I47 X42:Y42 B16:C18 F16:F18 E11:E47 U49 F42 A11:A47 Z42:AA43 D12:D47 H10:H47 J39 Q11:W47 J11:J13 J15:J18"/>
    <dataValidation type="decimal" operator="greaterThanOrEqual" allowBlank="1" showErrorMessage="1" error="Invalid Entry" sqref="D11 F11 B14:C15 F14:F15 B19:C23 F19:F23 J19:J22 B28:C31 F28:F31 J28:J31 B33:C38 F33:F38 F43:F45 B40:C41 F40:F41 B43:C45 J33:J38 J40:J41 J14">
      <formula1>0</formula1>
    </dataValidation>
  </dataValidations>
  <pageMargins left="0.19685039370078741" right="0.19685039370078741" top="0.19685039370078741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5"/>
  <sheetViews>
    <sheetView zoomScale="80" zoomScaleNormal="80" workbookViewId="0">
      <pane ySplit="7" topLeftCell="A8" activePane="bottomLeft" state="frozen"/>
      <selection pane="bottomLeft"/>
    </sheetView>
  </sheetViews>
  <sheetFormatPr defaultColWidth="9.140625" defaultRowHeight="15"/>
  <cols>
    <col min="1" max="1" width="76" style="512" customWidth="1"/>
    <col min="2" max="2" width="40.7109375" style="513" customWidth="1"/>
    <col min="3" max="3" width="100.7109375" style="514" customWidth="1"/>
    <col min="4" max="4" width="40.7109375" style="514" customWidth="1"/>
    <col min="5" max="5" width="100.7109375" style="514" customWidth="1"/>
    <col min="6" max="6" width="40.7109375" style="514" customWidth="1"/>
    <col min="7" max="7" width="100.7109375" style="442" customWidth="1"/>
    <col min="8" max="8" width="5.7109375" style="442" customWidth="1"/>
    <col min="9" max="9" width="2.5703125" style="442" hidden="1" customWidth="1"/>
    <col min="10" max="11" width="11.7109375" style="515" hidden="1" customWidth="1"/>
    <col min="12" max="12" width="11.7109375" style="442" hidden="1" customWidth="1"/>
    <col min="13" max="13" width="9.140625" style="442" hidden="1" customWidth="1"/>
    <col min="14" max="16384" width="9.140625" style="442"/>
  </cols>
  <sheetData>
    <row r="1" spans="1:12" ht="30" customHeight="1" thickBot="1">
      <c r="A1" s="1" t="s">
        <v>42</v>
      </c>
      <c r="B1" s="2" t="s">
        <v>149</v>
      </c>
      <c r="C1" s="659" t="s">
        <v>137</v>
      </c>
      <c r="D1" s="2" t="s">
        <v>149</v>
      </c>
      <c r="E1" s="3"/>
      <c r="F1" s="2" t="s">
        <v>149</v>
      </c>
      <c r="G1" s="4"/>
      <c r="H1" s="4"/>
    </row>
    <row r="2" spans="1:12" s="516" customFormat="1" ht="30" customHeight="1" thickBot="1">
      <c r="A2" s="5" t="s">
        <v>5</v>
      </c>
      <c r="B2" s="6" t="str">
        <f>'T1 Final Figures 2017-18'!$B$2</f>
        <v>Glasgow, University of</v>
      </c>
      <c r="C2" s="7"/>
      <c r="D2" s="6" t="str">
        <f>'T1 Final Figures 2017-18'!$B$2</f>
        <v>Glasgow, University of</v>
      </c>
      <c r="E2" s="7"/>
      <c r="F2" s="6" t="str">
        <f>'T1 Final Figures 2017-18'!$B$2</f>
        <v>Glasgow, University of</v>
      </c>
      <c r="G2" s="8"/>
      <c r="H2" s="8"/>
      <c r="J2" s="1817" t="s">
        <v>78</v>
      </c>
      <c r="K2" s="1818"/>
      <c r="L2" s="1819"/>
    </row>
    <row r="3" spans="1:12" s="517" customFormat="1" ht="30" customHeight="1">
      <c r="A3" s="1618"/>
      <c r="B3" s="9" t="s">
        <v>143</v>
      </c>
      <c r="C3" s="7"/>
      <c r="D3" s="9" t="s">
        <v>143</v>
      </c>
      <c r="E3" s="7"/>
      <c r="F3" s="9" t="s">
        <v>143</v>
      </c>
      <c r="G3" s="10"/>
      <c r="H3" s="10"/>
      <c r="J3" s="1820"/>
      <c r="K3" s="1821"/>
      <c r="L3" s="1822"/>
    </row>
    <row r="4" spans="1:12" s="517" customFormat="1" ht="30" customHeight="1" thickBot="1">
      <c r="A4" s="1619"/>
      <c r="B4" s="9" t="s">
        <v>138</v>
      </c>
      <c r="C4" s="7"/>
      <c r="D4" s="9" t="s">
        <v>138</v>
      </c>
      <c r="E4" s="7"/>
      <c r="F4" s="9" t="s">
        <v>138</v>
      </c>
      <c r="G4" s="10"/>
      <c r="H4" s="10"/>
      <c r="J4" s="613"/>
      <c r="K4" s="614"/>
      <c r="L4" s="615"/>
    </row>
    <row r="5" spans="1:12" ht="37.5" customHeight="1">
      <c r="A5" s="1825" t="s">
        <v>41</v>
      </c>
      <c r="B5" s="1827" t="s">
        <v>68</v>
      </c>
      <c r="C5" s="1828"/>
      <c r="D5" s="1829" t="s">
        <v>2</v>
      </c>
      <c r="E5" s="1830"/>
      <c r="F5" s="1835" t="s">
        <v>135</v>
      </c>
      <c r="G5" s="1830"/>
      <c r="H5" s="11"/>
      <c r="J5" s="1831" t="s">
        <v>22</v>
      </c>
      <c r="K5" s="1833" t="s">
        <v>2</v>
      </c>
      <c r="L5" s="1823" t="s">
        <v>79</v>
      </c>
    </row>
    <row r="6" spans="1:12" ht="35.25" customHeight="1">
      <c r="A6" s="1826"/>
      <c r="B6" s="1716" t="s">
        <v>56</v>
      </c>
      <c r="C6" s="1717" t="s">
        <v>57</v>
      </c>
      <c r="D6" s="1716" t="s">
        <v>56</v>
      </c>
      <c r="E6" s="1717" t="s">
        <v>57</v>
      </c>
      <c r="F6" s="1716" t="s">
        <v>56</v>
      </c>
      <c r="G6" s="1718" t="s">
        <v>57</v>
      </c>
      <c r="H6" s="11"/>
      <c r="J6" s="1832"/>
      <c r="K6" s="1834"/>
      <c r="L6" s="1824"/>
    </row>
    <row r="7" spans="1:12" ht="35.25" customHeight="1" thickBot="1">
      <c r="A7" s="1712"/>
      <c r="B7" s="1713">
        <v>1</v>
      </c>
      <c r="C7" s="1714">
        <v>2</v>
      </c>
      <c r="D7" s="1715">
        <v>3</v>
      </c>
      <c r="E7" s="1702">
        <v>4</v>
      </c>
      <c r="F7" s="1715">
        <v>5</v>
      </c>
      <c r="G7" s="645">
        <v>6</v>
      </c>
      <c r="H7" s="11"/>
      <c r="J7" s="1709"/>
      <c r="K7" s="1710"/>
      <c r="L7" s="1711"/>
    </row>
    <row r="8" spans="1:12" ht="72" customHeight="1" thickBot="1">
      <c r="A8" s="93" t="s">
        <v>11</v>
      </c>
      <c r="B8" s="1112" t="str">
        <f>'T1 Final Figures 2017-18'!M11</f>
        <v/>
      </c>
      <c r="C8" s="1113"/>
      <c r="D8" s="1114" t="str">
        <f>'T1 Final Figures 2017-18'!N11</f>
        <v>At least 10 FTE and 10% difference between Final Figures and Early Statistics</v>
      </c>
      <c r="E8" s="1115" t="s">
        <v>475</v>
      </c>
      <c r="F8" s="1620"/>
      <c r="G8" s="1628"/>
      <c r="H8" s="11"/>
      <c r="J8" s="518">
        <f>'T1 Final Figures 2017-18'!AF11</f>
        <v>0</v>
      </c>
      <c r="K8" s="519">
        <f>'T1 Final Figures 2017-18'!AK11</f>
        <v>1</v>
      </c>
      <c r="L8" s="520"/>
    </row>
    <row r="9" spans="1:12" ht="39.950000000000003" customHeight="1">
      <c r="A9" s="12" t="s">
        <v>13</v>
      </c>
      <c r="B9" s="1101"/>
      <c r="C9" s="300"/>
      <c r="D9" s="308"/>
      <c r="E9" s="13"/>
      <c r="F9" s="292"/>
      <c r="G9" s="290"/>
      <c r="H9" s="11"/>
      <c r="J9" s="521"/>
      <c r="K9" s="522"/>
      <c r="L9" s="523"/>
    </row>
    <row r="10" spans="1:12" ht="39.950000000000003" customHeight="1">
      <c r="A10" s="14" t="s">
        <v>27</v>
      </c>
      <c r="B10" s="1102"/>
      <c r="C10" s="301"/>
      <c r="D10" s="309"/>
      <c r="E10" s="15"/>
      <c r="F10" s="293"/>
      <c r="G10" s="287"/>
      <c r="H10" s="11"/>
      <c r="J10" s="524"/>
      <c r="K10" s="525"/>
      <c r="L10" s="526"/>
    </row>
    <row r="11" spans="1:12" ht="72" customHeight="1">
      <c r="A11" s="16" t="s">
        <v>28</v>
      </c>
      <c r="B11" s="1103" t="str">
        <f>'T1 Final Figures 2017-18'!M14</f>
        <v/>
      </c>
      <c r="C11" s="302"/>
      <c r="D11" s="18" t="str">
        <f>'T1 Final Figures 2017-18'!N14</f>
        <v/>
      </c>
      <c r="E11" s="17"/>
      <c r="F11" s="313" t="str">
        <f>'T1 Final Figures 2017-18'!O14</f>
        <v/>
      </c>
      <c r="G11" s="1629"/>
      <c r="H11" s="11"/>
      <c r="J11" s="518">
        <f>'T1 Final Figures 2017-18'!AF14</f>
        <v>0</v>
      </c>
      <c r="K11" s="519">
        <f>'T1 Final Figures 2017-18'!AK14</f>
        <v>0</v>
      </c>
      <c r="L11" s="528">
        <f>'T1 Final Figures 2017-18'!AO14</f>
        <v>0</v>
      </c>
    </row>
    <row r="12" spans="1:12" ht="72" customHeight="1">
      <c r="A12" s="14" t="s">
        <v>29</v>
      </c>
      <c r="B12" s="1103" t="str">
        <f>'T1 Final Figures 2017-18'!M15</f>
        <v/>
      </c>
      <c r="C12" s="302"/>
      <c r="D12" s="18" t="str">
        <f>'T1 Final Figures 2017-18'!N15</f>
        <v>At least 20 FTE and 5% difference between Final Figures and Early Statistics</v>
      </c>
      <c r="E12" s="17" t="s">
        <v>471</v>
      </c>
      <c r="F12" s="1621"/>
      <c r="G12" s="1630"/>
      <c r="H12" s="11"/>
      <c r="J12" s="518">
        <f>'T1 Final Figures 2017-18'!AF15</f>
        <v>0</v>
      </c>
      <c r="K12" s="519">
        <f>'T1 Final Figures 2017-18'!AK15</f>
        <v>1</v>
      </c>
      <c r="L12" s="527"/>
    </row>
    <row r="13" spans="1:12" ht="20.100000000000001" customHeight="1" thickBot="1">
      <c r="A13" s="1108"/>
      <c r="B13" s="1104"/>
      <c r="C13" s="303"/>
      <c r="D13" s="310"/>
      <c r="E13" s="19"/>
      <c r="F13" s="294"/>
      <c r="G13" s="288"/>
      <c r="H13" s="11"/>
      <c r="J13" s="529"/>
      <c r="K13" s="530"/>
      <c r="L13" s="531"/>
    </row>
    <row r="14" spans="1:12" ht="39.950000000000003" customHeight="1">
      <c r="A14" s="93" t="s">
        <v>15</v>
      </c>
      <c r="B14" s="597"/>
      <c r="C14" s="304"/>
      <c r="D14" s="311"/>
      <c r="E14" s="289"/>
      <c r="F14" s="293"/>
      <c r="G14" s="287"/>
      <c r="H14" s="11"/>
      <c r="J14" s="532"/>
      <c r="K14" s="533"/>
      <c r="L14" s="534"/>
    </row>
    <row r="15" spans="1:12" ht="39.950000000000003" customHeight="1">
      <c r="A15" s="14" t="s">
        <v>27</v>
      </c>
      <c r="B15" s="1102"/>
      <c r="C15" s="301"/>
      <c r="D15" s="309"/>
      <c r="E15" s="15"/>
      <c r="F15" s="293"/>
      <c r="G15" s="287"/>
      <c r="H15" s="11"/>
      <c r="J15" s="524"/>
      <c r="K15" s="525"/>
      <c r="L15" s="535"/>
    </row>
    <row r="16" spans="1:12" ht="72" customHeight="1">
      <c r="A16" s="16" t="s">
        <v>30</v>
      </c>
      <c r="B16" s="1103" t="str">
        <f>'T1 Final Figures 2017-18'!M19</f>
        <v/>
      </c>
      <c r="C16" s="302"/>
      <c r="D16" s="18" t="str">
        <f>'T1 Final Figures 2017-18'!N19</f>
        <v/>
      </c>
      <c r="E16" s="17"/>
      <c r="F16" s="313" t="str">
        <f>'T1 Final Figures 2017-18'!O19</f>
        <v>Non-zero FTE in only one of Early Statistics or Final Figures</v>
      </c>
      <c r="G16" s="1629" t="s">
        <v>472</v>
      </c>
      <c r="H16" s="11"/>
      <c r="J16" s="518">
        <f>'T1 Final Figures 2017-18'!AF19</f>
        <v>0</v>
      </c>
      <c r="K16" s="519">
        <f>'T1 Final Figures 2017-18'!AK19</f>
        <v>0</v>
      </c>
      <c r="L16" s="528">
        <f>'T1 Final Figures 2017-18'!AO19</f>
        <v>1</v>
      </c>
    </row>
    <row r="17" spans="1:12" ht="72" customHeight="1">
      <c r="A17" s="16" t="s">
        <v>31</v>
      </c>
      <c r="B17" s="1103" t="str">
        <f>'T1 Final Figures 2017-18'!M20</f>
        <v/>
      </c>
      <c r="C17" s="302"/>
      <c r="D17" s="18" t="str">
        <f>'T1 Final Figures 2017-18'!N20</f>
        <v/>
      </c>
      <c r="E17" s="17"/>
      <c r="F17" s="313" t="str">
        <f>'T1 Final Figures 2017-18'!O20</f>
        <v/>
      </c>
      <c r="G17" s="1629"/>
      <c r="H17" s="11"/>
      <c r="J17" s="518">
        <f>'T1 Final Figures 2017-18'!AF20</f>
        <v>0</v>
      </c>
      <c r="K17" s="519">
        <f>'T1 Final Figures 2017-18'!AK20</f>
        <v>0</v>
      </c>
      <c r="L17" s="528">
        <f>'T1 Final Figures 2017-18'!AO20</f>
        <v>0</v>
      </c>
    </row>
    <row r="18" spans="1:12" ht="72" customHeight="1">
      <c r="A18" s="16" t="s">
        <v>159</v>
      </c>
      <c r="B18" s="1103" t="str">
        <f>'T1 Final Figures 2017-18'!M21</f>
        <v/>
      </c>
      <c r="C18" s="302"/>
      <c r="D18" s="18" t="str">
        <f>'T1 Final Figures 2017-18'!N21</f>
        <v/>
      </c>
      <c r="E18" s="17"/>
      <c r="F18" s="313" t="str">
        <f>'T1 Final Figures 2017-18'!O21</f>
        <v/>
      </c>
      <c r="G18" s="1629"/>
      <c r="H18" s="11"/>
      <c r="J18" s="518">
        <f>'T1 Final Figures 2017-18'!AF21</f>
        <v>0</v>
      </c>
      <c r="K18" s="519">
        <f>'T1 Final Figures 2017-18'!AK21</f>
        <v>0</v>
      </c>
      <c r="L18" s="528">
        <f>'T1 Final Figures 2017-18'!AO21</f>
        <v>0</v>
      </c>
    </row>
    <row r="19" spans="1:12" ht="72" customHeight="1">
      <c r="A19" s="16" t="s">
        <v>207</v>
      </c>
      <c r="B19" s="1103" t="str">
        <f>'T1 Final Figures 2017-18'!M22</f>
        <v/>
      </c>
      <c r="C19" s="302"/>
      <c r="D19" s="18" t="str">
        <f>'T1 Final Figures 2017-18'!N22</f>
        <v/>
      </c>
      <c r="E19" s="17"/>
      <c r="F19" s="313" t="str">
        <f>'T1 Final Figures 2017-18'!O22</f>
        <v/>
      </c>
      <c r="G19" s="1629"/>
      <c r="H19" s="11"/>
      <c r="J19" s="518">
        <f>'T1 Final Figures 2017-18'!AF22</f>
        <v>0</v>
      </c>
      <c r="K19" s="519">
        <f>'T1 Final Figures 2017-18'!AK22</f>
        <v>0</v>
      </c>
      <c r="L19" s="528">
        <f>'T1 Final Figures 2017-18'!AO22</f>
        <v>0</v>
      </c>
    </row>
    <row r="20" spans="1:12" ht="72" customHeight="1">
      <c r="A20" s="14" t="s">
        <v>29</v>
      </c>
      <c r="B20" s="1103" t="str">
        <f>'T1 Final Figures 2017-18'!M23</f>
        <v/>
      </c>
      <c r="C20" s="302"/>
      <c r="D20" s="18" t="str">
        <f>'T1 Final Figures 2017-18'!N23</f>
        <v>At least 20 FTE and 5% difference between Final Figures and Early Statistics</v>
      </c>
      <c r="E20" s="17" t="s">
        <v>473</v>
      </c>
      <c r="F20" s="1622"/>
      <c r="G20" s="1630"/>
      <c r="H20" s="11"/>
      <c r="J20" s="518">
        <f>'T1 Final Figures 2017-18'!AF23</f>
        <v>0</v>
      </c>
      <c r="K20" s="519">
        <f>'T1 Final Figures 2017-18'!AK23</f>
        <v>1</v>
      </c>
      <c r="L20" s="531"/>
    </row>
    <row r="21" spans="1:12" ht="20.100000000000001" customHeight="1" thickBot="1">
      <c r="A21" s="1108"/>
      <c r="B21" s="1104"/>
      <c r="C21" s="303"/>
      <c r="D21" s="312"/>
      <c r="E21" s="19"/>
      <c r="F21" s="294"/>
      <c r="G21" s="288"/>
      <c r="H21" s="11"/>
      <c r="J21" s="536"/>
      <c r="K21" s="537"/>
      <c r="L21" s="538"/>
    </row>
    <row r="22" spans="1:12" ht="39.950000000000003" customHeight="1">
      <c r="A22" s="12" t="s">
        <v>17</v>
      </c>
      <c r="B22" s="1101"/>
      <c r="C22" s="300"/>
      <c r="D22" s="308"/>
      <c r="E22" s="13"/>
      <c r="F22" s="293"/>
      <c r="G22" s="287"/>
      <c r="H22" s="11"/>
      <c r="J22" s="521"/>
      <c r="K22" s="522"/>
      <c r="L22" s="523"/>
    </row>
    <row r="23" spans="1:12" ht="39.950000000000003" customHeight="1">
      <c r="A23" s="14" t="s">
        <v>27</v>
      </c>
      <c r="B23" s="597"/>
      <c r="C23" s="304"/>
      <c r="D23" s="311"/>
      <c r="E23" s="289"/>
      <c r="F23" s="293"/>
      <c r="G23" s="287"/>
      <c r="H23" s="11"/>
      <c r="J23" s="539"/>
      <c r="K23" s="540"/>
      <c r="L23" s="526"/>
    </row>
    <row r="24" spans="1:12" ht="39.950000000000003" customHeight="1">
      <c r="A24" s="1109" t="s">
        <v>32</v>
      </c>
      <c r="B24" s="1102"/>
      <c r="C24" s="301"/>
      <c r="D24" s="309"/>
      <c r="E24" s="15"/>
      <c r="F24" s="293"/>
      <c r="G24" s="287"/>
      <c r="H24" s="11"/>
      <c r="J24" s="524"/>
      <c r="K24" s="525"/>
      <c r="L24" s="535"/>
    </row>
    <row r="25" spans="1:12" ht="72" customHeight="1">
      <c r="A25" s="1110" t="s">
        <v>23</v>
      </c>
      <c r="B25" s="1103" t="str">
        <f>'T1 Final Figures 2017-18'!M28</f>
        <v/>
      </c>
      <c r="C25" s="302"/>
      <c r="D25" s="18" t="str">
        <f>'T1 Final Figures 2017-18'!N28</f>
        <v/>
      </c>
      <c r="E25" s="17"/>
      <c r="F25" s="313" t="str">
        <f>'T1 Final Figures 2017-18'!O28</f>
        <v/>
      </c>
      <c r="G25" s="1629"/>
      <c r="H25" s="11"/>
      <c r="J25" s="518">
        <f>'T1 Final Figures 2017-18'!AF28</f>
        <v>0</v>
      </c>
      <c r="K25" s="519">
        <f>'T1 Final Figures 2017-18'!AK28</f>
        <v>0</v>
      </c>
      <c r="L25" s="528">
        <f>'T1 Final Figures 2017-18'!AO28</f>
        <v>0</v>
      </c>
    </row>
    <row r="26" spans="1:12" ht="72" customHeight="1">
      <c r="A26" s="1110" t="s">
        <v>24</v>
      </c>
      <c r="B26" s="1103" t="str">
        <f>'T1 Final Figures 2017-18'!M29</f>
        <v/>
      </c>
      <c r="C26" s="302"/>
      <c r="D26" s="18" t="str">
        <f>'T1 Final Figures 2017-18'!N29</f>
        <v/>
      </c>
      <c r="E26" s="17"/>
      <c r="F26" s="313" t="str">
        <f>'T1 Final Figures 2017-18'!O29</f>
        <v/>
      </c>
      <c r="G26" s="1629"/>
      <c r="H26" s="11"/>
      <c r="J26" s="518">
        <f>'T1 Final Figures 2017-18'!AF29</f>
        <v>0</v>
      </c>
      <c r="K26" s="519">
        <f>'T1 Final Figures 2017-18'!AK29</f>
        <v>0</v>
      </c>
      <c r="L26" s="528">
        <f>'T1 Final Figures 2017-18'!AO29</f>
        <v>0</v>
      </c>
    </row>
    <row r="27" spans="1:12" ht="72" customHeight="1">
      <c r="A27" s="1110" t="s">
        <v>8</v>
      </c>
      <c r="B27" s="1103" t="str">
        <f>'T1 Final Figures 2017-18'!M30</f>
        <v/>
      </c>
      <c r="C27" s="302"/>
      <c r="D27" s="18" t="str">
        <f>'T1 Final Figures 2017-18'!N30</f>
        <v/>
      </c>
      <c r="E27" s="17"/>
      <c r="F27" s="313" t="str">
        <f>'T1 Final Figures 2017-18'!O30</f>
        <v>At least 5 FTE difference between Final Figures and Early Statistics</v>
      </c>
      <c r="G27" s="1629" t="s">
        <v>474</v>
      </c>
      <c r="H27" s="11"/>
      <c r="J27" s="518">
        <f>'T1 Final Figures 2017-18'!AF30</f>
        <v>0</v>
      </c>
      <c r="K27" s="519">
        <f>'T1 Final Figures 2017-18'!AK30</f>
        <v>0</v>
      </c>
      <c r="L27" s="528">
        <f>'T1 Final Figures 2017-18'!AO30</f>
        <v>1</v>
      </c>
    </row>
    <row r="28" spans="1:12" ht="72" customHeight="1">
      <c r="A28" s="1110" t="s">
        <v>9</v>
      </c>
      <c r="B28" s="1103" t="str">
        <f>'T1 Final Figures 2017-18'!M31</f>
        <v/>
      </c>
      <c r="C28" s="302"/>
      <c r="D28" s="18" t="str">
        <f>'T1 Final Figures 2017-18'!N31</f>
        <v/>
      </c>
      <c r="E28" s="17"/>
      <c r="F28" s="313" t="str">
        <f>'T1 Final Figures 2017-18'!O31</f>
        <v/>
      </c>
      <c r="G28" s="1629"/>
      <c r="H28" s="11"/>
      <c r="J28" s="518">
        <f>'T1 Final Figures 2017-18'!AF31</f>
        <v>0</v>
      </c>
      <c r="K28" s="519">
        <f>'T1 Final Figures 2017-18'!AK31</f>
        <v>0</v>
      </c>
      <c r="L28" s="528">
        <f>'T1 Final Figures 2017-18'!AO31</f>
        <v>0</v>
      </c>
    </row>
    <row r="29" spans="1:12" ht="39.950000000000003" customHeight="1">
      <c r="A29" s="1109" t="s">
        <v>10</v>
      </c>
      <c r="B29" s="1105"/>
      <c r="C29" s="305"/>
      <c r="D29" s="297"/>
      <c r="E29" s="20"/>
      <c r="F29" s="295"/>
      <c r="G29" s="291"/>
      <c r="H29" s="11"/>
      <c r="J29" s="536"/>
      <c r="K29" s="537"/>
      <c r="L29" s="531"/>
    </row>
    <row r="30" spans="1:12" ht="72" customHeight="1">
      <c r="A30" s="1110" t="s">
        <v>33</v>
      </c>
      <c r="B30" s="1103" t="str">
        <f>'T1 Final Figures 2017-18'!M33</f>
        <v/>
      </c>
      <c r="C30" s="302"/>
      <c r="D30" s="18" t="str">
        <f>'T1 Final Figures 2017-18'!N33</f>
        <v/>
      </c>
      <c r="E30" s="17"/>
      <c r="F30" s="313" t="str">
        <f>'T1 Final Figures 2017-18'!O33</f>
        <v/>
      </c>
      <c r="G30" s="1629"/>
      <c r="H30" s="11"/>
      <c r="J30" s="518">
        <f>'T1 Final Figures 2017-18'!AF33</f>
        <v>0</v>
      </c>
      <c r="K30" s="519">
        <f>'T1 Final Figures 2017-18'!AK33</f>
        <v>0</v>
      </c>
      <c r="L30" s="528">
        <f>'T1 Final Figures 2017-18'!AO33</f>
        <v>0</v>
      </c>
    </row>
    <row r="31" spans="1:12" ht="72" customHeight="1">
      <c r="A31" s="1110" t="s">
        <v>34</v>
      </c>
      <c r="B31" s="1103" t="str">
        <f>'T1 Final Figures 2017-18'!M34</f>
        <v/>
      </c>
      <c r="C31" s="302"/>
      <c r="D31" s="18" t="str">
        <f>'T1 Final Figures 2017-18'!N34</f>
        <v/>
      </c>
      <c r="E31" s="17"/>
      <c r="F31" s="313" t="str">
        <f>'T1 Final Figures 2017-18'!O34</f>
        <v/>
      </c>
      <c r="G31" s="1629"/>
      <c r="H31" s="11"/>
      <c r="J31" s="518">
        <f>'T1 Final Figures 2017-18'!AF34</f>
        <v>0</v>
      </c>
      <c r="K31" s="519">
        <f>'T1 Final Figures 2017-18'!AK34</f>
        <v>0</v>
      </c>
      <c r="L31" s="528">
        <f>'T1 Final Figures 2017-18'!AO34</f>
        <v>0</v>
      </c>
    </row>
    <row r="32" spans="1:12" ht="72" customHeight="1">
      <c r="A32" s="1110" t="s">
        <v>35</v>
      </c>
      <c r="B32" s="1103" t="str">
        <f>'T1 Final Figures 2017-18'!M35</f>
        <v/>
      </c>
      <c r="C32" s="302"/>
      <c r="D32" s="18" t="str">
        <f>'T1 Final Figures 2017-18'!N35</f>
        <v/>
      </c>
      <c r="E32" s="17"/>
      <c r="F32" s="313" t="str">
        <f>'T1 Final Figures 2017-18'!O35</f>
        <v/>
      </c>
      <c r="G32" s="1629"/>
      <c r="H32" s="11"/>
      <c r="J32" s="518">
        <f>'T1 Final Figures 2017-18'!AF35</f>
        <v>0</v>
      </c>
      <c r="K32" s="519">
        <f>'T1 Final Figures 2017-18'!AK35</f>
        <v>0</v>
      </c>
      <c r="L32" s="528">
        <f>'T1 Final Figures 2017-18'!AO35</f>
        <v>0</v>
      </c>
    </row>
    <row r="33" spans="1:13" ht="72" customHeight="1">
      <c r="A33" s="1110" t="s">
        <v>36</v>
      </c>
      <c r="B33" s="1103" t="str">
        <f>'T1 Final Figures 2017-18'!M36</f>
        <v/>
      </c>
      <c r="C33" s="302"/>
      <c r="D33" s="18" t="str">
        <f>'T1 Final Figures 2017-18'!N36</f>
        <v/>
      </c>
      <c r="E33" s="658"/>
      <c r="F33" s="313" t="str">
        <f>'T1 Final Figures 2017-18'!O36</f>
        <v/>
      </c>
      <c r="G33" s="1629"/>
      <c r="H33" s="11"/>
      <c r="J33" s="518">
        <f>'T1 Final Figures 2017-18'!AF36</f>
        <v>0</v>
      </c>
      <c r="K33" s="519">
        <f>'T1 Final Figures 2017-18'!AK36</f>
        <v>0</v>
      </c>
      <c r="L33" s="528">
        <f>'T1 Final Figures 2017-18'!AO36</f>
        <v>0</v>
      </c>
    </row>
    <row r="34" spans="1:13" ht="72" customHeight="1">
      <c r="A34" s="1110" t="s">
        <v>159</v>
      </c>
      <c r="B34" s="1103" t="str">
        <f>'T1 Final Figures 2017-18'!M37</f>
        <v/>
      </c>
      <c r="C34" s="302"/>
      <c r="D34" s="18" t="str">
        <f>'T1 Final Figures 2017-18'!N37</f>
        <v/>
      </c>
      <c r="E34" s="658"/>
      <c r="F34" s="313" t="str">
        <f>'T1 Final Figures 2017-18'!O37</f>
        <v/>
      </c>
      <c r="G34" s="1629"/>
      <c r="H34" s="11"/>
      <c r="J34" s="518">
        <f>'T1 Final Figures 2017-18'!AF37</f>
        <v>0</v>
      </c>
      <c r="K34" s="519">
        <f>'T1 Final Figures 2017-18'!AK37</f>
        <v>0</v>
      </c>
      <c r="L34" s="528">
        <f>'T1 Final Figures 2017-18'!AO37</f>
        <v>0</v>
      </c>
    </row>
    <row r="35" spans="1:13" ht="72" customHeight="1">
      <c r="A35" s="1110" t="s">
        <v>207</v>
      </c>
      <c r="B35" s="1103" t="str">
        <f>'T1 Final Figures 2017-18'!M38</f>
        <v/>
      </c>
      <c r="C35" s="302"/>
      <c r="D35" s="18" t="str">
        <f>'T1 Final Figures 2017-18'!N38</f>
        <v/>
      </c>
      <c r="E35" s="658"/>
      <c r="F35" s="313" t="str">
        <f>'T1 Final Figures 2017-18'!O38</f>
        <v/>
      </c>
      <c r="G35" s="1629"/>
      <c r="H35" s="11"/>
      <c r="J35" s="518">
        <f>'T1 Final Figures 2017-18'!AF38</f>
        <v>0</v>
      </c>
      <c r="K35" s="519">
        <f>'T1 Final Figures 2017-18'!AK38</f>
        <v>0</v>
      </c>
      <c r="L35" s="528">
        <f>'T1 Final Figures 2017-18'!AO38</f>
        <v>0</v>
      </c>
    </row>
    <row r="36" spans="1:13" ht="39.950000000000003" customHeight="1">
      <c r="A36" s="1109" t="s">
        <v>28</v>
      </c>
      <c r="B36" s="1106"/>
      <c r="C36" s="1623"/>
      <c r="D36" s="298"/>
      <c r="E36" s="20"/>
      <c r="F36" s="1624"/>
      <c r="G36" s="291"/>
      <c r="H36" s="11"/>
      <c r="J36" s="541"/>
      <c r="K36" s="542"/>
      <c r="L36" s="543"/>
    </row>
    <row r="37" spans="1:13" ht="72" customHeight="1">
      <c r="A37" s="1110" t="s">
        <v>119</v>
      </c>
      <c r="B37" s="1103" t="str">
        <f>'T1 Final Figures 2017-18'!M40</f>
        <v/>
      </c>
      <c r="C37" s="302"/>
      <c r="D37" s="18" t="str">
        <f>'T1 Final Figures 2017-18'!N40</f>
        <v/>
      </c>
      <c r="E37" s="17"/>
      <c r="F37" s="313" t="str">
        <f>'T1 Final Figures 2017-18'!O40</f>
        <v/>
      </c>
      <c r="G37" s="1629"/>
      <c r="H37" s="11"/>
      <c r="J37" s="518">
        <f>'T1 Final Figures 2017-18'!AF40</f>
        <v>0</v>
      </c>
      <c r="K37" s="519">
        <f>'T1 Final Figures 2017-18'!AK40</f>
        <v>0</v>
      </c>
      <c r="L37" s="519">
        <f>'T1 Final Figures 2017-18'!AO40</f>
        <v>0</v>
      </c>
    </row>
    <row r="38" spans="1:13" ht="72" customHeight="1">
      <c r="A38" s="1110" t="s">
        <v>343</v>
      </c>
      <c r="B38" s="1103" t="str">
        <f>'T1 Final Figures 2017-18'!M41</f>
        <v/>
      </c>
      <c r="C38" s="302"/>
      <c r="D38" s="18" t="str">
        <f>'T1 Final Figures 2017-18'!N41</f>
        <v/>
      </c>
      <c r="E38" s="17"/>
      <c r="F38" s="313" t="str">
        <f>'T1 Final Figures 2017-18'!O41</f>
        <v/>
      </c>
      <c r="G38" s="1629"/>
      <c r="H38" s="11"/>
      <c r="J38" s="518">
        <f>'T1 Final Figures 2017-18'!AF41</f>
        <v>0</v>
      </c>
      <c r="K38" s="519">
        <f>'T1 Final Figures 2017-18'!AK41</f>
        <v>0</v>
      </c>
      <c r="L38" s="519">
        <f>'T1 Final Figures 2017-18'!AO41</f>
        <v>0</v>
      </c>
    </row>
    <row r="39" spans="1:13" ht="39.950000000000003" customHeight="1">
      <c r="A39" s="14" t="s">
        <v>29</v>
      </c>
      <c r="B39" s="1105"/>
      <c r="C39" s="306"/>
      <c r="D39" s="298"/>
      <c r="E39" s="21"/>
      <c r="F39" s="296"/>
      <c r="G39" s="287"/>
      <c r="H39" s="11"/>
      <c r="J39" s="536"/>
      <c r="K39" s="537"/>
      <c r="L39" s="531"/>
    </row>
    <row r="40" spans="1:13" ht="72" customHeight="1">
      <c r="A40" s="16" t="s">
        <v>160</v>
      </c>
      <c r="B40" s="1103" t="str">
        <f>'T1 Final Figures 2017-18'!M43</f>
        <v/>
      </c>
      <c r="C40" s="302"/>
      <c r="D40" s="18" t="str">
        <f>'T1 Final Figures 2017-18'!N43</f>
        <v/>
      </c>
      <c r="E40" s="681"/>
      <c r="F40" s="1100"/>
      <c r="G40" s="287"/>
      <c r="H40" s="11"/>
      <c r="J40" s="518">
        <f>'T1 Final Figures 2017-18'!AF43</f>
        <v>0</v>
      </c>
      <c r="K40" s="519">
        <f>'T1 Final Figures 2017-18'!AK43</f>
        <v>0</v>
      </c>
      <c r="L40" s="531"/>
    </row>
    <row r="41" spans="1:13" ht="72" customHeight="1">
      <c r="A41" s="16" t="s">
        <v>37</v>
      </c>
      <c r="B41" s="1103" t="str">
        <f>'T1 Final Figures 2017-18'!M44</f>
        <v/>
      </c>
      <c r="C41" s="302"/>
      <c r="D41" s="18" t="str">
        <f>'T1 Final Figures 2017-18'!N44</f>
        <v/>
      </c>
      <c r="E41" s="681"/>
      <c r="F41" s="1621"/>
      <c r="G41" s="287"/>
      <c r="H41" s="11"/>
      <c r="J41" s="518">
        <f>'T1 Final Figures 2017-18'!AF44</f>
        <v>0</v>
      </c>
      <c r="K41" s="519">
        <f>'T1 Final Figures 2017-18'!AK44</f>
        <v>0</v>
      </c>
      <c r="L41" s="531"/>
    </row>
    <row r="42" spans="1:13" ht="72" customHeight="1" thickBot="1">
      <c r="A42" s="1111" t="s">
        <v>38</v>
      </c>
      <c r="B42" s="1107" t="str">
        <f>'T1 Final Figures 2017-18'!M45</f>
        <v/>
      </c>
      <c r="C42" s="307"/>
      <c r="D42" s="299" t="str">
        <f>'T1 Final Figures 2017-18'!N45</f>
        <v/>
      </c>
      <c r="E42" s="682"/>
      <c r="F42" s="1625"/>
      <c r="G42" s="288"/>
      <c r="H42" s="11"/>
      <c r="J42" s="544">
        <f>'T1 Final Figures 2017-18'!AF45</f>
        <v>0</v>
      </c>
      <c r="K42" s="545">
        <f>'T1 Final Figures 2017-18'!AK45</f>
        <v>0</v>
      </c>
      <c r="L42" s="546"/>
    </row>
    <row r="43" spans="1:13" ht="24.95" customHeight="1">
      <c r="A43" s="286"/>
      <c r="B43" s="316"/>
      <c r="C43" s="316"/>
      <c r="D43" s="1626"/>
      <c r="E43" s="316"/>
      <c r="F43" s="318" t="s">
        <v>82</v>
      </c>
      <c r="G43" s="11"/>
      <c r="H43" s="11"/>
      <c r="J43" s="547"/>
      <c r="K43" s="547"/>
    </row>
    <row r="44" spans="1:13" ht="24.95" customHeight="1">
      <c r="A44" s="677"/>
      <c r="B44" s="317"/>
      <c r="C44" s="317"/>
      <c r="D44" s="1627"/>
      <c r="E44" s="317"/>
      <c r="F44" s="315" t="s">
        <v>437</v>
      </c>
      <c r="G44" s="314"/>
      <c r="H44" s="314"/>
      <c r="J44" s="667">
        <f>SUM(J8:J42)</f>
        <v>0</v>
      </c>
      <c r="K44" s="667">
        <f t="shared" ref="K44:L44" si="0">SUM(K8:K42)</f>
        <v>3</v>
      </c>
      <c r="L44" s="667">
        <f t="shared" si="0"/>
        <v>2</v>
      </c>
      <c r="M44" s="668">
        <f>SUM(J44:L44)</f>
        <v>5</v>
      </c>
    </row>
    <row r="45" spans="1:13" ht="18" customHeight="1">
      <c r="A45" s="677"/>
      <c r="B45" s="1619"/>
      <c r="C45" s="1619"/>
      <c r="D45" s="317"/>
      <c r="E45" s="317"/>
      <c r="F45" s="1619"/>
      <c r="G45" s="314"/>
      <c r="H45" s="314"/>
      <c r="J45" s="548"/>
      <c r="K45" s="548"/>
    </row>
  </sheetData>
  <sheetProtection password="E23E" sheet="1" objects="1" scenarios="1"/>
  <mergeCells count="8">
    <mergeCell ref="J2:L3"/>
    <mergeCell ref="L5:L6"/>
    <mergeCell ref="A5:A6"/>
    <mergeCell ref="B5:C5"/>
    <mergeCell ref="D5:E5"/>
    <mergeCell ref="J5:J6"/>
    <mergeCell ref="K5:K6"/>
    <mergeCell ref="F5:G5"/>
  </mergeCells>
  <conditionalFormatting sqref="D8 D11:D12 D16:D20 D25:D28 D30:D35 D37:D38 D40:D42">
    <cfRule type="expression" dxfId="103" priority="51" stopIfTrue="1">
      <formula>K8=0</formula>
    </cfRule>
  </conditionalFormatting>
  <conditionalFormatting sqref="B8 B11:B12 B16:B20 B25:B28 B30:B35 B37:B38 B40:B42">
    <cfRule type="expression" dxfId="102" priority="52" stopIfTrue="1">
      <formula>J8=0</formula>
    </cfRule>
  </conditionalFormatting>
  <conditionalFormatting sqref="C8 C11:C12 C16:C20 C25:C28 C30:C35 C37:C38 C40:C42">
    <cfRule type="expression" dxfId="101" priority="9">
      <formula>J8=1</formula>
    </cfRule>
  </conditionalFormatting>
  <conditionalFormatting sqref="E8 E11 E16:E19 E25:E28 E30:E35 E37:E38 E40:E42">
    <cfRule type="expression" dxfId="100" priority="8">
      <formula>K8=1</formula>
    </cfRule>
  </conditionalFormatting>
  <conditionalFormatting sqref="G11 G17:G19 G25:G26 G30:G35 G37:G38 G28">
    <cfRule type="expression" dxfId="99" priority="7">
      <formula>L11=1</formula>
    </cfRule>
  </conditionalFormatting>
  <conditionalFormatting sqref="F11 F16:F19 F25:F28 F30:F35 F37:F38">
    <cfRule type="expression" dxfId="98" priority="6">
      <formula>L11=0</formula>
    </cfRule>
  </conditionalFormatting>
  <conditionalFormatting sqref="E12">
    <cfRule type="expression" dxfId="97" priority="5">
      <formula>K12=1</formula>
    </cfRule>
  </conditionalFormatting>
  <conditionalFormatting sqref="G16">
    <cfRule type="expression" dxfId="96" priority="4">
      <formula>L16=1</formula>
    </cfRule>
  </conditionalFormatting>
  <conditionalFormatting sqref="E20">
    <cfRule type="expression" dxfId="95" priority="3">
      <formula>K20=1</formula>
    </cfRule>
  </conditionalFormatting>
  <conditionalFormatting sqref="G27">
    <cfRule type="expression" dxfId="94" priority="1">
      <formula>L27=1</formula>
    </cfRule>
  </conditionalFormatting>
  <dataValidations count="1">
    <dataValidation allowBlank="1" sqref="A8:A43"/>
  </dataValidations>
  <pageMargins left="0.19685039370078741" right="0.19685039370078741" top="0.19685039370078741" bottom="0.39370078740157483" header="0" footer="0"/>
  <pageSetup paperSize="9" scale="40" fitToWidth="3" orientation="portrait" r:id="rId1"/>
  <rowBreaks count="1" manualBreakCount="1">
    <brk id="21" max="6" man="1"/>
  </rowBreaks>
  <colBreaks count="2" manualBreakCount="2">
    <brk id="3" max="38" man="1"/>
    <brk id="5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zoomScale="80" zoomScaleNormal="80" workbookViewId="0"/>
  </sheetViews>
  <sheetFormatPr defaultColWidth="9.140625" defaultRowHeight="15"/>
  <cols>
    <col min="1" max="1" width="5.7109375" style="442" customWidth="1"/>
    <col min="2" max="2" width="110.7109375" style="442" customWidth="1"/>
    <col min="3" max="3" width="18.7109375" style="514" customWidth="1"/>
    <col min="4" max="4" width="5.7109375" style="442" customWidth="1"/>
    <col min="5" max="16384" width="9.140625" style="442"/>
  </cols>
  <sheetData>
    <row r="1" spans="1:4" ht="39.950000000000003" customHeight="1">
      <c r="A1" s="4"/>
      <c r="B1" s="582" t="str">
        <f>IF(C4=0,"Your Institution Does Not Complete This Table","")</f>
        <v/>
      </c>
      <c r="C1" s="583"/>
      <c r="D1" s="583"/>
    </row>
    <row r="2" spans="1:4" s="481" customFormat="1" ht="30" customHeight="1">
      <c r="A2" s="584"/>
      <c r="B2" s="585" t="s">
        <v>150</v>
      </c>
      <c r="C2" s="598"/>
      <c r="D2" s="586"/>
    </row>
    <row r="3" spans="1:4" ht="35.1" customHeight="1">
      <c r="A3" s="587"/>
      <c r="B3" s="588" t="s">
        <v>5</v>
      </c>
      <c r="C3" s="569"/>
      <c r="D3" s="599"/>
    </row>
    <row r="4" spans="1:4" ht="30" customHeight="1">
      <c r="A4" s="587"/>
      <c r="B4" s="590" t="str">
        <f>'Background 17-18'!$D$2</f>
        <v>Glasgow, University of</v>
      </c>
      <c r="C4" s="591">
        <f>VLOOKUP('Background 17-18'!$C$2,Inst_Tables,6,FALSE)</f>
        <v>1</v>
      </c>
      <c r="D4" s="599"/>
    </row>
    <row r="5" spans="1:4" s="517" customFormat="1" ht="30" customHeight="1">
      <c r="A5" s="592"/>
      <c r="B5" s="595" t="s">
        <v>151</v>
      </c>
      <c r="C5" s="596"/>
      <c r="D5" s="593"/>
    </row>
    <row r="6" spans="1:4" ht="9.9499999999999993" customHeight="1">
      <c r="A6" s="587"/>
      <c r="B6" s="622"/>
      <c r="C6" s="621"/>
      <c r="D6" s="600"/>
    </row>
    <row r="7" spans="1:4" ht="24.95" customHeight="1">
      <c r="A7" s="587"/>
      <c r="B7" s="617" t="s">
        <v>120</v>
      </c>
      <c r="C7" s="620">
        <f>VLOOKUP('Background 17-18'!$C$2,FPs_Consol_Nos,3,FALSE)</f>
        <v>124</v>
      </c>
      <c r="D7" s="600"/>
    </row>
    <row r="8" spans="1:4" ht="9.9499999999999993" customHeight="1" thickBot="1">
      <c r="A8" s="587"/>
      <c r="B8" s="622"/>
      <c r="C8" s="621"/>
      <c r="D8" s="600"/>
    </row>
    <row r="9" spans="1:4" ht="114.95" customHeight="1">
      <c r="A9" s="587"/>
      <c r="B9" s="1276" t="s">
        <v>112</v>
      </c>
      <c r="C9" s="1277" t="s">
        <v>425</v>
      </c>
      <c r="D9" s="593"/>
    </row>
    <row r="10" spans="1:4" ht="24.95" customHeight="1">
      <c r="A10" s="587"/>
      <c r="B10" s="616"/>
      <c r="C10" s="601" t="s">
        <v>26</v>
      </c>
      <c r="D10" s="602"/>
    </row>
    <row r="11" spans="1:4" ht="24.95" customHeight="1">
      <c r="A11" s="587"/>
      <c r="B11" s="1700" t="s">
        <v>6</v>
      </c>
      <c r="C11" s="612" t="s">
        <v>6</v>
      </c>
      <c r="D11" s="602"/>
    </row>
    <row r="12" spans="1:4" ht="24.95" customHeight="1" thickBot="1">
      <c r="A12" s="587"/>
      <c r="B12" s="1701">
        <v>1</v>
      </c>
      <c r="C12" s="603">
        <v>2</v>
      </c>
      <c r="D12" s="604"/>
    </row>
    <row r="13" spans="1:4" ht="35.1" customHeight="1">
      <c r="A13" s="618">
        <v>1</v>
      </c>
      <c r="B13" s="1751" t="s">
        <v>438</v>
      </c>
      <c r="C13" s="1670">
        <v>1</v>
      </c>
      <c r="D13" s="604"/>
    </row>
    <row r="14" spans="1:4" ht="35.1" customHeight="1">
      <c r="A14" s="618">
        <v>2</v>
      </c>
      <c r="B14" s="1752" t="s">
        <v>439</v>
      </c>
      <c r="C14" s="1671">
        <v>1</v>
      </c>
      <c r="D14" s="570"/>
    </row>
    <row r="15" spans="1:4" ht="35.1" customHeight="1">
      <c r="A15" s="618">
        <v>3</v>
      </c>
      <c r="B15" s="1753" t="s">
        <v>440</v>
      </c>
      <c r="C15" s="1671">
        <v>1</v>
      </c>
      <c r="D15" s="570"/>
    </row>
    <row r="16" spans="1:4" ht="35.1" customHeight="1">
      <c r="A16" s="618">
        <v>4</v>
      </c>
      <c r="B16" s="1754" t="s">
        <v>453</v>
      </c>
      <c r="C16" s="1671">
        <v>1</v>
      </c>
      <c r="D16" s="570"/>
    </row>
    <row r="17" spans="1:4" ht="35.1" customHeight="1">
      <c r="A17" s="618">
        <v>5</v>
      </c>
      <c r="B17" s="1755" t="s">
        <v>441</v>
      </c>
      <c r="C17" s="1672">
        <v>3</v>
      </c>
      <c r="D17" s="570"/>
    </row>
    <row r="18" spans="1:4" ht="35.1" customHeight="1">
      <c r="A18" s="618">
        <v>6</v>
      </c>
      <c r="B18" s="1756" t="s">
        <v>442</v>
      </c>
      <c r="C18" s="1671">
        <v>2</v>
      </c>
      <c r="D18" s="570"/>
    </row>
    <row r="19" spans="1:4" ht="35.1" customHeight="1">
      <c r="A19" s="618">
        <v>7</v>
      </c>
      <c r="B19" s="1757" t="s">
        <v>443</v>
      </c>
      <c r="C19" s="1671">
        <v>5</v>
      </c>
      <c r="D19" s="570"/>
    </row>
    <row r="20" spans="1:4" ht="35.1" customHeight="1">
      <c r="A20" s="618">
        <v>8</v>
      </c>
      <c r="B20" s="1758" t="s">
        <v>444</v>
      </c>
      <c r="C20" s="1671">
        <v>4</v>
      </c>
      <c r="D20" s="570"/>
    </row>
    <row r="21" spans="1:4" ht="35.1" customHeight="1">
      <c r="A21" s="618">
        <v>9</v>
      </c>
      <c r="B21" s="1759" t="s">
        <v>445</v>
      </c>
      <c r="C21" s="1671">
        <v>5</v>
      </c>
      <c r="D21" s="570"/>
    </row>
    <row r="22" spans="1:4" ht="35.1" customHeight="1">
      <c r="A22" s="618">
        <v>10</v>
      </c>
      <c r="B22" s="1760" t="s">
        <v>446</v>
      </c>
      <c r="C22" s="1671">
        <v>5</v>
      </c>
      <c r="D22" s="570"/>
    </row>
    <row r="23" spans="1:4" ht="35.1" customHeight="1">
      <c r="A23" s="618">
        <v>11</v>
      </c>
      <c r="B23" s="1761" t="s">
        <v>476</v>
      </c>
      <c r="C23" s="1671">
        <v>10</v>
      </c>
      <c r="D23" s="570"/>
    </row>
    <row r="24" spans="1:4" ht="35.1" customHeight="1">
      <c r="A24" s="618">
        <v>12</v>
      </c>
      <c r="B24" s="1762" t="s">
        <v>447</v>
      </c>
      <c r="C24" s="1671">
        <v>11</v>
      </c>
      <c r="D24" s="570"/>
    </row>
    <row r="25" spans="1:4" ht="35.1" customHeight="1">
      <c r="A25" s="618">
        <v>13</v>
      </c>
      <c r="B25" s="1763" t="s">
        <v>448</v>
      </c>
      <c r="C25" s="1671">
        <v>5</v>
      </c>
      <c r="D25" s="570"/>
    </row>
    <row r="26" spans="1:4" ht="35.1" customHeight="1">
      <c r="A26" s="618">
        <v>14</v>
      </c>
      <c r="B26" s="1764" t="s">
        <v>477</v>
      </c>
      <c r="C26" s="1671">
        <v>4</v>
      </c>
      <c r="D26" s="570"/>
    </row>
    <row r="27" spans="1:4" ht="35.1" customHeight="1">
      <c r="A27" s="618">
        <v>15</v>
      </c>
      <c r="B27" s="1765" t="s">
        <v>478</v>
      </c>
      <c r="C27" s="1671">
        <v>10</v>
      </c>
      <c r="D27" s="570"/>
    </row>
    <row r="28" spans="1:4" ht="35.1" customHeight="1">
      <c r="A28" s="618">
        <v>16</v>
      </c>
      <c r="B28" s="1766" t="s">
        <v>449</v>
      </c>
      <c r="C28" s="1671">
        <v>1</v>
      </c>
      <c r="D28" s="570"/>
    </row>
    <row r="29" spans="1:4" ht="35.1" customHeight="1">
      <c r="A29" s="618">
        <v>17</v>
      </c>
      <c r="B29" s="1767" t="s">
        <v>450</v>
      </c>
      <c r="C29" s="1671">
        <v>1</v>
      </c>
      <c r="D29" s="570"/>
    </row>
    <row r="30" spans="1:4" ht="35.1" customHeight="1">
      <c r="A30" s="618">
        <v>18</v>
      </c>
      <c r="B30" s="1768" t="s">
        <v>451</v>
      </c>
      <c r="C30" s="1671">
        <v>5</v>
      </c>
      <c r="D30" s="570"/>
    </row>
    <row r="31" spans="1:4" ht="35.1" customHeight="1">
      <c r="A31" s="618">
        <v>19</v>
      </c>
      <c r="B31" s="1769" t="s">
        <v>452</v>
      </c>
      <c r="C31" s="1671">
        <v>7</v>
      </c>
      <c r="D31" s="570"/>
    </row>
    <row r="32" spans="1:4" ht="35.1" customHeight="1">
      <c r="A32" s="618">
        <v>20</v>
      </c>
      <c r="B32" s="1117" t="s">
        <v>454</v>
      </c>
      <c r="C32" s="1671">
        <v>1</v>
      </c>
      <c r="D32" s="570"/>
    </row>
    <row r="33" spans="1:4" ht="35.1" customHeight="1">
      <c r="A33" s="618">
        <v>21</v>
      </c>
      <c r="B33" s="1117" t="s">
        <v>455</v>
      </c>
      <c r="C33" s="1671">
        <v>2</v>
      </c>
      <c r="D33" s="570"/>
    </row>
    <row r="34" spans="1:4" ht="35.1" customHeight="1">
      <c r="A34" s="618">
        <v>22</v>
      </c>
      <c r="B34" s="1117" t="s">
        <v>456</v>
      </c>
      <c r="C34" s="1671">
        <v>1</v>
      </c>
      <c r="D34" s="570"/>
    </row>
    <row r="35" spans="1:4" ht="35.1" customHeight="1">
      <c r="A35" s="618">
        <v>23</v>
      </c>
      <c r="B35" s="1117" t="s">
        <v>457</v>
      </c>
      <c r="C35" s="1671">
        <v>4</v>
      </c>
      <c r="D35" s="570"/>
    </row>
    <row r="36" spans="1:4" ht="35.1" customHeight="1">
      <c r="A36" s="618">
        <v>24</v>
      </c>
      <c r="B36" s="1117" t="s">
        <v>458</v>
      </c>
      <c r="C36" s="1671">
        <v>2</v>
      </c>
      <c r="D36" s="570"/>
    </row>
    <row r="37" spans="1:4" ht="35.1" customHeight="1">
      <c r="A37" s="618">
        <v>25</v>
      </c>
      <c r="B37" s="1117" t="s">
        <v>459</v>
      </c>
      <c r="C37" s="1671">
        <v>1</v>
      </c>
      <c r="D37" s="570"/>
    </row>
    <row r="38" spans="1:4" ht="35.1" customHeight="1">
      <c r="A38" s="618">
        <v>26</v>
      </c>
      <c r="B38" s="1117" t="s">
        <v>467</v>
      </c>
      <c r="C38" s="1671">
        <v>1</v>
      </c>
      <c r="D38" s="570"/>
    </row>
    <row r="39" spans="1:4" ht="35.1" customHeight="1">
      <c r="A39" s="618">
        <v>27</v>
      </c>
      <c r="B39" s="1117" t="s">
        <v>460</v>
      </c>
      <c r="C39" s="1671">
        <v>6</v>
      </c>
      <c r="D39" s="570"/>
    </row>
    <row r="40" spans="1:4" ht="35.1" customHeight="1">
      <c r="A40" s="618">
        <v>28</v>
      </c>
      <c r="B40" s="1117" t="s">
        <v>461</v>
      </c>
      <c r="C40" s="1671">
        <v>1</v>
      </c>
      <c r="D40" s="570"/>
    </row>
    <row r="41" spans="1:4" ht="35.1" customHeight="1">
      <c r="A41" s="618">
        <v>29</v>
      </c>
      <c r="B41" s="1117" t="s">
        <v>462</v>
      </c>
      <c r="C41" s="1671">
        <v>1</v>
      </c>
      <c r="D41" s="570"/>
    </row>
    <row r="42" spans="1:4" ht="35.1" customHeight="1">
      <c r="A42" s="618">
        <v>30</v>
      </c>
      <c r="B42" s="1117" t="s">
        <v>466</v>
      </c>
      <c r="C42" s="1671">
        <v>1</v>
      </c>
      <c r="D42" s="570"/>
    </row>
    <row r="43" spans="1:4" ht="35.1" customHeight="1">
      <c r="A43" s="618">
        <v>31</v>
      </c>
      <c r="B43" s="1117" t="s">
        <v>463</v>
      </c>
      <c r="C43" s="1671">
        <v>3</v>
      </c>
      <c r="D43" s="570"/>
    </row>
    <row r="44" spans="1:4" ht="35.1" customHeight="1">
      <c r="A44" s="618">
        <v>32</v>
      </c>
      <c r="B44" s="1117" t="s">
        <v>464</v>
      </c>
      <c r="C44" s="1671">
        <v>3</v>
      </c>
      <c r="D44" s="570"/>
    </row>
    <row r="45" spans="1:4" ht="35.1" customHeight="1">
      <c r="A45" s="618">
        <v>33</v>
      </c>
      <c r="B45" s="1117" t="s">
        <v>468</v>
      </c>
      <c r="C45" s="1671">
        <v>5</v>
      </c>
      <c r="D45" s="570"/>
    </row>
    <row r="46" spans="1:4" ht="35.1" customHeight="1">
      <c r="A46" s="618">
        <v>34</v>
      </c>
      <c r="B46" s="1117" t="s">
        <v>469</v>
      </c>
      <c r="C46" s="1671">
        <v>4</v>
      </c>
      <c r="D46" s="570"/>
    </row>
    <row r="47" spans="1:4" ht="35.1" customHeight="1">
      <c r="A47" s="618">
        <v>35</v>
      </c>
      <c r="B47" s="1117" t="s">
        <v>470</v>
      </c>
      <c r="C47" s="1671">
        <v>2</v>
      </c>
      <c r="D47" s="570"/>
    </row>
    <row r="48" spans="1:4" ht="35.1" customHeight="1">
      <c r="A48" s="618">
        <v>36</v>
      </c>
      <c r="B48" s="1117" t="s">
        <v>465</v>
      </c>
      <c r="C48" s="1672">
        <v>6</v>
      </c>
      <c r="D48" s="570"/>
    </row>
    <row r="49" spans="1:4" ht="35.1" customHeight="1">
      <c r="A49" s="618">
        <v>37</v>
      </c>
      <c r="B49" s="1117"/>
      <c r="C49" s="1671"/>
      <c r="D49" s="570"/>
    </row>
    <row r="50" spans="1:4" ht="35.1" customHeight="1">
      <c r="A50" s="618">
        <v>38</v>
      </c>
      <c r="B50" s="1117"/>
      <c r="C50" s="1671"/>
      <c r="D50" s="570"/>
    </row>
    <row r="51" spans="1:4" ht="35.1" customHeight="1">
      <c r="A51" s="618">
        <v>39</v>
      </c>
      <c r="B51" s="1117"/>
      <c r="C51" s="1671"/>
      <c r="D51" s="570"/>
    </row>
    <row r="52" spans="1:4" ht="35.1" customHeight="1" thickBot="1">
      <c r="A52" s="618">
        <v>40</v>
      </c>
      <c r="B52" s="1118"/>
      <c r="C52" s="1672"/>
      <c r="D52" s="570"/>
    </row>
    <row r="53" spans="1:4" ht="35.1" customHeight="1">
      <c r="A53" s="587"/>
      <c r="B53" s="605" t="s">
        <v>3</v>
      </c>
      <c r="C53" s="606">
        <f>SUM(C13:C52)</f>
        <v>126</v>
      </c>
      <c r="D53" s="570"/>
    </row>
    <row r="54" spans="1:4" ht="35.1" customHeight="1" thickBot="1">
      <c r="A54" s="587"/>
      <c r="B54" s="607" t="s">
        <v>426</v>
      </c>
      <c r="C54" s="608">
        <f>IF($C$4=1,C53-$C$7,"")</f>
        <v>2</v>
      </c>
      <c r="D54" s="570"/>
    </row>
    <row r="55" spans="1:4" ht="30" customHeight="1">
      <c r="A55" s="587"/>
      <c r="B55" s="609" t="s">
        <v>344</v>
      </c>
      <c r="C55" s="610"/>
      <c r="D55" s="570"/>
    </row>
    <row r="56" spans="1:4" ht="24.95" customHeight="1">
      <c r="A56" s="679"/>
      <c r="B56" s="1119" t="s">
        <v>345</v>
      </c>
      <c r="C56" s="610"/>
      <c r="D56" s="570"/>
    </row>
    <row r="57" spans="1:4" ht="20.100000000000001" customHeight="1">
      <c r="A57" s="594"/>
      <c r="B57" s="580"/>
      <c r="C57" s="611"/>
      <c r="D57" s="581"/>
    </row>
  </sheetData>
  <sheetProtection password="E23E" sheet="1" objects="1" scenarios="1"/>
  <conditionalFormatting sqref="B2">
    <cfRule type="expression" dxfId="93" priority="6" stopIfTrue="1">
      <formula>#REF!=0</formula>
    </cfRule>
  </conditionalFormatting>
  <conditionalFormatting sqref="A1:D1">
    <cfRule type="expression" dxfId="92" priority="7" stopIfTrue="1">
      <formula>$C$4=0</formula>
    </cfRule>
  </conditionalFormatting>
  <conditionalFormatting sqref="B6 B8">
    <cfRule type="expression" dxfId="91" priority="5" stopIfTrue="1">
      <formula>#REF!=0</formula>
    </cfRule>
  </conditionalFormatting>
  <conditionalFormatting sqref="B13:C52">
    <cfRule type="expression" dxfId="90" priority="1">
      <formula>$C$4=1</formula>
    </cfRule>
  </conditionalFormatting>
  <dataValidations count="2">
    <dataValidation allowBlank="1" sqref="B57 C2 B4 B7:C7 B9:B54 D17:D57 B58:D65431 C9:C12 C53:C57 D5:D8 E1:IL1048576"/>
    <dataValidation type="decimal" operator="greaterThanOrEqual" allowBlank="1" showErrorMessage="1" error="Invalid Entry" sqref="C13:C52">
      <formula1>0</formula1>
    </dataValidation>
  </dataValidations>
  <pageMargins left="0.19685039370078741" right="0.19685039370078741" top="0.19685039370078741" bottom="0.1968503937007874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5" zoomScaleNormal="85" workbookViewId="0"/>
  </sheetViews>
  <sheetFormatPr defaultColWidth="9.140625" defaultRowHeight="15"/>
  <cols>
    <col min="1" max="1" width="5.7109375" style="442" customWidth="1"/>
    <col min="2" max="2" width="53.7109375" style="442" customWidth="1"/>
    <col min="3" max="3" width="40" style="442" customWidth="1"/>
    <col min="4" max="6" width="15.7109375" style="442" customWidth="1"/>
    <col min="7" max="7" width="20.7109375" style="442" customWidth="1"/>
    <col min="8" max="16384" width="9.140625" style="442"/>
  </cols>
  <sheetData>
    <row r="1" spans="1:7">
      <c r="A1" s="4"/>
      <c r="B1" s="4"/>
      <c r="C1" s="4"/>
      <c r="D1" s="4"/>
      <c r="E1" s="4"/>
      <c r="F1" s="4"/>
      <c r="G1" s="4"/>
    </row>
    <row r="2" spans="1:7" s="481" customFormat="1" ht="30" customHeight="1">
      <c r="A2" s="584"/>
      <c r="B2" s="630" t="s">
        <v>374</v>
      </c>
      <c r="C2" s="626"/>
      <c r="D2" s="626"/>
      <c r="E2" s="1123"/>
      <c r="F2" s="626"/>
      <c r="G2" s="631"/>
    </row>
    <row r="3" spans="1:7" s="481" customFormat="1" ht="15" customHeight="1">
      <c r="A3" s="678"/>
      <c r="B3" s="627"/>
      <c r="C3" s="628"/>
      <c r="D3" s="628"/>
      <c r="E3" s="628"/>
      <c r="F3" s="628"/>
      <c r="G3" s="632"/>
    </row>
    <row r="4" spans="1:7" ht="35.1" customHeight="1">
      <c r="A4" s="679"/>
      <c r="B4" s="629" t="s">
        <v>5</v>
      </c>
      <c r="C4" s="590" t="str">
        <f>'Background 17-18'!$D$2</f>
        <v>Glasgow, University of</v>
      </c>
      <c r="D4" s="680"/>
      <c r="E4" s="589"/>
      <c r="F4" s="589"/>
      <c r="G4" s="633"/>
    </row>
    <row r="5" spans="1:7" ht="30" customHeight="1">
      <c r="A5" s="679"/>
      <c r="B5" s="627" t="s">
        <v>132</v>
      </c>
      <c r="C5" s="569"/>
      <c r="D5" s="569"/>
      <c r="E5" s="569"/>
      <c r="F5" s="569"/>
      <c r="G5" s="570"/>
    </row>
    <row r="6" spans="1:7" ht="30" customHeight="1">
      <c r="A6" s="679"/>
      <c r="B6" s="569" t="s">
        <v>432</v>
      </c>
      <c r="C6" s="569"/>
      <c r="D6" s="569"/>
      <c r="E6" s="569"/>
      <c r="F6" s="569"/>
      <c r="G6" s="570"/>
    </row>
    <row r="7" spans="1:7" ht="24.95" customHeight="1">
      <c r="A7" s="679"/>
      <c r="B7" s="569" t="s">
        <v>427</v>
      </c>
      <c r="C7" s="569"/>
      <c r="D7" s="569"/>
      <c r="E7" s="569"/>
      <c r="F7" s="569"/>
      <c r="G7" s="570"/>
    </row>
    <row r="8" spans="1:7" ht="9.9499999999999993" customHeight="1" thickBot="1">
      <c r="A8" s="679"/>
      <c r="B8" s="569"/>
      <c r="C8" s="569"/>
      <c r="D8" s="569"/>
      <c r="E8" s="569"/>
      <c r="F8" s="569"/>
      <c r="G8" s="570"/>
    </row>
    <row r="9" spans="1:7" ht="39.950000000000003" customHeight="1">
      <c r="A9" s="679"/>
      <c r="B9" s="634" t="s">
        <v>121</v>
      </c>
      <c r="C9" s="635" t="s">
        <v>122</v>
      </c>
      <c r="D9" s="636" t="s">
        <v>123</v>
      </c>
      <c r="E9" s="1836" t="s">
        <v>346</v>
      </c>
      <c r="F9" s="1837"/>
      <c r="G9" s="570"/>
    </row>
    <row r="10" spans="1:7" ht="69.95" customHeight="1">
      <c r="A10" s="679"/>
      <c r="B10" s="637"/>
      <c r="C10" s="638"/>
      <c r="D10" s="1124"/>
      <c r="E10" s="1673" t="s">
        <v>410</v>
      </c>
      <c r="F10" s="1674" t="s">
        <v>347</v>
      </c>
      <c r="G10" s="570"/>
    </row>
    <row r="11" spans="1:7" ht="21.95" customHeight="1">
      <c r="A11" s="679"/>
      <c r="B11" s="637"/>
      <c r="C11" s="638"/>
      <c r="D11" s="639" t="s">
        <v>26</v>
      </c>
      <c r="E11" s="1278" t="s">
        <v>26</v>
      </c>
      <c r="F11" s="644" t="s">
        <v>26</v>
      </c>
      <c r="G11" s="570"/>
    </row>
    <row r="12" spans="1:7" ht="21.95" customHeight="1">
      <c r="A12" s="679"/>
      <c r="B12" s="637"/>
      <c r="C12" s="638"/>
      <c r="D12" s="639" t="s">
        <v>429</v>
      </c>
      <c r="E12" s="1278" t="s">
        <v>429</v>
      </c>
      <c r="F12" s="644" t="s">
        <v>6</v>
      </c>
      <c r="G12" s="570"/>
    </row>
    <row r="13" spans="1:7" ht="21.95" customHeight="1" thickBot="1">
      <c r="A13" s="679"/>
      <c r="B13" s="640"/>
      <c r="C13" s="641"/>
      <c r="D13" s="1702">
        <v>1</v>
      </c>
      <c r="E13" s="1279">
        <v>2</v>
      </c>
      <c r="F13" s="645">
        <v>3</v>
      </c>
      <c r="G13" s="570"/>
    </row>
    <row r="14" spans="1:7" ht="30" customHeight="1">
      <c r="A14" s="679"/>
      <c r="B14" s="637" t="s">
        <v>124</v>
      </c>
      <c r="C14" s="638" t="s">
        <v>60</v>
      </c>
      <c r="D14" s="664">
        <v>15</v>
      </c>
      <c r="E14" s="1280">
        <f>VLOOKUP(B14,ICs_ES,VLOOKUP('Background 17-18'!$C$2,Inst_Tables,13,FALSE),FALSE)</f>
        <v>0</v>
      </c>
      <c r="F14" s="646">
        <f>E14</f>
        <v>0</v>
      </c>
      <c r="G14" s="570"/>
    </row>
    <row r="15" spans="1:7" ht="30" customHeight="1">
      <c r="A15" s="679"/>
      <c r="B15" s="660" t="s">
        <v>125</v>
      </c>
      <c r="C15" s="662" t="s">
        <v>61</v>
      </c>
      <c r="D15" s="665">
        <v>50</v>
      </c>
      <c r="E15" s="1281">
        <f>VLOOKUP(B15,ICs_ES,VLOOKUP('Background 17-18'!$C$2,Inst_Tables,13,FALSE),FALSE)</f>
        <v>24</v>
      </c>
      <c r="F15" s="647">
        <v>23</v>
      </c>
      <c r="G15" s="570"/>
    </row>
    <row r="16" spans="1:7" ht="30" customHeight="1">
      <c r="A16" s="679"/>
      <c r="B16" s="660" t="s">
        <v>126</v>
      </c>
      <c r="C16" s="662" t="s">
        <v>65</v>
      </c>
      <c r="D16" s="665">
        <v>15</v>
      </c>
      <c r="E16" s="1281">
        <f>VLOOKUP(B16,ICs_ES,VLOOKUP('Background 17-18'!$C$2,Inst_Tables,13,FALSE),FALSE)</f>
        <v>0</v>
      </c>
      <c r="F16" s="647">
        <f t="shared" ref="F16:F21" si="0">E16</f>
        <v>0</v>
      </c>
      <c r="G16" s="570"/>
    </row>
    <row r="17" spans="1:7" ht="30" customHeight="1">
      <c r="A17" s="679"/>
      <c r="B17" s="660" t="s">
        <v>127</v>
      </c>
      <c r="C17" s="662" t="s">
        <v>62</v>
      </c>
      <c r="D17" s="665">
        <v>15</v>
      </c>
      <c r="E17" s="1281">
        <f>VLOOKUP(B17,ICs_ES,VLOOKUP('Background 17-18'!$C$2,Inst_Tables,13,FALSE),FALSE)</f>
        <v>7</v>
      </c>
      <c r="F17" s="647">
        <f t="shared" si="0"/>
        <v>7</v>
      </c>
      <c r="G17" s="570"/>
    </row>
    <row r="18" spans="1:7" ht="30" customHeight="1">
      <c r="A18" s="679"/>
      <c r="B18" s="660" t="s">
        <v>128</v>
      </c>
      <c r="C18" s="662" t="s">
        <v>62</v>
      </c>
      <c r="D18" s="665">
        <v>35</v>
      </c>
      <c r="E18" s="1281">
        <f>VLOOKUP(B18,ICs_ES,VLOOKUP('Background 17-18'!$C$2,Inst_Tables,13,FALSE),FALSE)</f>
        <v>30</v>
      </c>
      <c r="F18" s="647">
        <f t="shared" si="0"/>
        <v>30</v>
      </c>
      <c r="G18" s="570"/>
    </row>
    <row r="19" spans="1:7" ht="30" customHeight="1">
      <c r="A19" s="679"/>
      <c r="B19" s="660" t="s">
        <v>129</v>
      </c>
      <c r="C19" s="662" t="s">
        <v>63</v>
      </c>
      <c r="D19" s="665">
        <v>30</v>
      </c>
      <c r="E19" s="1281">
        <f>VLOOKUP(B19,ICs_ES,VLOOKUP('Background 17-18'!$C$2,Inst_Tables,13,FALSE),FALSE)</f>
        <v>0</v>
      </c>
      <c r="F19" s="647">
        <f t="shared" si="0"/>
        <v>0</v>
      </c>
      <c r="G19" s="570"/>
    </row>
    <row r="20" spans="1:7" ht="30" customHeight="1">
      <c r="A20" s="679"/>
      <c r="B20" s="660" t="s">
        <v>130</v>
      </c>
      <c r="C20" s="662" t="s">
        <v>64</v>
      </c>
      <c r="D20" s="665">
        <v>25</v>
      </c>
      <c r="E20" s="1281">
        <f>VLOOKUP(B20,ICs_ES,VLOOKUP('Background 17-18'!$C$2,Inst_Tables,13,FALSE),FALSE)</f>
        <v>0</v>
      </c>
      <c r="F20" s="647">
        <f t="shared" si="0"/>
        <v>0</v>
      </c>
      <c r="G20" s="570"/>
    </row>
    <row r="21" spans="1:7" ht="30" customHeight="1" thickBot="1">
      <c r="A21" s="679"/>
      <c r="B21" s="661" t="s">
        <v>131</v>
      </c>
      <c r="C21" s="663" t="s">
        <v>65</v>
      </c>
      <c r="D21" s="666">
        <v>30</v>
      </c>
      <c r="E21" s="1282">
        <f>VLOOKUP(B21,ICs_ES,VLOOKUP('Background 17-18'!$C$2,Inst_Tables,13,FALSE),FALSE)</f>
        <v>0</v>
      </c>
      <c r="F21" s="648">
        <f t="shared" si="0"/>
        <v>0</v>
      </c>
      <c r="G21" s="570"/>
    </row>
    <row r="22" spans="1:7" ht="27" customHeight="1" thickBot="1">
      <c r="A22" s="679"/>
      <c r="B22" s="642" t="s">
        <v>3</v>
      </c>
      <c r="C22" s="643"/>
      <c r="D22" s="649"/>
      <c r="E22" s="1283">
        <f>SUM(E14:E21)</f>
        <v>61</v>
      </c>
      <c r="F22" s="650">
        <f>SUM(F14:F21)</f>
        <v>60</v>
      </c>
      <c r="G22" s="570"/>
    </row>
    <row r="23" spans="1:7" ht="30" customHeight="1">
      <c r="A23" s="679"/>
      <c r="B23" s="415" t="s">
        <v>141</v>
      </c>
      <c r="C23" s="569"/>
      <c r="D23" s="569"/>
      <c r="E23" s="569"/>
      <c r="F23" s="569"/>
      <c r="G23" s="570"/>
    </row>
    <row r="24" spans="1:7">
      <c r="A24" s="594"/>
      <c r="B24" s="580"/>
      <c r="C24" s="580"/>
      <c r="D24" s="580"/>
      <c r="E24" s="619"/>
      <c r="F24" s="580"/>
      <c r="G24" s="581"/>
    </row>
  </sheetData>
  <sheetProtection password="E23E" sheet="1" objects="1" scenarios="1"/>
  <mergeCells count="1">
    <mergeCell ref="E9:F9"/>
  </mergeCells>
  <conditionalFormatting sqref="B14:B21">
    <cfRule type="expression" dxfId="89" priority="105">
      <formula>C14=#REF!</formula>
    </cfRule>
  </conditionalFormatting>
  <conditionalFormatting sqref="F14:F21">
    <cfRule type="expression" dxfId="88" priority="1">
      <formula>F14&lt;&gt;E14</formula>
    </cfRule>
  </conditionalFormatting>
  <dataValidations count="2">
    <dataValidation allowBlank="1" sqref="C4 C2:G3 H2:IQ4"/>
    <dataValidation type="decimal" operator="greaterThanOrEqual" allowBlank="1" showInputMessage="1" showErrorMessage="1" error="Invalid Entry" sqref="F14:F21">
      <formula1>0</formula1>
    </dataValidation>
  </dataValidations>
  <pageMargins left="0.19685039370078741" right="0.19685039370078741" top="0.19685039370078741" bottom="0.39370078740157483" header="0" footer="0"/>
  <pageSetup paperSize="9" scale="8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4" operator="equal" id="{17382C5C-3BD1-4B85-B984-E9D22AE9EA7F}">
            <xm:f>'Background 17-18'!$D$2</xm:f>
            <x14:dxf>
              <font>
                <color rgb="FFFF0000"/>
              </font>
            </x14:dxf>
          </x14:cfRule>
          <xm:sqref>C14:C21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zoomScaleNormal="100" workbookViewId="0"/>
  </sheetViews>
  <sheetFormatPr defaultRowHeight="15"/>
  <cols>
    <col min="1" max="1" width="2.7109375" style="1164" customWidth="1"/>
    <col min="2" max="2" width="26.85546875" style="1164" customWidth="1"/>
    <col min="3" max="3" width="18.7109375" style="1164" customWidth="1"/>
    <col min="4" max="5" width="18.7109375" style="1208" customWidth="1"/>
    <col min="6" max="6" width="37.7109375" style="1208" customWidth="1"/>
    <col min="7" max="16384" width="9.140625" style="1164"/>
  </cols>
  <sheetData>
    <row r="1" spans="1:6" ht="39.950000000000003" customHeight="1">
      <c r="A1" s="1161"/>
      <c r="B1" s="1162" t="str">
        <f>IF(E4=0,"Your Institution Does Not Complete This Table","")</f>
        <v/>
      </c>
      <c r="C1" s="1163"/>
      <c r="D1" s="1163"/>
      <c r="E1" s="1163"/>
      <c r="F1" s="1163"/>
    </row>
    <row r="2" spans="1:6" s="1169" customFormat="1" ht="30" customHeight="1">
      <c r="A2" s="1165"/>
      <c r="B2" s="1166" t="s">
        <v>405</v>
      </c>
      <c r="C2" s="1166"/>
      <c r="D2" s="1167"/>
      <c r="E2" s="1167"/>
      <c r="F2" s="1168"/>
    </row>
    <row r="3" spans="1:6" s="1169" customFormat="1" ht="15" customHeight="1" thickBot="1">
      <c r="A3" s="1170"/>
      <c r="B3" s="1171"/>
      <c r="C3" s="1172"/>
      <c r="D3" s="1173"/>
      <c r="E3" s="1173"/>
      <c r="F3" s="1174"/>
    </row>
    <row r="4" spans="1:6" ht="35.1" customHeight="1" thickBot="1">
      <c r="A4" s="1175"/>
      <c r="B4" s="1176" t="s">
        <v>5</v>
      </c>
      <c r="C4" s="1838" t="str">
        <f>'Background 17-18'!$D$2</f>
        <v>Glasgow, University of</v>
      </c>
      <c r="D4" s="1839"/>
      <c r="E4" s="591">
        <f>VLOOKUP('Background 17-18'!$C$2,Inst_Tables,8,FALSE)</f>
        <v>1</v>
      </c>
      <c r="F4" s="1275"/>
    </row>
    <row r="5" spans="1:6" s="1182" customFormat="1" ht="30" customHeight="1">
      <c r="A5" s="1178"/>
      <c r="B5" s="1179" t="s">
        <v>364</v>
      </c>
      <c r="C5" s="1180"/>
      <c r="D5" s="1180"/>
      <c r="E5" s="1180"/>
      <c r="F5" s="1181"/>
    </row>
    <row r="6" spans="1:6" s="1182" customFormat="1" ht="30" customHeight="1">
      <c r="A6" s="1178"/>
      <c r="B6" s="569" t="s">
        <v>432</v>
      </c>
      <c r="C6" s="1180"/>
      <c r="D6" s="1180"/>
      <c r="E6" s="1180"/>
      <c r="F6" s="1181"/>
    </row>
    <row r="7" spans="1:6" s="1182" customFormat="1" ht="24.95" customHeight="1">
      <c r="A7" s="1178"/>
      <c r="B7" s="569" t="s">
        <v>427</v>
      </c>
      <c r="C7" s="1180"/>
      <c r="D7" s="1180"/>
      <c r="E7" s="1180"/>
      <c r="F7" s="1181"/>
    </row>
    <row r="8" spans="1:6" s="1182" customFormat="1" ht="15" customHeight="1" thickBot="1">
      <c r="A8" s="1178"/>
      <c r="B8" s="1183"/>
      <c r="C8" s="1180"/>
      <c r="D8" s="1180"/>
      <c r="E8" s="1180"/>
      <c r="F8" s="1177"/>
    </row>
    <row r="9" spans="1:6" ht="39.950000000000003" customHeight="1">
      <c r="A9" s="1175"/>
      <c r="B9" s="1184"/>
      <c r="C9" s="1842" t="s">
        <v>113</v>
      </c>
      <c r="D9" s="1840" t="s">
        <v>371</v>
      </c>
      <c r="E9" s="1841"/>
      <c r="F9" s="1185"/>
    </row>
    <row r="10" spans="1:6" ht="60" customHeight="1">
      <c r="A10" s="1175"/>
      <c r="B10" s="1260"/>
      <c r="C10" s="1843"/>
      <c r="D10" s="1286" t="s">
        <v>409</v>
      </c>
      <c r="E10" s="1675" t="s">
        <v>347</v>
      </c>
      <c r="F10" s="1185"/>
    </row>
    <row r="11" spans="1:6" ht="24.95" customHeight="1">
      <c r="A11" s="1175"/>
      <c r="B11" s="1186" t="s">
        <v>112</v>
      </c>
      <c r="C11" s="1187" t="s">
        <v>26</v>
      </c>
      <c r="D11" s="1287" t="s">
        <v>26</v>
      </c>
      <c r="E11" s="1188" t="s">
        <v>26</v>
      </c>
      <c r="F11" s="1187"/>
    </row>
    <row r="12" spans="1:6" ht="24.95" customHeight="1">
      <c r="A12" s="1175"/>
      <c r="B12" s="1189"/>
      <c r="C12" s="1187" t="s">
        <v>429</v>
      </c>
      <c r="D12" s="1692" t="s">
        <v>429</v>
      </c>
      <c r="E12" s="1188" t="s">
        <v>6</v>
      </c>
      <c r="F12" s="1187"/>
    </row>
    <row r="13" spans="1:6" ht="24.95" customHeight="1" thickBot="1">
      <c r="A13" s="1175"/>
      <c r="B13" s="1190"/>
      <c r="C13" s="1191">
        <v>1</v>
      </c>
      <c r="D13" s="1288">
        <v>2</v>
      </c>
      <c r="E13" s="1261">
        <v>3</v>
      </c>
      <c r="F13" s="1193"/>
    </row>
    <row r="14" spans="1:6" ht="35.1" customHeight="1">
      <c r="A14" s="1175"/>
      <c r="B14" s="1194" t="s">
        <v>365</v>
      </c>
      <c r="C14" s="1195">
        <f>VLOOKUP('Background 17-18'!$C$2,FPs_Consol_Nos,31,FALSE)</f>
        <v>16.5</v>
      </c>
      <c r="D14" s="1284">
        <f>VLOOKUP('Background 17-18'!$C$2,Early_Years_ES,3,FALSE)</f>
        <v>79.5</v>
      </c>
      <c r="E14" s="1262">
        <v>78.8</v>
      </c>
      <c r="F14" s="1196"/>
    </row>
    <row r="15" spans="1:6" ht="35.1" customHeight="1" thickBot="1">
      <c r="A15" s="1175"/>
      <c r="B15" s="1197" t="s">
        <v>366</v>
      </c>
      <c r="C15" s="1198">
        <f>VLOOKUP('Background 17-18'!$C$2,FPs_Consol_Nos,32,FALSE)</f>
        <v>0</v>
      </c>
      <c r="D15" s="1285">
        <f>VLOOKUP('Background 17-18'!$C$2,Early_Years_ES,4,FALSE)</f>
        <v>0</v>
      </c>
      <c r="E15" s="1263">
        <f>D15</f>
        <v>0</v>
      </c>
      <c r="F15" s="1196"/>
    </row>
    <row r="16" spans="1:6" ht="30" customHeight="1">
      <c r="A16" s="1175"/>
      <c r="B16" s="1199" t="s">
        <v>428</v>
      </c>
      <c r="C16" s="1200"/>
      <c r="D16" s="1200"/>
      <c r="E16" s="1200"/>
      <c r="F16" s="1196"/>
    </row>
    <row r="17" spans="1:6" ht="20.100000000000001" customHeight="1">
      <c r="A17" s="1175"/>
      <c r="B17" s="1199" t="s">
        <v>367</v>
      </c>
      <c r="C17" s="1200"/>
      <c r="D17" s="1200"/>
      <c r="E17" s="1200"/>
      <c r="F17" s="1196"/>
    </row>
    <row r="18" spans="1:6" ht="20.100000000000001" customHeight="1">
      <c r="A18" s="1175"/>
      <c r="B18" s="1201" t="s">
        <v>368</v>
      </c>
      <c r="C18" s="1200"/>
      <c r="D18" s="1200"/>
      <c r="E18" s="1200"/>
      <c r="F18" s="1196"/>
    </row>
    <row r="19" spans="1:6" ht="15" customHeight="1">
      <c r="A19" s="1202"/>
      <c r="B19" s="1203"/>
      <c r="C19" s="1204"/>
      <c r="D19" s="1205"/>
      <c r="E19" s="1205"/>
      <c r="F19" s="1206"/>
    </row>
    <row r="20" spans="1:6" s="1207" customFormat="1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sheetProtection password="E23E" sheet="1" objects="1" scenarios="1"/>
  <mergeCells count="3">
    <mergeCell ref="C4:D4"/>
    <mergeCell ref="D9:E9"/>
    <mergeCell ref="C9:C10"/>
  </mergeCells>
  <conditionalFormatting sqref="B2">
    <cfRule type="expression" dxfId="86" priority="4" stopIfTrue="1">
      <formula>#REF!=0</formula>
    </cfRule>
  </conditionalFormatting>
  <conditionalFormatting sqref="A1:F1">
    <cfRule type="expression" dxfId="85" priority="111" stopIfTrue="1">
      <formula>$E$4=0</formula>
    </cfRule>
  </conditionalFormatting>
  <conditionalFormatting sqref="E14:E15">
    <cfRule type="expression" dxfId="84" priority="1">
      <formula>E14&lt;&gt;D14</formula>
    </cfRule>
    <cfRule type="expression" dxfId="83" priority="2" stopIfTrue="1">
      <formula>C14&gt;0</formula>
    </cfRule>
  </conditionalFormatting>
  <dataValidations count="3">
    <dataValidation type="custom" allowBlank="1" showErrorMessage="1" errorTitle="ERROR!" error="Either_x000a_No Allocation of Funded Places_x000a_Or_x000a_Invalid Entry" sqref="E14:E15">
      <formula1>AND($C14&gt;0,$E14&gt;=0)</formula1>
    </dataValidation>
    <dataValidation allowBlank="1" sqref="C2:C4 B20:B65486 B9:B15 G1:IP1048576 C19:F65486 D2:F3 C11:C18 F9:F18 D9:D13 C9 E10:E13"/>
    <dataValidation type="custom" allowBlank="1" showErrorMessage="1" errorTitle="No HFU funded places" error="You cannot enter HFU funded student FTE where no HFU funded places exist " sqref="D16:E18">
      <formula1>AND($C16&gt;0,$D16&gt;=0)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zoomScale="90" zoomScaleNormal="90" workbookViewId="0"/>
  </sheetViews>
  <sheetFormatPr defaultRowHeight="15"/>
  <cols>
    <col min="1" max="1" width="2.7109375" style="1164" customWidth="1"/>
    <col min="2" max="2" width="72.42578125" style="1164" customWidth="1"/>
    <col min="3" max="7" width="18.7109375" style="1208" customWidth="1"/>
    <col min="8" max="9" width="5.7109375" style="1164" customWidth="1"/>
    <col min="10" max="10" width="72.42578125" style="1164" customWidth="1"/>
    <col min="11" max="15" width="18.7109375" style="1208" customWidth="1"/>
    <col min="16" max="16" width="5.7109375" style="1164" customWidth="1"/>
    <col min="17" max="16384" width="9.140625" style="1164"/>
  </cols>
  <sheetData>
    <row r="1" spans="1:16" ht="39.950000000000003" customHeight="1">
      <c r="A1" s="1161"/>
      <c r="B1" s="1162" t="str">
        <f>IF(E4=0,"Your Institution Does Not Complete This Table","")</f>
        <v>Your Institution Does Not Complete This Table</v>
      </c>
      <c r="C1" s="1163"/>
      <c r="D1" s="1163"/>
      <c r="E1" s="1163"/>
      <c r="F1" s="1163"/>
      <c r="G1" s="1163"/>
      <c r="H1" s="1163"/>
      <c r="I1" s="1289"/>
      <c r="J1" s="1290"/>
      <c r="K1" s="1291"/>
      <c r="L1" s="1291"/>
      <c r="M1" s="1291"/>
      <c r="N1" s="1291"/>
      <c r="O1" s="1291"/>
      <c r="P1" s="1291"/>
    </row>
    <row r="2" spans="1:16" s="1169" customFormat="1" ht="30" customHeight="1">
      <c r="A2" s="1165"/>
      <c r="B2" s="1166" t="s">
        <v>404</v>
      </c>
      <c r="C2" s="1167"/>
      <c r="D2" s="1167"/>
      <c r="E2" s="1167"/>
      <c r="F2" s="1167"/>
      <c r="G2" s="1167"/>
      <c r="H2" s="1209"/>
      <c r="I2" s="1292"/>
      <c r="J2" s="1293" t="s">
        <v>408</v>
      </c>
      <c r="K2" s="1294"/>
      <c r="L2" s="1294"/>
      <c r="M2" s="1294"/>
      <c r="N2" s="1294"/>
      <c r="O2" s="1294"/>
      <c r="P2" s="1295"/>
    </row>
    <row r="3" spans="1:16" s="1169" customFormat="1" ht="15" customHeight="1" thickBot="1">
      <c r="A3" s="1170"/>
      <c r="B3" s="1171"/>
      <c r="C3" s="1173"/>
      <c r="D3" s="1173"/>
      <c r="E3" s="1173"/>
      <c r="F3" s="1173"/>
      <c r="G3" s="1173"/>
      <c r="H3" s="1210"/>
      <c r="I3" s="1296"/>
      <c r="J3" s="1297"/>
      <c r="K3" s="1298"/>
      <c r="L3" s="1298"/>
      <c r="M3" s="1298"/>
      <c r="N3" s="1298"/>
      <c r="O3" s="1298"/>
      <c r="P3" s="1299"/>
    </row>
    <row r="4" spans="1:16" ht="35.1" customHeight="1" thickBot="1">
      <c r="A4" s="1175"/>
      <c r="B4" s="1176" t="s">
        <v>5</v>
      </c>
      <c r="C4" s="1838" t="str">
        <f>'Background 17-18'!$D$2</f>
        <v>Glasgow, University of</v>
      </c>
      <c r="D4" s="1839"/>
      <c r="E4" s="1211">
        <f>VLOOKUP('Background 17-18'!$C$2,Inst_Tables,9,FALSE)</f>
        <v>0</v>
      </c>
      <c r="F4" s="1180"/>
      <c r="G4" s="1180"/>
      <c r="H4" s="1212"/>
      <c r="I4" s="1300"/>
      <c r="J4" s="1301" t="s">
        <v>5</v>
      </c>
      <c r="K4" s="1851" t="str">
        <f>'Background 17-18'!$D$2</f>
        <v>Glasgow, University of</v>
      </c>
      <c r="L4" s="1852"/>
      <c r="M4" s="1302"/>
      <c r="N4" s="1303"/>
      <c r="O4" s="1303"/>
      <c r="P4" s="1304"/>
    </row>
    <row r="5" spans="1:16" s="1182" customFormat="1" ht="35.1" customHeight="1">
      <c r="A5" s="1178"/>
      <c r="B5" s="1171" t="s">
        <v>145</v>
      </c>
      <c r="C5" s="1180"/>
      <c r="D5" s="1180"/>
      <c r="E5" s="1180"/>
      <c r="F5" s="1180"/>
      <c r="G5" s="1180"/>
      <c r="H5" s="1213"/>
      <c r="I5" s="1305"/>
      <c r="J5" s="1297" t="s">
        <v>145</v>
      </c>
      <c r="K5" s="1303"/>
      <c r="L5" s="1303"/>
      <c r="M5" s="1303"/>
      <c r="N5" s="1303"/>
      <c r="O5" s="1303"/>
      <c r="P5" s="1306"/>
    </row>
    <row r="6" spans="1:16" s="1182" customFormat="1" ht="30" customHeight="1">
      <c r="A6" s="1178"/>
      <c r="B6" s="569" t="s">
        <v>430</v>
      </c>
      <c r="C6" s="1180"/>
      <c r="D6" s="1180"/>
      <c r="E6" s="1180"/>
      <c r="F6" s="1180"/>
      <c r="G6" s="1180"/>
      <c r="H6" s="1213"/>
      <c r="I6" s="1305"/>
      <c r="J6" s="1307"/>
      <c r="K6" s="1303"/>
      <c r="L6" s="1303"/>
      <c r="M6" s="1303"/>
      <c r="N6" s="1303"/>
      <c r="O6" s="1303"/>
      <c r="P6" s="1306"/>
    </row>
    <row r="7" spans="1:16" s="1182" customFormat="1" ht="24.95" customHeight="1">
      <c r="A7" s="1178"/>
      <c r="B7" s="569" t="s">
        <v>431</v>
      </c>
      <c r="C7" s="1180"/>
      <c r="D7" s="1180"/>
      <c r="E7" s="1180"/>
      <c r="F7" s="1180"/>
      <c r="G7" s="1180"/>
      <c r="H7" s="1213"/>
      <c r="I7" s="1305"/>
      <c r="J7" s="1307"/>
      <c r="K7" s="1303"/>
      <c r="L7" s="1303"/>
      <c r="M7" s="1303"/>
      <c r="N7" s="1303"/>
      <c r="O7" s="1303"/>
      <c r="P7" s="1306"/>
    </row>
    <row r="8" spans="1:16" ht="15" customHeight="1" thickBot="1">
      <c r="A8" s="1175"/>
      <c r="B8" s="1214"/>
      <c r="C8" s="1215"/>
      <c r="D8" s="1215"/>
      <c r="E8" s="1215"/>
      <c r="F8" s="1215"/>
      <c r="G8" s="1215"/>
      <c r="H8" s="1216"/>
      <c r="I8" s="1300"/>
      <c r="J8" s="1308"/>
      <c r="K8" s="1309"/>
      <c r="L8" s="1309"/>
      <c r="M8" s="1309"/>
      <c r="N8" s="1309"/>
      <c r="O8" s="1309"/>
      <c r="P8" s="1310"/>
    </row>
    <row r="9" spans="1:16" ht="30" customHeight="1" thickBot="1">
      <c r="A9" s="1175"/>
      <c r="B9" s="1217"/>
      <c r="C9" s="1844" t="s">
        <v>114</v>
      </c>
      <c r="D9" s="1845"/>
      <c r="E9" s="1845"/>
      <c r="F9" s="1845"/>
      <c r="G9" s="1846"/>
      <c r="H9" s="1213"/>
      <c r="I9" s="1300"/>
      <c r="J9" s="1311"/>
      <c r="K9" s="1853" t="s">
        <v>114</v>
      </c>
      <c r="L9" s="1854"/>
      <c r="M9" s="1854"/>
      <c r="N9" s="1854"/>
      <c r="O9" s="1855"/>
      <c r="P9" s="1306"/>
    </row>
    <row r="10" spans="1:16" ht="30" customHeight="1">
      <c r="A10" s="1175"/>
      <c r="B10" s="1218"/>
      <c r="C10" s="1847" t="s">
        <v>115</v>
      </c>
      <c r="D10" s="1848" t="s">
        <v>116</v>
      </c>
      <c r="E10" s="1849" t="s">
        <v>369</v>
      </c>
      <c r="F10" s="1849"/>
      <c r="G10" s="1850"/>
      <c r="H10" s="1213"/>
      <c r="I10" s="1300"/>
      <c r="J10" s="1312"/>
      <c r="K10" s="1856" t="s">
        <v>115</v>
      </c>
      <c r="L10" s="1857" t="s">
        <v>116</v>
      </c>
      <c r="M10" s="1858" t="s">
        <v>369</v>
      </c>
      <c r="N10" s="1858"/>
      <c r="O10" s="1859"/>
      <c r="P10" s="1306"/>
    </row>
    <row r="11" spans="1:16" ht="30" customHeight="1">
      <c r="A11" s="1175"/>
      <c r="B11" s="1218"/>
      <c r="C11" s="1847"/>
      <c r="D11" s="1848"/>
      <c r="E11" s="1219" t="s">
        <v>294</v>
      </c>
      <c r="F11" s="1220" t="s">
        <v>105</v>
      </c>
      <c r="G11" s="1221" t="s">
        <v>3</v>
      </c>
      <c r="H11" s="1213"/>
      <c r="I11" s="1300"/>
      <c r="J11" s="1312"/>
      <c r="K11" s="1856"/>
      <c r="L11" s="1857"/>
      <c r="M11" s="1313" t="s">
        <v>294</v>
      </c>
      <c r="N11" s="1314" t="s">
        <v>105</v>
      </c>
      <c r="O11" s="1315" t="s">
        <v>3</v>
      </c>
      <c r="P11" s="1306"/>
    </row>
    <row r="12" spans="1:16" ht="24.95" customHeight="1">
      <c r="A12" s="1175"/>
      <c r="B12" s="1265" t="s">
        <v>112</v>
      </c>
      <c r="C12" s="1222" t="s">
        <v>26</v>
      </c>
      <c r="D12" s="1223" t="s">
        <v>26</v>
      </c>
      <c r="E12" s="1187" t="s">
        <v>26</v>
      </c>
      <c r="F12" s="1224" t="s">
        <v>26</v>
      </c>
      <c r="G12" s="1420" t="s">
        <v>26</v>
      </c>
      <c r="H12" s="1225"/>
      <c r="I12" s="1300"/>
      <c r="J12" s="1316" t="s">
        <v>112</v>
      </c>
      <c r="K12" s="1287" t="s">
        <v>26</v>
      </c>
      <c r="L12" s="1317" t="s">
        <v>26</v>
      </c>
      <c r="M12" s="1318" t="s">
        <v>26</v>
      </c>
      <c r="N12" s="1319" t="s">
        <v>26</v>
      </c>
      <c r="O12" s="1422" t="s">
        <v>26</v>
      </c>
      <c r="P12" s="1320"/>
    </row>
    <row r="13" spans="1:16" ht="24.95" customHeight="1">
      <c r="A13" s="1175"/>
      <c r="B13" s="1704" t="s">
        <v>6</v>
      </c>
      <c r="C13" s="1222" t="s">
        <v>6</v>
      </c>
      <c r="D13" s="1223" t="s">
        <v>6</v>
      </c>
      <c r="E13" s="1419" t="s">
        <v>6</v>
      </c>
      <c r="F13" s="1224" t="s">
        <v>6</v>
      </c>
      <c r="G13" s="1188" t="s">
        <v>89</v>
      </c>
      <c r="H13" s="1226"/>
      <c r="I13" s="1300"/>
      <c r="J13" s="1708" t="s">
        <v>429</v>
      </c>
      <c r="K13" s="1287" t="s">
        <v>429</v>
      </c>
      <c r="L13" s="1317" t="s">
        <v>429</v>
      </c>
      <c r="M13" s="1421" t="s">
        <v>429</v>
      </c>
      <c r="N13" s="1319" t="s">
        <v>429</v>
      </c>
      <c r="O13" s="1321" t="s">
        <v>429</v>
      </c>
      <c r="P13" s="1322"/>
    </row>
    <row r="14" spans="1:16" ht="24.95" customHeight="1" thickBot="1">
      <c r="A14" s="1175"/>
      <c r="B14" s="1703">
        <v>1</v>
      </c>
      <c r="C14" s="1227">
        <v>2</v>
      </c>
      <c r="D14" s="1228">
        <v>3</v>
      </c>
      <c r="E14" s="1229">
        <v>4</v>
      </c>
      <c r="F14" s="1230">
        <v>5</v>
      </c>
      <c r="G14" s="1192">
        <v>6</v>
      </c>
      <c r="H14" s="1231"/>
      <c r="I14" s="1300"/>
      <c r="J14" s="1707">
        <v>7</v>
      </c>
      <c r="K14" s="1323">
        <v>8</v>
      </c>
      <c r="L14" s="1324">
        <v>9</v>
      </c>
      <c r="M14" s="1288">
        <v>10</v>
      </c>
      <c r="N14" s="1325">
        <v>11</v>
      </c>
      <c r="O14" s="1326">
        <v>12</v>
      </c>
      <c r="P14" s="1327"/>
    </row>
    <row r="15" spans="1:16" ht="35.1" customHeight="1">
      <c r="A15" s="1264"/>
      <c r="B15" s="1273" t="str">
        <f>J15</f>
        <v/>
      </c>
      <c r="C15" s="1233" t="str">
        <f t="shared" ref="C15:F29" si="0">K15</f>
        <v/>
      </c>
      <c r="D15" s="1234" t="str">
        <f t="shared" si="0"/>
        <v/>
      </c>
      <c r="E15" s="1235" t="str">
        <f t="shared" si="0"/>
        <v/>
      </c>
      <c r="F15" s="1236" t="str">
        <f t="shared" si="0"/>
        <v/>
      </c>
      <c r="G15" s="1237">
        <f>SUM(E15:F15)</f>
        <v>0</v>
      </c>
      <c r="H15" s="1231"/>
      <c r="I15" s="1328">
        <v>1</v>
      </c>
      <c r="J15" s="1351" t="str">
        <f>IF($E$4=1,VLOOKUP($I15,ESF_ES,VLOOKUP('Background 17-18'!$C$2,Inst_Tables,14,FALSE),FALSE),"")</f>
        <v/>
      </c>
      <c r="K15" s="1352" t="str">
        <f>IF($E$4=1,VLOOKUP($I15,ESF_ES,VLOOKUP('Background 17-18'!$C$2,Inst_Tables,15,FALSE),FALSE),"")</f>
        <v/>
      </c>
      <c r="L15" s="1353" t="str">
        <f>IF($E$4=1,VLOOKUP($I15,ESF_ES,VLOOKUP('Background 17-18'!$C$2,Inst_Tables,16,FALSE),FALSE),"")</f>
        <v/>
      </c>
      <c r="M15" s="1354" t="str">
        <f>IF($E$4=1,VLOOKUP($I15,ESF_ES,VLOOKUP('Background 17-18'!$C$2,Inst_Tables,17,FALSE),FALSE),"")</f>
        <v/>
      </c>
      <c r="N15" s="1355" t="str">
        <f>IF($E$4=1,VLOOKUP($I15,ESF_ES,VLOOKUP('Background 17-18'!$C$2,Inst_Tables,18,FALSE),FALSE),"")</f>
        <v/>
      </c>
      <c r="O15" s="1329">
        <f>SUM(M15:N15)</f>
        <v>0</v>
      </c>
      <c r="P15" s="1327"/>
    </row>
    <row r="16" spans="1:16" ht="35.1" customHeight="1">
      <c r="A16" s="1264"/>
      <c r="B16" s="1238" t="str">
        <f t="shared" ref="B16:B29" si="1">J16</f>
        <v/>
      </c>
      <c r="C16" s="1239" t="str">
        <f t="shared" si="0"/>
        <v/>
      </c>
      <c r="D16" s="1240" t="str">
        <f t="shared" si="0"/>
        <v/>
      </c>
      <c r="E16" s="1241" t="str">
        <f t="shared" si="0"/>
        <v/>
      </c>
      <c r="F16" s="1242" t="str">
        <f t="shared" si="0"/>
        <v/>
      </c>
      <c r="G16" s="1274">
        <f t="shared" ref="G16:G29" si="2">SUM(E16:F16)</f>
        <v>0</v>
      </c>
      <c r="H16" s="1212"/>
      <c r="I16" s="1328">
        <v>2</v>
      </c>
      <c r="J16" s="1356" t="str">
        <f>IF($E$4=1,VLOOKUP($I16,ESF_ES,VLOOKUP('Background 17-18'!$C$2,Inst_Tables,14,FALSE),FALSE),"")</f>
        <v/>
      </c>
      <c r="K16" s="1357" t="str">
        <f>IF($E$4=1,VLOOKUP($I16,ESF_ES,VLOOKUP('Background 17-18'!$C$2,Inst_Tables,15,FALSE),FALSE),"")</f>
        <v/>
      </c>
      <c r="L16" s="1358" t="str">
        <f>IF($E$4=1,VLOOKUP($I16,ESF_ES,VLOOKUP('Background 17-18'!$C$2,Inst_Tables,16,FALSE),FALSE),"")</f>
        <v/>
      </c>
      <c r="M16" s="1359" t="str">
        <f>IF($E$4=1,VLOOKUP($I16,ESF_ES,VLOOKUP('Background 17-18'!$C$2,Inst_Tables,17,FALSE),FALSE),"")</f>
        <v/>
      </c>
      <c r="N16" s="1360" t="str">
        <f>IF($E$4=1,VLOOKUP($I16,ESF_ES,VLOOKUP('Background 17-18'!$C$2,Inst_Tables,18,FALSE),FALSE),"")</f>
        <v/>
      </c>
      <c r="O16" s="1330">
        <f t="shared" ref="O16:O29" si="3">SUM(M16:N16)</f>
        <v>0</v>
      </c>
      <c r="P16" s="1304"/>
    </row>
    <row r="17" spans="1:16" ht="35.1" customHeight="1">
      <c r="A17" s="1264"/>
      <c r="B17" s="1238" t="str">
        <f t="shared" si="1"/>
        <v/>
      </c>
      <c r="C17" s="1239" t="str">
        <f t="shared" si="0"/>
        <v/>
      </c>
      <c r="D17" s="1240" t="str">
        <f t="shared" si="0"/>
        <v/>
      </c>
      <c r="E17" s="1241" t="str">
        <f t="shared" si="0"/>
        <v/>
      </c>
      <c r="F17" s="1242" t="str">
        <f t="shared" si="0"/>
        <v/>
      </c>
      <c r="G17" s="1274">
        <f t="shared" si="2"/>
        <v>0</v>
      </c>
      <c r="H17" s="1212"/>
      <c r="I17" s="1328">
        <v>3</v>
      </c>
      <c r="J17" s="1356" t="str">
        <f>IF($E$4=1,VLOOKUP($I17,ESF_ES,VLOOKUP('Background 17-18'!$C$2,Inst_Tables,14,FALSE),FALSE),"")</f>
        <v/>
      </c>
      <c r="K17" s="1357" t="str">
        <f>IF($E$4=1,VLOOKUP($I17,ESF_ES,VLOOKUP('Background 17-18'!$C$2,Inst_Tables,15,FALSE),FALSE),"")</f>
        <v/>
      </c>
      <c r="L17" s="1358" t="str">
        <f>IF($E$4=1,VLOOKUP($I17,ESF_ES,VLOOKUP('Background 17-18'!$C$2,Inst_Tables,16,FALSE),FALSE),"")</f>
        <v/>
      </c>
      <c r="M17" s="1359" t="str">
        <f>IF($E$4=1,VLOOKUP($I17,ESF_ES,VLOOKUP('Background 17-18'!$C$2,Inst_Tables,17,FALSE),FALSE),"")</f>
        <v/>
      </c>
      <c r="N17" s="1360" t="str">
        <f>IF($E$4=1,VLOOKUP($I17,ESF_ES,VLOOKUP('Background 17-18'!$C$2,Inst_Tables,18,FALSE),FALSE),"")</f>
        <v/>
      </c>
      <c r="O17" s="1330">
        <f t="shared" si="3"/>
        <v>0</v>
      </c>
      <c r="P17" s="1304"/>
    </row>
    <row r="18" spans="1:16" ht="35.1" customHeight="1">
      <c r="A18" s="1264"/>
      <c r="B18" s="1238" t="str">
        <f t="shared" si="1"/>
        <v/>
      </c>
      <c r="C18" s="1239" t="str">
        <f t="shared" si="0"/>
        <v/>
      </c>
      <c r="D18" s="1240" t="str">
        <f t="shared" si="0"/>
        <v/>
      </c>
      <c r="E18" s="1241" t="str">
        <f t="shared" si="0"/>
        <v/>
      </c>
      <c r="F18" s="1242" t="str">
        <f t="shared" si="0"/>
        <v/>
      </c>
      <c r="G18" s="1274">
        <f t="shared" si="2"/>
        <v>0</v>
      </c>
      <c r="H18" s="1212"/>
      <c r="I18" s="1328">
        <v>4</v>
      </c>
      <c r="J18" s="1356" t="str">
        <f>IF($E$4=1,VLOOKUP($I18,ESF_ES,VLOOKUP('Background 17-18'!$C$2,Inst_Tables,14,FALSE),FALSE),"")</f>
        <v/>
      </c>
      <c r="K18" s="1357" t="str">
        <f>IF($E$4=1,VLOOKUP($I18,ESF_ES,VLOOKUP('Background 17-18'!$C$2,Inst_Tables,15,FALSE),FALSE),"")</f>
        <v/>
      </c>
      <c r="L18" s="1358" t="str">
        <f>IF($E$4=1,VLOOKUP($I18,ESF_ES,VLOOKUP('Background 17-18'!$C$2,Inst_Tables,16,FALSE),FALSE),"")</f>
        <v/>
      </c>
      <c r="M18" s="1359" t="str">
        <f>IF($E$4=1,VLOOKUP($I18,ESF_ES,VLOOKUP('Background 17-18'!$C$2,Inst_Tables,17,FALSE),FALSE),"")</f>
        <v/>
      </c>
      <c r="N18" s="1360" t="str">
        <f>IF($E$4=1,VLOOKUP($I18,ESF_ES,VLOOKUP('Background 17-18'!$C$2,Inst_Tables,18,FALSE),FALSE),"")</f>
        <v/>
      </c>
      <c r="O18" s="1330">
        <f t="shared" si="3"/>
        <v>0</v>
      </c>
      <c r="P18" s="1304"/>
    </row>
    <row r="19" spans="1:16" ht="35.1" customHeight="1">
      <c r="A19" s="1264"/>
      <c r="B19" s="1238" t="str">
        <f t="shared" si="1"/>
        <v/>
      </c>
      <c r="C19" s="1239" t="str">
        <f t="shared" si="0"/>
        <v/>
      </c>
      <c r="D19" s="1240" t="str">
        <f t="shared" si="0"/>
        <v/>
      </c>
      <c r="E19" s="1241" t="str">
        <f t="shared" si="0"/>
        <v/>
      </c>
      <c r="F19" s="1242" t="str">
        <f t="shared" si="0"/>
        <v/>
      </c>
      <c r="G19" s="1274">
        <f t="shared" si="2"/>
        <v>0</v>
      </c>
      <c r="H19" s="1212"/>
      <c r="I19" s="1328">
        <v>5</v>
      </c>
      <c r="J19" s="1356" t="str">
        <f>IF($E$4=1,VLOOKUP($I19,ESF_ES,VLOOKUP('Background 17-18'!$C$2,Inst_Tables,14,FALSE),FALSE),"")</f>
        <v/>
      </c>
      <c r="K19" s="1357" t="str">
        <f>IF($E$4=1,VLOOKUP($I19,ESF_ES,VLOOKUP('Background 17-18'!$C$2,Inst_Tables,15,FALSE),FALSE),"")</f>
        <v/>
      </c>
      <c r="L19" s="1358" t="str">
        <f>IF($E$4=1,VLOOKUP($I19,ESF_ES,VLOOKUP('Background 17-18'!$C$2,Inst_Tables,16,FALSE),FALSE),"")</f>
        <v/>
      </c>
      <c r="M19" s="1359" t="str">
        <f>IF($E$4=1,VLOOKUP($I19,ESF_ES,VLOOKUP('Background 17-18'!$C$2,Inst_Tables,17,FALSE),FALSE),"")</f>
        <v/>
      </c>
      <c r="N19" s="1360" t="str">
        <f>IF($E$4=1,VLOOKUP($I19,ESF_ES,VLOOKUP('Background 17-18'!$C$2,Inst_Tables,18,FALSE),FALSE),"")</f>
        <v/>
      </c>
      <c r="O19" s="1330">
        <f t="shared" si="3"/>
        <v>0</v>
      </c>
      <c r="P19" s="1304"/>
    </row>
    <row r="20" spans="1:16" ht="35.1" customHeight="1">
      <c r="A20" s="1264"/>
      <c r="B20" s="1238" t="str">
        <f t="shared" si="1"/>
        <v/>
      </c>
      <c r="C20" s="1239" t="str">
        <f t="shared" si="0"/>
        <v/>
      </c>
      <c r="D20" s="1240" t="str">
        <f t="shared" si="0"/>
        <v/>
      </c>
      <c r="E20" s="1241" t="str">
        <f t="shared" si="0"/>
        <v/>
      </c>
      <c r="F20" s="1242" t="str">
        <f t="shared" si="0"/>
        <v/>
      </c>
      <c r="G20" s="1274">
        <f t="shared" si="2"/>
        <v>0</v>
      </c>
      <c r="H20" s="1212"/>
      <c r="I20" s="1328">
        <v>6</v>
      </c>
      <c r="J20" s="1356" t="str">
        <f>IF($E$4=1,VLOOKUP($I20,ESF_ES,VLOOKUP('Background 17-18'!$C$2,Inst_Tables,14,FALSE),FALSE),"")</f>
        <v/>
      </c>
      <c r="K20" s="1357" t="str">
        <f>IF($E$4=1,VLOOKUP($I20,ESF_ES,VLOOKUP('Background 17-18'!$C$2,Inst_Tables,15,FALSE),FALSE),"")</f>
        <v/>
      </c>
      <c r="L20" s="1358" t="str">
        <f>IF($E$4=1,VLOOKUP($I20,ESF_ES,VLOOKUP('Background 17-18'!$C$2,Inst_Tables,16,FALSE),FALSE),"")</f>
        <v/>
      </c>
      <c r="M20" s="1359" t="str">
        <f>IF($E$4=1,VLOOKUP($I20,ESF_ES,VLOOKUP('Background 17-18'!$C$2,Inst_Tables,17,FALSE),FALSE),"")</f>
        <v/>
      </c>
      <c r="N20" s="1360" t="str">
        <f>IF($E$4=1,VLOOKUP($I20,ESF_ES,VLOOKUP('Background 17-18'!$C$2,Inst_Tables,18,FALSE),FALSE),"")</f>
        <v/>
      </c>
      <c r="O20" s="1330">
        <f t="shared" si="3"/>
        <v>0</v>
      </c>
      <c r="P20" s="1304"/>
    </row>
    <row r="21" spans="1:16" ht="35.1" customHeight="1">
      <c r="A21" s="1264"/>
      <c r="B21" s="1238" t="str">
        <f t="shared" si="1"/>
        <v/>
      </c>
      <c r="C21" s="1239" t="str">
        <f t="shared" si="0"/>
        <v/>
      </c>
      <c r="D21" s="1240" t="str">
        <f t="shared" si="0"/>
        <v/>
      </c>
      <c r="E21" s="1241" t="str">
        <f t="shared" si="0"/>
        <v/>
      </c>
      <c r="F21" s="1242" t="str">
        <f t="shared" si="0"/>
        <v/>
      </c>
      <c r="G21" s="1274">
        <f t="shared" si="2"/>
        <v>0</v>
      </c>
      <c r="H21" s="1212"/>
      <c r="I21" s="1328">
        <v>7</v>
      </c>
      <c r="J21" s="1356" t="str">
        <f>IF($E$4=1,VLOOKUP($I21,ESF_ES,VLOOKUP('Background 17-18'!$C$2,Inst_Tables,14,FALSE),FALSE),"")</f>
        <v/>
      </c>
      <c r="K21" s="1357" t="str">
        <f>IF($E$4=1,VLOOKUP($I21,ESF_ES,VLOOKUP('Background 17-18'!$C$2,Inst_Tables,15,FALSE),FALSE),"")</f>
        <v/>
      </c>
      <c r="L21" s="1358" t="str">
        <f>IF($E$4=1,VLOOKUP($I21,ESF_ES,VLOOKUP('Background 17-18'!$C$2,Inst_Tables,16,FALSE),FALSE),"")</f>
        <v/>
      </c>
      <c r="M21" s="1359" t="str">
        <f>IF($E$4=1,VLOOKUP($I21,ESF_ES,VLOOKUP('Background 17-18'!$C$2,Inst_Tables,17,FALSE),FALSE),"")</f>
        <v/>
      </c>
      <c r="N21" s="1360" t="str">
        <f>IF($E$4=1,VLOOKUP($I21,ESF_ES,VLOOKUP('Background 17-18'!$C$2,Inst_Tables,18,FALSE),FALSE),"")</f>
        <v/>
      </c>
      <c r="O21" s="1330">
        <f t="shared" si="3"/>
        <v>0</v>
      </c>
      <c r="P21" s="1304"/>
    </row>
    <row r="22" spans="1:16" ht="35.1" customHeight="1">
      <c r="A22" s="1264"/>
      <c r="B22" s="1238" t="str">
        <f t="shared" si="1"/>
        <v/>
      </c>
      <c r="C22" s="1239" t="str">
        <f t="shared" si="0"/>
        <v/>
      </c>
      <c r="D22" s="1240" t="str">
        <f t="shared" si="0"/>
        <v/>
      </c>
      <c r="E22" s="1241" t="str">
        <f t="shared" si="0"/>
        <v/>
      </c>
      <c r="F22" s="1242" t="str">
        <f t="shared" si="0"/>
        <v/>
      </c>
      <c r="G22" s="1274">
        <f t="shared" si="2"/>
        <v>0</v>
      </c>
      <c r="H22" s="1212"/>
      <c r="I22" s="1328">
        <v>8</v>
      </c>
      <c r="J22" s="1356" t="str">
        <f>IF($E$4=1,VLOOKUP($I22,ESF_ES,VLOOKUP('Background 17-18'!$C$2,Inst_Tables,14,FALSE),FALSE),"")</f>
        <v/>
      </c>
      <c r="K22" s="1357" t="str">
        <f>IF($E$4=1,VLOOKUP($I22,ESF_ES,VLOOKUP('Background 17-18'!$C$2,Inst_Tables,15,FALSE),FALSE),"")</f>
        <v/>
      </c>
      <c r="L22" s="1358" t="str">
        <f>IF($E$4=1,VLOOKUP($I22,ESF_ES,VLOOKUP('Background 17-18'!$C$2,Inst_Tables,16,FALSE),FALSE),"")</f>
        <v/>
      </c>
      <c r="M22" s="1359" t="str">
        <f>IF($E$4=1,VLOOKUP($I22,ESF_ES,VLOOKUP('Background 17-18'!$C$2,Inst_Tables,17,FALSE),FALSE),"")</f>
        <v/>
      </c>
      <c r="N22" s="1360" t="str">
        <f>IF($E$4=1,VLOOKUP($I22,ESF_ES,VLOOKUP('Background 17-18'!$C$2,Inst_Tables,18,FALSE),FALSE),"")</f>
        <v/>
      </c>
      <c r="O22" s="1330">
        <f t="shared" si="3"/>
        <v>0</v>
      </c>
      <c r="P22" s="1304"/>
    </row>
    <row r="23" spans="1:16" ht="35.1" customHeight="1">
      <c r="A23" s="1264"/>
      <c r="B23" s="1238" t="str">
        <f t="shared" si="1"/>
        <v/>
      </c>
      <c r="C23" s="1239" t="str">
        <f t="shared" si="0"/>
        <v/>
      </c>
      <c r="D23" s="1240" t="str">
        <f t="shared" si="0"/>
        <v/>
      </c>
      <c r="E23" s="1241" t="str">
        <f t="shared" si="0"/>
        <v/>
      </c>
      <c r="F23" s="1242" t="str">
        <f t="shared" si="0"/>
        <v/>
      </c>
      <c r="G23" s="1274">
        <f t="shared" si="2"/>
        <v>0</v>
      </c>
      <c r="H23" s="1212"/>
      <c r="I23" s="1328">
        <v>9</v>
      </c>
      <c r="J23" s="1356" t="str">
        <f>IF($E$4=1,VLOOKUP($I23,ESF_ES,VLOOKUP('Background 17-18'!$C$2,Inst_Tables,14,FALSE),FALSE),"")</f>
        <v/>
      </c>
      <c r="K23" s="1357" t="str">
        <f>IF($E$4=1,VLOOKUP($I23,ESF_ES,VLOOKUP('Background 17-18'!$C$2,Inst_Tables,15,FALSE),FALSE),"")</f>
        <v/>
      </c>
      <c r="L23" s="1358" t="str">
        <f>IF($E$4=1,VLOOKUP($I23,ESF_ES,VLOOKUP('Background 17-18'!$C$2,Inst_Tables,16,FALSE),FALSE),"")</f>
        <v/>
      </c>
      <c r="M23" s="1359" t="str">
        <f>IF($E$4=1,VLOOKUP($I23,ESF_ES,VLOOKUP('Background 17-18'!$C$2,Inst_Tables,17,FALSE),FALSE),"")</f>
        <v/>
      </c>
      <c r="N23" s="1360" t="str">
        <f>IF($E$4=1,VLOOKUP($I23,ESF_ES,VLOOKUP('Background 17-18'!$C$2,Inst_Tables,18,FALSE),FALSE),"")</f>
        <v/>
      </c>
      <c r="O23" s="1330">
        <f t="shared" si="3"/>
        <v>0</v>
      </c>
      <c r="P23" s="1304"/>
    </row>
    <row r="24" spans="1:16" ht="35.1" customHeight="1">
      <c r="A24" s="1264"/>
      <c r="B24" s="1238" t="str">
        <f t="shared" si="1"/>
        <v/>
      </c>
      <c r="C24" s="1239" t="str">
        <f t="shared" si="0"/>
        <v/>
      </c>
      <c r="D24" s="1240" t="str">
        <f t="shared" si="0"/>
        <v/>
      </c>
      <c r="E24" s="1241" t="str">
        <f t="shared" si="0"/>
        <v/>
      </c>
      <c r="F24" s="1242" t="str">
        <f t="shared" si="0"/>
        <v/>
      </c>
      <c r="G24" s="1274">
        <f t="shared" si="2"/>
        <v>0</v>
      </c>
      <c r="H24" s="1212"/>
      <c r="I24" s="1328">
        <v>10</v>
      </c>
      <c r="J24" s="1356" t="str">
        <f>IF($E$4=1,VLOOKUP($I24,ESF_ES,VLOOKUP('Background 17-18'!$C$2,Inst_Tables,14,FALSE),FALSE),"")</f>
        <v/>
      </c>
      <c r="K24" s="1357" t="str">
        <f>IF($E$4=1,VLOOKUP($I24,ESF_ES,VLOOKUP('Background 17-18'!$C$2,Inst_Tables,15,FALSE),FALSE),"")</f>
        <v/>
      </c>
      <c r="L24" s="1358" t="str">
        <f>IF($E$4=1,VLOOKUP($I24,ESF_ES,VLOOKUP('Background 17-18'!$C$2,Inst_Tables,16,FALSE),FALSE),"")</f>
        <v/>
      </c>
      <c r="M24" s="1359" t="str">
        <f>IF($E$4=1,VLOOKUP($I24,ESF_ES,VLOOKUP('Background 17-18'!$C$2,Inst_Tables,17,FALSE),FALSE),"")</f>
        <v/>
      </c>
      <c r="N24" s="1360" t="str">
        <f>IF($E$4=1,VLOOKUP($I24,ESF_ES,VLOOKUP('Background 17-18'!$C$2,Inst_Tables,18,FALSE),FALSE),"")</f>
        <v/>
      </c>
      <c r="O24" s="1330">
        <f t="shared" si="3"/>
        <v>0</v>
      </c>
      <c r="P24" s="1304"/>
    </row>
    <row r="25" spans="1:16" ht="35.1" customHeight="1">
      <c r="A25" s="1264"/>
      <c r="B25" s="1238" t="str">
        <f t="shared" si="1"/>
        <v/>
      </c>
      <c r="C25" s="1239" t="str">
        <f t="shared" si="0"/>
        <v/>
      </c>
      <c r="D25" s="1240" t="str">
        <f t="shared" si="0"/>
        <v/>
      </c>
      <c r="E25" s="1241" t="str">
        <f t="shared" si="0"/>
        <v/>
      </c>
      <c r="F25" s="1242" t="str">
        <f t="shared" si="0"/>
        <v/>
      </c>
      <c r="G25" s="1274">
        <f t="shared" si="2"/>
        <v>0</v>
      </c>
      <c r="H25" s="1212"/>
      <c r="I25" s="1328">
        <v>11</v>
      </c>
      <c r="J25" s="1356" t="str">
        <f>IF($E$4=1,VLOOKUP($I25,ESF_ES,VLOOKUP('Background 17-18'!$C$2,Inst_Tables,14,FALSE),FALSE),"")</f>
        <v/>
      </c>
      <c r="K25" s="1357" t="str">
        <f>IF($E$4=1,VLOOKUP($I25,ESF_ES,VLOOKUP('Background 17-18'!$C$2,Inst_Tables,15,FALSE),FALSE),"")</f>
        <v/>
      </c>
      <c r="L25" s="1358" t="str">
        <f>IF($E$4=1,VLOOKUP($I25,ESF_ES,VLOOKUP('Background 17-18'!$C$2,Inst_Tables,16,FALSE),FALSE),"")</f>
        <v/>
      </c>
      <c r="M25" s="1359" t="str">
        <f>IF($E$4=1,VLOOKUP($I25,ESF_ES,VLOOKUP('Background 17-18'!$C$2,Inst_Tables,17,FALSE),FALSE),"")</f>
        <v/>
      </c>
      <c r="N25" s="1360" t="str">
        <f>IF($E$4=1,VLOOKUP($I25,ESF_ES,VLOOKUP('Background 17-18'!$C$2,Inst_Tables,18,FALSE),FALSE),"")</f>
        <v/>
      </c>
      <c r="O25" s="1330">
        <f t="shared" si="3"/>
        <v>0</v>
      </c>
      <c r="P25" s="1304"/>
    </row>
    <row r="26" spans="1:16" ht="35.1" customHeight="1">
      <c r="A26" s="1264"/>
      <c r="B26" s="1238" t="str">
        <f t="shared" si="1"/>
        <v/>
      </c>
      <c r="C26" s="1239" t="str">
        <f t="shared" si="0"/>
        <v/>
      </c>
      <c r="D26" s="1240" t="str">
        <f t="shared" si="0"/>
        <v/>
      </c>
      <c r="E26" s="1241" t="str">
        <f t="shared" si="0"/>
        <v/>
      </c>
      <c r="F26" s="1242" t="str">
        <f t="shared" si="0"/>
        <v/>
      </c>
      <c r="G26" s="1274">
        <f t="shared" si="2"/>
        <v>0</v>
      </c>
      <c r="H26" s="1212"/>
      <c r="I26" s="1328">
        <v>12</v>
      </c>
      <c r="J26" s="1356" t="str">
        <f>IF($E$4=1,VLOOKUP($I26,ESF_ES,VLOOKUP('Background 17-18'!$C$2,Inst_Tables,14,FALSE),FALSE),"")</f>
        <v/>
      </c>
      <c r="K26" s="1357" t="str">
        <f>IF($E$4=1,VLOOKUP($I26,ESF_ES,VLOOKUP('Background 17-18'!$C$2,Inst_Tables,15,FALSE),FALSE),"")</f>
        <v/>
      </c>
      <c r="L26" s="1358" t="str">
        <f>IF($E$4=1,VLOOKUP($I26,ESF_ES,VLOOKUP('Background 17-18'!$C$2,Inst_Tables,16,FALSE),FALSE),"")</f>
        <v/>
      </c>
      <c r="M26" s="1359" t="str">
        <f>IF($E$4=1,VLOOKUP($I26,ESF_ES,VLOOKUP('Background 17-18'!$C$2,Inst_Tables,17,FALSE),FALSE),"")</f>
        <v/>
      </c>
      <c r="N26" s="1360" t="str">
        <f>IF($E$4=1,VLOOKUP($I26,ESF_ES,VLOOKUP('Background 17-18'!$C$2,Inst_Tables,18,FALSE),FALSE),"")</f>
        <v/>
      </c>
      <c r="O26" s="1330">
        <f t="shared" si="3"/>
        <v>0</v>
      </c>
      <c r="P26" s="1304"/>
    </row>
    <row r="27" spans="1:16" ht="35.1" customHeight="1">
      <c r="A27" s="1264"/>
      <c r="B27" s="1238" t="str">
        <f t="shared" si="1"/>
        <v/>
      </c>
      <c r="C27" s="1239" t="str">
        <f t="shared" si="0"/>
        <v/>
      </c>
      <c r="D27" s="1240" t="str">
        <f t="shared" si="0"/>
        <v/>
      </c>
      <c r="E27" s="1241" t="str">
        <f t="shared" si="0"/>
        <v/>
      </c>
      <c r="F27" s="1242" t="str">
        <f t="shared" si="0"/>
        <v/>
      </c>
      <c r="G27" s="1274">
        <f t="shared" si="2"/>
        <v>0</v>
      </c>
      <c r="H27" s="1212"/>
      <c r="I27" s="1328">
        <v>13</v>
      </c>
      <c r="J27" s="1356" t="str">
        <f>IF($E$4=1,VLOOKUP($I27,ESF_ES,VLOOKUP('Background 17-18'!$C$2,Inst_Tables,14,FALSE),FALSE),"")</f>
        <v/>
      </c>
      <c r="K27" s="1357" t="str">
        <f>IF($E$4=1,VLOOKUP($I27,ESF_ES,VLOOKUP('Background 17-18'!$C$2,Inst_Tables,15,FALSE),FALSE),"")</f>
        <v/>
      </c>
      <c r="L27" s="1358" t="str">
        <f>IF($E$4=1,VLOOKUP($I27,ESF_ES,VLOOKUP('Background 17-18'!$C$2,Inst_Tables,16,FALSE),FALSE),"")</f>
        <v/>
      </c>
      <c r="M27" s="1359" t="str">
        <f>IF($E$4=1,VLOOKUP($I27,ESF_ES,VLOOKUP('Background 17-18'!$C$2,Inst_Tables,17,FALSE),FALSE),"")</f>
        <v/>
      </c>
      <c r="N27" s="1360" t="str">
        <f>IF($E$4=1,VLOOKUP($I27,ESF_ES,VLOOKUP('Background 17-18'!$C$2,Inst_Tables,18,FALSE),FALSE),"")</f>
        <v/>
      </c>
      <c r="O27" s="1330">
        <f t="shared" si="3"/>
        <v>0</v>
      </c>
      <c r="P27" s="1304"/>
    </row>
    <row r="28" spans="1:16" ht="35.1" customHeight="1">
      <c r="A28" s="1264"/>
      <c r="B28" s="1238" t="str">
        <f t="shared" si="1"/>
        <v/>
      </c>
      <c r="C28" s="1239" t="str">
        <f t="shared" si="0"/>
        <v/>
      </c>
      <c r="D28" s="1240" t="str">
        <f t="shared" si="0"/>
        <v/>
      </c>
      <c r="E28" s="1241" t="str">
        <f t="shared" si="0"/>
        <v/>
      </c>
      <c r="F28" s="1242" t="str">
        <f t="shared" si="0"/>
        <v/>
      </c>
      <c r="G28" s="1274">
        <f t="shared" si="2"/>
        <v>0</v>
      </c>
      <c r="H28" s="1212"/>
      <c r="I28" s="1328">
        <v>14</v>
      </c>
      <c r="J28" s="1356" t="str">
        <f>IF($E$4=1,VLOOKUP($I28,ESF_ES,VLOOKUP('Background 17-18'!$C$2,Inst_Tables,14,FALSE),FALSE),"")</f>
        <v/>
      </c>
      <c r="K28" s="1357" t="str">
        <f>IF($E$4=1,VLOOKUP($I28,ESF_ES,VLOOKUP('Background 17-18'!$C$2,Inst_Tables,15,FALSE),FALSE),"")</f>
        <v/>
      </c>
      <c r="L28" s="1358" t="str">
        <f>IF($E$4=1,VLOOKUP($I28,ESF_ES,VLOOKUP('Background 17-18'!$C$2,Inst_Tables,16,FALSE),FALSE),"")</f>
        <v/>
      </c>
      <c r="M28" s="1359" t="str">
        <f>IF($E$4=1,VLOOKUP($I28,ESF_ES,VLOOKUP('Background 17-18'!$C$2,Inst_Tables,17,FALSE),FALSE),"")</f>
        <v/>
      </c>
      <c r="N28" s="1360" t="str">
        <f>IF($E$4=1,VLOOKUP($I28,ESF_ES,VLOOKUP('Background 17-18'!$C$2,Inst_Tables,18,FALSE),FALSE),"")</f>
        <v/>
      </c>
      <c r="O28" s="1330">
        <f t="shared" si="3"/>
        <v>0</v>
      </c>
      <c r="P28" s="1304"/>
    </row>
    <row r="29" spans="1:16" ht="35.1" customHeight="1" thickBot="1">
      <c r="A29" s="1264"/>
      <c r="B29" s="1232" t="str">
        <f t="shared" si="1"/>
        <v/>
      </c>
      <c r="C29" s="1233" t="str">
        <f t="shared" si="0"/>
        <v/>
      </c>
      <c r="D29" s="1234" t="str">
        <f t="shared" si="0"/>
        <v/>
      </c>
      <c r="E29" s="1235" t="str">
        <f t="shared" si="0"/>
        <v/>
      </c>
      <c r="F29" s="1236" t="str">
        <f t="shared" si="0"/>
        <v/>
      </c>
      <c r="G29" s="1237">
        <f t="shared" si="2"/>
        <v>0</v>
      </c>
      <c r="H29" s="1212"/>
      <c r="I29" s="1328">
        <v>15</v>
      </c>
      <c r="J29" s="1361" t="str">
        <f>IF($E$4=1,VLOOKUP($I29,ESF_ES,VLOOKUP('Background 17-18'!$C$2,Inst_Tables,14,FALSE),FALSE),"")</f>
        <v/>
      </c>
      <c r="K29" s="1352" t="str">
        <f>IF($E$4=1,VLOOKUP($I29,ESF_ES,VLOOKUP('Background 17-18'!$C$2,Inst_Tables,15,FALSE),FALSE),"")</f>
        <v/>
      </c>
      <c r="L29" s="1353" t="str">
        <f>IF($E$4=1,VLOOKUP($I29,ESF_ES,VLOOKUP('Background 17-18'!$C$2,Inst_Tables,16,FALSE),FALSE),"")</f>
        <v/>
      </c>
      <c r="M29" s="1354" t="str">
        <f>IF($E$4=1,VLOOKUP($I29,ESF_ES,VLOOKUP('Background 17-18'!$C$2,Inst_Tables,17,FALSE),FALSE),"")</f>
        <v/>
      </c>
      <c r="N29" s="1355" t="str">
        <f>IF($E$4=1,VLOOKUP($I29,ESF_ES,VLOOKUP('Background 17-18'!$C$2,Inst_Tables,18,FALSE),FALSE),"")</f>
        <v/>
      </c>
      <c r="O29" s="1329">
        <f t="shared" si="3"/>
        <v>0</v>
      </c>
      <c r="P29" s="1304"/>
    </row>
    <row r="30" spans="1:16" ht="35.1" customHeight="1">
      <c r="A30" s="1175"/>
      <c r="B30" s="1243" t="s">
        <v>3</v>
      </c>
      <c r="C30" s="1244">
        <f>SUM(C15:C29)</f>
        <v>0</v>
      </c>
      <c r="D30" s="1245">
        <f t="shared" ref="D30:G30" si="4">SUM(D15:D29)</f>
        <v>0</v>
      </c>
      <c r="E30" s="1246">
        <f t="shared" si="4"/>
        <v>0</v>
      </c>
      <c r="F30" s="1247">
        <f t="shared" si="4"/>
        <v>0</v>
      </c>
      <c r="G30" s="1248">
        <f t="shared" si="4"/>
        <v>0</v>
      </c>
      <c r="H30" s="1212"/>
      <c r="I30" s="1300"/>
      <c r="J30" s="1331" t="s">
        <v>3</v>
      </c>
      <c r="K30" s="1332">
        <f>SUM(K15:K29)</f>
        <v>0</v>
      </c>
      <c r="L30" s="1333">
        <f t="shared" ref="L30:O30" si="5">SUM(L15:L29)</f>
        <v>0</v>
      </c>
      <c r="M30" s="1334">
        <f t="shared" si="5"/>
        <v>0</v>
      </c>
      <c r="N30" s="1335">
        <f t="shared" si="5"/>
        <v>0</v>
      </c>
      <c r="O30" s="1336">
        <f t="shared" si="5"/>
        <v>0</v>
      </c>
      <c r="P30" s="1304"/>
    </row>
    <row r="31" spans="1:16" ht="35.1" customHeight="1">
      <c r="A31" s="1175"/>
      <c r="B31" s="1249" t="s">
        <v>370</v>
      </c>
      <c r="C31" s="1250">
        <f>VLOOKUP('Background 17-18'!$C$2,FPs_Consol_Nos,5,FALSE)</f>
        <v>0</v>
      </c>
      <c r="D31" s="1251">
        <f>VLOOKUP('Background 17-18'!$C$2,FPs_Consol_Nos,6,FALSE)</f>
        <v>0</v>
      </c>
      <c r="E31" s="1250"/>
      <c r="F31" s="1252"/>
      <c r="G31" s="1253">
        <f>VLOOKUP('Background 17-18'!$C$2,FPs_Consol_Nos,7,FALSE)</f>
        <v>0</v>
      </c>
      <c r="H31" s="1212"/>
      <c r="I31" s="1300"/>
      <c r="J31" s="1337" t="s">
        <v>370</v>
      </c>
      <c r="K31" s="1338">
        <f>VLOOKUP('Background 17-18'!$C$2,FPs_Consol_Nos,5,FALSE)</f>
        <v>0</v>
      </c>
      <c r="L31" s="1339">
        <f>VLOOKUP('Background 17-18'!$C$2,FPs_Consol_Nos,6,FALSE)</f>
        <v>0</v>
      </c>
      <c r="M31" s="1338"/>
      <c r="N31" s="1340"/>
      <c r="O31" s="1341">
        <f>VLOOKUP('Background 17-18'!$C$2,FPs_Consol_Nos,7,FALSE)</f>
        <v>0</v>
      </c>
      <c r="P31" s="1304"/>
    </row>
    <row r="32" spans="1:16" ht="35.1" customHeight="1" thickBot="1">
      <c r="A32" s="1175"/>
      <c r="B32" s="1254" t="s">
        <v>111</v>
      </c>
      <c r="C32" s="1255" t="str">
        <f>IF(C31&gt;0,C30-C31,"")</f>
        <v/>
      </c>
      <c r="D32" s="1256" t="str">
        <f t="shared" ref="D32:G32" si="6">IF(D31&gt;0,D30-D31,"")</f>
        <v/>
      </c>
      <c r="E32" s="1255"/>
      <c r="F32" s="1257"/>
      <c r="G32" s="1258" t="str">
        <f t="shared" si="6"/>
        <v/>
      </c>
      <c r="H32" s="1212"/>
      <c r="I32" s="1300"/>
      <c r="J32" s="1342" t="s">
        <v>111</v>
      </c>
      <c r="K32" s="1343" t="str">
        <f>IF(K31&gt;0,K30-K31,"")</f>
        <v/>
      </c>
      <c r="L32" s="1344" t="str">
        <f t="shared" ref="L32" si="7">IF(L31&gt;0,L30-L31,"")</f>
        <v/>
      </c>
      <c r="M32" s="1343"/>
      <c r="N32" s="1345"/>
      <c r="O32" s="1346" t="str">
        <f t="shared" ref="O32" si="8">IF(O31&gt;0,O30-O31,"")</f>
        <v/>
      </c>
      <c r="P32" s="1304"/>
    </row>
    <row r="33" spans="1:16" ht="15" customHeight="1">
      <c r="A33" s="1202"/>
      <c r="B33" s="1203"/>
      <c r="C33" s="1205"/>
      <c r="D33" s="1205"/>
      <c r="E33" s="1205"/>
      <c r="F33" s="1205"/>
      <c r="G33" s="1205"/>
      <c r="H33" s="1259"/>
      <c r="I33" s="1347"/>
      <c r="J33" s="1348"/>
      <c r="K33" s="1349"/>
      <c r="L33" s="1349"/>
      <c r="M33" s="1349"/>
      <c r="N33" s="1349"/>
      <c r="O33" s="1349"/>
      <c r="P33" s="1350"/>
    </row>
    <row r="34" spans="1:16" s="1207" customFormat="1" ht="15.75" customHeight="1"/>
    <row r="35" spans="1:16" ht="15.75" customHeight="1"/>
    <row r="36" spans="1:16" ht="15.75" customHeight="1"/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</sheetData>
  <sheetProtection password="E23E" sheet="1" objects="1" scenarios="1"/>
  <mergeCells count="10">
    <mergeCell ref="K4:L4"/>
    <mergeCell ref="K9:O9"/>
    <mergeCell ref="K10:K11"/>
    <mergeCell ref="L10:L11"/>
    <mergeCell ref="M10:O10"/>
    <mergeCell ref="C4:D4"/>
    <mergeCell ref="C9:G9"/>
    <mergeCell ref="C10:C11"/>
    <mergeCell ref="D10:D11"/>
    <mergeCell ref="E10:G10"/>
  </mergeCells>
  <conditionalFormatting sqref="B2">
    <cfRule type="expression" dxfId="82" priority="20" stopIfTrue="1">
      <formula>#REF!=0</formula>
    </cfRule>
  </conditionalFormatting>
  <conditionalFormatting sqref="B8">
    <cfRule type="expression" dxfId="81" priority="19" stopIfTrue="1">
      <formula>#REF!=0</formula>
    </cfRule>
  </conditionalFormatting>
  <conditionalFormatting sqref="A1:H1">
    <cfRule type="expression" dxfId="80" priority="21" stopIfTrue="1">
      <formula>$E$4=0</formula>
    </cfRule>
  </conditionalFormatting>
  <conditionalFormatting sqref="B15:B29">
    <cfRule type="expression" dxfId="79" priority="18">
      <formula>$E$4=0</formula>
    </cfRule>
  </conditionalFormatting>
  <conditionalFormatting sqref="C15:C29">
    <cfRule type="expression" dxfId="78" priority="14">
      <formula>$C$31=0</formula>
    </cfRule>
  </conditionalFormatting>
  <conditionalFormatting sqref="D15:D29">
    <cfRule type="expression" dxfId="77" priority="13">
      <formula>$D$31=0</formula>
    </cfRule>
  </conditionalFormatting>
  <conditionalFormatting sqref="E15:F29">
    <cfRule type="expression" dxfId="76" priority="12">
      <formula>$G$31=0</formula>
    </cfRule>
  </conditionalFormatting>
  <conditionalFormatting sqref="J2">
    <cfRule type="expression" dxfId="75" priority="10" stopIfTrue="1">
      <formula>#REF!=0</formula>
    </cfRule>
  </conditionalFormatting>
  <conditionalFormatting sqref="J8">
    <cfRule type="expression" dxfId="74" priority="9" stopIfTrue="1">
      <formula>#REF!=0</formula>
    </cfRule>
  </conditionalFormatting>
  <conditionalFormatting sqref="B15:F29">
    <cfRule type="expression" dxfId="73" priority="1">
      <formula>B15&lt;&gt;J15</formula>
    </cfRule>
  </conditionalFormatting>
  <dataValidations count="2">
    <dataValidation allowBlank="1" sqref="B34:B65500 H5:H8 H19:H65500 C4 C2:G3 K12:N14 G12:G65500 C9:C10 C30:F65500 C12:F14 Q1:IR1048576 J34:J65500 P5:P8 P19:P65500 K4 K2:O3 J9:J32 O12:O65500 K9:K10 K30:N65500 B9:B32"/>
    <dataValidation type="decimal" operator="greaterThanOrEqual" allowBlank="1" showInputMessage="1" showErrorMessage="1" error="Invalid Entry" sqref="C15:F29">
      <formula1>0</formula1>
    </dataValidation>
  </dataValidations>
  <pageMargins left="0.19685039370078741" right="0.19685039370078741" top="0.19685039370078741" bottom="0.19685039370078741" header="0" footer="0"/>
  <pageSetup paperSize="9"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/>
  </sheetViews>
  <sheetFormatPr defaultColWidth="9.140625" defaultRowHeight="15"/>
  <cols>
    <col min="1" max="1" width="2.7109375" style="687" customWidth="1"/>
    <col min="2" max="2" width="90.7109375" style="687" customWidth="1"/>
    <col min="3" max="3" width="12.7109375" style="687" customWidth="1"/>
    <col min="4" max="5" width="4.7109375" style="717" customWidth="1"/>
    <col min="6" max="7" width="12.7109375" style="687" customWidth="1"/>
    <col min="8" max="8" width="25.7109375" style="687" customWidth="1"/>
    <col min="9" max="10" width="6" style="687" customWidth="1"/>
    <col min="11" max="11" width="90.7109375" style="687" customWidth="1"/>
    <col min="12" max="12" width="12.7109375" style="687" customWidth="1"/>
    <col min="13" max="13" width="6" style="687" customWidth="1"/>
    <col min="14" max="16384" width="9.140625" style="687"/>
  </cols>
  <sheetData>
    <row r="1" spans="1:13" ht="35.1" customHeight="1">
      <c r="A1" s="683"/>
      <c r="B1" s="684" t="str">
        <f>IF(C4=0,"Your Institution Does Not Complete This Table","")</f>
        <v/>
      </c>
      <c r="C1" s="685"/>
      <c r="D1" s="686"/>
      <c r="E1" s="686"/>
      <c r="F1" s="685"/>
      <c r="G1" s="685"/>
      <c r="H1" s="685"/>
      <c r="I1" s="685"/>
      <c r="J1" s="1387"/>
      <c r="K1" s="1388" t="s">
        <v>162</v>
      </c>
      <c r="L1" s="1389"/>
      <c r="M1" s="1387"/>
    </row>
    <row r="2" spans="1:13" ht="24.95" customHeight="1">
      <c r="A2" s="688"/>
      <c r="B2" s="689" t="s">
        <v>376</v>
      </c>
      <c r="C2" s="690"/>
      <c r="D2" s="691"/>
      <c r="E2" s="692"/>
      <c r="F2" s="693"/>
      <c r="G2" s="693"/>
      <c r="H2" s="693"/>
      <c r="I2" s="693"/>
      <c r="J2" s="1387"/>
      <c r="K2" s="1676" t="s">
        <v>406</v>
      </c>
      <c r="L2" s="1391"/>
      <c r="M2" s="1387"/>
    </row>
    <row r="3" spans="1:13" ht="24.95" customHeight="1" thickBot="1">
      <c r="A3" s="694"/>
      <c r="B3" s="698" t="s">
        <v>5</v>
      </c>
      <c r="C3" s="695"/>
      <c r="D3" s="696"/>
      <c r="E3" s="697"/>
      <c r="F3" s="693"/>
      <c r="G3" s="693"/>
      <c r="H3" s="693"/>
      <c r="I3" s="693"/>
      <c r="J3" s="1387"/>
      <c r="K3" s="1392" t="s">
        <v>5</v>
      </c>
      <c r="L3" s="1393"/>
      <c r="M3" s="1387"/>
    </row>
    <row r="4" spans="1:13" ht="30" customHeight="1" thickBot="1">
      <c r="A4" s="694"/>
      <c r="B4" s="1374" t="str">
        <f>'Background 17-18'!$D$2</f>
        <v>Glasgow, University of</v>
      </c>
      <c r="C4" s="591">
        <f>VLOOKUP('Background 17-18'!$C$2,Inst_Tables,10,FALSE)</f>
        <v>1</v>
      </c>
      <c r="D4" s="1375"/>
      <c r="E4" s="697"/>
      <c r="F4" s="693"/>
      <c r="G4" s="693"/>
      <c r="H4" s="693"/>
      <c r="I4" s="693"/>
      <c r="J4" s="1387"/>
      <c r="K4" s="1394" t="str">
        <f>'Background 17-18'!$D$2</f>
        <v>Glasgow, University of</v>
      </c>
      <c r="L4" s="1395"/>
      <c r="M4" s="1387"/>
    </row>
    <row r="5" spans="1:13" ht="30" customHeight="1">
      <c r="A5" s="694"/>
      <c r="B5" s="700" t="s">
        <v>163</v>
      </c>
      <c r="C5" s="701"/>
      <c r="D5" s="696"/>
      <c r="E5" s="697"/>
      <c r="F5" s="693"/>
      <c r="G5" s="693"/>
      <c r="H5" s="693"/>
      <c r="I5" s="693"/>
      <c r="J5" s="1387"/>
      <c r="K5" s="1396" t="s">
        <v>163</v>
      </c>
      <c r="L5" s="1397"/>
      <c r="M5" s="1387"/>
    </row>
    <row r="6" spans="1:13" ht="30" customHeight="1">
      <c r="A6" s="694"/>
      <c r="B6" s="569" t="s">
        <v>433</v>
      </c>
      <c r="C6" s="701"/>
      <c r="D6" s="696"/>
      <c r="E6" s="697"/>
      <c r="F6" s="693"/>
      <c r="G6" s="693"/>
      <c r="H6" s="693"/>
      <c r="I6" s="693"/>
      <c r="J6" s="1387"/>
      <c r="K6" s="1396"/>
      <c r="L6" s="1397"/>
      <c r="M6" s="1387"/>
    </row>
    <row r="7" spans="1:13" ht="24.95" customHeight="1">
      <c r="A7" s="694"/>
      <c r="B7" s="569" t="s">
        <v>434</v>
      </c>
      <c r="C7" s="701"/>
      <c r="D7" s="696"/>
      <c r="E7" s="697"/>
      <c r="F7" s="693"/>
      <c r="G7" s="693"/>
      <c r="H7" s="693"/>
      <c r="I7" s="693"/>
      <c r="J7" s="1387"/>
      <c r="K7" s="1396"/>
      <c r="L7" s="1397"/>
      <c r="M7" s="1387"/>
    </row>
    <row r="8" spans="1:13" ht="24.95" customHeight="1">
      <c r="A8" s="694"/>
      <c r="B8" s="569" t="s">
        <v>431</v>
      </c>
      <c r="C8" s="701"/>
      <c r="D8" s="696"/>
      <c r="E8" s="697"/>
      <c r="F8" s="693"/>
      <c r="G8" s="693"/>
      <c r="H8" s="693"/>
      <c r="I8" s="693"/>
      <c r="J8" s="1387"/>
      <c r="K8" s="1396"/>
      <c r="L8" s="1397"/>
      <c r="M8" s="1387"/>
    </row>
    <row r="9" spans="1:13" ht="15.75" thickBot="1">
      <c r="A9" s="694"/>
      <c r="B9" s="702"/>
      <c r="C9" s="695"/>
      <c r="D9" s="696"/>
      <c r="E9" s="697"/>
      <c r="F9" s="693"/>
      <c r="G9" s="693"/>
      <c r="H9" s="693"/>
      <c r="I9" s="693"/>
      <c r="J9" s="1387"/>
      <c r="K9" s="1398"/>
      <c r="L9" s="1393"/>
      <c r="M9" s="1387"/>
    </row>
    <row r="10" spans="1:13" ht="50.1" customHeight="1">
      <c r="A10" s="694"/>
      <c r="B10" s="1423" t="s">
        <v>436</v>
      </c>
      <c r="C10" s="1362" t="s">
        <v>164</v>
      </c>
      <c r="D10" s="696"/>
      <c r="E10" s="697"/>
      <c r="F10" s="1860" t="s">
        <v>165</v>
      </c>
      <c r="G10" s="1861"/>
      <c r="H10" s="1862"/>
      <c r="I10" s="693"/>
      <c r="J10" s="1387"/>
      <c r="K10" s="1453" t="s">
        <v>436</v>
      </c>
      <c r="L10" s="1399" t="s">
        <v>164</v>
      </c>
      <c r="M10" s="1387"/>
    </row>
    <row r="11" spans="1:13" ht="24.95" customHeight="1">
      <c r="A11" s="694"/>
      <c r="B11" s="707"/>
      <c r="C11" s="741" t="s">
        <v>26</v>
      </c>
      <c r="D11" s="705"/>
      <c r="E11" s="706"/>
      <c r="F11" s="1631" t="s">
        <v>136</v>
      </c>
      <c r="G11" s="1867" t="s">
        <v>166</v>
      </c>
      <c r="H11" s="710" t="s">
        <v>167</v>
      </c>
      <c r="I11" s="693"/>
      <c r="J11" s="1387"/>
      <c r="K11" s="1400"/>
      <c r="L11" s="1401" t="s">
        <v>26</v>
      </c>
      <c r="M11" s="1387"/>
    </row>
    <row r="12" spans="1:13" ht="24.95" customHeight="1">
      <c r="A12" s="694"/>
      <c r="B12" s="1363" t="s">
        <v>6</v>
      </c>
      <c r="C12" s="1363" t="s">
        <v>6</v>
      </c>
      <c r="D12" s="696"/>
      <c r="E12" s="697"/>
      <c r="F12" s="1632"/>
      <c r="G12" s="1868"/>
      <c r="H12" s="1633"/>
      <c r="I12" s="711"/>
      <c r="J12" s="1402"/>
      <c r="K12" s="1401" t="s">
        <v>429</v>
      </c>
      <c r="L12" s="1401" t="s">
        <v>429</v>
      </c>
      <c r="M12" s="1402"/>
    </row>
    <row r="13" spans="1:13" ht="24.95" customHeight="1" thickBot="1">
      <c r="A13" s="694"/>
      <c r="B13" s="1364">
        <v>1</v>
      </c>
      <c r="C13" s="1364">
        <v>2</v>
      </c>
      <c r="D13" s="696"/>
      <c r="E13" s="697"/>
      <c r="F13" s="1632"/>
      <c r="G13" s="718"/>
      <c r="H13" s="1633"/>
      <c r="I13" s="711"/>
      <c r="J13" s="1402"/>
      <c r="K13" s="1705">
        <v>3</v>
      </c>
      <c r="L13" s="1403">
        <v>4</v>
      </c>
      <c r="M13" s="1402"/>
    </row>
    <row r="14" spans="1:13" ht="30" customHeight="1" thickBot="1">
      <c r="A14" s="694"/>
      <c r="B14" s="1863" t="s">
        <v>95</v>
      </c>
      <c r="C14" s="1864"/>
      <c r="D14" s="696"/>
      <c r="E14" s="697"/>
      <c r="F14" s="719"/>
      <c r="G14" s="719"/>
      <c r="H14" s="719"/>
      <c r="I14" s="711"/>
      <c r="J14" s="1402"/>
      <c r="K14" s="1865" t="s">
        <v>95</v>
      </c>
      <c r="L14" s="1866"/>
      <c r="M14" s="1402"/>
    </row>
    <row r="15" spans="1:13" ht="30" customHeight="1">
      <c r="A15" s="694"/>
      <c r="B15" s="1370" t="s">
        <v>13</v>
      </c>
      <c r="C15" s="1369"/>
      <c r="D15" s="696"/>
      <c r="E15" s="697"/>
      <c r="F15" s="1634"/>
      <c r="G15" s="1634"/>
      <c r="H15" s="1634"/>
      <c r="I15" s="711"/>
      <c r="J15" s="1402"/>
      <c r="K15" s="1404" t="s">
        <v>13</v>
      </c>
      <c r="L15" s="1405"/>
      <c r="M15" s="1402"/>
    </row>
    <row r="16" spans="1:13" ht="24.95" customHeight="1">
      <c r="A16" s="694"/>
      <c r="B16" s="1376" t="str">
        <f>K16</f>
        <v>Postgraduate Diploma in Education with Teaching Qualification (Enhanced Practitioner)</v>
      </c>
      <c r="C16" s="1368">
        <v>8</v>
      </c>
      <c r="D16" s="715"/>
      <c r="E16" s="716"/>
      <c r="F16" s="1634"/>
      <c r="G16" s="1634"/>
      <c r="H16" s="1634"/>
      <c r="I16" s="693"/>
      <c r="J16" s="1425">
        <v>1</v>
      </c>
      <c r="K16" s="1426" t="str">
        <f>IF($C$4=1,VLOOKUP($J16,New_Routes_ES,VLOOKUP('Background 17-18'!$C$2,Inst_Tables,19,FALSE),FALSE),"")</f>
        <v>Postgraduate Diploma in Education with Teaching Qualification (Enhanced Practitioner)</v>
      </c>
      <c r="L16" s="1427">
        <f>IF($C$4=1,VLOOKUP($J16,New_Routes_ES,VLOOKUP('Background 17-18'!$C$2,Inst_Tables,20,FALSE),FALSE),"")</f>
        <v>17</v>
      </c>
      <c r="M16" s="1387"/>
    </row>
    <row r="17" spans="1:13" ht="24.95" customHeight="1">
      <c r="A17" s="694"/>
      <c r="B17" s="1376" t="str">
        <f t="shared" ref="B17:B18" si="0">K17</f>
        <v xml:space="preserve"> </v>
      </c>
      <c r="C17" s="1366">
        <f t="shared" ref="C17:C18" si="1">L17</f>
        <v>0</v>
      </c>
      <c r="D17" s="715"/>
      <c r="E17" s="716"/>
      <c r="F17" s="1634"/>
      <c r="G17" s="1634"/>
      <c r="H17" s="1634"/>
      <c r="I17" s="693"/>
      <c r="J17" s="1425">
        <v>2</v>
      </c>
      <c r="K17" s="1426" t="str">
        <f>IF($C$4=1,VLOOKUP($J17,New_Routes_ES,VLOOKUP('Background 17-18'!$C$2,Inst_Tables,19,FALSE),FALSE),"")</f>
        <v xml:space="preserve"> </v>
      </c>
      <c r="L17" s="1427">
        <f>IF($C$4=1,VLOOKUP($J17,New_Routes_ES,VLOOKUP('Background 17-18'!$C$2,Inst_Tables,20,FALSE),FALSE),"")</f>
        <v>0</v>
      </c>
      <c r="M17" s="1387"/>
    </row>
    <row r="18" spans="1:13" ht="24.95" customHeight="1" thickBot="1">
      <c r="A18" s="694"/>
      <c r="B18" s="1371" t="str">
        <f t="shared" si="0"/>
        <v xml:space="preserve"> </v>
      </c>
      <c r="C18" s="1366">
        <f t="shared" si="1"/>
        <v>0</v>
      </c>
      <c r="D18" s="715"/>
      <c r="E18" s="716"/>
      <c r="F18" s="1634"/>
      <c r="G18" s="1634"/>
      <c r="H18" s="1634"/>
      <c r="I18" s="693"/>
      <c r="J18" s="1425">
        <v>3</v>
      </c>
      <c r="K18" s="1426" t="str">
        <f>IF($C$4=1,VLOOKUP($J18,New_Routes_ES,VLOOKUP('Background 17-18'!$C$2,Inst_Tables,19,FALSE),FALSE),"")</f>
        <v xml:space="preserve"> </v>
      </c>
      <c r="L18" s="1427">
        <f>IF($C$4=1,VLOOKUP($J18,New_Routes_ES,VLOOKUP('Background 17-18'!$C$2,Inst_Tables,20,FALSE),FALSE),"")</f>
        <v>0</v>
      </c>
      <c r="M18" s="1387"/>
    </row>
    <row r="19" spans="1:13" ht="24.95" customHeight="1" thickBot="1">
      <c r="A19" s="694"/>
      <c r="B19" s="1372" t="s">
        <v>3</v>
      </c>
      <c r="C19" s="1367">
        <f>SUM(C16:C18)</f>
        <v>8</v>
      </c>
      <c r="D19" s="715"/>
      <c r="E19" s="716"/>
      <c r="F19" s="1635">
        <f>'T1 Final Figures 2017-18'!$H$21</f>
        <v>8</v>
      </c>
      <c r="G19" s="1636">
        <f>C19-F19</f>
        <v>0</v>
      </c>
      <c r="H19" s="1637" t="str">
        <f>IF(ABS(G19)&gt;0.1,"Does not equal Table 1","OK")</f>
        <v>OK</v>
      </c>
      <c r="I19" s="693"/>
      <c r="J19" s="1387"/>
      <c r="K19" s="1406" t="s">
        <v>3</v>
      </c>
      <c r="L19" s="1407">
        <f>SUM(L16:L18)</f>
        <v>17</v>
      </c>
      <c r="M19" s="1387"/>
    </row>
    <row r="20" spans="1:13" ht="30" customHeight="1">
      <c r="A20" s="694"/>
      <c r="B20" s="1377" t="s">
        <v>17</v>
      </c>
      <c r="C20" s="1365"/>
      <c r="D20" s="696"/>
      <c r="E20" s="697"/>
      <c r="F20" s="1634"/>
      <c r="G20" s="1634"/>
      <c r="H20" s="1634"/>
      <c r="I20" s="711"/>
      <c r="J20" s="1402"/>
      <c r="K20" s="1408" t="s">
        <v>17</v>
      </c>
      <c r="L20" s="1409"/>
      <c r="M20" s="1402"/>
    </row>
    <row r="21" spans="1:13" ht="24.95" customHeight="1">
      <c r="A21" s="694"/>
      <c r="B21" s="1376" t="str">
        <f t="shared" ref="B21:B23" si="2">K21</f>
        <v xml:space="preserve"> </v>
      </c>
      <c r="C21" s="1366">
        <f t="shared" ref="C21:C23" si="3">L21</f>
        <v>0</v>
      </c>
      <c r="D21" s="715"/>
      <c r="E21" s="716"/>
      <c r="F21" s="1634"/>
      <c r="G21" s="1634"/>
      <c r="H21" s="1634"/>
      <c r="I21" s="693"/>
      <c r="J21" s="1425">
        <v>4</v>
      </c>
      <c r="K21" s="1426" t="str">
        <f>IF($C$4=1,VLOOKUP($J21,New_Routes_ES,VLOOKUP('Background 17-18'!$C$2,Inst_Tables,19,FALSE),FALSE),"")</f>
        <v xml:space="preserve"> </v>
      </c>
      <c r="L21" s="1428">
        <f>IF($C$4=1,VLOOKUP($J21,New_Routes_ES,VLOOKUP('Background 17-18'!$C$2,Inst_Tables,20,FALSE),FALSE),"")</f>
        <v>0</v>
      </c>
      <c r="M21" s="1387"/>
    </row>
    <row r="22" spans="1:13" ht="24.95" customHeight="1">
      <c r="A22" s="694"/>
      <c r="B22" s="1376" t="str">
        <f t="shared" si="2"/>
        <v xml:space="preserve"> </v>
      </c>
      <c r="C22" s="1366">
        <f t="shared" si="3"/>
        <v>0</v>
      </c>
      <c r="D22" s="715"/>
      <c r="E22" s="716"/>
      <c r="F22" s="1634"/>
      <c r="G22" s="1634"/>
      <c r="H22" s="1634"/>
      <c r="I22" s="693"/>
      <c r="J22" s="1425">
        <v>5</v>
      </c>
      <c r="K22" s="1426" t="str">
        <f>IF($C$4=1,VLOOKUP($J22,New_Routes_ES,VLOOKUP('Background 17-18'!$C$2,Inst_Tables,19,FALSE),FALSE),"")</f>
        <v xml:space="preserve"> </v>
      </c>
      <c r="L22" s="1427">
        <f>IF($C$4=1,VLOOKUP($J22,New_Routes_ES,VLOOKUP('Background 17-18'!$C$2,Inst_Tables,20,FALSE),FALSE),"")</f>
        <v>0</v>
      </c>
      <c r="M22" s="1387"/>
    </row>
    <row r="23" spans="1:13" ht="24.95" customHeight="1" thickBot="1">
      <c r="A23" s="694"/>
      <c r="B23" s="1371" t="str">
        <f t="shared" si="2"/>
        <v xml:space="preserve"> </v>
      </c>
      <c r="C23" s="1366">
        <f t="shared" si="3"/>
        <v>0</v>
      </c>
      <c r="D23" s="715"/>
      <c r="E23" s="716"/>
      <c r="F23" s="1634"/>
      <c r="G23" s="1634"/>
      <c r="H23" s="1634"/>
      <c r="I23" s="693"/>
      <c r="J23" s="1425">
        <v>6</v>
      </c>
      <c r="K23" s="1426" t="str">
        <f>IF($C$4=1,VLOOKUP($J23,New_Routes_ES,VLOOKUP('Background 17-18'!$C$2,Inst_Tables,19,FALSE),FALSE),"")</f>
        <v xml:space="preserve"> </v>
      </c>
      <c r="L23" s="1427">
        <f>IF($C$4=1,VLOOKUP($J23,New_Routes_ES,VLOOKUP('Background 17-18'!$C$2,Inst_Tables,20,FALSE),FALSE),"")</f>
        <v>0</v>
      </c>
      <c r="M23" s="1387"/>
    </row>
    <row r="24" spans="1:13" ht="24.95" customHeight="1" thickBot="1">
      <c r="A24" s="694"/>
      <c r="B24" s="712" t="s">
        <v>3</v>
      </c>
      <c r="C24" s="1367">
        <f>SUM(C21:C23)</f>
        <v>0</v>
      </c>
      <c r="D24" s="715"/>
      <c r="E24" s="716"/>
      <c r="F24" s="1635">
        <f>'T1 Final Figures 2017-18'!$H$37</f>
        <v>0</v>
      </c>
      <c r="G24" s="1636">
        <f>C24-F24</f>
        <v>0</v>
      </c>
      <c r="H24" s="1637" t="str">
        <f>IF(ABS(G24)&gt;0.1,"Does not equal Table 1","OK")</f>
        <v>OK</v>
      </c>
      <c r="I24" s="693"/>
      <c r="J24" s="1387"/>
      <c r="K24" s="1410" t="s">
        <v>3</v>
      </c>
      <c r="L24" s="1407">
        <f>SUM(L21:L23)</f>
        <v>0</v>
      </c>
      <c r="M24" s="1387"/>
    </row>
    <row r="25" spans="1:13" ht="30" customHeight="1" thickBot="1">
      <c r="A25" s="694"/>
      <c r="B25" s="1373" t="s">
        <v>169</v>
      </c>
      <c r="C25" s="772">
        <f>SUM(C19,C24)</f>
        <v>8</v>
      </c>
      <c r="D25" s="715"/>
      <c r="E25" s="716"/>
      <c r="F25" s="1634"/>
      <c r="G25" s="1634"/>
      <c r="H25" s="1634"/>
      <c r="I25" s="693"/>
      <c r="J25" s="1387"/>
      <c r="K25" s="1411" t="s">
        <v>169</v>
      </c>
      <c r="L25" s="1412">
        <f>SUM(L19,L24)</f>
        <v>17</v>
      </c>
      <c r="M25" s="1387"/>
    </row>
    <row r="26" spans="1:13" ht="30" customHeight="1" thickBot="1">
      <c r="A26" s="694"/>
      <c r="B26" s="1863" t="s">
        <v>96</v>
      </c>
      <c r="C26" s="1864"/>
      <c r="D26" s="696"/>
      <c r="E26" s="697"/>
      <c r="F26" s="1634"/>
      <c r="G26" s="1634"/>
      <c r="H26" s="1634"/>
      <c r="I26" s="711"/>
      <c r="J26" s="1402"/>
      <c r="K26" s="1865" t="s">
        <v>96</v>
      </c>
      <c r="L26" s="1866"/>
      <c r="M26" s="1402"/>
    </row>
    <row r="27" spans="1:13" ht="24.95" customHeight="1">
      <c r="A27" s="694"/>
      <c r="B27" s="1370" t="s">
        <v>13</v>
      </c>
      <c r="C27" s="1369"/>
      <c r="D27" s="696"/>
      <c r="E27" s="697"/>
      <c r="F27" s="1634"/>
      <c r="G27" s="1634"/>
      <c r="H27" s="1634"/>
      <c r="I27" s="711"/>
      <c r="J27" s="1402"/>
      <c r="K27" s="1404" t="s">
        <v>13</v>
      </c>
      <c r="L27" s="1405"/>
      <c r="M27" s="1402"/>
    </row>
    <row r="28" spans="1:13" ht="24.95" customHeight="1">
      <c r="A28" s="694"/>
      <c r="B28" s="1376">
        <f>K28</f>
        <v>0</v>
      </c>
      <c r="C28" s="1366">
        <f t="shared" ref="C28:C30" si="4">L28</f>
        <v>0</v>
      </c>
      <c r="D28" s="715"/>
      <c r="E28" s="716"/>
      <c r="F28" s="1634"/>
      <c r="G28" s="1634"/>
      <c r="H28" s="1634"/>
      <c r="I28" s="693"/>
      <c r="J28" s="1425">
        <v>7</v>
      </c>
      <c r="K28" s="1426">
        <f>IF($C$4=1,VLOOKUP($J28,New_Routes_ES,VLOOKUP('Background 17-18'!$C$2,Inst_Tables,19,FALSE),FALSE),"")</f>
        <v>0</v>
      </c>
      <c r="L28" s="1427">
        <f>IF($C$4=1,VLOOKUP($J28,New_Routes_ES,VLOOKUP('Background 17-18'!$C$2,Inst_Tables,20,FALSE),FALSE),"")</f>
        <v>0</v>
      </c>
      <c r="M28" s="1387"/>
    </row>
    <row r="29" spans="1:13" ht="24.95" customHeight="1">
      <c r="A29" s="694"/>
      <c r="B29" s="1376">
        <f t="shared" ref="B29:B30" si="5">K29</f>
        <v>0</v>
      </c>
      <c r="C29" s="1366">
        <f t="shared" si="4"/>
        <v>0</v>
      </c>
      <c r="D29" s="715"/>
      <c r="E29" s="716"/>
      <c r="F29" s="1634"/>
      <c r="G29" s="1634"/>
      <c r="H29" s="1634"/>
      <c r="I29" s="693"/>
      <c r="J29" s="1425">
        <v>8</v>
      </c>
      <c r="K29" s="1426">
        <f>IF($C$4=1,VLOOKUP($J29,New_Routes_ES,VLOOKUP('Background 17-18'!$C$2,Inst_Tables,19,FALSE),FALSE),"")</f>
        <v>0</v>
      </c>
      <c r="L29" s="1427">
        <f>IF($C$4=1,VLOOKUP($J29,New_Routes_ES,VLOOKUP('Background 17-18'!$C$2,Inst_Tables,20,FALSE),FALSE),"")</f>
        <v>0</v>
      </c>
      <c r="M29" s="1387"/>
    </row>
    <row r="30" spans="1:13" ht="24.95" customHeight="1" thickBot="1">
      <c r="A30" s="694"/>
      <c r="B30" s="1371">
        <f t="shared" si="5"/>
        <v>0</v>
      </c>
      <c r="C30" s="1366">
        <f t="shared" si="4"/>
        <v>0</v>
      </c>
      <c r="D30" s="715"/>
      <c r="E30" s="716"/>
      <c r="F30" s="1634"/>
      <c r="G30" s="1634"/>
      <c r="H30" s="1634"/>
      <c r="I30" s="693"/>
      <c r="J30" s="1425">
        <v>9</v>
      </c>
      <c r="K30" s="1426">
        <f>IF($C$4=1,VLOOKUP($J30,New_Routes_ES,VLOOKUP('Background 17-18'!$C$2,Inst_Tables,19,FALSE),FALSE),"")</f>
        <v>0</v>
      </c>
      <c r="L30" s="1427">
        <f>IF($C$4=1,VLOOKUP($J30,New_Routes_ES,VLOOKUP('Background 17-18'!$C$2,Inst_Tables,20,FALSE),FALSE),"")</f>
        <v>0</v>
      </c>
      <c r="M30" s="1387"/>
    </row>
    <row r="31" spans="1:13" ht="24.95" customHeight="1" thickBot="1">
      <c r="A31" s="694"/>
      <c r="B31" s="1372" t="s">
        <v>3</v>
      </c>
      <c r="C31" s="1367">
        <f>SUM(C28:C30)</f>
        <v>0</v>
      </c>
      <c r="D31" s="715"/>
      <c r="E31" s="716"/>
      <c r="F31" s="1635">
        <f>'T1 Final Figures 2017-18'!$H$22</f>
        <v>0</v>
      </c>
      <c r="G31" s="1636">
        <f>C31-F31</f>
        <v>0</v>
      </c>
      <c r="H31" s="1637" t="str">
        <f>IF(ABS(G31)&gt;0.1,"Does not equal Table 1","OK")</f>
        <v>OK</v>
      </c>
      <c r="I31" s="693"/>
      <c r="J31" s="1387"/>
      <c r="K31" s="1406" t="s">
        <v>3</v>
      </c>
      <c r="L31" s="1407">
        <f>SUM(L28:L30)</f>
        <v>0</v>
      </c>
      <c r="M31" s="1387"/>
    </row>
    <row r="32" spans="1:13" ht="24.95" customHeight="1">
      <c r="A32" s="694"/>
      <c r="B32" s="1377" t="s">
        <v>17</v>
      </c>
      <c r="C32" s="1365"/>
      <c r="D32" s="696"/>
      <c r="E32" s="697"/>
      <c r="F32" s="1634"/>
      <c r="G32" s="1634"/>
      <c r="H32" s="1634"/>
      <c r="I32" s="711"/>
      <c r="J32" s="1402"/>
      <c r="K32" s="1408" t="s">
        <v>17</v>
      </c>
      <c r="L32" s="1409"/>
      <c r="M32" s="1402"/>
    </row>
    <row r="33" spans="1:13" ht="24.95" customHeight="1">
      <c r="A33" s="694"/>
      <c r="B33" s="1376">
        <f t="shared" ref="B33:B35" si="6">K33</f>
        <v>0</v>
      </c>
      <c r="C33" s="1366">
        <f t="shared" ref="C33:C35" si="7">L33</f>
        <v>0</v>
      </c>
      <c r="D33" s="715"/>
      <c r="E33" s="716"/>
      <c r="F33" s="1634"/>
      <c r="G33" s="1634"/>
      <c r="H33" s="1634"/>
      <c r="I33" s="693"/>
      <c r="J33" s="1425">
        <v>10</v>
      </c>
      <c r="K33" s="1426">
        <f>IF($C$4=1,VLOOKUP($J33,New_Routes_ES,VLOOKUP('Background 17-18'!$C$2,Inst_Tables,19,FALSE),FALSE),"")</f>
        <v>0</v>
      </c>
      <c r="L33" s="1428">
        <f>IF($C$4=1,VLOOKUP($J33,New_Routes_ES,VLOOKUP('Background 17-18'!$C$2,Inst_Tables,20,FALSE),FALSE),"")</f>
        <v>0</v>
      </c>
      <c r="M33" s="1387"/>
    </row>
    <row r="34" spans="1:13" ht="24.95" customHeight="1">
      <c r="A34" s="694"/>
      <c r="B34" s="1376">
        <f t="shared" si="6"/>
        <v>0</v>
      </c>
      <c r="C34" s="1366">
        <f t="shared" si="7"/>
        <v>0</v>
      </c>
      <c r="D34" s="715"/>
      <c r="E34" s="716"/>
      <c r="F34" s="1634"/>
      <c r="G34" s="1634"/>
      <c r="H34" s="1634"/>
      <c r="I34" s="693"/>
      <c r="J34" s="1425">
        <v>11</v>
      </c>
      <c r="K34" s="1426">
        <f>IF($C$4=1,VLOOKUP($J34,New_Routes_ES,VLOOKUP('Background 17-18'!$C$2,Inst_Tables,19,FALSE),FALSE),"")</f>
        <v>0</v>
      </c>
      <c r="L34" s="1427">
        <f>IF($C$4=1,VLOOKUP($J34,New_Routes_ES,VLOOKUP('Background 17-18'!$C$2,Inst_Tables,20,FALSE),FALSE),"")</f>
        <v>0</v>
      </c>
      <c r="M34" s="1387"/>
    </row>
    <row r="35" spans="1:13" ht="24.95" customHeight="1" thickBot="1">
      <c r="A35" s="694"/>
      <c r="B35" s="1371">
        <f t="shared" si="6"/>
        <v>0</v>
      </c>
      <c r="C35" s="1366">
        <f t="shared" si="7"/>
        <v>0</v>
      </c>
      <c r="D35" s="715"/>
      <c r="E35" s="716"/>
      <c r="F35" s="1634"/>
      <c r="G35" s="1634"/>
      <c r="H35" s="1634"/>
      <c r="I35" s="693"/>
      <c r="J35" s="1425">
        <v>12</v>
      </c>
      <c r="K35" s="1426">
        <f>IF($C$4=1,VLOOKUP($J35,New_Routes_ES,VLOOKUP('Background 17-18'!$C$2,Inst_Tables,19,FALSE),FALSE),"")</f>
        <v>0</v>
      </c>
      <c r="L35" s="1427">
        <f>IF($C$4=1,VLOOKUP($J35,New_Routes_ES,VLOOKUP('Background 17-18'!$C$2,Inst_Tables,20,FALSE),FALSE),"")</f>
        <v>0</v>
      </c>
      <c r="M35" s="1387"/>
    </row>
    <row r="36" spans="1:13" ht="24.95" customHeight="1" thickBot="1">
      <c r="A36" s="694"/>
      <c r="B36" s="712" t="s">
        <v>3</v>
      </c>
      <c r="C36" s="1367">
        <f>SUM(C33:C35)</f>
        <v>0</v>
      </c>
      <c r="D36" s="715"/>
      <c r="E36" s="716"/>
      <c r="F36" s="1635">
        <f>'T1 Final Figures 2017-18'!$H$38</f>
        <v>0</v>
      </c>
      <c r="G36" s="1636">
        <f>C36-F36</f>
        <v>0</v>
      </c>
      <c r="H36" s="1637" t="str">
        <f>IF(ABS(G36)&gt;0.1,"Does not equal Table 1","OK")</f>
        <v>OK</v>
      </c>
      <c r="I36" s="693"/>
      <c r="J36" s="1387"/>
      <c r="K36" s="1410" t="s">
        <v>3</v>
      </c>
      <c r="L36" s="1407">
        <f>SUM(L33:L35)</f>
        <v>0</v>
      </c>
      <c r="M36" s="1387"/>
    </row>
    <row r="37" spans="1:13" ht="24.95" customHeight="1" thickBot="1">
      <c r="A37" s="694"/>
      <c r="B37" s="1373" t="s">
        <v>170</v>
      </c>
      <c r="C37" s="772">
        <f>SUM(C31,C36)</f>
        <v>0</v>
      </c>
      <c r="D37" s="715"/>
      <c r="E37" s="716"/>
      <c r="F37" s="1634"/>
      <c r="G37" s="1634"/>
      <c r="H37" s="1634"/>
      <c r="I37" s="693"/>
      <c r="J37" s="1387"/>
      <c r="K37" s="1411" t="s">
        <v>170</v>
      </c>
      <c r="L37" s="1412">
        <f>SUM(L31,L36)</f>
        <v>0</v>
      </c>
      <c r="M37" s="1387"/>
    </row>
    <row r="38" spans="1:13" ht="30" customHeight="1" thickBot="1">
      <c r="A38" s="694"/>
      <c r="B38" s="1373" t="s">
        <v>3</v>
      </c>
      <c r="C38" s="772">
        <f>SUM(C25,C37)</f>
        <v>8</v>
      </c>
      <c r="D38" s="715"/>
      <c r="E38" s="716"/>
      <c r="F38" s="1634"/>
      <c r="G38" s="1634"/>
      <c r="H38" s="1634"/>
      <c r="I38" s="693"/>
      <c r="J38" s="1387"/>
      <c r="K38" s="1411" t="s">
        <v>3</v>
      </c>
      <c r="L38" s="1412">
        <f>SUM(L25,L37)</f>
        <v>17</v>
      </c>
      <c r="M38" s="1387"/>
    </row>
    <row r="39" spans="1:13" ht="24.95" customHeight="1">
      <c r="A39" s="694"/>
      <c r="B39" s="720" t="s">
        <v>402</v>
      </c>
      <c r="C39" s="721"/>
      <c r="D39" s="705"/>
      <c r="E39" s="706"/>
      <c r="F39" s="693"/>
      <c r="G39" s="693"/>
      <c r="H39" s="693"/>
      <c r="I39" s="693"/>
      <c r="J39" s="1387"/>
      <c r="K39" s="1413"/>
      <c r="L39" s="1414"/>
      <c r="M39" s="1387"/>
    </row>
    <row r="40" spans="1:13" ht="20.100000000000001" customHeight="1">
      <c r="A40" s="694"/>
      <c r="B40" s="695" t="s">
        <v>403</v>
      </c>
      <c r="C40" s="721"/>
      <c r="D40" s="705"/>
      <c r="E40" s="706"/>
      <c r="F40" s="693"/>
      <c r="G40" s="693"/>
      <c r="H40" s="693"/>
      <c r="I40" s="693"/>
      <c r="J40" s="1387"/>
      <c r="K40" s="1638"/>
      <c r="L40" s="1414"/>
      <c r="M40" s="1387"/>
    </row>
    <row r="41" spans="1:13">
      <c r="A41" s="722"/>
      <c r="B41" s="723"/>
      <c r="C41" s="724"/>
      <c r="D41" s="725"/>
      <c r="E41" s="706"/>
      <c r="F41" s="693"/>
      <c r="G41" s="693"/>
      <c r="H41" s="693"/>
      <c r="I41" s="693"/>
      <c r="J41" s="1389"/>
      <c r="K41" s="1415"/>
      <c r="L41" s="1391"/>
      <c r="M41" s="1389"/>
    </row>
    <row r="42" spans="1:13">
      <c r="B42" s="726"/>
      <c r="C42" s="727"/>
      <c r="D42" s="727"/>
      <c r="E42" s="727"/>
      <c r="K42" s="726"/>
      <c r="L42" s="727"/>
    </row>
    <row r="43" spans="1:13">
      <c r="C43" s="727"/>
      <c r="D43" s="727"/>
      <c r="E43" s="727"/>
      <c r="L43" s="727"/>
    </row>
    <row r="44" spans="1:13">
      <c r="C44" s="727"/>
      <c r="D44" s="727"/>
      <c r="E44" s="727"/>
      <c r="L44" s="727"/>
    </row>
    <row r="45" spans="1:13">
      <c r="C45" s="727"/>
      <c r="D45" s="727"/>
      <c r="E45" s="727"/>
      <c r="L45" s="727"/>
    </row>
  </sheetData>
  <sheetProtection password="E23E" sheet="1" objects="1" scenarios="1"/>
  <mergeCells count="6">
    <mergeCell ref="F10:H10"/>
    <mergeCell ref="B14:C14"/>
    <mergeCell ref="B26:C26"/>
    <mergeCell ref="K14:L14"/>
    <mergeCell ref="K26:L26"/>
    <mergeCell ref="G11:G12"/>
  </mergeCells>
  <conditionalFormatting sqref="F25:H25 F16:H18">
    <cfRule type="expression" dxfId="72" priority="45" stopIfTrue="1">
      <formula>#REF!=0</formula>
    </cfRule>
  </conditionalFormatting>
  <conditionalFormatting sqref="F21:H23">
    <cfRule type="expression" dxfId="71" priority="43" stopIfTrue="1">
      <formula>#REF!=0</formula>
    </cfRule>
  </conditionalFormatting>
  <conditionalFormatting sqref="A1:I1">
    <cfRule type="expression" dxfId="70" priority="46" stopIfTrue="1">
      <formula>$C$4=0</formula>
    </cfRule>
  </conditionalFormatting>
  <conditionalFormatting sqref="F37:H38">
    <cfRule type="expression" dxfId="69" priority="40" stopIfTrue="1">
      <formula>#REF!=0</formula>
    </cfRule>
  </conditionalFormatting>
  <conditionalFormatting sqref="C38">
    <cfRule type="expression" dxfId="68" priority="39" stopIfTrue="1">
      <formula>#REF!=0</formula>
    </cfRule>
  </conditionalFormatting>
  <conditionalFormatting sqref="F28:H30">
    <cfRule type="expression" dxfId="67" priority="37" stopIfTrue="1">
      <formula>#REF!=0</formula>
    </cfRule>
  </conditionalFormatting>
  <conditionalFormatting sqref="F19:H19">
    <cfRule type="expression" dxfId="66" priority="29" stopIfTrue="1">
      <formula>#REF!=0</formula>
    </cfRule>
  </conditionalFormatting>
  <conditionalFormatting sqref="F33:H35">
    <cfRule type="expression" dxfId="65" priority="28" stopIfTrue="1">
      <formula>#REF!=0</formula>
    </cfRule>
  </conditionalFormatting>
  <conditionalFormatting sqref="C37">
    <cfRule type="expression" dxfId="64" priority="23" stopIfTrue="1">
      <formula>#REF!=0</formula>
    </cfRule>
  </conditionalFormatting>
  <conditionalFormatting sqref="K1:L1">
    <cfRule type="expression" dxfId="63" priority="22" stopIfTrue="1">
      <formula>#REF!=0</formula>
    </cfRule>
  </conditionalFormatting>
  <conditionalFormatting sqref="L38">
    <cfRule type="expression" dxfId="62" priority="20" stopIfTrue="1">
      <formula>#REF!=0</formula>
    </cfRule>
  </conditionalFormatting>
  <conditionalFormatting sqref="B16:C18 B21:C23 B28:C30 B33:C35">
    <cfRule type="expression" dxfId="61" priority="2">
      <formula>$C$4=0</formula>
    </cfRule>
    <cfRule type="expression" dxfId="60" priority="7">
      <formula>B16&lt;&gt;K16</formula>
    </cfRule>
  </conditionalFormatting>
  <conditionalFormatting sqref="F31 F24 F36">
    <cfRule type="expression" dxfId="59" priority="6" stopIfTrue="1">
      <formula>#REF!=0</formula>
    </cfRule>
  </conditionalFormatting>
  <conditionalFormatting sqref="G24">
    <cfRule type="expression" dxfId="58" priority="5" stopIfTrue="1">
      <formula>#REF!=0</formula>
    </cfRule>
  </conditionalFormatting>
  <conditionalFormatting sqref="G36 G31">
    <cfRule type="expression" dxfId="57" priority="4" stopIfTrue="1">
      <formula>#REF!=0</formula>
    </cfRule>
  </conditionalFormatting>
  <conditionalFormatting sqref="H36 H31 H24">
    <cfRule type="expression" dxfId="56" priority="3" stopIfTrue="1">
      <formula>#REF!=0</formula>
    </cfRule>
  </conditionalFormatting>
  <conditionalFormatting sqref="K2">
    <cfRule type="expression" dxfId="55" priority="1" stopIfTrue="1">
      <formula>#REF!=0</formula>
    </cfRule>
  </conditionalFormatting>
  <dataValidations count="2">
    <dataValidation type="decimal" operator="greaterThanOrEqual" allowBlank="1" showInputMessage="1" showErrorMessage="1" errorTitle="ERROR!" error="Invalid Entry" sqref="C37:C38 L25 C25 L37:L38">
      <formula1>0</formula1>
    </dataValidation>
    <dataValidation type="decimal" operator="greaterThanOrEqual" allowBlank="1" showInputMessage="1" showErrorMessage="1" error="Invalid Entry" sqref="C16:C18 C21:C23 C28:C30 C33:C35">
      <formula1>0</formula1>
    </dataValidation>
  </dataValidations>
  <pageMargins left="0.19685039370078741" right="0.19685039370078741" top="0.19685039370078741" bottom="0.39370078740157483" header="0" footer="0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zoomScale="70" zoomScaleNormal="70" workbookViewId="0"/>
  </sheetViews>
  <sheetFormatPr defaultColWidth="9.140625" defaultRowHeight="15"/>
  <cols>
    <col min="1" max="1" width="2.7109375" style="687" customWidth="1"/>
    <col min="2" max="2" width="35.7109375" style="687" customWidth="1"/>
    <col min="3" max="14" width="12.7109375" style="687" customWidth="1"/>
    <col min="15" max="15" width="13.7109375" style="687" customWidth="1"/>
    <col min="16" max="22" width="12.7109375" style="687" customWidth="1"/>
    <col min="23" max="23" width="15.7109375" style="687" customWidth="1"/>
    <col min="24" max="25" width="13.7109375" style="687" customWidth="1"/>
    <col min="26" max="26" width="15.7109375" style="687" customWidth="1"/>
    <col min="27" max="28" width="4.7109375" style="687" customWidth="1"/>
    <col min="29" max="29" width="35.7109375" style="687" customWidth="1"/>
    <col min="30" max="41" width="12.7109375" style="687" customWidth="1"/>
    <col min="42" max="42" width="13.7109375" style="687" customWidth="1"/>
    <col min="43" max="49" width="12.7109375" style="687" customWidth="1"/>
    <col min="50" max="50" width="15.7109375" style="687" customWidth="1"/>
    <col min="51" max="52" width="13.7109375" style="687" customWidth="1"/>
    <col min="53" max="53" width="15.7109375" style="687" customWidth="1"/>
    <col min="54" max="16384" width="9.140625" style="687"/>
  </cols>
  <sheetData>
    <row r="1" spans="1:54" ht="30" customHeight="1">
      <c r="A1" s="728"/>
      <c r="B1" s="1429" t="str">
        <f>IF(G4=0,"Your Institution Does Not Complete This Table","")</f>
        <v/>
      </c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728"/>
      <c r="W1" s="728"/>
      <c r="X1" s="728"/>
      <c r="Y1" s="728"/>
      <c r="Z1" s="728"/>
      <c r="AA1" s="728"/>
      <c r="AB1" s="1387"/>
      <c r="AC1" s="1389"/>
      <c r="AD1" s="1389"/>
      <c r="AE1" s="1389"/>
      <c r="AF1" s="1389"/>
      <c r="AG1" s="1389"/>
      <c r="AH1" s="1389"/>
      <c r="AI1" s="1389"/>
      <c r="AJ1" s="1389"/>
      <c r="AK1" s="1389"/>
      <c r="AL1" s="1389"/>
      <c r="AM1" s="1389"/>
      <c r="AN1" s="1389"/>
      <c r="AO1" s="1389"/>
      <c r="AP1" s="1389"/>
      <c r="AQ1" s="1389"/>
      <c r="AR1" s="1389"/>
      <c r="AS1" s="1389"/>
      <c r="AT1" s="1389"/>
      <c r="AU1" s="1389"/>
      <c r="AV1" s="1389"/>
      <c r="AW1" s="1389"/>
      <c r="AX1" s="1389"/>
      <c r="AY1" s="1389"/>
      <c r="AZ1" s="1389"/>
      <c r="BA1" s="1389"/>
      <c r="BB1" s="1387"/>
    </row>
    <row r="2" spans="1:54" ht="24.95" customHeight="1">
      <c r="A2" s="688"/>
      <c r="B2" s="689" t="s">
        <v>378</v>
      </c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1"/>
      <c r="AB2" s="1446"/>
      <c r="AC2" s="1390" t="s">
        <v>407</v>
      </c>
      <c r="AD2" s="1446"/>
      <c r="AE2" s="1446"/>
      <c r="AF2" s="1446"/>
      <c r="AG2" s="1446"/>
      <c r="AH2" s="1446"/>
      <c r="AI2" s="1446"/>
      <c r="AJ2" s="1446"/>
      <c r="AK2" s="1446"/>
      <c r="AL2" s="1446"/>
      <c r="AM2" s="1446"/>
      <c r="AN2" s="1446"/>
      <c r="AO2" s="1446"/>
      <c r="AP2" s="1446"/>
      <c r="AQ2" s="1493"/>
      <c r="AR2" s="1493"/>
      <c r="AS2" s="1493"/>
      <c r="AT2" s="1493"/>
      <c r="AU2" s="1493"/>
      <c r="AV2" s="1493"/>
      <c r="AW2" s="1493"/>
      <c r="AX2" s="1493"/>
      <c r="AY2" s="1493"/>
      <c r="AZ2" s="1493"/>
      <c r="BA2" s="1493"/>
      <c r="BB2" s="1387"/>
    </row>
    <row r="3" spans="1:54" ht="15.75" thickBot="1">
      <c r="A3" s="694"/>
      <c r="B3" s="733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734"/>
      <c r="AB3" s="1446"/>
      <c r="AC3" s="1447"/>
      <c r="AD3" s="1393"/>
      <c r="AE3" s="1393"/>
      <c r="AF3" s="1393"/>
      <c r="AG3" s="1393"/>
      <c r="AH3" s="1393"/>
      <c r="AI3" s="1393"/>
      <c r="AJ3" s="1393"/>
      <c r="AK3" s="1393"/>
      <c r="AL3" s="1393"/>
      <c r="AM3" s="1393"/>
      <c r="AN3" s="1393"/>
      <c r="AO3" s="1393"/>
      <c r="AP3" s="1393"/>
      <c r="AQ3" s="1393"/>
      <c r="AR3" s="1393"/>
      <c r="AS3" s="1393"/>
      <c r="AT3" s="1393"/>
      <c r="AU3" s="1393"/>
      <c r="AV3" s="1393"/>
      <c r="AW3" s="1393"/>
      <c r="AX3" s="1393"/>
      <c r="AY3" s="1393"/>
      <c r="AZ3" s="1393"/>
      <c r="BA3" s="1393"/>
      <c r="BB3" s="1387"/>
    </row>
    <row r="4" spans="1:54" ht="30" customHeight="1" thickBot="1">
      <c r="A4" s="694"/>
      <c r="B4" s="735" t="s">
        <v>5</v>
      </c>
      <c r="C4" s="1871" t="str">
        <f>'Background 17-18'!$D$2</f>
        <v>Glasgow, University of</v>
      </c>
      <c r="D4" s="1872"/>
      <c r="E4" s="1872"/>
      <c r="F4" s="1873"/>
      <c r="G4" s="591">
        <f>VLOOKUP('Background 17-18'!$C$2,Inst_Tables,11,FALSE)</f>
        <v>1</v>
      </c>
      <c r="H4" s="699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734"/>
      <c r="AB4" s="1446"/>
      <c r="AC4" s="1448" t="s">
        <v>5</v>
      </c>
      <c r="AD4" s="1879" t="str">
        <f>'Background 17-18'!$D$2</f>
        <v>Glasgow, University of</v>
      </c>
      <c r="AE4" s="1880"/>
      <c r="AF4" s="1880"/>
      <c r="AG4" s="1881"/>
      <c r="AH4" s="1395">
        <f>VLOOKUP('Background 17-18'!$C$2,Inst_Tables,11,FALSE)</f>
        <v>1</v>
      </c>
      <c r="AI4" s="1389"/>
      <c r="AJ4" s="1393"/>
      <c r="AK4" s="1393"/>
      <c r="AL4" s="1393"/>
      <c r="AM4" s="1393"/>
      <c r="AN4" s="1393"/>
      <c r="AO4" s="1393"/>
      <c r="AP4" s="1393"/>
      <c r="AQ4" s="1393"/>
      <c r="AR4" s="1393"/>
      <c r="AS4" s="1393"/>
      <c r="AT4" s="1393"/>
      <c r="AU4" s="1393"/>
      <c r="AV4" s="1393"/>
      <c r="AW4" s="1393"/>
      <c r="AX4" s="1393"/>
      <c r="AY4" s="1393"/>
      <c r="AZ4" s="1393"/>
      <c r="BA4" s="1393"/>
      <c r="BB4" s="1387"/>
    </row>
    <row r="5" spans="1:54" ht="24.95" customHeight="1">
      <c r="A5" s="694"/>
      <c r="B5" s="736" t="s">
        <v>379</v>
      </c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13"/>
      <c r="AB5" s="1446"/>
      <c r="AC5" s="1449" t="s">
        <v>379</v>
      </c>
      <c r="AD5" s="1446"/>
      <c r="AE5" s="1446"/>
      <c r="AF5" s="1446"/>
      <c r="AG5" s="1446"/>
      <c r="AH5" s="1446"/>
      <c r="AI5" s="1446"/>
      <c r="AJ5" s="1446"/>
      <c r="AK5" s="1446"/>
      <c r="AL5" s="1446"/>
      <c r="AM5" s="1446"/>
      <c r="AN5" s="1446"/>
      <c r="AO5" s="1446"/>
      <c r="AP5" s="1446"/>
      <c r="AQ5" s="1446"/>
      <c r="AR5" s="1446"/>
      <c r="AS5" s="1446"/>
      <c r="AT5" s="1446"/>
      <c r="AU5" s="1446"/>
      <c r="AV5" s="1446"/>
      <c r="AW5" s="1446"/>
      <c r="AX5" s="1446"/>
      <c r="AY5" s="1446"/>
      <c r="AZ5" s="1446"/>
      <c r="BA5" s="1446"/>
      <c r="BB5" s="1387"/>
    </row>
    <row r="6" spans="1:54" ht="24.95" customHeight="1">
      <c r="A6" s="694"/>
      <c r="B6" s="1706" t="s">
        <v>435</v>
      </c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13"/>
      <c r="AB6" s="1446"/>
      <c r="AC6" s="1449"/>
      <c r="AD6" s="1446"/>
      <c r="AE6" s="1446"/>
      <c r="AF6" s="1446"/>
      <c r="AG6" s="1446"/>
      <c r="AH6" s="1446"/>
      <c r="AI6" s="1446"/>
      <c r="AJ6" s="1446"/>
      <c r="AK6" s="1446"/>
      <c r="AL6" s="1446"/>
      <c r="AM6" s="1446"/>
      <c r="AN6" s="1446"/>
      <c r="AO6" s="1446"/>
      <c r="AP6" s="1446"/>
      <c r="AQ6" s="1446"/>
      <c r="AR6" s="1446"/>
      <c r="AS6" s="1446"/>
      <c r="AT6" s="1446"/>
      <c r="AU6" s="1446"/>
      <c r="AV6" s="1446"/>
      <c r="AW6" s="1446"/>
      <c r="AX6" s="1446"/>
      <c r="AY6" s="1446"/>
      <c r="AZ6" s="1446"/>
      <c r="BA6" s="1446"/>
      <c r="BB6" s="1387"/>
    </row>
    <row r="7" spans="1:54" ht="9.9499999999999993" customHeight="1" thickBot="1">
      <c r="A7" s="694"/>
      <c r="B7" s="737"/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13"/>
      <c r="AB7" s="1446"/>
      <c r="AC7" s="1450"/>
      <c r="AD7" s="1446"/>
      <c r="AE7" s="1446"/>
      <c r="AF7" s="1446"/>
      <c r="AG7" s="1446"/>
      <c r="AH7" s="1446"/>
      <c r="AI7" s="1446"/>
      <c r="AJ7" s="1446"/>
      <c r="AK7" s="1446"/>
      <c r="AL7" s="1446"/>
      <c r="AM7" s="1446"/>
      <c r="AN7" s="1446"/>
      <c r="AO7" s="1446"/>
      <c r="AP7" s="1446"/>
      <c r="AQ7" s="1446"/>
      <c r="AR7" s="1446"/>
      <c r="AS7" s="1446"/>
      <c r="AT7" s="1446"/>
      <c r="AU7" s="1446"/>
      <c r="AV7" s="1446"/>
      <c r="AW7" s="1446"/>
      <c r="AX7" s="1446"/>
      <c r="AY7" s="1446"/>
      <c r="AZ7" s="1446"/>
      <c r="BA7" s="1446"/>
      <c r="BB7" s="1387"/>
    </row>
    <row r="8" spans="1:54" ht="30">
      <c r="A8" s="694"/>
      <c r="B8" s="738"/>
      <c r="C8" s="1423" t="s">
        <v>172</v>
      </c>
      <c r="D8" s="1874" t="s">
        <v>173</v>
      </c>
      <c r="E8" s="1875"/>
      <c r="F8" s="1875"/>
      <c r="G8" s="1875"/>
      <c r="H8" s="1875"/>
      <c r="I8" s="1875"/>
      <c r="J8" s="1875"/>
      <c r="K8" s="1875"/>
      <c r="L8" s="1875"/>
      <c r="M8" s="1875"/>
      <c r="N8" s="1875"/>
      <c r="O8" s="1875"/>
      <c r="P8" s="1875"/>
      <c r="Q8" s="1875"/>
      <c r="R8" s="1875"/>
      <c r="S8" s="1875"/>
      <c r="T8" s="1875"/>
      <c r="U8" s="1875"/>
      <c r="V8" s="1875"/>
      <c r="W8" s="1875"/>
      <c r="X8" s="1876"/>
      <c r="Y8" s="739" t="s">
        <v>3</v>
      </c>
      <c r="Z8" s="1877" t="s">
        <v>174</v>
      </c>
      <c r="AA8" s="740"/>
      <c r="AB8" s="1446"/>
      <c r="AC8" s="1451"/>
      <c r="AD8" s="1453" t="s">
        <v>172</v>
      </c>
      <c r="AE8" s="1882" t="s">
        <v>173</v>
      </c>
      <c r="AF8" s="1883"/>
      <c r="AG8" s="1883"/>
      <c r="AH8" s="1883"/>
      <c r="AI8" s="1883"/>
      <c r="AJ8" s="1883"/>
      <c r="AK8" s="1883"/>
      <c r="AL8" s="1883"/>
      <c r="AM8" s="1883"/>
      <c r="AN8" s="1883"/>
      <c r="AO8" s="1883"/>
      <c r="AP8" s="1883"/>
      <c r="AQ8" s="1883"/>
      <c r="AR8" s="1883"/>
      <c r="AS8" s="1883"/>
      <c r="AT8" s="1883"/>
      <c r="AU8" s="1883"/>
      <c r="AV8" s="1883"/>
      <c r="AW8" s="1883"/>
      <c r="AX8" s="1883"/>
      <c r="AY8" s="1884"/>
      <c r="AZ8" s="1452" t="s">
        <v>3</v>
      </c>
      <c r="BA8" s="1869" t="s">
        <v>174</v>
      </c>
      <c r="BB8" s="1387"/>
    </row>
    <row r="9" spans="1:54" ht="45">
      <c r="A9" s="694"/>
      <c r="B9" s="752" t="s">
        <v>382</v>
      </c>
      <c r="C9" s="741"/>
      <c r="D9" s="742" t="s">
        <v>176</v>
      </c>
      <c r="E9" s="703" t="s">
        <v>177</v>
      </c>
      <c r="F9" s="743" t="s">
        <v>178</v>
      </c>
      <c r="G9" s="703" t="s">
        <v>179</v>
      </c>
      <c r="H9" s="703" t="s">
        <v>180</v>
      </c>
      <c r="I9" s="703" t="s">
        <v>181</v>
      </c>
      <c r="J9" s="703" t="s">
        <v>182</v>
      </c>
      <c r="K9" s="703" t="s">
        <v>183</v>
      </c>
      <c r="L9" s="703" t="s">
        <v>184</v>
      </c>
      <c r="M9" s="703" t="s">
        <v>185</v>
      </c>
      <c r="N9" s="743" t="s">
        <v>186</v>
      </c>
      <c r="O9" s="703" t="s">
        <v>187</v>
      </c>
      <c r="P9" s="743" t="s">
        <v>188</v>
      </c>
      <c r="Q9" s="743" t="s">
        <v>189</v>
      </c>
      <c r="R9" s="703" t="s">
        <v>190</v>
      </c>
      <c r="S9" s="743" t="s">
        <v>191</v>
      </c>
      <c r="T9" s="703" t="s">
        <v>192</v>
      </c>
      <c r="U9" s="743" t="s">
        <v>193</v>
      </c>
      <c r="V9" s="743" t="s">
        <v>194</v>
      </c>
      <c r="W9" s="704" t="s">
        <v>195</v>
      </c>
      <c r="X9" s="744" t="s">
        <v>196</v>
      </c>
      <c r="Y9" s="745"/>
      <c r="Z9" s="1878"/>
      <c r="AA9" s="746"/>
      <c r="AB9" s="1446"/>
      <c r="AC9" s="1454" t="s">
        <v>175</v>
      </c>
      <c r="AD9" s="1401"/>
      <c r="AE9" s="1455" t="s">
        <v>176</v>
      </c>
      <c r="AF9" s="1456" t="s">
        <v>177</v>
      </c>
      <c r="AG9" s="1457" t="s">
        <v>178</v>
      </c>
      <c r="AH9" s="1456" t="s">
        <v>179</v>
      </c>
      <c r="AI9" s="1456" t="s">
        <v>180</v>
      </c>
      <c r="AJ9" s="1456" t="s">
        <v>181</v>
      </c>
      <c r="AK9" s="1456" t="s">
        <v>182</v>
      </c>
      <c r="AL9" s="1456" t="s">
        <v>183</v>
      </c>
      <c r="AM9" s="1456" t="s">
        <v>184</v>
      </c>
      <c r="AN9" s="1456" t="s">
        <v>185</v>
      </c>
      <c r="AO9" s="1457" t="s">
        <v>186</v>
      </c>
      <c r="AP9" s="1456" t="s">
        <v>187</v>
      </c>
      <c r="AQ9" s="1457" t="s">
        <v>188</v>
      </c>
      <c r="AR9" s="1457" t="s">
        <v>189</v>
      </c>
      <c r="AS9" s="1456" t="s">
        <v>190</v>
      </c>
      <c r="AT9" s="1457" t="s">
        <v>191</v>
      </c>
      <c r="AU9" s="1456" t="s">
        <v>192</v>
      </c>
      <c r="AV9" s="1457" t="s">
        <v>193</v>
      </c>
      <c r="AW9" s="1457" t="s">
        <v>194</v>
      </c>
      <c r="AX9" s="1458" t="s">
        <v>195</v>
      </c>
      <c r="AY9" s="1459" t="s">
        <v>196</v>
      </c>
      <c r="AZ9" s="1460"/>
      <c r="BA9" s="1870"/>
      <c r="BB9" s="1387"/>
    </row>
    <row r="10" spans="1:54" ht="24.95" customHeight="1">
      <c r="A10" s="694"/>
      <c r="B10" s="747"/>
      <c r="C10" s="741" t="s">
        <v>26</v>
      </c>
      <c r="D10" s="748" t="s">
        <v>26</v>
      </c>
      <c r="E10" s="749" t="s">
        <v>26</v>
      </c>
      <c r="F10" s="749" t="s">
        <v>26</v>
      </c>
      <c r="G10" s="749" t="s">
        <v>26</v>
      </c>
      <c r="H10" s="749" t="s">
        <v>26</v>
      </c>
      <c r="I10" s="749" t="s">
        <v>26</v>
      </c>
      <c r="J10" s="749" t="s">
        <v>26</v>
      </c>
      <c r="K10" s="749" t="s">
        <v>26</v>
      </c>
      <c r="L10" s="749" t="s">
        <v>26</v>
      </c>
      <c r="M10" s="749" t="s">
        <v>26</v>
      </c>
      <c r="N10" s="749" t="s">
        <v>26</v>
      </c>
      <c r="O10" s="749" t="s">
        <v>26</v>
      </c>
      <c r="P10" s="749" t="s">
        <v>26</v>
      </c>
      <c r="Q10" s="749" t="s">
        <v>26</v>
      </c>
      <c r="R10" s="749" t="s">
        <v>26</v>
      </c>
      <c r="S10" s="749" t="s">
        <v>26</v>
      </c>
      <c r="T10" s="749" t="s">
        <v>26</v>
      </c>
      <c r="U10" s="749" t="s">
        <v>26</v>
      </c>
      <c r="V10" s="749" t="s">
        <v>26</v>
      </c>
      <c r="W10" s="750" t="s">
        <v>26</v>
      </c>
      <c r="X10" s="751" t="s">
        <v>26</v>
      </c>
      <c r="Y10" s="751" t="s">
        <v>26</v>
      </c>
      <c r="Z10" s="1424" t="s">
        <v>26</v>
      </c>
      <c r="AA10" s="746"/>
      <c r="AB10" s="1391"/>
      <c r="AC10" s="1461"/>
      <c r="AD10" s="1401" t="s">
        <v>26</v>
      </c>
      <c r="AE10" s="1462" t="s">
        <v>26</v>
      </c>
      <c r="AF10" s="1463" t="s">
        <v>26</v>
      </c>
      <c r="AG10" s="1463" t="s">
        <v>26</v>
      </c>
      <c r="AH10" s="1463" t="s">
        <v>26</v>
      </c>
      <c r="AI10" s="1463" t="s">
        <v>26</v>
      </c>
      <c r="AJ10" s="1463" t="s">
        <v>26</v>
      </c>
      <c r="AK10" s="1463" t="s">
        <v>26</v>
      </c>
      <c r="AL10" s="1463" t="s">
        <v>26</v>
      </c>
      <c r="AM10" s="1463" t="s">
        <v>26</v>
      </c>
      <c r="AN10" s="1463" t="s">
        <v>26</v>
      </c>
      <c r="AO10" s="1463" t="s">
        <v>26</v>
      </c>
      <c r="AP10" s="1463" t="s">
        <v>26</v>
      </c>
      <c r="AQ10" s="1463" t="s">
        <v>26</v>
      </c>
      <c r="AR10" s="1463" t="s">
        <v>26</v>
      </c>
      <c r="AS10" s="1463" t="s">
        <v>26</v>
      </c>
      <c r="AT10" s="1463" t="s">
        <v>26</v>
      </c>
      <c r="AU10" s="1463" t="s">
        <v>26</v>
      </c>
      <c r="AV10" s="1463" t="s">
        <v>26</v>
      </c>
      <c r="AW10" s="1463" t="s">
        <v>26</v>
      </c>
      <c r="AX10" s="1464" t="s">
        <v>26</v>
      </c>
      <c r="AY10" s="1465" t="s">
        <v>26</v>
      </c>
      <c r="AZ10" s="1465" t="s">
        <v>26</v>
      </c>
      <c r="BA10" s="1466" t="s">
        <v>26</v>
      </c>
      <c r="BB10" s="1387"/>
    </row>
    <row r="11" spans="1:54" ht="24.95" customHeight="1">
      <c r="A11" s="694"/>
      <c r="B11" s="747"/>
      <c r="C11" s="741" t="s">
        <v>6</v>
      </c>
      <c r="D11" s="752" t="s">
        <v>6</v>
      </c>
      <c r="E11" s="708" t="s">
        <v>6</v>
      </c>
      <c r="F11" s="753" t="s">
        <v>6</v>
      </c>
      <c r="G11" s="708" t="s">
        <v>6</v>
      </c>
      <c r="H11" s="753" t="s">
        <v>6</v>
      </c>
      <c r="I11" s="708" t="s">
        <v>6</v>
      </c>
      <c r="J11" s="753" t="s">
        <v>6</v>
      </c>
      <c r="K11" s="708" t="s">
        <v>6</v>
      </c>
      <c r="L11" s="753" t="s">
        <v>6</v>
      </c>
      <c r="M11" s="708" t="s">
        <v>6</v>
      </c>
      <c r="N11" s="753" t="s">
        <v>6</v>
      </c>
      <c r="O11" s="708" t="s">
        <v>6</v>
      </c>
      <c r="P11" s="708" t="s">
        <v>6</v>
      </c>
      <c r="Q11" s="708" t="s">
        <v>6</v>
      </c>
      <c r="R11" s="708" t="s">
        <v>6</v>
      </c>
      <c r="S11" s="708" t="s">
        <v>6</v>
      </c>
      <c r="T11" s="708" t="s">
        <v>6</v>
      </c>
      <c r="U11" s="708" t="s">
        <v>6</v>
      </c>
      <c r="V11" s="708" t="s">
        <v>6</v>
      </c>
      <c r="W11" s="709" t="s">
        <v>6</v>
      </c>
      <c r="X11" s="1430" t="s">
        <v>380</v>
      </c>
      <c r="Y11" s="1430" t="s">
        <v>380</v>
      </c>
      <c r="Z11" s="741" t="s">
        <v>380</v>
      </c>
      <c r="AA11" s="746"/>
      <c r="AB11" s="1391"/>
      <c r="AC11" s="1461"/>
      <c r="AD11" s="1401" t="s">
        <v>429</v>
      </c>
      <c r="AE11" s="1467" t="s">
        <v>429</v>
      </c>
      <c r="AF11" s="1468" t="s">
        <v>429</v>
      </c>
      <c r="AG11" s="1469" t="s">
        <v>429</v>
      </c>
      <c r="AH11" s="1468" t="s">
        <v>429</v>
      </c>
      <c r="AI11" s="1469" t="s">
        <v>429</v>
      </c>
      <c r="AJ11" s="1468" t="s">
        <v>429</v>
      </c>
      <c r="AK11" s="1469" t="s">
        <v>429</v>
      </c>
      <c r="AL11" s="1468" t="s">
        <v>429</v>
      </c>
      <c r="AM11" s="1469" t="s">
        <v>429</v>
      </c>
      <c r="AN11" s="1468" t="s">
        <v>429</v>
      </c>
      <c r="AO11" s="1469" t="s">
        <v>429</v>
      </c>
      <c r="AP11" s="1468" t="s">
        <v>429</v>
      </c>
      <c r="AQ11" s="1468" t="s">
        <v>429</v>
      </c>
      <c r="AR11" s="1468" t="s">
        <v>429</v>
      </c>
      <c r="AS11" s="1468" t="s">
        <v>429</v>
      </c>
      <c r="AT11" s="1468" t="s">
        <v>429</v>
      </c>
      <c r="AU11" s="1468" t="s">
        <v>429</v>
      </c>
      <c r="AV11" s="1468" t="s">
        <v>429</v>
      </c>
      <c r="AW11" s="1468" t="s">
        <v>429</v>
      </c>
      <c r="AX11" s="1470" t="s">
        <v>429</v>
      </c>
      <c r="AY11" s="1471" t="s">
        <v>429</v>
      </c>
      <c r="AZ11" s="1471" t="s">
        <v>429</v>
      </c>
      <c r="BA11" s="1401" t="s">
        <v>429</v>
      </c>
      <c r="BB11" s="1387"/>
    </row>
    <row r="12" spans="1:54" ht="24.95" customHeight="1" thickBot="1">
      <c r="A12" s="694"/>
      <c r="B12" s="754"/>
      <c r="C12" s="755">
        <v>1</v>
      </c>
      <c r="D12" s="756">
        <v>2</v>
      </c>
      <c r="E12" s="757">
        <v>3</v>
      </c>
      <c r="F12" s="757">
        <v>4</v>
      </c>
      <c r="G12" s="757">
        <v>5</v>
      </c>
      <c r="H12" s="757">
        <v>6</v>
      </c>
      <c r="I12" s="757">
        <v>7</v>
      </c>
      <c r="J12" s="757">
        <v>8</v>
      </c>
      <c r="K12" s="757">
        <v>9</v>
      </c>
      <c r="L12" s="757">
        <v>10</v>
      </c>
      <c r="M12" s="757">
        <v>11</v>
      </c>
      <c r="N12" s="757">
        <v>12</v>
      </c>
      <c r="O12" s="757">
        <v>13</v>
      </c>
      <c r="P12" s="757">
        <v>14</v>
      </c>
      <c r="Q12" s="757">
        <v>15</v>
      </c>
      <c r="R12" s="757">
        <v>16</v>
      </c>
      <c r="S12" s="757">
        <v>17</v>
      </c>
      <c r="T12" s="757">
        <v>18</v>
      </c>
      <c r="U12" s="757">
        <v>19</v>
      </c>
      <c r="V12" s="757">
        <v>20</v>
      </c>
      <c r="W12" s="758">
        <v>21</v>
      </c>
      <c r="X12" s="759">
        <v>22</v>
      </c>
      <c r="Y12" s="755">
        <v>23</v>
      </c>
      <c r="Z12" s="755">
        <v>24</v>
      </c>
      <c r="AA12" s="760"/>
      <c r="AB12" s="1391"/>
      <c r="AC12" s="1472"/>
      <c r="AD12" s="1473">
        <v>25</v>
      </c>
      <c r="AE12" s="1474">
        <v>26</v>
      </c>
      <c r="AF12" s="1475">
        <v>27</v>
      </c>
      <c r="AG12" s="1475">
        <v>28</v>
      </c>
      <c r="AH12" s="1475">
        <v>29</v>
      </c>
      <c r="AI12" s="1475">
        <v>30</v>
      </c>
      <c r="AJ12" s="1475">
        <v>31</v>
      </c>
      <c r="AK12" s="1475">
        <v>32</v>
      </c>
      <c r="AL12" s="1475">
        <v>33</v>
      </c>
      <c r="AM12" s="1475">
        <v>34</v>
      </c>
      <c r="AN12" s="1475">
        <v>35</v>
      </c>
      <c r="AO12" s="1475">
        <v>36</v>
      </c>
      <c r="AP12" s="1475">
        <v>37</v>
      </c>
      <c r="AQ12" s="1475">
        <v>38</v>
      </c>
      <c r="AR12" s="1475">
        <v>39</v>
      </c>
      <c r="AS12" s="1475">
        <v>40</v>
      </c>
      <c r="AT12" s="1475">
        <v>41</v>
      </c>
      <c r="AU12" s="1475">
        <v>42</v>
      </c>
      <c r="AV12" s="1475">
        <v>43</v>
      </c>
      <c r="AW12" s="1475">
        <v>44</v>
      </c>
      <c r="AX12" s="1476">
        <v>45</v>
      </c>
      <c r="AY12" s="1477">
        <v>46</v>
      </c>
      <c r="AZ12" s="1473">
        <v>47</v>
      </c>
      <c r="BA12" s="1473">
        <v>48</v>
      </c>
      <c r="BB12" s="1387"/>
    </row>
    <row r="13" spans="1:54" ht="20.100000000000001" customHeight="1">
      <c r="A13" s="694"/>
      <c r="B13" s="761" t="s">
        <v>176</v>
      </c>
      <c r="C13" s="1491">
        <f>AD13</f>
        <v>20</v>
      </c>
      <c r="D13" s="1546"/>
      <c r="E13" s="762">
        <f t="shared" ref="E13" si="0">AF13</f>
        <v>0</v>
      </c>
      <c r="F13" s="763">
        <f t="shared" ref="F13:F14" si="1">AG13</f>
        <v>0</v>
      </c>
      <c r="G13" s="764">
        <f t="shared" ref="G13:G15" si="2">AH13</f>
        <v>0</v>
      </c>
      <c r="H13" s="762">
        <f t="shared" ref="H13:H16" si="3">AI13</f>
        <v>0</v>
      </c>
      <c r="I13" s="762">
        <f t="shared" ref="I13:I17" si="4">AJ13</f>
        <v>0</v>
      </c>
      <c r="J13" s="763">
        <f t="shared" ref="I13:J18" si="5">AK13</f>
        <v>0</v>
      </c>
      <c r="K13" s="764">
        <f t="shared" ref="K13:K19" si="6">AL13</f>
        <v>0</v>
      </c>
      <c r="L13" s="762">
        <f t="shared" ref="L13:L20" si="7">AM13</f>
        <v>0</v>
      </c>
      <c r="M13" s="762">
        <f t="shared" ref="M13:M21" si="8">AN13</f>
        <v>0</v>
      </c>
      <c r="N13" s="765">
        <f t="shared" ref="N13:N22" si="9">AO13</f>
        <v>0</v>
      </c>
      <c r="O13" s="766">
        <f t="shared" ref="O13:W13" si="10">AP13</f>
        <v>0</v>
      </c>
      <c r="P13" s="766">
        <f t="shared" si="10"/>
        <v>0</v>
      </c>
      <c r="Q13" s="766">
        <f t="shared" si="10"/>
        <v>0</v>
      </c>
      <c r="R13" s="766">
        <f t="shared" si="10"/>
        <v>0</v>
      </c>
      <c r="S13" s="766">
        <f t="shared" si="10"/>
        <v>0</v>
      </c>
      <c r="T13" s="766">
        <f t="shared" si="10"/>
        <v>0</v>
      </c>
      <c r="U13" s="766">
        <f t="shared" si="10"/>
        <v>0</v>
      </c>
      <c r="V13" s="766">
        <f t="shared" si="10"/>
        <v>0</v>
      </c>
      <c r="W13" s="767">
        <f t="shared" si="10"/>
        <v>0</v>
      </c>
      <c r="X13" s="1497">
        <f>SUM(D13:W13)</f>
        <v>0</v>
      </c>
      <c r="Y13" s="1498">
        <f>SUM(C13,X13)</f>
        <v>20</v>
      </c>
      <c r="Z13" s="1499">
        <f>C13+$D$33+X13</f>
        <v>20</v>
      </c>
      <c r="AA13" s="768"/>
      <c r="AB13" s="1446"/>
      <c r="AC13" s="1478" t="s">
        <v>176</v>
      </c>
      <c r="AD13" s="1677">
        <f>IF($G$4=1,VLOOKUP($AC13,PGDE_Sec_Subjs_ES,VLOOKUP('Background 17-18'!$C$2,Inst_Tables,21,FALSE),FALSE),0)</f>
        <v>20</v>
      </c>
      <c r="AE13" s="1546"/>
      <c r="AF13" s="1679">
        <f>IF($G$4=1,VLOOKUP($AC13,PGDE_Sec_Subjs_ES,VLOOKUP('Background 17-18'!$C$2,Inst_Tables,23,FALSE),FALSE),0)</f>
        <v>0</v>
      </c>
      <c r="AG13" s="1680">
        <f>IF($G$4=1,VLOOKUP($AC13,PGDE_Sec_Subjs_ES,VLOOKUP('Background 17-18'!$C$2,Inst_Tables,24,FALSE),FALSE),0)</f>
        <v>0</v>
      </c>
      <c r="AH13" s="1681">
        <f>IF($G$4=1,VLOOKUP($AC13,PGDE_Sec_Subjs_ES,VLOOKUP('Background 17-18'!$C$2,Inst_Tables,25,FALSE),FALSE),0)</f>
        <v>0</v>
      </c>
      <c r="AI13" s="1682">
        <f>IF($G$4=1,VLOOKUP($AC13,PGDE_Sec_Subjs_ES,VLOOKUP('Background 17-18'!$C$2,Inst_Tables,26,FALSE),FALSE),0)</f>
        <v>0</v>
      </c>
      <c r="AJ13" s="1682">
        <f>IF($G$4=1,VLOOKUP($AC13,PGDE_Sec_Subjs_ES,VLOOKUP('Background 17-18'!$C$2,Inst_Tables,27,FALSE),FALSE),0)</f>
        <v>0</v>
      </c>
      <c r="AK13" s="1680">
        <f>IF($G$4=1,VLOOKUP($AC13,PGDE_Sec_Subjs_ES,VLOOKUP('Background 17-18'!$C$2,Inst_Tables,28,FALSE),FALSE),0)</f>
        <v>0</v>
      </c>
      <c r="AL13" s="1681">
        <f>IF($G$4=1,VLOOKUP($AC13,PGDE_Sec_Subjs_ES,VLOOKUP('Background 17-18'!$C$2,Inst_Tables,29,FALSE),FALSE),0)</f>
        <v>0</v>
      </c>
      <c r="AM13" s="1682">
        <f>IF($G$4=1,VLOOKUP($AC13,PGDE_Sec_Subjs_ES,VLOOKUP('Background 17-18'!$C$2,Inst_Tables,30,FALSE),FALSE),0)</f>
        <v>0</v>
      </c>
      <c r="AN13" s="1682">
        <f>IF($G$4=1,VLOOKUP($AC13,PGDE_Sec_Subjs_ES,VLOOKUP('Background 17-18'!$C$2,Inst_Tables,31,FALSE),FALSE),0)</f>
        <v>0</v>
      </c>
      <c r="AO13" s="1683">
        <f>IF($G$4=1,VLOOKUP($AC13,PGDE_Sec_Subjs_ES,VLOOKUP('Background 17-18'!$C$2,Inst_Tables,32,FALSE),FALSE),0)</f>
        <v>0</v>
      </c>
      <c r="AP13" s="1684">
        <f>IF($G$4=1,VLOOKUP($AC13,PGDE_Sec_Subjs_ES,VLOOKUP('Background 17-18'!$C$2,Inst_Tables,33,FALSE),FALSE),0)</f>
        <v>0</v>
      </c>
      <c r="AQ13" s="1684">
        <f>IF($G$4=1,VLOOKUP($AC13,PGDE_Sec_Subjs_ES,VLOOKUP('Background 17-18'!$C$2,Inst_Tables,34,FALSE),FALSE),0)</f>
        <v>0</v>
      </c>
      <c r="AR13" s="1684">
        <f>IF($G$4=1,VLOOKUP($AC13,PGDE_Sec_Subjs_ES,VLOOKUP('Background 17-18'!$C$2,Inst_Tables,35,FALSE),FALSE),0)</f>
        <v>0</v>
      </c>
      <c r="AS13" s="1684">
        <f>IF($G$4=1,VLOOKUP($AC13,PGDE_Sec_Subjs_ES,VLOOKUP('Background 17-18'!$C$2,Inst_Tables,36,FALSE),FALSE),0)</f>
        <v>0</v>
      </c>
      <c r="AT13" s="1684">
        <f>IF($G$4=1,VLOOKUP($AC13,PGDE_Sec_Subjs_ES,VLOOKUP('Background 17-18'!$C$2,Inst_Tables,37,FALSE),FALSE),0)</f>
        <v>0</v>
      </c>
      <c r="AU13" s="1684">
        <f>IF($G$4=1,VLOOKUP($AC13,PGDE_Sec_Subjs_ES,VLOOKUP('Background 17-18'!$C$2,Inst_Tables,38,FALSE),FALSE),0)</f>
        <v>0</v>
      </c>
      <c r="AV13" s="1684">
        <f>IF($G$4=1,VLOOKUP($AC13,PGDE_Sec_Subjs_ES,VLOOKUP('Background 17-18'!$C$2,Inst_Tables,39,FALSE),FALSE),0)</f>
        <v>0</v>
      </c>
      <c r="AW13" s="1684">
        <f>IF($G$4=1,VLOOKUP($AC13,PGDE_Sec_Subjs_ES,VLOOKUP('Background 17-18'!$C$2,Inst_Tables,40,FALSE),FALSE),0)</f>
        <v>0</v>
      </c>
      <c r="AX13" s="1685">
        <f>IF($G$4=1,VLOOKUP($AC13,PGDE_Sec_Subjs_ES,VLOOKUP('Background 17-18'!$C$2,Inst_Tables,41,FALSE),FALSE),0)</f>
        <v>0</v>
      </c>
      <c r="AY13" s="1479">
        <f>SUM(AE13:AX13)</f>
        <v>0</v>
      </c>
      <c r="AZ13" s="1479">
        <f>SUM(AD13,AY13)</f>
        <v>20</v>
      </c>
      <c r="BA13" s="1480">
        <f>AD13+$AE$33</f>
        <v>20</v>
      </c>
      <c r="BB13" s="1387"/>
    </row>
    <row r="14" spans="1:54" ht="20.100000000000001" customHeight="1">
      <c r="A14" s="694"/>
      <c r="B14" s="769" t="s">
        <v>177</v>
      </c>
      <c r="C14" s="1492">
        <f t="shared" ref="C14:C32" si="11">AD14</f>
        <v>17</v>
      </c>
      <c r="D14" s="1547"/>
      <c r="E14" s="1542"/>
      <c r="F14" s="714">
        <f t="shared" si="1"/>
        <v>0</v>
      </c>
      <c r="G14" s="714">
        <f t="shared" si="2"/>
        <v>0</v>
      </c>
      <c r="H14" s="714">
        <f t="shared" si="3"/>
        <v>0</v>
      </c>
      <c r="I14" s="714">
        <f t="shared" si="4"/>
        <v>0</v>
      </c>
      <c r="J14" s="714">
        <f t="shared" si="5"/>
        <v>0</v>
      </c>
      <c r="K14" s="714">
        <f t="shared" si="6"/>
        <v>0</v>
      </c>
      <c r="L14" s="714">
        <f t="shared" si="7"/>
        <v>0</v>
      </c>
      <c r="M14" s="714">
        <f t="shared" si="8"/>
        <v>0</v>
      </c>
      <c r="N14" s="714">
        <f t="shared" si="9"/>
        <v>0</v>
      </c>
      <c r="O14" s="770">
        <f t="shared" ref="O14:O23" si="12">AP14</f>
        <v>0</v>
      </c>
      <c r="P14" s="770">
        <f t="shared" ref="P14:P24" si="13">AQ14</f>
        <v>0</v>
      </c>
      <c r="Q14" s="770">
        <f t="shared" ref="Q14:Q25" si="14">AR14</f>
        <v>0</v>
      </c>
      <c r="R14" s="770">
        <f t="shared" ref="R14:R26" si="15">AS14</f>
        <v>0</v>
      </c>
      <c r="S14" s="770">
        <f t="shared" ref="S14:S27" si="16">AT14</f>
        <v>0</v>
      </c>
      <c r="T14" s="770">
        <f t="shared" ref="T14:T28" si="17">AU14</f>
        <v>0</v>
      </c>
      <c r="U14" s="770">
        <f t="shared" ref="U14:U29" si="18">AV14</f>
        <v>0</v>
      </c>
      <c r="V14" s="770">
        <f t="shared" ref="V14:V23" si="19">AW14</f>
        <v>0</v>
      </c>
      <c r="W14" s="771">
        <f t="shared" ref="W14:W31" si="20">AX14</f>
        <v>0</v>
      </c>
      <c r="X14" s="1500">
        <f>SUM(D14:W14)</f>
        <v>0</v>
      </c>
      <c r="Y14" s="1498">
        <f>SUM(C14,X14)</f>
        <v>17</v>
      </c>
      <c r="Z14" s="1501">
        <f>C14+$E$33+X14</f>
        <v>17</v>
      </c>
      <c r="AA14" s="768"/>
      <c r="AB14" s="1446"/>
      <c r="AC14" s="1481" t="s">
        <v>177</v>
      </c>
      <c r="AD14" s="1428">
        <f>IF($G$4=1,VLOOKUP($AC14,PGDE_Sec_Subjs_ES,VLOOKUP('Background 17-18'!$C$2,Inst_Tables,21,FALSE),FALSE),0)</f>
        <v>17</v>
      </c>
      <c r="AE14" s="1551"/>
      <c r="AF14" s="1542"/>
      <c r="AG14" s="1679">
        <f>IF($G$4=1,VLOOKUP($AC14,PGDE_Sec_Subjs_ES,VLOOKUP('Background 17-18'!$C$2,Inst_Tables,24,FALSE),FALSE),0)</f>
        <v>0</v>
      </c>
      <c r="AH14" s="1679">
        <f>IF($G$4=1,VLOOKUP($AC14,PGDE_Sec_Subjs_ES,VLOOKUP('Background 17-18'!$C$2,Inst_Tables,25,FALSE),FALSE),0)</f>
        <v>0</v>
      </c>
      <c r="AI14" s="1679">
        <f>IF($G$4=1,VLOOKUP($AC14,PGDE_Sec_Subjs_ES,VLOOKUP('Background 17-18'!$C$2,Inst_Tables,26,FALSE),FALSE),0)</f>
        <v>0</v>
      </c>
      <c r="AJ14" s="1679">
        <f>IF($G$4=1,VLOOKUP($AC14,PGDE_Sec_Subjs_ES,VLOOKUP('Background 17-18'!$C$2,Inst_Tables,27,FALSE),FALSE),0)</f>
        <v>0</v>
      </c>
      <c r="AK14" s="1679">
        <f>IF($G$4=1,VLOOKUP($AC14,PGDE_Sec_Subjs_ES,VLOOKUP('Background 17-18'!$C$2,Inst_Tables,28,FALSE),FALSE),0)</f>
        <v>0</v>
      </c>
      <c r="AL14" s="1679">
        <f>IF($G$4=1,VLOOKUP($AC14,PGDE_Sec_Subjs_ES,VLOOKUP('Background 17-18'!$C$2,Inst_Tables,29,FALSE),FALSE),0)</f>
        <v>0</v>
      </c>
      <c r="AM14" s="1679">
        <f>IF($G$4=1,VLOOKUP($AC14,PGDE_Sec_Subjs_ES,VLOOKUP('Background 17-18'!$C$2,Inst_Tables,30,FALSE),FALSE),0)</f>
        <v>0</v>
      </c>
      <c r="AN14" s="1679">
        <f>IF($G$4=1,VLOOKUP($AC14,PGDE_Sec_Subjs_ES,VLOOKUP('Background 17-18'!$C$2,Inst_Tables,31,FALSE),FALSE),0)</f>
        <v>0</v>
      </c>
      <c r="AO14" s="1679">
        <f>IF($G$4=1,VLOOKUP($AC14,PGDE_Sec_Subjs_ES,VLOOKUP('Background 17-18'!$C$2,Inst_Tables,32,FALSE),FALSE),0)</f>
        <v>0</v>
      </c>
      <c r="AP14" s="1686">
        <f>IF($G$4=1,VLOOKUP($AC14,PGDE_Sec_Subjs_ES,VLOOKUP('Background 17-18'!$C$2,Inst_Tables,33,FALSE),FALSE),0)</f>
        <v>0</v>
      </c>
      <c r="AQ14" s="1686">
        <f>IF($G$4=1,VLOOKUP($AC14,PGDE_Sec_Subjs_ES,VLOOKUP('Background 17-18'!$C$2,Inst_Tables,34,FALSE),FALSE),0)</f>
        <v>0</v>
      </c>
      <c r="AR14" s="1686">
        <f>IF($G$4=1,VLOOKUP($AC14,PGDE_Sec_Subjs_ES,VLOOKUP('Background 17-18'!$C$2,Inst_Tables,35,FALSE),FALSE),0)</f>
        <v>0</v>
      </c>
      <c r="AS14" s="1686">
        <f>IF($G$4=1,VLOOKUP($AC14,PGDE_Sec_Subjs_ES,VLOOKUP('Background 17-18'!$C$2,Inst_Tables,36,FALSE),FALSE),0)</f>
        <v>0</v>
      </c>
      <c r="AT14" s="1686">
        <f>IF($G$4=1,VLOOKUP($AC14,PGDE_Sec_Subjs_ES,VLOOKUP('Background 17-18'!$C$2,Inst_Tables,37,FALSE),FALSE),0)</f>
        <v>0</v>
      </c>
      <c r="AU14" s="1686">
        <f>IF($G$4=1,VLOOKUP($AC14,PGDE_Sec_Subjs_ES,VLOOKUP('Background 17-18'!$C$2,Inst_Tables,38,FALSE),FALSE),0)</f>
        <v>0</v>
      </c>
      <c r="AV14" s="1686">
        <f>IF($G$4=1,VLOOKUP($AC14,PGDE_Sec_Subjs_ES,VLOOKUP('Background 17-18'!$C$2,Inst_Tables,39,FALSE),FALSE),0)</f>
        <v>0</v>
      </c>
      <c r="AW14" s="1686">
        <f>IF($G$4=1,VLOOKUP($AC14,PGDE_Sec_Subjs_ES,VLOOKUP('Background 17-18'!$C$2,Inst_Tables,40,FALSE),FALSE),0)</f>
        <v>0</v>
      </c>
      <c r="AX14" s="1687">
        <f>IF($G$4=1,VLOOKUP($AC14,PGDE_Sec_Subjs_ES,VLOOKUP('Background 17-18'!$C$2,Inst_Tables,41,FALSE),FALSE),0)</f>
        <v>0</v>
      </c>
      <c r="AY14" s="1482">
        <f>SUM(AE14:AX14)</f>
        <v>0</v>
      </c>
      <c r="AZ14" s="1479">
        <f>SUM(AD14,AY14)</f>
        <v>17</v>
      </c>
      <c r="BA14" s="1483">
        <f>AD14+$AF$33+AY14</f>
        <v>17</v>
      </c>
      <c r="BB14" s="1387"/>
    </row>
    <row r="15" spans="1:54" ht="20.100000000000001" customHeight="1">
      <c r="A15" s="694"/>
      <c r="B15" s="769" t="s">
        <v>197</v>
      </c>
      <c r="C15" s="1492">
        <f t="shared" si="11"/>
        <v>24</v>
      </c>
      <c r="D15" s="1547"/>
      <c r="E15" s="1542"/>
      <c r="F15" s="1539"/>
      <c r="G15" s="714">
        <f t="shared" si="2"/>
        <v>0</v>
      </c>
      <c r="H15" s="714">
        <f t="shared" si="3"/>
        <v>0</v>
      </c>
      <c r="I15" s="714">
        <f t="shared" si="4"/>
        <v>0</v>
      </c>
      <c r="J15" s="714">
        <f t="shared" si="5"/>
        <v>0</v>
      </c>
      <c r="K15" s="714">
        <f t="shared" si="6"/>
        <v>0</v>
      </c>
      <c r="L15" s="714">
        <f t="shared" si="7"/>
        <v>0</v>
      </c>
      <c r="M15" s="714">
        <f t="shared" si="8"/>
        <v>0</v>
      </c>
      <c r="N15" s="714">
        <f t="shared" si="9"/>
        <v>0</v>
      </c>
      <c r="O15" s="770">
        <f t="shared" si="12"/>
        <v>0</v>
      </c>
      <c r="P15" s="770">
        <f t="shared" si="13"/>
        <v>0</v>
      </c>
      <c r="Q15" s="770">
        <f t="shared" si="14"/>
        <v>0</v>
      </c>
      <c r="R15" s="770">
        <f t="shared" si="15"/>
        <v>0</v>
      </c>
      <c r="S15" s="770">
        <f t="shared" si="16"/>
        <v>0</v>
      </c>
      <c r="T15" s="770">
        <f t="shared" si="17"/>
        <v>0</v>
      </c>
      <c r="U15" s="770">
        <f t="shared" si="18"/>
        <v>0</v>
      </c>
      <c r="V15" s="770">
        <f t="shared" si="19"/>
        <v>0</v>
      </c>
      <c r="W15" s="771">
        <f t="shared" si="20"/>
        <v>0</v>
      </c>
      <c r="X15" s="1500">
        <f>SUM(D15:W15)</f>
        <v>0</v>
      </c>
      <c r="Y15" s="1498">
        <f t="shared" ref="Y15:Y31" si="21">SUM(C15,X15)</f>
        <v>24</v>
      </c>
      <c r="Z15" s="1501">
        <f>C15+$F$33+X15</f>
        <v>24</v>
      </c>
      <c r="AA15" s="768"/>
      <c r="AB15" s="1446"/>
      <c r="AC15" s="1481" t="s">
        <v>197</v>
      </c>
      <c r="AD15" s="1428">
        <f>IF($G$4=1,VLOOKUP($AC15,PGDE_Sec_Subjs_ES,VLOOKUP('Background 17-18'!$C$2,Inst_Tables,21,FALSE),FALSE),0)</f>
        <v>24</v>
      </c>
      <c r="AE15" s="1551"/>
      <c r="AF15" s="1540"/>
      <c r="AG15" s="1539"/>
      <c r="AH15" s="1679">
        <f>IF($G$4=1,VLOOKUP($AC15,PGDE_Sec_Subjs_ES,VLOOKUP('Background 17-18'!$C$2,Inst_Tables,25,FALSE),FALSE),0)</f>
        <v>0</v>
      </c>
      <c r="AI15" s="1679">
        <f>IF($G$4=1,VLOOKUP($AC15,PGDE_Sec_Subjs_ES,VLOOKUP('Background 17-18'!$C$2,Inst_Tables,26,FALSE),FALSE),0)</f>
        <v>0</v>
      </c>
      <c r="AJ15" s="1679">
        <f>IF($G$4=1,VLOOKUP($AC15,PGDE_Sec_Subjs_ES,VLOOKUP('Background 17-18'!$C$2,Inst_Tables,27,FALSE),FALSE),0)</f>
        <v>0</v>
      </c>
      <c r="AK15" s="1679">
        <f>IF($G$4=1,VLOOKUP($AC15,PGDE_Sec_Subjs_ES,VLOOKUP('Background 17-18'!$C$2,Inst_Tables,28,FALSE),FALSE),0)</f>
        <v>0</v>
      </c>
      <c r="AL15" s="1679">
        <f>IF($G$4=1,VLOOKUP($AC15,PGDE_Sec_Subjs_ES,VLOOKUP('Background 17-18'!$C$2,Inst_Tables,29,FALSE),FALSE),0)</f>
        <v>0</v>
      </c>
      <c r="AM15" s="1679">
        <f>IF($G$4=1,VLOOKUP($AC15,PGDE_Sec_Subjs_ES,VLOOKUP('Background 17-18'!$C$2,Inst_Tables,30,FALSE),FALSE),0)</f>
        <v>0</v>
      </c>
      <c r="AN15" s="1679">
        <f>IF($G$4=1,VLOOKUP($AC15,PGDE_Sec_Subjs_ES,VLOOKUP('Background 17-18'!$C$2,Inst_Tables,31,FALSE),FALSE),0)</f>
        <v>0</v>
      </c>
      <c r="AO15" s="1679">
        <f>IF($G$4=1,VLOOKUP($AC15,PGDE_Sec_Subjs_ES,VLOOKUP('Background 17-18'!$C$2,Inst_Tables,32,FALSE),FALSE),0)</f>
        <v>0</v>
      </c>
      <c r="AP15" s="1686">
        <f>IF($G$4=1,VLOOKUP($AC15,PGDE_Sec_Subjs_ES,VLOOKUP('Background 17-18'!$C$2,Inst_Tables,33,FALSE),FALSE),0)</f>
        <v>0</v>
      </c>
      <c r="AQ15" s="1686">
        <f>IF($G$4=1,VLOOKUP($AC15,PGDE_Sec_Subjs_ES,VLOOKUP('Background 17-18'!$C$2,Inst_Tables,34,FALSE),FALSE),0)</f>
        <v>0</v>
      </c>
      <c r="AR15" s="1686">
        <f>IF($G$4=1,VLOOKUP($AC15,PGDE_Sec_Subjs_ES,VLOOKUP('Background 17-18'!$C$2,Inst_Tables,35,FALSE),FALSE),0)</f>
        <v>0</v>
      </c>
      <c r="AS15" s="1686">
        <f>IF($G$4=1,VLOOKUP($AC15,PGDE_Sec_Subjs_ES,VLOOKUP('Background 17-18'!$C$2,Inst_Tables,36,FALSE),FALSE),0)</f>
        <v>0</v>
      </c>
      <c r="AT15" s="1686">
        <f>IF($G$4=1,VLOOKUP($AC15,PGDE_Sec_Subjs_ES,VLOOKUP('Background 17-18'!$C$2,Inst_Tables,37,FALSE),FALSE),0)</f>
        <v>0</v>
      </c>
      <c r="AU15" s="1686">
        <f>IF($G$4=1,VLOOKUP($AC15,PGDE_Sec_Subjs_ES,VLOOKUP('Background 17-18'!$C$2,Inst_Tables,38,FALSE),FALSE),0)</f>
        <v>0</v>
      </c>
      <c r="AV15" s="1686">
        <f>IF($G$4=1,VLOOKUP($AC15,PGDE_Sec_Subjs_ES,VLOOKUP('Background 17-18'!$C$2,Inst_Tables,39,FALSE),FALSE),0)</f>
        <v>0</v>
      </c>
      <c r="AW15" s="1686">
        <f>IF($G$4=1,VLOOKUP($AC15,PGDE_Sec_Subjs_ES,VLOOKUP('Background 17-18'!$C$2,Inst_Tables,40,FALSE),FALSE),0)</f>
        <v>0</v>
      </c>
      <c r="AX15" s="1687">
        <f>IF($G$4=1,VLOOKUP($AC15,PGDE_Sec_Subjs_ES,VLOOKUP('Background 17-18'!$C$2,Inst_Tables,41,FALSE),FALSE),0)</f>
        <v>0</v>
      </c>
      <c r="AY15" s="1482">
        <f>SUM(AE15:AX15)</f>
        <v>0</v>
      </c>
      <c r="AZ15" s="1479">
        <f t="shared" ref="AZ15:AZ31" si="22">SUM(AD15,AY15)</f>
        <v>24</v>
      </c>
      <c r="BA15" s="1483">
        <f>AD15+$AG$33+AY15</f>
        <v>24</v>
      </c>
      <c r="BB15" s="1387"/>
    </row>
    <row r="16" spans="1:54" ht="20.100000000000001" customHeight="1">
      <c r="A16" s="694"/>
      <c r="B16" s="769" t="s">
        <v>179</v>
      </c>
      <c r="C16" s="1492">
        <f t="shared" si="11"/>
        <v>10</v>
      </c>
      <c r="D16" s="1547"/>
      <c r="E16" s="1542"/>
      <c r="F16" s="1539"/>
      <c r="G16" s="1542"/>
      <c r="H16" s="714">
        <f t="shared" si="3"/>
        <v>0</v>
      </c>
      <c r="I16" s="714">
        <f t="shared" si="5"/>
        <v>0</v>
      </c>
      <c r="J16" s="714">
        <f t="shared" si="5"/>
        <v>0</v>
      </c>
      <c r="K16" s="714">
        <f t="shared" si="6"/>
        <v>0</v>
      </c>
      <c r="L16" s="714">
        <f t="shared" si="7"/>
        <v>0</v>
      </c>
      <c r="M16" s="714">
        <f t="shared" si="8"/>
        <v>0</v>
      </c>
      <c r="N16" s="714">
        <f t="shared" si="9"/>
        <v>0</v>
      </c>
      <c r="O16" s="770">
        <f t="shared" si="12"/>
        <v>0</v>
      </c>
      <c r="P16" s="770">
        <f t="shared" si="13"/>
        <v>0</v>
      </c>
      <c r="Q16" s="770">
        <f t="shared" si="14"/>
        <v>0</v>
      </c>
      <c r="R16" s="770">
        <f t="shared" si="15"/>
        <v>0</v>
      </c>
      <c r="S16" s="770">
        <f t="shared" si="16"/>
        <v>0</v>
      </c>
      <c r="T16" s="770">
        <f t="shared" si="17"/>
        <v>0</v>
      </c>
      <c r="U16" s="770">
        <f t="shared" si="18"/>
        <v>0</v>
      </c>
      <c r="V16" s="770">
        <f t="shared" si="19"/>
        <v>0</v>
      </c>
      <c r="W16" s="771">
        <f t="shared" si="20"/>
        <v>0</v>
      </c>
      <c r="X16" s="1500">
        <f t="shared" ref="X16:X31" si="23">SUM(D16:W16)</f>
        <v>0</v>
      </c>
      <c r="Y16" s="1498">
        <f t="shared" si="21"/>
        <v>10</v>
      </c>
      <c r="Z16" s="1501">
        <f>C16+$G$33+X16</f>
        <v>10</v>
      </c>
      <c r="AA16" s="768"/>
      <c r="AB16" s="1446"/>
      <c r="AC16" s="1481" t="s">
        <v>179</v>
      </c>
      <c r="AD16" s="1428">
        <f>IF($G$4=1,VLOOKUP($AC16,PGDE_Sec_Subjs_ES,VLOOKUP('Background 17-18'!$C$2,Inst_Tables,21,FALSE),FALSE),0)</f>
        <v>10</v>
      </c>
      <c r="AE16" s="1551"/>
      <c r="AF16" s="1540"/>
      <c r="AG16" s="1540"/>
      <c r="AH16" s="1542"/>
      <c r="AI16" s="1679">
        <f>IF($G$4=1,VLOOKUP($AC16,PGDE_Sec_Subjs_ES,VLOOKUP('Background 17-18'!$C$2,Inst_Tables,26,FALSE),FALSE),0)</f>
        <v>0</v>
      </c>
      <c r="AJ16" s="1679">
        <f>IF($G$4=1,VLOOKUP($AC16,PGDE_Sec_Subjs_ES,VLOOKUP('Background 17-18'!$C$2,Inst_Tables,27,FALSE),FALSE),0)</f>
        <v>0</v>
      </c>
      <c r="AK16" s="1679">
        <f>IF($G$4=1,VLOOKUP($AC16,PGDE_Sec_Subjs_ES,VLOOKUP('Background 17-18'!$C$2,Inst_Tables,28,FALSE),FALSE),0)</f>
        <v>0</v>
      </c>
      <c r="AL16" s="1679">
        <f>IF($G$4=1,VLOOKUP($AC16,PGDE_Sec_Subjs_ES,VLOOKUP('Background 17-18'!$C$2,Inst_Tables,29,FALSE),FALSE),0)</f>
        <v>0</v>
      </c>
      <c r="AM16" s="1679">
        <f>IF($G$4=1,VLOOKUP($AC16,PGDE_Sec_Subjs_ES,VLOOKUP('Background 17-18'!$C$2,Inst_Tables,30,FALSE),FALSE),0)</f>
        <v>0</v>
      </c>
      <c r="AN16" s="1679">
        <f>IF($G$4=1,VLOOKUP($AC16,PGDE_Sec_Subjs_ES,VLOOKUP('Background 17-18'!$C$2,Inst_Tables,31,FALSE),FALSE),0)</f>
        <v>0</v>
      </c>
      <c r="AO16" s="1679">
        <f>IF($G$4=1,VLOOKUP($AC16,PGDE_Sec_Subjs_ES,VLOOKUP('Background 17-18'!$C$2,Inst_Tables,32,FALSE),FALSE),0)</f>
        <v>0</v>
      </c>
      <c r="AP16" s="1686">
        <f>IF($G$4=1,VLOOKUP($AC16,PGDE_Sec_Subjs_ES,VLOOKUP('Background 17-18'!$C$2,Inst_Tables,33,FALSE),FALSE),0)</f>
        <v>0</v>
      </c>
      <c r="AQ16" s="1686">
        <f>IF($G$4=1,VLOOKUP($AC16,PGDE_Sec_Subjs_ES,VLOOKUP('Background 17-18'!$C$2,Inst_Tables,34,FALSE),FALSE),0)</f>
        <v>0</v>
      </c>
      <c r="AR16" s="1686">
        <f>IF($G$4=1,VLOOKUP($AC16,PGDE_Sec_Subjs_ES,VLOOKUP('Background 17-18'!$C$2,Inst_Tables,35,FALSE),FALSE),0)</f>
        <v>0</v>
      </c>
      <c r="AS16" s="1686">
        <f>IF($G$4=1,VLOOKUP($AC16,PGDE_Sec_Subjs_ES,VLOOKUP('Background 17-18'!$C$2,Inst_Tables,36,FALSE),FALSE),0)</f>
        <v>0</v>
      </c>
      <c r="AT16" s="1686">
        <f>IF($G$4=1,VLOOKUP($AC16,PGDE_Sec_Subjs_ES,VLOOKUP('Background 17-18'!$C$2,Inst_Tables,37,FALSE),FALSE),0)</f>
        <v>0</v>
      </c>
      <c r="AU16" s="1686">
        <f>IF($G$4=1,VLOOKUP($AC16,PGDE_Sec_Subjs_ES,VLOOKUP('Background 17-18'!$C$2,Inst_Tables,38,FALSE),FALSE),0)</f>
        <v>0</v>
      </c>
      <c r="AV16" s="1686">
        <f>IF($G$4=1,VLOOKUP($AC16,PGDE_Sec_Subjs_ES,VLOOKUP('Background 17-18'!$C$2,Inst_Tables,39,FALSE),FALSE),0)</f>
        <v>0</v>
      </c>
      <c r="AW16" s="1686">
        <f>IF($G$4=1,VLOOKUP($AC16,PGDE_Sec_Subjs_ES,VLOOKUP('Background 17-18'!$C$2,Inst_Tables,40,FALSE),FALSE),0)</f>
        <v>0</v>
      </c>
      <c r="AX16" s="1687">
        <f>IF($G$4=1,VLOOKUP($AC16,PGDE_Sec_Subjs_ES,VLOOKUP('Background 17-18'!$C$2,Inst_Tables,41,FALSE),FALSE),0)</f>
        <v>0</v>
      </c>
      <c r="AY16" s="1482">
        <f t="shared" ref="AY16:AY31" si="24">SUM(AE16:AX16)</f>
        <v>0</v>
      </c>
      <c r="AZ16" s="1479">
        <f t="shared" si="22"/>
        <v>10</v>
      </c>
      <c r="BA16" s="1483">
        <f>AD16+$AH$33+AY16</f>
        <v>10</v>
      </c>
      <c r="BB16" s="1387"/>
    </row>
    <row r="17" spans="1:54" ht="20.100000000000001" customHeight="1">
      <c r="A17" s="694"/>
      <c r="B17" s="769" t="s">
        <v>180</v>
      </c>
      <c r="C17" s="1492">
        <v>15.5</v>
      </c>
      <c r="D17" s="1547"/>
      <c r="E17" s="1542"/>
      <c r="F17" s="1539"/>
      <c r="G17" s="1542"/>
      <c r="H17" s="1539"/>
      <c r="I17" s="714">
        <f t="shared" si="4"/>
        <v>0</v>
      </c>
      <c r="J17" s="714">
        <f t="shared" si="5"/>
        <v>0</v>
      </c>
      <c r="K17" s="714">
        <f t="shared" si="6"/>
        <v>0</v>
      </c>
      <c r="L17" s="714">
        <f t="shared" si="7"/>
        <v>0</v>
      </c>
      <c r="M17" s="714">
        <f t="shared" si="8"/>
        <v>0</v>
      </c>
      <c r="N17" s="714">
        <f t="shared" si="9"/>
        <v>0</v>
      </c>
      <c r="O17" s="770">
        <f t="shared" si="12"/>
        <v>0</v>
      </c>
      <c r="P17" s="770">
        <f t="shared" si="13"/>
        <v>0</v>
      </c>
      <c r="Q17" s="770">
        <f t="shared" si="14"/>
        <v>0</v>
      </c>
      <c r="R17" s="770">
        <f t="shared" si="15"/>
        <v>0</v>
      </c>
      <c r="S17" s="770">
        <f t="shared" si="16"/>
        <v>0</v>
      </c>
      <c r="T17" s="770">
        <f t="shared" si="17"/>
        <v>0</v>
      </c>
      <c r="U17" s="770">
        <f t="shared" si="18"/>
        <v>0</v>
      </c>
      <c r="V17" s="770">
        <f t="shared" si="19"/>
        <v>0</v>
      </c>
      <c r="W17" s="771">
        <f t="shared" si="20"/>
        <v>0</v>
      </c>
      <c r="X17" s="1500">
        <f t="shared" si="23"/>
        <v>0</v>
      </c>
      <c r="Y17" s="1498">
        <f t="shared" si="21"/>
        <v>15.5</v>
      </c>
      <c r="Z17" s="1501">
        <f>C17+$H$33+X17</f>
        <v>15.5</v>
      </c>
      <c r="AA17" s="768"/>
      <c r="AB17" s="1446"/>
      <c r="AC17" s="1481" t="s">
        <v>180</v>
      </c>
      <c r="AD17" s="1428">
        <f>IF($G$4=1,VLOOKUP($AC17,PGDE_Sec_Subjs_ES,VLOOKUP('Background 17-18'!$C$2,Inst_Tables,21,FALSE),FALSE),0)</f>
        <v>16</v>
      </c>
      <c r="AE17" s="1551"/>
      <c r="AF17" s="1540"/>
      <c r="AG17" s="1540"/>
      <c r="AH17" s="1540"/>
      <c r="AI17" s="1539"/>
      <c r="AJ17" s="1679">
        <f>IF($G$4=1,VLOOKUP($AC17,PGDE_Sec_Subjs_ES,VLOOKUP('Background 17-18'!$C$2,Inst_Tables,27,FALSE),FALSE),0)</f>
        <v>0</v>
      </c>
      <c r="AK17" s="1679">
        <f>IF($G$4=1,VLOOKUP($AC17,PGDE_Sec_Subjs_ES,VLOOKUP('Background 17-18'!$C$2,Inst_Tables,28,FALSE),FALSE),0)</f>
        <v>0</v>
      </c>
      <c r="AL17" s="1679">
        <f>IF($G$4=1,VLOOKUP($AC17,PGDE_Sec_Subjs_ES,VLOOKUP('Background 17-18'!$C$2,Inst_Tables,29,FALSE),FALSE),0)</f>
        <v>0</v>
      </c>
      <c r="AM17" s="1679">
        <f>IF($G$4=1,VLOOKUP($AC17,PGDE_Sec_Subjs_ES,VLOOKUP('Background 17-18'!$C$2,Inst_Tables,30,FALSE),FALSE),0)</f>
        <v>0</v>
      </c>
      <c r="AN17" s="1679">
        <f>IF($G$4=1,VLOOKUP($AC17,PGDE_Sec_Subjs_ES,VLOOKUP('Background 17-18'!$C$2,Inst_Tables,31,FALSE),FALSE),0)</f>
        <v>0</v>
      </c>
      <c r="AO17" s="1679">
        <f>IF($G$4=1,VLOOKUP($AC17,PGDE_Sec_Subjs_ES,VLOOKUP('Background 17-18'!$C$2,Inst_Tables,32,FALSE),FALSE),0)</f>
        <v>0</v>
      </c>
      <c r="AP17" s="1686">
        <f>IF($G$4=1,VLOOKUP($AC17,PGDE_Sec_Subjs_ES,VLOOKUP('Background 17-18'!$C$2,Inst_Tables,33,FALSE),FALSE),0)</f>
        <v>0</v>
      </c>
      <c r="AQ17" s="1686">
        <f>IF($G$4=1,VLOOKUP($AC17,PGDE_Sec_Subjs_ES,VLOOKUP('Background 17-18'!$C$2,Inst_Tables,34,FALSE),FALSE),0)</f>
        <v>0</v>
      </c>
      <c r="AR17" s="1686">
        <f>IF($G$4=1,VLOOKUP($AC17,PGDE_Sec_Subjs_ES,VLOOKUP('Background 17-18'!$C$2,Inst_Tables,35,FALSE),FALSE),0)</f>
        <v>0</v>
      </c>
      <c r="AS17" s="1686">
        <f>IF($G$4=1,VLOOKUP($AC17,PGDE_Sec_Subjs_ES,VLOOKUP('Background 17-18'!$C$2,Inst_Tables,36,FALSE),FALSE),0)</f>
        <v>0</v>
      </c>
      <c r="AT17" s="1686">
        <f>IF($G$4=1,VLOOKUP($AC17,PGDE_Sec_Subjs_ES,VLOOKUP('Background 17-18'!$C$2,Inst_Tables,37,FALSE),FALSE),0)</f>
        <v>0</v>
      </c>
      <c r="AU17" s="1686">
        <f>IF($G$4=1,VLOOKUP($AC17,PGDE_Sec_Subjs_ES,VLOOKUP('Background 17-18'!$C$2,Inst_Tables,38,FALSE),FALSE),0)</f>
        <v>0</v>
      </c>
      <c r="AV17" s="1686">
        <f>IF($G$4=1,VLOOKUP($AC17,PGDE_Sec_Subjs_ES,VLOOKUP('Background 17-18'!$C$2,Inst_Tables,39,FALSE),FALSE),0)</f>
        <v>0</v>
      </c>
      <c r="AW17" s="1686">
        <f>IF($G$4=1,VLOOKUP($AC17,PGDE_Sec_Subjs_ES,VLOOKUP('Background 17-18'!$C$2,Inst_Tables,40,FALSE),FALSE),0)</f>
        <v>0</v>
      </c>
      <c r="AX17" s="1687">
        <f>IF($G$4=1,VLOOKUP($AC17,PGDE_Sec_Subjs_ES,VLOOKUP('Background 17-18'!$C$2,Inst_Tables,41,FALSE),FALSE),0)</f>
        <v>0</v>
      </c>
      <c r="AY17" s="1482">
        <f t="shared" si="24"/>
        <v>0</v>
      </c>
      <c r="AZ17" s="1479">
        <f t="shared" si="22"/>
        <v>16</v>
      </c>
      <c r="BA17" s="1483">
        <f>AD17+$AI$33+AY17</f>
        <v>16</v>
      </c>
      <c r="BB17" s="1387"/>
    </row>
    <row r="18" spans="1:54" ht="20.100000000000001" customHeight="1">
      <c r="A18" s="694"/>
      <c r="B18" s="769" t="s">
        <v>181</v>
      </c>
      <c r="C18" s="1492">
        <f t="shared" si="11"/>
        <v>0</v>
      </c>
      <c r="D18" s="1547"/>
      <c r="E18" s="1542"/>
      <c r="F18" s="1539"/>
      <c r="G18" s="1542"/>
      <c r="H18" s="1539"/>
      <c r="I18" s="1542"/>
      <c r="J18" s="714">
        <f t="shared" si="5"/>
        <v>0</v>
      </c>
      <c r="K18" s="714">
        <f t="shared" si="6"/>
        <v>0</v>
      </c>
      <c r="L18" s="714">
        <f t="shared" si="7"/>
        <v>0</v>
      </c>
      <c r="M18" s="714">
        <f t="shared" si="8"/>
        <v>0</v>
      </c>
      <c r="N18" s="714">
        <f t="shared" si="9"/>
        <v>0</v>
      </c>
      <c r="O18" s="770">
        <f t="shared" si="12"/>
        <v>0</v>
      </c>
      <c r="P18" s="770">
        <f t="shared" si="13"/>
        <v>0</v>
      </c>
      <c r="Q18" s="770">
        <f t="shared" si="14"/>
        <v>0</v>
      </c>
      <c r="R18" s="770">
        <f t="shared" si="15"/>
        <v>0</v>
      </c>
      <c r="S18" s="770">
        <f t="shared" si="16"/>
        <v>0</v>
      </c>
      <c r="T18" s="770">
        <f t="shared" si="17"/>
        <v>0</v>
      </c>
      <c r="U18" s="770">
        <f t="shared" si="18"/>
        <v>0</v>
      </c>
      <c r="V18" s="770">
        <f t="shared" si="19"/>
        <v>0</v>
      </c>
      <c r="W18" s="771">
        <f t="shared" si="20"/>
        <v>0</v>
      </c>
      <c r="X18" s="1500">
        <f t="shared" si="23"/>
        <v>0</v>
      </c>
      <c r="Y18" s="1498">
        <f t="shared" si="21"/>
        <v>0</v>
      </c>
      <c r="Z18" s="1501">
        <f>C18+$I$33+X18</f>
        <v>0</v>
      </c>
      <c r="AA18" s="768"/>
      <c r="AB18" s="1446"/>
      <c r="AC18" s="1481" t="s">
        <v>181</v>
      </c>
      <c r="AD18" s="1428">
        <f>IF($G$4=1,VLOOKUP($AC18,PGDE_Sec_Subjs_ES,VLOOKUP('Background 17-18'!$C$2,Inst_Tables,21,FALSE),FALSE),0)</f>
        <v>0</v>
      </c>
      <c r="AE18" s="1551"/>
      <c r="AF18" s="1540"/>
      <c r="AG18" s="1540"/>
      <c r="AH18" s="1540"/>
      <c r="AI18" s="1540"/>
      <c r="AJ18" s="1542"/>
      <c r="AK18" s="1679">
        <f>IF($G$4=1,VLOOKUP($AC18,PGDE_Sec_Subjs_ES,VLOOKUP('Background 17-18'!$C$2,Inst_Tables,28,FALSE),FALSE),0)</f>
        <v>0</v>
      </c>
      <c r="AL18" s="1679">
        <f>IF($G$4=1,VLOOKUP($AC18,PGDE_Sec_Subjs_ES,VLOOKUP('Background 17-18'!$C$2,Inst_Tables,29,FALSE),FALSE),0)</f>
        <v>0</v>
      </c>
      <c r="AM18" s="1679">
        <f>IF($G$4=1,VLOOKUP($AC18,PGDE_Sec_Subjs_ES,VLOOKUP('Background 17-18'!$C$2,Inst_Tables,30,FALSE),FALSE),0)</f>
        <v>0</v>
      </c>
      <c r="AN18" s="1679">
        <f>IF($G$4=1,VLOOKUP($AC18,PGDE_Sec_Subjs_ES,VLOOKUP('Background 17-18'!$C$2,Inst_Tables,31,FALSE),FALSE),0)</f>
        <v>0</v>
      </c>
      <c r="AO18" s="1679">
        <f>IF($G$4=1,VLOOKUP($AC18,PGDE_Sec_Subjs_ES,VLOOKUP('Background 17-18'!$C$2,Inst_Tables,32,FALSE),FALSE),0)</f>
        <v>0</v>
      </c>
      <c r="AP18" s="1686">
        <f>IF($G$4=1,VLOOKUP($AC18,PGDE_Sec_Subjs_ES,VLOOKUP('Background 17-18'!$C$2,Inst_Tables,33,FALSE),FALSE),0)</f>
        <v>0</v>
      </c>
      <c r="AQ18" s="1686">
        <f>IF($G$4=1,VLOOKUP($AC18,PGDE_Sec_Subjs_ES,VLOOKUP('Background 17-18'!$C$2,Inst_Tables,34,FALSE),FALSE),0)</f>
        <v>0</v>
      </c>
      <c r="AR18" s="1686">
        <f>IF($G$4=1,VLOOKUP($AC18,PGDE_Sec_Subjs_ES,VLOOKUP('Background 17-18'!$C$2,Inst_Tables,35,FALSE),FALSE),0)</f>
        <v>0</v>
      </c>
      <c r="AS18" s="1686">
        <f>IF($G$4=1,VLOOKUP($AC18,PGDE_Sec_Subjs_ES,VLOOKUP('Background 17-18'!$C$2,Inst_Tables,36,FALSE),FALSE),0)</f>
        <v>0</v>
      </c>
      <c r="AT18" s="1686">
        <f>IF($G$4=1,VLOOKUP($AC18,PGDE_Sec_Subjs_ES,VLOOKUP('Background 17-18'!$C$2,Inst_Tables,37,FALSE),FALSE),0)</f>
        <v>0</v>
      </c>
      <c r="AU18" s="1686">
        <f>IF($G$4=1,VLOOKUP($AC18,PGDE_Sec_Subjs_ES,VLOOKUP('Background 17-18'!$C$2,Inst_Tables,38,FALSE),FALSE),0)</f>
        <v>0</v>
      </c>
      <c r="AV18" s="1686">
        <f>IF($G$4=1,VLOOKUP($AC18,PGDE_Sec_Subjs_ES,VLOOKUP('Background 17-18'!$C$2,Inst_Tables,39,FALSE),FALSE),0)</f>
        <v>0</v>
      </c>
      <c r="AW18" s="1686">
        <f>IF($G$4=1,VLOOKUP($AC18,PGDE_Sec_Subjs_ES,VLOOKUP('Background 17-18'!$C$2,Inst_Tables,40,FALSE),FALSE),0)</f>
        <v>0</v>
      </c>
      <c r="AX18" s="1687">
        <f>IF($G$4=1,VLOOKUP($AC18,PGDE_Sec_Subjs_ES,VLOOKUP('Background 17-18'!$C$2,Inst_Tables,41,FALSE),FALSE),0)</f>
        <v>0</v>
      </c>
      <c r="AY18" s="1482">
        <f t="shared" si="24"/>
        <v>0</v>
      </c>
      <c r="AZ18" s="1479">
        <f t="shared" si="22"/>
        <v>0</v>
      </c>
      <c r="BA18" s="1483">
        <f>AD18+$AJ$33+AY18</f>
        <v>0</v>
      </c>
      <c r="BB18" s="1387"/>
    </row>
    <row r="19" spans="1:54" ht="20.100000000000001" customHeight="1">
      <c r="A19" s="694"/>
      <c r="B19" s="769" t="s">
        <v>182</v>
      </c>
      <c r="C19" s="1492">
        <f>AD19+1</f>
        <v>26</v>
      </c>
      <c r="D19" s="1547"/>
      <c r="E19" s="1542"/>
      <c r="F19" s="1539"/>
      <c r="G19" s="1542"/>
      <c r="H19" s="1539"/>
      <c r="I19" s="1542"/>
      <c r="J19" s="1539"/>
      <c r="K19" s="714">
        <f t="shared" si="6"/>
        <v>0</v>
      </c>
      <c r="L19" s="714">
        <f t="shared" si="7"/>
        <v>0</v>
      </c>
      <c r="M19" s="714">
        <f t="shared" si="8"/>
        <v>0</v>
      </c>
      <c r="N19" s="714">
        <f t="shared" si="9"/>
        <v>0</v>
      </c>
      <c r="O19" s="770">
        <f t="shared" si="12"/>
        <v>0</v>
      </c>
      <c r="P19" s="770">
        <f t="shared" si="13"/>
        <v>0</v>
      </c>
      <c r="Q19" s="770">
        <f t="shared" si="14"/>
        <v>0</v>
      </c>
      <c r="R19" s="770">
        <f t="shared" si="15"/>
        <v>0</v>
      </c>
      <c r="S19" s="770">
        <f t="shared" si="16"/>
        <v>0</v>
      </c>
      <c r="T19" s="770">
        <f t="shared" si="17"/>
        <v>0</v>
      </c>
      <c r="U19" s="770">
        <f t="shared" si="18"/>
        <v>0</v>
      </c>
      <c r="V19" s="770">
        <f t="shared" si="19"/>
        <v>0</v>
      </c>
      <c r="W19" s="771">
        <f t="shared" si="20"/>
        <v>0</v>
      </c>
      <c r="X19" s="1500">
        <f t="shared" si="23"/>
        <v>0</v>
      </c>
      <c r="Y19" s="1498">
        <f t="shared" si="21"/>
        <v>26</v>
      </c>
      <c r="Z19" s="1501">
        <f>C19+$J$33+X19</f>
        <v>26</v>
      </c>
      <c r="AA19" s="768"/>
      <c r="AB19" s="1446"/>
      <c r="AC19" s="1481" t="s">
        <v>182</v>
      </c>
      <c r="AD19" s="1428">
        <f>IF($G$4=1,VLOOKUP($AC19,PGDE_Sec_Subjs_ES,VLOOKUP('Background 17-18'!$C$2,Inst_Tables,21,FALSE),FALSE),0)</f>
        <v>25</v>
      </c>
      <c r="AE19" s="1551"/>
      <c r="AF19" s="1540"/>
      <c r="AG19" s="1540"/>
      <c r="AH19" s="1540"/>
      <c r="AI19" s="1540"/>
      <c r="AJ19" s="1540"/>
      <c r="AK19" s="1539"/>
      <c r="AL19" s="1679">
        <f>IF($G$4=1,VLOOKUP($AC19,PGDE_Sec_Subjs_ES,VLOOKUP('Background 17-18'!$C$2,Inst_Tables,29,FALSE),FALSE),0)</f>
        <v>0</v>
      </c>
      <c r="AM19" s="1679">
        <f>IF($G$4=1,VLOOKUP($AC19,PGDE_Sec_Subjs_ES,VLOOKUP('Background 17-18'!$C$2,Inst_Tables,30,FALSE),FALSE),0)</f>
        <v>0</v>
      </c>
      <c r="AN19" s="1679">
        <f>IF($G$4=1,VLOOKUP($AC19,PGDE_Sec_Subjs_ES,VLOOKUP('Background 17-18'!$C$2,Inst_Tables,31,FALSE),FALSE),0)</f>
        <v>0</v>
      </c>
      <c r="AO19" s="1679">
        <f>IF($G$4=1,VLOOKUP($AC19,PGDE_Sec_Subjs_ES,VLOOKUP('Background 17-18'!$C$2,Inst_Tables,32,FALSE),FALSE),0)</f>
        <v>0</v>
      </c>
      <c r="AP19" s="1686">
        <f>IF($G$4=1,VLOOKUP($AC19,PGDE_Sec_Subjs_ES,VLOOKUP('Background 17-18'!$C$2,Inst_Tables,33,FALSE),FALSE),0)</f>
        <v>0</v>
      </c>
      <c r="AQ19" s="1686">
        <f>IF($G$4=1,VLOOKUP($AC19,PGDE_Sec_Subjs_ES,VLOOKUP('Background 17-18'!$C$2,Inst_Tables,34,FALSE),FALSE),0)</f>
        <v>0</v>
      </c>
      <c r="AR19" s="1686">
        <f>IF($G$4=1,VLOOKUP($AC19,PGDE_Sec_Subjs_ES,VLOOKUP('Background 17-18'!$C$2,Inst_Tables,35,FALSE),FALSE),0)</f>
        <v>0</v>
      </c>
      <c r="AS19" s="1686">
        <f>IF($G$4=1,VLOOKUP($AC19,PGDE_Sec_Subjs_ES,VLOOKUP('Background 17-18'!$C$2,Inst_Tables,36,FALSE),FALSE),0)</f>
        <v>0</v>
      </c>
      <c r="AT19" s="1686">
        <f>IF($G$4=1,VLOOKUP($AC19,PGDE_Sec_Subjs_ES,VLOOKUP('Background 17-18'!$C$2,Inst_Tables,37,FALSE),FALSE),0)</f>
        <v>0</v>
      </c>
      <c r="AU19" s="1686">
        <f>IF($G$4=1,VLOOKUP($AC19,PGDE_Sec_Subjs_ES,VLOOKUP('Background 17-18'!$C$2,Inst_Tables,38,FALSE),FALSE),0)</f>
        <v>0</v>
      </c>
      <c r="AV19" s="1686">
        <f>IF($G$4=1,VLOOKUP($AC19,PGDE_Sec_Subjs_ES,VLOOKUP('Background 17-18'!$C$2,Inst_Tables,39,FALSE),FALSE),0)</f>
        <v>0</v>
      </c>
      <c r="AW19" s="1686">
        <f>IF($G$4=1,VLOOKUP($AC19,PGDE_Sec_Subjs_ES,VLOOKUP('Background 17-18'!$C$2,Inst_Tables,40,FALSE),FALSE),0)</f>
        <v>0</v>
      </c>
      <c r="AX19" s="1687">
        <f>IF($G$4=1,VLOOKUP($AC19,PGDE_Sec_Subjs_ES,VLOOKUP('Background 17-18'!$C$2,Inst_Tables,41,FALSE),FALSE),0)</f>
        <v>0</v>
      </c>
      <c r="AY19" s="1482">
        <f t="shared" si="24"/>
        <v>0</v>
      </c>
      <c r="AZ19" s="1479">
        <f t="shared" si="22"/>
        <v>25</v>
      </c>
      <c r="BA19" s="1483">
        <f>AD19+$AK$33+AY19</f>
        <v>25</v>
      </c>
      <c r="BB19" s="1387"/>
    </row>
    <row r="20" spans="1:54" ht="20.100000000000001" customHeight="1">
      <c r="A20" s="694"/>
      <c r="B20" s="769" t="s">
        <v>183</v>
      </c>
      <c r="C20" s="1492">
        <f t="shared" si="11"/>
        <v>0</v>
      </c>
      <c r="D20" s="1547"/>
      <c r="E20" s="1542"/>
      <c r="F20" s="1539"/>
      <c r="G20" s="1542"/>
      <c r="H20" s="1539"/>
      <c r="I20" s="1542"/>
      <c r="J20" s="1539"/>
      <c r="K20" s="1542"/>
      <c r="L20" s="714">
        <f t="shared" si="7"/>
        <v>0</v>
      </c>
      <c r="M20" s="714">
        <f t="shared" si="8"/>
        <v>0</v>
      </c>
      <c r="N20" s="714">
        <f t="shared" si="9"/>
        <v>0</v>
      </c>
      <c r="O20" s="770">
        <f t="shared" si="12"/>
        <v>0</v>
      </c>
      <c r="P20" s="770">
        <f t="shared" si="13"/>
        <v>0</v>
      </c>
      <c r="Q20" s="770">
        <f t="shared" si="14"/>
        <v>0</v>
      </c>
      <c r="R20" s="770">
        <f t="shared" si="15"/>
        <v>0</v>
      </c>
      <c r="S20" s="770">
        <f t="shared" si="16"/>
        <v>0</v>
      </c>
      <c r="T20" s="770">
        <f t="shared" si="17"/>
        <v>0</v>
      </c>
      <c r="U20" s="770">
        <f t="shared" si="18"/>
        <v>0</v>
      </c>
      <c r="V20" s="770">
        <f t="shared" si="19"/>
        <v>0</v>
      </c>
      <c r="W20" s="771">
        <f t="shared" si="20"/>
        <v>0</v>
      </c>
      <c r="X20" s="1500">
        <f t="shared" si="23"/>
        <v>0</v>
      </c>
      <c r="Y20" s="1498">
        <f t="shared" si="21"/>
        <v>0</v>
      </c>
      <c r="Z20" s="1501">
        <f>C20+$K$33+X20</f>
        <v>0</v>
      </c>
      <c r="AA20" s="768"/>
      <c r="AB20" s="1446"/>
      <c r="AC20" s="1481" t="s">
        <v>183</v>
      </c>
      <c r="AD20" s="1428">
        <f>IF($G$4=1,VLOOKUP($AC20,PGDE_Sec_Subjs_ES,VLOOKUP('Background 17-18'!$C$2,Inst_Tables,21,FALSE),FALSE),0)</f>
        <v>0</v>
      </c>
      <c r="AE20" s="1551"/>
      <c r="AF20" s="1540"/>
      <c r="AG20" s="1540"/>
      <c r="AH20" s="1540"/>
      <c r="AI20" s="1540"/>
      <c r="AJ20" s="1540"/>
      <c r="AK20" s="1540"/>
      <c r="AL20" s="1542"/>
      <c r="AM20" s="1679">
        <f>IF($G$4=1,VLOOKUP($AC20,PGDE_Sec_Subjs_ES,VLOOKUP('Background 17-18'!$C$2,Inst_Tables,30,FALSE),FALSE),0)</f>
        <v>0</v>
      </c>
      <c r="AN20" s="1679">
        <f>IF($G$4=1,VLOOKUP($AC20,PGDE_Sec_Subjs_ES,VLOOKUP('Background 17-18'!$C$2,Inst_Tables,31,FALSE),FALSE),0)</f>
        <v>0</v>
      </c>
      <c r="AO20" s="1679">
        <f>IF($G$4=1,VLOOKUP($AC20,PGDE_Sec_Subjs_ES,VLOOKUP('Background 17-18'!$C$2,Inst_Tables,32,FALSE),FALSE),0)</f>
        <v>0</v>
      </c>
      <c r="AP20" s="1686">
        <f>IF($G$4=1,VLOOKUP($AC20,PGDE_Sec_Subjs_ES,VLOOKUP('Background 17-18'!$C$2,Inst_Tables,33,FALSE),FALSE),0)</f>
        <v>0</v>
      </c>
      <c r="AQ20" s="1686">
        <f>IF($G$4=1,VLOOKUP($AC20,PGDE_Sec_Subjs_ES,VLOOKUP('Background 17-18'!$C$2,Inst_Tables,34,FALSE),FALSE),0)</f>
        <v>0</v>
      </c>
      <c r="AR20" s="1686">
        <f>IF($G$4=1,VLOOKUP($AC20,PGDE_Sec_Subjs_ES,VLOOKUP('Background 17-18'!$C$2,Inst_Tables,35,FALSE),FALSE),0)</f>
        <v>0</v>
      </c>
      <c r="AS20" s="1686">
        <f>IF($G$4=1,VLOOKUP($AC20,PGDE_Sec_Subjs_ES,VLOOKUP('Background 17-18'!$C$2,Inst_Tables,36,FALSE),FALSE),0)</f>
        <v>0</v>
      </c>
      <c r="AT20" s="1686">
        <f>IF($G$4=1,VLOOKUP($AC20,PGDE_Sec_Subjs_ES,VLOOKUP('Background 17-18'!$C$2,Inst_Tables,37,FALSE),FALSE),0)</f>
        <v>0</v>
      </c>
      <c r="AU20" s="1686">
        <f>IF($G$4=1,VLOOKUP($AC20,PGDE_Sec_Subjs_ES,VLOOKUP('Background 17-18'!$C$2,Inst_Tables,38,FALSE),FALSE),0)</f>
        <v>0</v>
      </c>
      <c r="AV20" s="1686">
        <f>IF($G$4=1,VLOOKUP($AC20,PGDE_Sec_Subjs_ES,VLOOKUP('Background 17-18'!$C$2,Inst_Tables,39,FALSE),FALSE),0)</f>
        <v>0</v>
      </c>
      <c r="AW20" s="1686">
        <f>IF($G$4=1,VLOOKUP($AC20,PGDE_Sec_Subjs_ES,VLOOKUP('Background 17-18'!$C$2,Inst_Tables,40,FALSE),FALSE),0)</f>
        <v>0</v>
      </c>
      <c r="AX20" s="1687">
        <f>IF($G$4=1,VLOOKUP($AC20,PGDE_Sec_Subjs_ES,VLOOKUP('Background 17-18'!$C$2,Inst_Tables,41,FALSE),FALSE),0)</f>
        <v>0</v>
      </c>
      <c r="AY20" s="1482">
        <f t="shared" si="24"/>
        <v>0</v>
      </c>
      <c r="AZ20" s="1479">
        <f t="shared" si="22"/>
        <v>0</v>
      </c>
      <c r="BA20" s="1483">
        <f>AD20+$AL$33+AY20</f>
        <v>0</v>
      </c>
      <c r="BB20" s="1387"/>
    </row>
    <row r="21" spans="1:54" ht="20.100000000000001" customHeight="1">
      <c r="A21" s="694"/>
      <c r="B21" s="769" t="s">
        <v>184</v>
      </c>
      <c r="C21" s="1492">
        <f t="shared" si="11"/>
        <v>5</v>
      </c>
      <c r="D21" s="1547"/>
      <c r="E21" s="1542"/>
      <c r="F21" s="1539"/>
      <c r="G21" s="1542"/>
      <c r="H21" s="1539"/>
      <c r="I21" s="1542"/>
      <c r="J21" s="1539"/>
      <c r="K21" s="1542"/>
      <c r="L21" s="1539"/>
      <c r="M21" s="714">
        <f t="shared" si="8"/>
        <v>0</v>
      </c>
      <c r="N21" s="714">
        <f t="shared" si="9"/>
        <v>0</v>
      </c>
      <c r="O21" s="770">
        <f t="shared" si="12"/>
        <v>0</v>
      </c>
      <c r="P21" s="770">
        <f t="shared" si="13"/>
        <v>0</v>
      </c>
      <c r="Q21" s="770">
        <f t="shared" si="14"/>
        <v>0</v>
      </c>
      <c r="R21" s="770">
        <f t="shared" si="15"/>
        <v>0</v>
      </c>
      <c r="S21" s="770">
        <f t="shared" si="16"/>
        <v>0</v>
      </c>
      <c r="T21" s="770">
        <f t="shared" si="17"/>
        <v>0</v>
      </c>
      <c r="U21" s="770">
        <f t="shared" si="18"/>
        <v>0</v>
      </c>
      <c r="V21" s="770">
        <f t="shared" si="19"/>
        <v>0</v>
      </c>
      <c r="W21" s="771">
        <f t="shared" si="20"/>
        <v>0</v>
      </c>
      <c r="X21" s="1500">
        <f t="shared" si="23"/>
        <v>0</v>
      </c>
      <c r="Y21" s="1498">
        <f t="shared" si="21"/>
        <v>5</v>
      </c>
      <c r="Z21" s="1501">
        <f>C21+$L$33+X21</f>
        <v>5</v>
      </c>
      <c r="AA21" s="768"/>
      <c r="AB21" s="1446"/>
      <c r="AC21" s="1481" t="s">
        <v>184</v>
      </c>
      <c r="AD21" s="1428">
        <f>IF($G$4=1,VLOOKUP($AC21,PGDE_Sec_Subjs_ES,VLOOKUP('Background 17-18'!$C$2,Inst_Tables,21,FALSE),FALSE),0)</f>
        <v>5</v>
      </c>
      <c r="AE21" s="1551"/>
      <c r="AF21" s="1540"/>
      <c r="AG21" s="1540"/>
      <c r="AH21" s="1540"/>
      <c r="AI21" s="1540"/>
      <c r="AJ21" s="1540"/>
      <c r="AK21" s="1540"/>
      <c r="AL21" s="1540"/>
      <c r="AM21" s="1539"/>
      <c r="AN21" s="1679">
        <f>IF($G$4=1,VLOOKUP($AC21,PGDE_Sec_Subjs_ES,VLOOKUP('Background 17-18'!$C$2,Inst_Tables,31,FALSE),FALSE),0)</f>
        <v>0</v>
      </c>
      <c r="AO21" s="1679">
        <f>IF($G$4=1,VLOOKUP($AC21,PGDE_Sec_Subjs_ES,VLOOKUP('Background 17-18'!$C$2,Inst_Tables,32,FALSE),FALSE),0)</f>
        <v>0</v>
      </c>
      <c r="AP21" s="1686">
        <f>IF($G$4=1,VLOOKUP($AC21,PGDE_Sec_Subjs_ES,VLOOKUP('Background 17-18'!$C$2,Inst_Tables,33,FALSE),FALSE),0)</f>
        <v>0</v>
      </c>
      <c r="AQ21" s="1686">
        <f>IF($G$4=1,VLOOKUP($AC21,PGDE_Sec_Subjs_ES,VLOOKUP('Background 17-18'!$C$2,Inst_Tables,34,FALSE),FALSE),0)</f>
        <v>0</v>
      </c>
      <c r="AR21" s="1686">
        <f>IF($G$4=1,VLOOKUP($AC21,PGDE_Sec_Subjs_ES,VLOOKUP('Background 17-18'!$C$2,Inst_Tables,35,FALSE),FALSE),0)</f>
        <v>0</v>
      </c>
      <c r="AS21" s="1686">
        <f>IF($G$4=1,VLOOKUP($AC21,PGDE_Sec_Subjs_ES,VLOOKUP('Background 17-18'!$C$2,Inst_Tables,36,FALSE),FALSE),0)</f>
        <v>0</v>
      </c>
      <c r="AT21" s="1686">
        <f>IF($G$4=1,VLOOKUP($AC21,PGDE_Sec_Subjs_ES,VLOOKUP('Background 17-18'!$C$2,Inst_Tables,37,FALSE),FALSE),0)</f>
        <v>0</v>
      </c>
      <c r="AU21" s="1686">
        <f>IF($G$4=1,VLOOKUP($AC21,PGDE_Sec_Subjs_ES,VLOOKUP('Background 17-18'!$C$2,Inst_Tables,38,FALSE),FALSE),0)</f>
        <v>0</v>
      </c>
      <c r="AV21" s="1686">
        <f>IF($G$4=1,VLOOKUP($AC21,PGDE_Sec_Subjs_ES,VLOOKUP('Background 17-18'!$C$2,Inst_Tables,39,FALSE),FALSE),0)</f>
        <v>0</v>
      </c>
      <c r="AW21" s="1686">
        <f>IF($G$4=1,VLOOKUP($AC21,PGDE_Sec_Subjs_ES,VLOOKUP('Background 17-18'!$C$2,Inst_Tables,40,FALSE),FALSE),0)</f>
        <v>0</v>
      </c>
      <c r="AX21" s="1687">
        <f>IF($G$4=1,VLOOKUP($AC21,PGDE_Sec_Subjs_ES,VLOOKUP('Background 17-18'!$C$2,Inst_Tables,41,FALSE),FALSE),0)</f>
        <v>0</v>
      </c>
      <c r="AY21" s="1482">
        <f t="shared" si="24"/>
        <v>0</v>
      </c>
      <c r="AZ21" s="1479">
        <f t="shared" si="22"/>
        <v>5</v>
      </c>
      <c r="BA21" s="1483">
        <f>AD21+$AM$33+AY21</f>
        <v>5</v>
      </c>
      <c r="BB21" s="1387"/>
    </row>
    <row r="22" spans="1:54" ht="20.100000000000001" customHeight="1">
      <c r="A22" s="694"/>
      <c r="B22" s="769" t="s">
        <v>185</v>
      </c>
      <c r="C22" s="1492">
        <f>AD22+2</f>
        <v>19</v>
      </c>
      <c r="D22" s="1547"/>
      <c r="E22" s="1542"/>
      <c r="F22" s="1539"/>
      <c r="G22" s="1542"/>
      <c r="H22" s="1539"/>
      <c r="I22" s="1542"/>
      <c r="J22" s="1539"/>
      <c r="K22" s="1542"/>
      <c r="L22" s="1539"/>
      <c r="M22" s="1542"/>
      <c r="N22" s="714">
        <f t="shared" si="9"/>
        <v>0</v>
      </c>
      <c r="O22" s="770">
        <f t="shared" si="12"/>
        <v>0</v>
      </c>
      <c r="P22" s="770">
        <f t="shared" si="13"/>
        <v>0</v>
      </c>
      <c r="Q22" s="770">
        <f t="shared" si="14"/>
        <v>0</v>
      </c>
      <c r="R22" s="770">
        <f t="shared" si="15"/>
        <v>0</v>
      </c>
      <c r="S22" s="770">
        <f t="shared" si="16"/>
        <v>0</v>
      </c>
      <c r="T22" s="770">
        <f t="shared" si="17"/>
        <v>0</v>
      </c>
      <c r="U22" s="770">
        <f t="shared" si="18"/>
        <v>0</v>
      </c>
      <c r="V22" s="770">
        <f t="shared" si="19"/>
        <v>0</v>
      </c>
      <c r="W22" s="771">
        <f t="shared" si="20"/>
        <v>0</v>
      </c>
      <c r="X22" s="1500">
        <f t="shared" si="23"/>
        <v>0</v>
      </c>
      <c r="Y22" s="1498">
        <f t="shared" si="21"/>
        <v>19</v>
      </c>
      <c r="Z22" s="1501">
        <f>C22+$M$33+X22</f>
        <v>19</v>
      </c>
      <c r="AA22" s="768"/>
      <c r="AB22" s="1446"/>
      <c r="AC22" s="1481" t="s">
        <v>185</v>
      </c>
      <c r="AD22" s="1428">
        <f>IF($G$4=1,VLOOKUP($AC22,PGDE_Sec_Subjs_ES,VLOOKUP('Background 17-18'!$C$2,Inst_Tables,21,FALSE),FALSE),0)</f>
        <v>17</v>
      </c>
      <c r="AE22" s="1551"/>
      <c r="AF22" s="1540"/>
      <c r="AG22" s="1540"/>
      <c r="AH22" s="1540"/>
      <c r="AI22" s="1540"/>
      <c r="AJ22" s="1540"/>
      <c r="AK22" s="1540"/>
      <c r="AL22" s="1540"/>
      <c r="AM22" s="1540"/>
      <c r="AN22" s="1542"/>
      <c r="AO22" s="1679">
        <f>IF($G$4=1,VLOOKUP($AC22,PGDE_Sec_Subjs_ES,VLOOKUP('Background 17-18'!$C$2,Inst_Tables,32,FALSE),FALSE),0)</f>
        <v>0</v>
      </c>
      <c r="AP22" s="1686">
        <f>IF($G$4=1,VLOOKUP($AC22,PGDE_Sec_Subjs_ES,VLOOKUP('Background 17-18'!$C$2,Inst_Tables,33,FALSE),FALSE),0)</f>
        <v>0</v>
      </c>
      <c r="AQ22" s="1686">
        <f>IF($G$4=1,VLOOKUP($AC22,PGDE_Sec_Subjs_ES,VLOOKUP('Background 17-18'!$C$2,Inst_Tables,34,FALSE),FALSE),0)</f>
        <v>0</v>
      </c>
      <c r="AR22" s="1686">
        <f>IF($G$4=1,VLOOKUP($AC22,PGDE_Sec_Subjs_ES,VLOOKUP('Background 17-18'!$C$2,Inst_Tables,35,FALSE),FALSE),0)</f>
        <v>0</v>
      </c>
      <c r="AS22" s="1686">
        <f>IF($G$4=1,VLOOKUP($AC22,PGDE_Sec_Subjs_ES,VLOOKUP('Background 17-18'!$C$2,Inst_Tables,36,FALSE),FALSE),0)</f>
        <v>0</v>
      </c>
      <c r="AT22" s="1686">
        <f>IF($G$4=1,VLOOKUP($AC22,PGDE_Sec_Subjs_ES,VLOOKUP('Background 17-18'!$C$2,Inst_Tables,37,FALSE),FALSE),0)</f>
        <v>0</v>
      </c>
      <c r="AU22" s="1686">
        <f>IF($G$4=1,VLOOKUP($AC22,PGDE_Sec_Subjs_ES,VLOOKUP('Background 17-18'!$C$2,Inst_Tables,38,FALSE),FALSE),0)</f>
        <v>0</v>
      </c>
      <c r="AV22" s="1686">
        <f>IF($G$4=1,VLOOKUP($AC22,PGDE_Sec_Subjs_ES,VLOOKUP('Background 17-18'!$C$2,Inst_Tables,39,FALSE),FALSE),0)</f>
        <v>0</v>
      </c>
      <c r="AW22" s="1686">
        <f>IF($G$4=1,VLOOKUP($AC22,PGDE_Sec_Subjs_ES,VLOOKUP('Background 17-18'!$C$2,Inst_Tables,40,FALSE),FALSE),0)</f>
        <v>0</v>
      </c>
      <c r="AX22" s="1687">
        <f>IF($G$4=1,VLOOKUP($AC22,PGDE_Sec_Subjs_ES,VLOOKUP('Background 17-18'!$C$2,Inst_Tables,41,FALSE),FALSE),0)</f>
        <v>0</v>
      </c>
      <c r="AY22" s="1482">
        <f t="shared" si="24"/>
        <v>0</v>
      </c>
      <c r="AZ22" s="1479">
        <f t="shared" si="22"/>
        <v>17</v>
      </c>
      <c r="BA22" s="1483">
        <f>AD22+$AN$33+AY22</f>
        <v>17</v>
      </c>
      <c r="BB22" s="1387"/>
    </row>
    <row r="23" spans="1:54" ht="20.100000000000001" customHeight="1">
      <c r="A23" s="694"/>
      <c r="B23" s="769" t="s">
        <v>198</v>
      </c>
      <c r="C23" s="1492">
        <f t="shared" si="11"/>
        <v>0</v>
      </c>
      <c r="D23" s="1547"/>
      <c r="E23" s="1542"/>
      <c r="F23" s="1539"/>
      <c r="G23" s="1542"/>
      <c r="H23" s="1539"/>
      <c r="I23" s="1542"/>
      <c r="J23" s="1539"/>
      <c r="K23" s="1542"/>
      <c r="L23" s="1539"/>
      <c r="M23" s="1542"/>
      <c r="N23" s="1539"/>
      <c r="O23" s="770">
        <f t="shared" si="12"/>
        <v>0</v>
      </c>
      <c r="P23" s="770">
        <f t="shared" si="13"/>
        <v>0</v>
      </c>
      <c r="Q23" s="770">
        <f t="shared" si="14"/>
        <v>0</v>
      </c>
      <c r="R23" s="770">
        <f t="shared" si="15"/>
        <v>0</v>
      </c>
      <c r="S23" s="770">
        <f t="shared" si="16"/>
        <v>0</v>
      </c>
      <c r="T23" s="770">
        <f t="shared" si="17"/>
        <v>0</v>
      </c>
      <c r="U23" s="770">
        <f t="shared" si="18"/>
        <v>0</v>
      </c>
      <c r="V23" s="770">
        <f t="shared" si="19"/>
        <v>0</v>
      </c>
      <c r="W23" s="771">
        <f t="shared" si="20"/>
        <v>0</v>
      </c>
      <c r="X23" s="1500">
        <f t="shared" si="23"/>
        <v>0</v>
      </c>
      <c r="Y23" s="1498">
        <f t="shared" si="21"/>
        <v>0</v>
      </c>
      <c r="Z23" s="1501">
        <f>C23+$N$33+X23</f>
        <v>0</v>
      </c>
      <c r="AA23" s="768"/>
      <c r="AB23" s="1446"/>
      <c r="AC23" s="1481" t="s">
        <v>198</v>
      </c>
      <c r="AD23" s="1428">
        <f>IF($G$4=1,VLOOKUP($AC23,PGDE_Sec_Subjs_ES,VLOOKUP('Background 17-18'!$C$2,Inst_Tables,21,FALSE),FALSE),0)</f>
        <v>0</v>
      </c>
      <c r="AE23" s="1551"/>
      <c r="AF23" s="1540"/>
      <c r="AG23" s="1540"/>
      <c r="AH23" s="1540"/>
      <c r="AI23" s="1540"/>
      <c r="AJ23" s="1540"/>
      <c r="AK23" s="1540"/>
      <c r="AL23" s="1540"/>
      <c r="AM23" s="1540"/>
      <c r="AN23" s="1540"/>
      <c r="AO23" s="1539"/>
      <c r="AP23" s="1686">
        <f>IF($G$4=1,VLOOKUP($AC23,PGDE_Sec_Subjs_ES,VLOOKUP('Background 17-18'!$C$2,Inst_Tables,33,FALSE),FALSE),0)</f>
        <v>0</v>
      </c>
      <c r="AQ23" s="1686">
        <f>IF($G$4=1,VLOOKUP($AC23,PGDE_Sec_Subjs_ES,VLOOKUP('Background 17-18'!$C$2,Inst_Tables,34,FALSE),FALSE),0)</f>
        <v>0</v>
      </c>
      <c r="AR23" s="1686">
        <f>IF($G$4=1,VLOOKUP($AC23,PGDE_Sec_Subjs_ES,VLOOKUP('Background 17-18'!$C$2,Inst_Tables,35,FALSE),FALSE),0)</f>
        <v>0</v>
      </c>
      <c r="AS23" s="1686">
        <f>IF($G$4=1,VLOOKUP($AC23,PGDE_Sec_Subjs_ES,VLOOKUP('Background 17-18'!$C$2,Inst_Tables,36,FALSE),FALSE),0)</f>
        <v>0</v>
      </c>
      <c r="AT23" s="1686">
        <f>IF($G$4=1,VLOOKUP($AC23,PGDE_Sec_Subjs_ES,VLOOKUP('Background 17-18'!$C$2,Inst_Tables,37,FALSE),FALSE),0)</f>
        <v>0</v>
      </c>
      <c r="AU23" s="1686">
        <f>IF($G$4=1,VLOOKUP($AC23,PGDE_Sec_Subjs_ES,VLOOKUP('Background 17-18'!$C$2,Inst_Tables,38,FALSE),FALSE),0)</f>
        <v>0</v>
      </c>
      <c r="AV23" s="1686">
        <f>IF($G$4=1,VLOOKUP($AC23,PGDE_Sec_Subjs_ES,VLOOKUP('Background 17-18'!$C$2,Inst_Tables,39,FALSE),FALSE),0)</f>
        <v>0</v>
      </c>
      <c r="AW23" s="1686">
        <f>IF($G$4=1,VLOOKUP($AC23,PGDE_Sec_Subjs_ES,VLOOKUP('Background 17-18'!$C$2,Inst_Tables,40,FALSE),FALSE),0)</f>
        <v>0</v>
      </c>
      <c r="AX23" s="1687">
        <f>IF($G$4=1,VLOOKUP($AC23,PGDE_Sec_Subjs_ES,VLOOKUP('Background 17-18'!$C$2,Inst_Tables,41,FALSE),FALSE),0)</f>
        <v>0</v>
      </c>
      <c r="AY23" s="1482">
        <f t="shared" si="24"/>
        <v>0</v>
      </c>
      <c r="AZ23" s="1479">
        <f t="shared" si="22"/>
        <v>0</v>
      </c>
      <c r="BA23" s="1483">
        <f>AD23+$AO$33+AY23</f>
        <v>0</v>
      </c>
      <c r="BB23" s="1387"/>
    </row>
    <row r="24" spans="1:54" ht="20.100000000000001" customHeight="1">
      <c r="A24" s="694"/>
      <c r="B24" s="769" t="s">
        <v>187</v>
      </c>
      <c r="C24" s="1492">
        <f>AD24+1</f>
        <v>21</v>
      </c>
      <c r="D24" s="1547"/>
      <c r="E24" s="1542"/>
      <c r="F24" s="1539"/>
      <c r="G24" s="1542"/>
      <c r="H24" s="1539"/>
      <c r="I24" s="1542"/>
      <c r="J24" s="1539"/>
      <c r="K24" s="1542"/>
      <c r="L24" s="1539"/>
      <c r="M24" s="1542"/>
      <c r="N24" s="1539"/>
      <c r="O24" s="1544"/>
      <c r="P24" s="770">
        <f t="shared" si="13"/>
        <v>0</v>
      </c>
      <c r="Q24" s="770">
        <f t="shared" si="14"/>
        <v>0</v>
      </c>
      <c r="R24" s="770">
        <f t="shared" si="15"/>
        <v>0</v>
      </c>
      <c r="S24" s="770">
        <f t="shared" si="16"/>
        <v>0</v>
      </c>
      <c r="T24" s="770">
        <f t="shared" si="17"/>
        <v>0</v>
      </c>
      <c r="U24" s="770">
        <f t="shared" si="18"/>
        <v>0</v>
      </c>
      <c r="V24" s="770">
        <f t="shared" ref="V24:V30" si="25">AW24</f>
        <v>0</v>
      </c>
      <c r="W24" s="771">
        <f t="shared" si="20"/>
        <v>0</v>
      </c>
      <c r="X24" s="1500">
        <f t="shared" si="23"/>
        <v>0</v>
      </c>
      <c r="Y24" s="1498">
        <f t="shared" si="21"/>
        <v>21</v>
      </c>
      <c r="Z24" s="1501">
        <f>C24+$O$33+X24</f>
        <v>21</v>
      </c>
      <c r="AA24" s="768"/>
      <c r="AB24" s="1446"/>
      <c r="AC24" s="1481" t="s">
        <v>187</v>
      </c>
      <c r="AD24" s="1428">
        <f>IF($G$4=1,VLOOKUP($AC24,PGDE_Sec_Subjs_ES,VLOOKUP('Background 17-18'!$C$2,Inst_Tables,21,FALSE),FALSE),0)</f>
        <v>20</v>
      </c>
      <c r="AE24" s="1551"/>
      <c r="AF24" s="1540"/>
      <c r="AG24" s="1540"/>
      <c r="AH24" s="1540"/>
      <c r="AI24" s="1540"/>
      <c r="AJ24" s="1540"/>
      <c r="AK24" s="1540"/>
      <c r="AL24" s="1540"/>
      <c r="AM24" s="1540"/>
      <c r="AN24" s="1540"/>
      <c r="AO24" s="1540"/>
      <c r="AP24" s="1544"/>
      <c r="AQ24" s="1686">
        <f>IF($G$4=1,VLOOKUP($AC24,PGDE_Sec_Subjs_ES,VLOOKUP('Background 17-18'!$C$2,Inst_Tables,34,FALSE),FALSE),0)</f>
        <v>0</v>
      </c>
      <c r="AR24" s="1686">
        <f>IF($G$4=1,VLOOKUP($AC24,PGDE_Sec_Subjs_ES,VLOOKUP('Background 17-18'!$C$2,Inst_Tables,35,FALSE),FALSE),0)</f>
        <v>0</v>
      </c>
      <c r="AS24" s="1686">
        <f>IF($G$4=1,VLOOKUP($AC24,PGDE_Sec_Subjs_ES,VLOOKUP('Background 17-18'!$C$2,Inst_Tables,36,FALSE),FALSE),0)</f>
        <v>0</v>
      </c>
      <c r="AT24" s="1686">
        <f>IF($G$4=1,VLOOKUP($AC24,PGDE_Sec_Subjs_ES,VLOOKUP('Background 17-18'!$C$2,Inst_Tables,37,FALSE),FALSE),0)</f>
        <v>0</v>
      </c>
      <c r="AU24" s="1686">
        <f>IF($G$4=1,VLOOKUP($AC24,PGDE_Sec_Subjs_ES,VLOOKUP('Background 17-18'!$C$2,Inst_Tables,38,FALSE),FALSE),0)</f>
        <v>0</v>
      </c>
      <c r="AV24" s="1686">
        <f>IF($G$4=1,VLOOKUP($AC24,PGDE_Sec_Subjs_ES,VLOOKUP('Background 17-18'!$C$2,Inst_Tables,39,FALSE),FALSE),0)</f>
        <v>0</v>
      </c>
      <c r="AW24" s="1686">
        <f>IF($G$4=1,VLOOKUP($AC24,PGDE_Sec_Subjs_ES,VLOOKUP('Background 17-18'!$C$2,Inst_Tables,40,FALSE),FALSE),0)</f>
        <v>0</v>
      </c>
      <c r="AX24" s="1687">
        <f>IF($G$4=1,VLOOKUP($AC24,PGDE_Sec_Subjs_ES,VLOOKUP('Background 17-18'!$C$2,Inst_Tables,41,FALSE),FALSE),0)</f>
        <v>0</v>
      </c>
      <c r="AY24" s="1482">
        <f t="shared" si="24"/>
        <v>0</v>
      </c>
      <c r="AZ24" s="1479">
        <f t="shared" si="22"/>
        <v>20</v>
      </c>
      <c r="BA24" s="1483">
        <f>AD24+$AP$33+AY24</f>
        <v>20</v>
      </c>
      <c r="BB24" s="1387"/>
    </row>
    <row r="25" spans="1:54" ht="20.100000000000001" customHeight="1">
      <c r="A25" s="694"/>
      <c r="B25" s="769" t="s">
        <v>199</v>
      </c>
      <c r="C25" s="1492">
        <f t="shared" si="11"/>
        <v>21</v>
      </c>
      <c r="D25" s="1547"/>
      <c r="E25" s="1542"/>
      <c r="F25" s="1548"/>
      <c r="G25" s="1549"/>
      <c r="H25" s="1539"/>
      <c r="I25" s="1542"/>
      <c r="J25" s="1548"/>
      <c r="K25" s="1549"/>
      <c r="L25" s="1539"/>
      <c r="M25" s="1542"/>
      <c r="N25" s="1550"/>
      <c r="O25" s="1544"/>
      <c r="P25" s="1545"/>
      <c r="Q25" s="770">
        <f t="shared" si="14"/>
        <v>0</v>
      </c>
      <c r="R25" s="770">
        <f t="shared" si="15"/>
        <v>0</v>
      </c>
      <c r="S25" s="770">
        <f t="shared" si="16"/>
        <v>0</v>
      </c>
      <c r="T25" s="770">
        <f t="shared" si="17"/>
        <v>0</v>
      </c>
      <c r="U25" s="770">
        <f t="shared" si="18"/>
        <v>0</v>
      </c>
      <c r="V25" s="770">
        <f t="shared" si="25"/>
        <v>0</v>
      </c>
      <c r="W25" s="771">
        <f t="shared" si="20"/>
        <v>0</v>
      </c>
      <c r="X25" s="1500">
        <f t="shared" si="23"/>
        <v>0</v>
      </c>
      <c r="Y25" s="1498">
        <f t="shared" si="21"/>
        <v>21</v>
      </c>
      <c r="Z25" s="1501">
        <f>C25+$P$33+X25</f>
        <v>21</v>
      </c>
      <c r="AA25" s="768"/>
      <c r="AB25" s="1446"/>
      <c r="AC25" s="1481" t="s">
        <v>199</v>
      </c>
      <c r="AD25" s="1428">
        <f>IF($G$4=1,VLOOKUP($AC25,PGDE_Sec_Subjs_ES,VLOOKUP('Background 17-18'!$C$2,Inst_Tables,21,FALSE),FALSE),0)</f>
        <v>21</v>
      </c>
      <c r="AE25" s="1551"/>
      <c r="AF25" s="1540"/>
      <c r="AG25" s="1541"/>
      <c r="AH25" s="1543"/>
      <c r="AI25" s="1540"/>
      <c r="AJ25" s="1540"/>
      <c r="AK25" s="1540"/>
      <c r="AL25" s="1540"/>
      <c r="AM25" s="1540"/>
      <c r="AN25" s="1540"/>
      <c r="AO25" s="1540"/>
      <c r="AP25" s="1540"/>
      <c r="AQ25" s="1545"/>
      <c r="AR25" s="1686">
        <f>IF($G$4=1,VLOOKUP($AC25,PGDE_Sec_Subjs_ES,VLOOKUP('Background 17-18'!$C$2,Inst_Tables,35,FALSE),FALSE),0)</f>
        <v>0</v>
      </c>
      <c r="AS25" s="1686">
        <f>IF($G$4=1,VLOOKUP($AC25,PGDE_Sec_Subjs_ES,VLOOKUP('Background 17-18'!$C$2,Inst_Tables,36,FALSE),FALSE),0)</f>
        <v>0</v>
      </c>
      <c r="AT25" s="1686">
        <f>IF($G$4=1,VLOOKUP($AC25,PGDE_Sec_Subjs_ES,VLOOKUP('Background 17-18'!$C$2,Inst_Tables,37,FALSE),FALSE),0)</f>
        <v>0</v>
      </c>
      <c r="AU25" s="1686">
        <f>IF($G$4=1,VLOOKUP($AC25,PGDE_Sec_Subjs_ES,VLOOKUP('Background 17-18'!$C$2,Inst_Tables,38,FALSE),FALSE),0)</f>
        <v>0</v>
      </c>
      <c r="AV25" s="1686">
        <f>IF($G$4=1,VLOOKUP($AC25,PGDE_Sec_Subjs_ES,VLOOKUP('Background 17-18'!$C$2,Inst_Tables,39,FALSE),FALSE),0)</f>
        <v>0</v>
      </c>
      <c r="AW25" s="1686">
        <f>IF($G$4=1,VLOOKUP($AC25,PGDE_Sec_Subjs_ES,VLOOKUP('Background 17-18'!$C$2,Inst_Tables,40,FALSE),FALSE),0)</f>
        <v>0</v>
      </c>
      <c r="AX25" s="1687">
        <f>IF($G$4=1,VLOOKUP($AC25,PGDE_Sec_Subjs_ES,VLOOKUP('Background 17-18'!$C$2,Inst_Tables,41,FALSE),FALSE),0)</f>
        <v>0</v>
      </c>
      <c r="AY25" s="1482">
        <f t="shared" si="24"/>
        <v>0</v>
      </c>
      <c r="AZ25" s="1479">
        <f t="shared" si="22"/>
        <v>21</v>
      </c>
      <c r="BA25" s="1483">
        <f>AD25+$AQ$33+AY25</f>
        <v>21</v>
      </c>
      <c r="BB25" s="1387"/>
    </row>
    <row r="26" spans="1:54" ht="20.100000000000001" customHeight="1">
      <c r="A26" s="694"/>
      <c r="B26" s="769" t="s">
        <v>200</v>
      </c>
      <c r="C26" s="1492">
        <f t="shared" si="11"/>
        <v>14</v>
      </c>
      <c r="D26" s="1547"/>
      <c r="E26" s="1542"/>
      <c r="F26" s="1548"/>
      <c r="G26" s="1549"/>
      <c r="H26" s="1539"/>
      <c r="I26" s="1542"/>
      <c r="J26" s="1548"/>
      <c r="K26" s="1549"/>
      <c r="L26" s="1539"/>
      <c r="M26" s="1542"/>
      <c r="N26" s="1550"/>
      <c r="O26" s="1544"/>
      <c r="P26" s="1545"/>
      <c r="Q26" s="1545"/>
      <c r="R26" s="770">
        <f t="shared" si="15"/>
        <v>0</v>
      </c>
      <c r="S26" s="770">
        <f t="shared" si="16"/>
        <v>0</v>
      </c>
      <c r="T26" s="770">
        <f t="shared" si="17"/>
        <v>0</v>
      </c>
      <c r="U26" s="770">
        <f t="shared" si="18"/>
        <v>0</v>
      </c>
      <c r="V26" s="770">
        <f t="shared" si="25"/>
        <v>0</v>
      </c>
      <c r="W26" s="771">
        <f t="shared" si="20"/>
        <v>0</v>
      </c>
      <c r="X26" s="1500">
        <f t="shared" si="23"/>
        <v>0</v>
      </c>
      <c r="Y26" s="1498">
        <f t="shared" si="21"/>
        <v>14</v>
      </c>
      <c r="Z26" s="1501">
        <f>C26+$Q$33+X26</f>
        <v>14</v>
      </c>
      <c r="AA26" s="768"/>
      <c r="AB26" s="1446"/>
      <c r="AC26" s="1481" t="s">
        <v>200</v>
      </c>
      <c r="AD26" s="1428">
        <f>IF($G$4=1,VLOOKUP($AC26,PGDE_Sec_Subjs_ES,VLOOKUP('Background 17-18'!$C$2,Inst_Tables,21,FALSE),FALSE),0)</f>
        <v>14</v>
      </c>
      <c r="AE26" s="1551"/>
      <c r="AF26" s="1540"/>
      <c r="AG26" s="1541"/>
      <c r="AH26" s="1543"/>
      <c r="AI26" s="1540"/>
      <c r="AJ26" s="1540"/>
      <c r="AK26" s="1540"/>
      <c r="AL26" s="1540"/>
      <c r="AM26" s="1540"/>
      <c r="AN26" s="1540"/>
      <c r="AO26" s="1540"/>
      <c r="AP26" s="1540"/>
      <c r="AQ26" s="1540"/>
      <c r="AR26" s="1545"/>
      <c r="AS26" s="1686">
        <f>IF($G$4=1,VLOOKUP($AC26,PGDE_Sec_Subjs_ES,VLOOKUP('Background 17-18'!$C$2,Inst_Tables,36,FALSE),FALSE),0)</f>
        <v>0</v>
      </c>
      <c r="AT26" s="1686">
        <f>IF($G$4=1,VLOOKUP($AC26,PGDE_Sec_Subjs_ES,VLOOKUP('Background 17-18'!$C$2,Inst_Tables,37,FALSE),FALSE),0)</f>
        <v>0</v>
      </c>
      <c r="AU26" s="1686">
        <f>IF($G$4=1,VLOOKUP($AC26,PGDE_Sec_Subjs_ES,VLOOKUP('Background 17-18'!$C$2,Inst_Tables,38,FALSE),FALSE),0)</f>
        <v>0</v>
      </c>
      <c r="AV26" s="1686">
        <f>IF($G$4=1,VLOOKUP($AC26,PGDE_Sec_Subjs_ES,VLOOKUP('Background 17-18'!$C$2,Inst_Tables,39,FALSE),FALSE),0)</f>
        <v>0</v>
      </c>
      <c r="AW26" s="1686">
        <f>IF($G$4=1,VLOOKUP($AC26,PGDE_Sec_Subjs_ES,VLOOKUP('Background 17-18'!$C$2,Inst_Tables,40,FALSE),FALSE),0)</f>
        <v>0</v>
      </c>
      <c r="AX26" s="1687">
        <f>IF($G$4=1,VLOOKUP($AC26,PGDE_Sec_Subjs_ES,VLOOKUP('Background 17-18'!$C$2,Inst_Tables,41,FALSE),FALSE),0)</f>
        <v>0</v>
      </c>
      <c r="AY26" s="1482">
        <f t="shared" si="24"/>
        <v>0</v>
      </c>
      <c r="AZ26" s="1479">
        <f t="shared" si="22"/>
        <v>14</v>
      </c>
      <c r="BA26" s="1483">
        <f>AD26+$AR$33+AY26</f>
        <v>14</v>
      </c>
      <c r="BB26" s="1387"/>
    </row>
    <row r="27" spans="1:54" ht="20.100000000000001" customHeight="1">
      <c r="A27" s="694"/>
      <c r="B27" s="769" t="s">
        <v>190</v>
      </c>
      <c r="C27" s="1492">
        <f t="shared" si="11"/>
        <v>0</v>
      </c>
      <c r="D27" s="1547"/>
      <c r="E27" s="1542"/>
      <c r="F27" s="1548"/>
      <c r="G27" s="1549"/>
      <c r="H27" s="1539"/>
      <c r="I27" s="1542"/>
      <c r="J27" s="1548"/>
      <c r="K27" s="1549"/>
      <c r="L27" s="1539"/>
      <c r="M27" s="1542"/>
      <c r="N27" s="1550"/>
      <c r="O27" s="1544"/>
      <c r="P27" s="1545"/>
      <c r="Q27" s="1545"/>
      <c r="R27" s="1545"/>
      <c r="S27" s="770">
        <f t="shared" si="16"/>
        <v>0</v>
      </c>
      <c r="T27" s="770">
        <f t="shared" si="17"/>
        <v>0</v>
      </c>
      <c r="U27" s="770">
        <f t="shared" si="18"/>
        <v>0</v>
      </c>
      <c r="V27" s="770">
        <f t="shared" si="25"/>
        <v>0</v>
      </c>
      <c r="W27" s="771">
        <f t="shared" si="20"/>
        <v>0</v>
      </c>
      <c r="X27" s="1500">
        <f t="shared" si="23"/>
        <v>0</v>
      </c>
      <c r="Y27" s="1498">
        <f t="shared" si="21"/>
        <v>0</v>
      </c>
      <c r="Z27" s="1501">
        <f>C27+$R$33+X27</f>
        <v>0</v>
      </c>
      <c r="AA27" s="768"/>
      <c r="AB27" s="1446"/>
      <c r="AC27" s="1481" t="s">
        <v>190</v>
      </c>
      <c r="AD27" s="1428">
        <f>IF($G$4=1,VLOOKUP($AC27,PGDE_Sec_Subjs_ES,VLOOKUP('Background 17-18'!$C$2,Inst_Tables,21,FALSE),FALSE),0)</f>
        <v>0</v>
      </c>
      <c r="AE27" s="1551"/>
      <c r="AF27" s="1540"/>
      <c r="AG27" s="1541"/>
      <c r="AH27" s="1543"/>
      <c r="AI27" s="1540"/>
      <c r="AJ27" s="1540"/>
      <c r="AK27" s="1540"/>
      <c r="AL27" s="1540"/>
      <c r="AM27" s="1540"/>
      <c r="AN27" s="1540"/>
      <c r="AO27" s="1540"/>
      <c r="AP27" s="1540"/>
      <c r="AQ27" s="1540"/>
      <c r="AR27" s="1540"/>
      <c r="AS27" s="1545"/>
      <c r="AT27" s="1686">
        <f>IF($G$4=1,VLOOKUP($AC27,PGDE_Sec_Subjs_ES,VLOOKUP('Background 17-18'!$C$2,Inst_Tables,37,FALSE),FALSE),0)</f>
        <v>0</v>
      </c>
      <c r="AU27" s="1686">
        <f>IF($G$4=1,VLOOKUP($AC27,PGDE_Sec_Subjs_ES,VLOOKUP('Background 17-18'!$C$2,Inst_Tables,38,FALSE),FALSE),0)</f>
        <v>0</v>
      </c>
      <c r="AV27" s="1686">
        <f>IF($G$4=1,VLOOKUP($AC27,PGDE_Sec_Subjs_ES,VLOOKUP('Background 17-18'!$C$2,Inst_Tables,39,FALSE),FALSE),0)</f>
        <v>0</v>
      </c>
      <c r="AW27" s="1686">
        <f>IF($G$4=1,VLOOKUP($AC27,PGDE_Sec_Subjs_ES,VLOOKUP('Background 17-18'!$C$2,Inst_Tables,40,FALSE),FALSE),0)</f>
        <v>0</v>
      </c>
      <c r="AX27" s="1687">
        <f>IF($G$4=1,VLOOKUP($AC27,PGDE_Sec_Subjs_ES,VLOOKUP('Background 17-18'!$C$2,Inst_Tables,41,FALSE),FALSE),0)</f>
        <v>0</v>
      </c>
      <c r="AY27" s="1482">
        <f t="shared" si="24"/>
        <v>0</v>
      </c>
      <c r="AZ27" s="1479">
        <f t="shared" si="22"/>
        <v>0</v>
      </c>
      <c r="BA27" s="1483">
        <f>AD27+$AS$33+AY27</f>
        <v>0</v>
      </c>
      <c r="BB27" s="1387"/>
    </row>
    <row r="28" spans="1:54" ht="20.100000000000001" customHeight="1">
      <c r="A28" s="694"/>
      <c r="B28" s="769" t="s">
        <v>201</v>
      </c>
      <c r="C28" s="1492">
        <f t="shared" si="11"/>
        <v>0</v>
      </c>
      <c r="D28" s="1547"/>
      <c r="E28" s="1542"/>
      <c r="F28" s="1548"/>
      <c r="G28" s="1549"/>
      <c r="H28" s="1539"/>
      <c r="I28" s="1542"/>
      <c r="J28" s="1548"/>
      <c r="K28" s="1549"/>
      <c r="L28" s="1539"/>
      <c r="M28" s="1542"/>
      <c r="N28" s="1550"/>
      <c r="O28" s="1544"/>
      <c r="P28" s="1545"/>
      <c r="Q28" s="1545"/>
      <c r="R28" s="1545"/>
      <c r="S28" s="1545"/>
      <c r="T28" s="770">
        <f t="shared" si="17"/>
        <v>0</v>
      </c>
      <c r="U28" s="770">
        <f t="shared" si="18"/>
        <v>0</v>
      </c>
      <c r="V28" s="770">
        <f t="shared" si="25"/>
        <v>0</v>
      </c>
      <c r="W28" s="771">
        <f t="shared" si="20"/>
        <v>0</v>
      </c>
      <c r="X28" s="1500">
        <f t="shared" si="23"/>
        <v>0</v>
      </c>
      <c r="Y28" s="1498">
        <f t="shared" si="21"/>
        <v>0</v>
      </c>
      <c r="Z28" s="1501">
        <f>C28+$S$33+X28</f>
        <v>0</v>
      </c>
      <c r="AA28" s="768"/>
      <c r="AB28" s="1446"/>
      <c r="AC28" s="1481" t="s">
        <v>201</v>
      </c>
      <c r="AD28" s="1428">
        <f>IF($G$4=1,VLOOKUP($AC28,PGDE_Sec_Subjs_ES,VLOOKUP('Background 17-18'!$C$2,Inst_Tables,21,FALSE),FALSE),0)</f>
        <v>0</v>
      </c>
      <c r="AE28" s="1551"/>
      <c r="AF28" s="1540"/>
      <c r="AG28" s="1541"/>
      <c r="AH28" s="1543"/>
      <c r="AI28" s="1540"/>
      <c r="AJ28" s="1540"/>
      <c r="AK28" s="1540"/>
      <c r="AL28" s="1540"/>
      <c r="AM28" s="1540"/>
      <c r="AN28" s="1540"/>
      <c r="AO28" s="1540"/>
      <c r="AP28" s="1540"/>
      <c r="AQ28" s="1540"/>
      <c r="AR28" s="1540"/>
      <c r="AS28" s="1540"/>
      <c r="AT28" s="1545"/>
      <c r="AU28" s="1686">
        <f>IF($G$4=1,VLOOKUP($AC28,PGDE_Sec_Subjs_ES,VLOOKUP('Background 17-18'!$C$2,Inst_Tables,38,FALSE),FALSE),0)</f>
        <v>0</v>
      </c>
      <c r="AV28" s="1686">
        <f>IF($G$4=1,VLOOKUP($AC28,PGDE_Sec_Subjs_ES,VLOOKUP('Background 17-18'!$C$2,Inst_Tables,39,FALSE),FALSE),0)</f>
        <v>0</v>
      </c>
      <c r="AW28" s="1686">
        <f>IF($G$4=1,VLOOKUP($AC28,PGDE_Sec_Subjs_ES,VLOOKUP('Background 17-18'!$C$2,Inst_Tables,40,FALSE),FALSE),0)</f>
        <v>0</v>
      </c>
      <c r="AX28" s="1687">
        <f>IF($G$4=1,VLOOKUP($AC28,PGDE_Sec_Subjs_ES,VLOOKUP('Background 17-18'!$C$2,Inst_Tables,41,FALSE),FALSE),0)</f>
        <v>0</v>
      </c>
      <c r="AY28" s="1482">
        <f t="shared" si="24"/>
        <v>0</v>
      </c>
      <c r="AZ28" s="1479">
        <f t="shared" si="22"/>
        <v>0</v>
      </c>
      <c r="BA28" s="1483">
        <f>AD28+$AT$33+AY28</f>
        <v>0</v>
      </c>
      <c r="BB28" s="1387"/>
    </row>
    <row r="29" spans="1:54" ht="20.100000000000001" customHeight="1">
      <c r="A29" s="694"/>
      <c r="B29" s="769" t="s">
        <v>192</v>
      </c>
      <c r="C29" s="1492">
        <f t="shared" si="11"/>
        <v>8</v>
      </c>
      <c r="D29" s="1547"/>
      <c r="E29" s="1542"/>
      <c r="F29" s="1548"/>
      <c r="G29" s="1549"/>
      <c r="H29" s="1539"/>
      <c r="I29" s="1542"/>
      <c r="J29" s="1548"/>
      <c r="K29" s="1549"/>
      <c r="L29" s="1539"/>
      <c r="M29" s="1542"/>
      <c r="N29" s="1550"/>
      <c r="O29" s="1544"/>
      <c r="P29" s="1545"/>
      <c r="Q29" s="1545"/>
      <c r="R29" s="1545"/>
      <c r="S29" s="1545"/>
      <c r="T29" s="1545"/>
      <c r="U29" s="770">
        <f t="shared" si="18"/>
        <v>0</v>
      </c>
      <c r="V29" s="770">
        <f t="shared" si="25"/>
        <v>0</v>
      </c>
      <c r="W29" s="771">
        <f t="shared" si="20"/>
        <v>0</v>
      </c>
      <c r="X29" s="1500">
        <f t="shared" si="23"/>
        <v>0</v>
      </c>
      <c r="Y29" s="1498">
        <f t="shared" si="21"/>
        <v>8</v>
      </c>
      <c r="Z29" s="1501">
        <f>C29+$T$33+X29</f>
        <v>8</v>
      </c>
      <c r="AA29" s="768"/>
      <c r="AB29" s="1446"/>
      <c r="AC29" s="1481" t="s">
        <v>192</v>
      </c>
      <c r="AD29" s="1428">
        <f>IF($G$4=1,VLOOKUP($AC29,PGDE_Sec_Subjs_ES,VLOOKUP('Background 17-18'!$C$2,Inst_Tables,21,FALSE),FALSE),0)</f>
        <v>8</v>
      </c>
      <c r="AE29" s="1551"/>
      <c r="AF29" s="1540"/>
      <c r="AG29" s="1541"/>
      <c r="AH29" s="1543"/>
      <c r="AI29" s="1540"/>
      <c r="AJ29" s="1540"/>
      <c r="AK29" s="1540"/>
      <c r="AL29" s="1540"/>
      <c r="AM29" s="1540"/>
      <c r="AN29" s="1540"/>
      <c r="AO29" s="1540"/>
      <c r="AP29" s="1540"/>
      <c r="AQ29" s="1540"/>
      <c r="AR29" s="1540"/>
      <c r="AS29" s="1540"/>
      <c r="AT29" s="1540"/>
      <c r="AU29" s="1545"/>
      <c r="AV29" s="1686">
        <f>IF($G$4=1,VLOOKUP($AC29,PGDE_Sec_Subjs_ES,VLOOKUP('Background 17-18'!$C$2,Inst_Tables,39,FALSE),FALSE),0)</f>
        <v>0</v>
      </c>
      <c r="AW29" s="1686">
        <f>IF($G$4=1,VLOOKUP($AC29,PGDE_Sec_Subjs_ES,VLOOKUP('Background 17-18'!$C$2,Inst_Tables,40,FALSE),FALSE),0)</f>
        <v>0</v>
      </c>
      <c r="AX29" s="1687">
        <f>IF($G$4=1,VLOOKUP($AC29,PGDE_Sec_Subjs_ES,VLOOKUP('Background 17-18'!$C$2,Inst_Tables,41,FALSE),FALSE),0)</f>
        <v>0</v>
      </c>
      <c r="AY29" s="1482">
        <f t="shared" si="24"/>
        <v>0</v>
      </c>
      <c r="AZ29" s="1479">
        <f t="shared" si="22"/>
        <v>8</v>
      </c>
      <c r="BA29" s="1483">
        <f>AD29+$AU$33+AY29</f>
        <v>8</v>
      </c>
      <c r="BB29" s="1387"/>
    </row>
    <row r="30" spans="1:54" ht="20.100000000000001" customHeight="1">
      <c r="A30" s="694"/>
      <c r="B30" s="769" t="s">
        <v>202</v>
      </c>
      <c r="C30" s="1492">
        <f t="shared" si="11"/>
        <v>0</v>
      </c>
      <c r="D30" s="1547"/>
      <c r="E30" s="1542"/>
      <c r="F30" s="1548"/>
      <c r="G30" s="1549"/>
      <c r="H30" s="1539"/>
      <c r="I30" s="1542"/>
      <c r="J30" s="1548"/>
      <c r="K30" s="1549"/>
      <c r="L30" s="1539"/>
      <c r="M30" s="1542"/>
      <c r="N30" s="1550"/>
      <c r="O30" s="1544"/>
      <c r="P30" s="1545"/>
      <c r="Q30" s="1545"/>
      <c r="R30" s="1545"/>
      <c r="S30" s="1545"/>
      <c r="T30" s="1545"/>
      <c r="U30" s="1545"/>
      <c r="V30" s="770">
        <f t="shared" si="25"/>
        <v>0</v>
      </c>
      <c r="W30" s="767">
        <f t="shared" si="20"/>
        <v>0</v>
      </c>
      <c r="X30" s="1500">
        <f t="shared" si="23"/>
        <v>0</v>
      </c>
      <c r="Y30" s="1498">
        <f t="shared" si="21"/>
        <v>0</v>
      </c>
      <c r="Z30" s="1501">
        <f>C30+$U$33+X30</f>
        <v>0</v>
      </c>
      <c r="AA30" s="768"/>
      <c r="AB30" s="1446"/>
      <c r="AC30" s="1481" t="s">
        <v>202</v>
      </c>
      <c r="AD30" s="1428">
        <f>IF($G$4=1,VLOOKUP($AC30,PGDE_Sec_Subjs_ES,VLOOKUP('Background 17-18'!$C$2,Inst_Tables,21,FALSE),FALSE),0)</f>
        <v>0</v>
      </c>
      <c r="AE30" s="1551"/>
      <c r="AF30" s="1540"/>
      <c r="AG30" s="1541"/>
      <c r="AH30" s="1543"/>
      <c r="AI30" s="1540"/>
      <c r="AJ30" s="1540"/>
      <c r="AK30" s="1540"/>
      <c r="AL30" s="1540"/>
      <c r="AM30" s="1540"/>
      <c r="AN30" s="1540"/>
      <c r="AO30" s="1540"/>
      <c r="AP30" s="1540"/>
      <c r="AQ30" s="1540"/>
      <c r="AR30" s="1540"/>
      <c r="AS30" s="1540"/>
      <c r="AT30" s="1540"/>
      <c r="AU30" s="1540"/>
      <c r="AV30" s="1545"/>
      <c r="AW30" s="1686">
        <f>IF($G$4=1,VLOOKUP($AC30,PGDE_Sec_Subjs_ES,VLOOKUP('Background 17-18'!$C$2,Inst_Tables,40,FALSE),FALSE),0)</f>
        <v>0</v>
      </c>
      <c r="AX30" s="1687">
        <f>IF($G$4=1,VLOOKUP($AC30,PGDE_Sec_Subjs_ES,VLOOKUP('Background 17-18'!$C$2,Inst_Tables,41,FALSE),FALSE),0)</f>
        <v>0</v>
      </c>
      <c r="AY30" s="1482">
        <f t="shared" si="24"/>
        <v>0</v>
      </c>
      <c r="AZ30" s="1479">
        <f t="shared" si="22"/>
        <v>0</v>
      </c>
      <c r="BA30" s="1483">
        <f>AD30+$AV$33+AY30</f>
        <v>0</v>
      </c>
      <c r="BB30" s="1387"/>
    </row>
    <row r="31" spans="1:54" ht="20.100000000000001" customHeight="1">
      <c r="A31" s="694"/>
      <c r="B31" s="769" t="s">
        <v>203</v>
      </c>
      <c r="C31" s="1492">
        <f t="shared" si="11"/>
        <v>9</v>
      </c>
      <c r="D31" s="1547"/>
      <c r="E31" s="1542"/>
      <c r="F31" s="1548"/>
      <c r="G31" s="1549"/>
      <c r="H31" s="1539"/>
      <c r="I31" s="1542"/>
      <c r="J31" s="1548"/>
      <c r="K31" s="1549"/>
      <c r="L31" s="1539"/>
      <c r="M31" s="1542"/>
      <c r="N31" s="1550"/>
      <c r="O31" s="1544"/>
      <c r="P31" s="1545"/>
      <c r="Q31" s="1545"/>
      <c r="R31" s="1545"/>
      <c r="S31" s="1545"/>
      <c r="T31" s="1545"/>
      <c r="U31" s="1545"/>
      <c r="V31" s="1545"/>
      <c r="W31" s="771">
        <f t="shared" si="20"/>
        <v>0</v>
      </c>
      <c r="X31" s="1500">
        <f t="shared" si="23"/>
        <v>0</v>
      </c>
      <c r="Y31" s="1498">
        <f t="shared" si="21"/>
        <v>9</v>
      </c>
      <c r="Z31" s="1501">
        <f>C31+$V$33+X31</f>
        <v>9</v>
      </c>
      <c r="AA31" s="768"/>
      <c r="AB31" s="1446"/>
      <c r="AC31" s="1481" t="s">
        <v>203</v>
      </c>
      <c r="AD31" s="1428">
        <f>IF($G$4=1,VLOOKUP($AC31,PGDE_Sec_Subjs_ES,VLOOKUP('Background 17-18'!$C$2,Inst_Tables,21,FALSE),FALSE),0)</f>
        <v>9</v>
      </c>
      <c r="AE31" s="1551"/>
      <c r="AF31" s="1540"/>
      <c r="AG31" s="1541"/>
      <c r="AH31" s="1543"/>
      <c r="AI31" s="1540"/>
      <c r="AJ31" s="1540"/>
      <c r="AK31" s="1540"/>
      <c r="AL31" s="1540"/>
      <c r="AM31" s="1540"/>
      <c r="AN31" s="1540"/>
      <c r="AO31" s="1540"/>
      <c r="AP31" s="1540"/>
      <c r="AQ31" s="1540"/>
      <c r="AR31" s="1540"/>
      <c r="AS31" s="1540"/>
      <c r="AT31" s="1540"/>
      <c r="AU31" s="1540"/>
      <c r="AV31" s="1540"/>
      <c r="AW31" s="1545"/>
      <c r="AX31" s="1687">
        <f>IF($G$4=1,VLOOKUP($AC31,PGDE_Sec_Subjs_ES,VLOOKUP('Background 17-18'!$C$2,Inst_Tables,41,FALSE),FALSE),0)</f>
        <v>0</v>
      </c>
      <c r="AY31" s="1482">
        <f t="shared" si="24"/>
        <v>0</v>
      </c>
      <c r="AZ31" s="1479">
        <f t="shared" si="22"/>
        <v>9</v>
      </c>
      <c r="BA31" s="1483">
        <f>AD31+$AW$33+AY31</f>
        <v>9</v>
      </c>
      <c r="BB31" s="1387"/>
    </row>
    <row r="32" spans="1:54" ht="20.100000000000001" customHeight="1" thickBot="1">
      <c r="A32" s="694"/>
      <c r="B32" s="1639" t="s">
        <v>204</v>
      </c>
      <c r="C32" s="1640">
        <f t="shared" si="11"/>
        <v>0</v>
      </c>
      <c r="D32" s="1641"/>
      <c r="E32" s="1642"/>
      <c r="F32" s="1643"/>
      <c r="G32" s="1644"/>
      <c r="H32" s="1645"/>
      <c r="I32" s="1642"/>
      <c r="J32" s="1643"/>
      <c r="K32" s="1644"/>
      <c r="L32" s="1645"/>
      <c r="M32" s="1642"/>
      <c r="N32" s="1646"/>
      <c r="O32" s="1647"/>
      <c r="P32" s="1648"/>
      <c r="Q32" s="1648"/>
      <c r="R32" s="1648"/>
      <c r="S32" s="1648"/>
      <c r="T32" s="1648"/>
      <c r="U32" s="1648"/>
      <c r="V32" s="1648"/>
      <c r="W32" s="1649"/>
      <c r="X32" s="1500">
        <f>SUM(D32:W32)</f>
        <v>0</v>
      </c>
      <c r="Y32" s="1498">
        <f>SUM(C32,X32)</f>
        <v>0</v>
      </c>
      <c r="Z32" s="1650">
        <f>C32+$W$33+X32</f>
        <v>0</v>
      </c>
      <c r="AA32" s="768"/>
      <c r="AB32" s="1446"/>
      <c r="AC32" s="1658" t="s">
        <v>204</v>
      </c>
      <c r="AD32" s="1678">
        <f>IF($G$4=1,VLOOKUP($AC32,PGDE_Sec_Subjs_ES,VLOOKUP('Background 17-18'!$C$2,Inst_Tables,21,FALSE),FALSE),0)</f>
        <v>0</v>
      </c>
      <c r="AE32" s="1669"/>
      <c r="AF32" s="1661"/>
      <c r="AG32" s="1659"/>
      <c r="AH32" s="1660"/>
      <c r="AI32" s="1661"/>
      <c r="AJ32" s="1661"/>
      <c r="AK32" s="1661"/>
      <c r="AL32" s="1661"/>
      <c r="AM32" s="1661"/>
      <c r="AN32" s="1661"/>
      <c r="AO32" s="1661"/>
      <c r="AP32" s="1661"/>
      <c r="AQ32" s="1661"/>
      <c r="AR32" s="1661"/>
      <c r="AS32" s="1661"/>
      <c r="AT32" s="1661"/>
      <c r="AU32" s="1661"/>
      <c r="AV32" s="1661"/>
      <c r="AW32" s="1661"/>
      <c r="AX32" s="1649"/>
      <c r="AY32" s="1482">
        <f>SUM(AE32:AX32)</f>
        <v>0</v>
      </c>
      <c r="AZ32" s="1479">
        <f>SUM(AD32,AY32)</f>
        <v>0</v>
      </c>
      <c r="BA32" s="1662">
        <f>AD32+$AX$33+AY32</f>
        <v>0</v>
      </c>
      <c r="BB32" s="1387"/>
    </row>
    <row r="33" spans="1:54" ht="30" customHeight="1" thickBot="1">
      <c r="A33" s="694"/>
      <c r="B33" s="1651" t="s">
        <v>3</v>
      </c>
      <c r="C33" s="1652">
        <f>SUM(C13:C32)</f>
        <v>209.5</v>
      </c>
      <c r="D33" s="1653">
        <f>SUM(D13:D32)</f>
        <v>0</v>
      </c>
      <c r="E33" s="1654">
        <f t="shared" ref="E33:V33" si="26">SUM(E13:E32)</f>
        <v>0</v>
      </c>
      <c r="F33" s="1654">
        <f t="shared" si="26"/>
        <v>0</v>
      </c>
      <c r="G33" s="1654">
        <f>SUM(G13:G32)</f>
        <v>0</v>
      </c>
      <c r="H33" s="1654">
        <f t="shared" si="26"/>
        <v>0</v>
      </c>
      <c r="I33" s="1654">
        <f>SUM(I13:I32)</f>
        <v>0</v>
      </c>
      <c r="J33" s="1654">
        <f t="shared" si="26"/>
        <v>0</v>
      </c>
      <c r="K33" s="1654">
        <f t="shared" si="26"/>
        <v>0</v>
      </c>
      <c r="L33" s="1654">
        <f t="shared" si="26"/>
        <v>0</v>
      </c>
      <c r="M33" s="1654">
        <f t="shared" si="26"/>
        <v>0</v>
      </c>
      <c r="N33" s="1654">
        <f t="shared" si="26"/>
        <v>0</v>
      </c>
      <c r="O33" s="1654">
        <f t="shared" si="26"/>
        <v>0</v>
      </c>
      <c r="P33" s="1654">
        <f t="shared" si="26"/>
        <v>0</v>
      </c>
      <c r="Q33" s="1654">
        <f t="shared" si="26"/>
        <v>0</v>
      </c>
      <c r="R33" s="1654">
        <f t="shared" si="26"/>
        <v>0</v>
      </c>
      <c r="S33" s="1654">
        <f t="shared" si="26"/>
        <v>0</v>
      </c>
      <c r="T33" s="1654">
        <f t="shared" si="26"/>
        <v>0</v>
      </c>
      <c r="U33" s="1654">
        <f t="shared" si="26"/>
        <v>0</v>
      </c>
      <c r="V33" s="1654">
        <f t="shared" si="26"/>
        <v>0</v>
      </c>
      <c r="W33" s="1655">
        <f>SUM(W13:W32)</f>
        <v>0</v>
      </c>
      <c r="X33" s="1656">
        <f>SUM(X13:X32)</f>
        <v>0</v>
      </c>
      <c r="Y33" s="1656">
        <f>SUM(Y13:Y32)</f>
        <v>209.5</v>
      </c>
      <c r="Z33" s="1657"/>
      <c r="AA33" s="768"/>
      <c r="AB33" s="1446"/>
      <c r="AC33" s="1663" t="s">
        <v>3</v>
      </c>
      <c r="AD33" s="1664">
        <f>SUM(AD13:AD32)</f>
        <v>206</v>
      </c>
      <c r="AE33" s="1665">
        <f t="shared" ref="AE33:AX33" si="27">SUM(AE13:AE32)</f>
        <v>0</v>
      </c>
      <c r="AF33" s="1666">
        <f t="shared" si="27"/>
        <v>0</v>
      </c>
      <c r="AG33" s="1666">
        <f t="shared" si="27"/>
        <v>0</v>
      </c>
      <c r="AH33" s="1666">
        <f t="shared" si="27"/>
        <v>0</v>
      </c>
      <c r="AI33" s="1666">
        <f t="shared" si="27"/>
        <v>0</v>
      </c>
      <c r="AJ33" s="1666">
        <f t="shared" si="27"/>
        <v>0</v>
      </c>
      <c r="AK33" s="1666">
        <f t="shared" si="27"/>
        <v>0</v>
      </c>
      <c r="AL33" s="1666">
        <f t="shared" si="27"/>
        <v>0</v>
      </c>
      <c r="AM33" s="1666">
        <f t="shared" si="27"/>
        <v>0</v>
      </c>
      <c r="AN33" s="1666">
        <f t="shared" si="27"/>
        <v>0</v>
      </c>
      <c r="AO33" s="1666">
        <f t="shared" si="27"/>
        <v>0</v>
      </c>
      <c r="AP33" s="1666">
        <f t="shared" si="27"/>
        <v>0</v>
      </c>
      <c r="AQ33" s="1666">
        <f t="shared" si="27"/>
        <v>0</v>
      </c>
      <c r="AR33" s="1666">
        <f t="shared" si="27"/>
        <v>0</v>
      </c>
      <c r="AS33" s="1666">
        <f t="shared" si="27"/>
        <v>0</v>
      </c>
      <c r="AT33" s="1666">
        <f t="shared" si="27"/>
        <v>0</v>
      </c>
      <c r="AU33" s="1666">
        <f t="shared" si="27"/>
        <v>0</v>
      </c>
      <c r="AV33" s="1666">
        <f t="shared" si="27"/>
        <v>0</v>
      </c>
      <c r="AW33" s="1666">
        <f t="shared" si="27"/>
        <v>0</v>
      </c>
      <c r="AX33" s="1667">
        <f t="shared" si="27"/>
        <v>0</v>
      </c>
      <c r="AY33" s="1664">
        <f>SUM(AY13:AY32)</f>
        <v>0</v>
      </c>
      <c r="AZ33" s="1664">
        <f>SUM(AZ13:AZ32)</f>
        <v>206</v>
      </c>
      <c r="BA33" s="1668"/>
      <c r="BB33" s="1387"/>
    </row>
    <row r="34" spans="1:54" ht="24.95" customHeight="1">
      <c r="A34" s="722"/>
      <c r="B34" s="773" t="s">
        <v>205</v>
      </c>
      <c r="C34" s="774"/>
      <c r="D34" s="774"/>
      <c r="E34" s="774"/>
      <c r="F34" s="774"/>
      <c r="G34" s="774"/>
      <c r="H34" s="774"/>
      <c r="I34" s="774"/>
      <c r="J34" s="774"/>
      <c r="K34" s="774"/>
      <c r="L34" s="774"/>
      <c r="M34" s="774"/>
      <c r="N34" s="774"/>
      <c r="O34" s="774"/>
      <c r="P34" s="774"/>
      <c r="Q34" s="774"/>
      <c r="R34" s="774"/>
      <c r="S34" s="774"/>
      <c r="T34" s="774"/>
      <c r="U34" s="774"/>
      <c r="V34" s="774"/>
      <c r="W34" s="774"/>
      <c r="X34" s="774"/>
      <c r="Y34" s="774"/>
      <c r="Z34" s="774"/>
      <c r="AA34" s="775"/>
      <c r="AB34" s="1446"/>
      <c r="AC34" s="1413" t="s">
        <v>205</v>
      </c>
      <c r="AD34" s="1496"/>
      <c r="AE34" s="1496"/>
      <c r="AF34" s="1496"/>
      <c r="AG34" s="1496"/>
      <c r="AH34" s="1496"/>
      <c r="AI34" s="1496"/>
      <c r="AJ34" s="1496"/>
      <c r="AK34" s="1496"/>
      <c r="AL34" s="1496"/>
      <c r="AM34" s="1496"/>
      <c r="AN34" s="1496"/>
      <c r="AO34" s="1496"/>
      <c r="AP34" s="1496"/>
      <c r="AQ34" s="1496"/>
      <c r="AR34" s="1496"/>
      <c r="AS34" s="1496"/>
      <c r="AT34" s="1496"/>
      <c r="AU34" s="1496"/>
      <c r="AV34" s="1496"/>
      <c r="AW34" s="1496"/>
      <c r="AX34" s="1496"/>
      <c r="AY34" s="1496"/>
      <c r="AZ34" s="1496"/>
      <c r="BA34" s="1496"/>
      <c r="BB34" s="1387"/>
    </row>
    <row r="35" spans="1:54">
      <c r="A35" s="728"/>
      <c r="B35" s="776"/>
      <c r="C35" s="732"/>
      <c r="D35" s="732"/>
      <c r="E35" s="732"/>
      <c r="F35" s="732"/>
      <c r="G35" s="732"/>
      <c r="H35" s="732"/>
      <c r="I35" s="732"/>
      <c r="J35" s="732"/>
      <c r="K35" s="732"/>
      <c r="L35" s="732"/>
      <c r="M35" s="732"/>
      <c r="N35" s="732"/>
      <c r="O35" s="732"/>
      <c r="P35" s="729"/>
      <c r="Q35" s="729"/>
      <c r="R35" s="729"/>
      <c r="S35" s="729"/>
      <c r="T35" s="729"/>
      <c r="U35" s="729"/>
      <c r="V35" s="729"/>
      <c r="W35" s="729"/>
      <c r="X35" s="729"/>
      <c r="Y35" s="729"/>
      <c r="Z35" s="729"/>
      <c r="AA35" s="732"/>
      <c r="AB35" s="1446"/>
      <c r="AC35" s="1495"/>
      <c r="AD35" s="1446"/>
      <c r="AE35" s="1446"/>
      <c r="AF35" s="1446"/>
      <c r="AG35" s="1446"/>
      <c r="AH35" s="1446"/>
      <c r="AI35" s="1446"/>
      <c r="AJ35" s="1446"/>
      <c r="AK35" s="1446"/>
      <c r="AL35" s="1446"/>
      <c r="AM35" s="1446"/>
      <c r="AN35" s="1446"/>
      <c r="AO35" s="1446"/>
      <c r="AP35" s="1446"/>
      <c r="AQ35" s="1446"/>
      <c r="AR35" s="1446"/>
      <c r="AS35" s="1446"/>
      <c r="AT35" s="1446"/>
      <c r="AU35" s="1446"/>
      <c r="AV35" s="1446"/>
      <c r="AW35" s="1446"/>
      <c r="AX35" s="1446"/>
      <c r="AY35" s="1446"/>
      <c r="AZ35" s="1446"/>
      <c r="BA35" s="1446"/>
      <c r="BB35" s="1387"/>
    </row>
    <row r="36" spans="1:54">
      <c r="B36" s="726"/>
      <c r="C36" s="727"/>
      <c r="D36" s="727"/>
      <c r="E36" s="727"/>
      <c r="F36" s="727"/>
      <c r="G36" s="727"/>
      <c r="H36" s="727"/>
      <c r="I36" s="727"/>
      <c r="J36" s="727"/>
      <c r="K36" s="727"/>
      <c r="L36" s="727"/>
      <c r="M36" s="727"/>
      <c r="N36" s="727"/>
      <c r="AC36" s="726"/>
      <c r="AD36" s="727"/>
      <c r="AE36" s="727"/>
      <c r="AF36" s="727"/>
      <c r="AG36" s="727"/>
      <c r="AH36" s="727"/>
      <c r="AI36" s="727"/>
      <c r="AJ36" s="727"/>
      <c r="AK36" s="727"/>
      <c r="AL36" s="727"/>
      <c r="AM36" s="727"/>
      <c r="AN36" s="727"/>
      <c r="AO36" s="727"/>
    </row>
    <row r="37" spans="1:54">
      <c r="C37" s="727"/>
      <c r="D37" s="727"/>
      <c r="E37" s="727"/>
      <c r="F37" s="727"/>
      <c r="G37" s="727"/>
      <c r="H37" s="727"/>
      <c r="I37" s="727"/>
      <c r="J37" s="727"/>
      <c r="K37" s="727"/>
      <c r="L37" s="727"/>
      <c r="M37" s="727"/>
      <c r="N37" s="727"/>
      <c r="AD37" s="727"/>
      <c r="AE37" s="727"/>
      <c r="AF37" s="727"/>
      <c r="AG37" s="727"/>
      <c r="AH37" s="727"/>
      <c r="AI37" s="727"/>
      <c r="AJ37" s="727"/>
      <c r="AK37" s="727"/>
      <c r="AL37" s="727"/>
      <c r="AM37" s="727"/>
      <c r="AN37" s="727"/>
      <c r="AO37" s="727"/>
    </row>
    <row r="38" spans="1:54">
      <c r="C38" s="727"/>
      <c r="D38" s="727"/>
      <c r="E38" s="727"/>
      <c r="F38" s="727"/>
      <c r="G38" s="727"/>
      <c r="H38" s="727"/>
      <c r="I38" s="727"/>
      <c r="J38" s="727"/>
      <c r="K38" s="727"/>
      <c r="L38" s="727"/>
      <c r="M38" s="727"/>
      <c r="N38" s="727"/>
      <c r="AD38" s="727"/>
      <c r="AE38" s="727"/>
      <c r="AF38" s="727"/>
      <c r="AG38" s="727"/>
      <c r="AH38" s="727"/>
      <c r="AI38" s="727"/>
      <c r="AJ38" s="727"/>
      <c r="AK38" s="727"/>
      <c r="AL38" s="727"/>
      <c r="AM38" s="727"/>
      <c r="AN38" s="727"/>
      <c r="AO38" s="727"/>
    </row>
  </sheetData>
  <sheetProtection password="E23E" sheet="1" objects="1" scenarios="1"/>
  <mergeCells count="6">
    <mergeCell ref="BA8:BA9"/>
    <mergeCell ref="C4:F4"/>
    <mergeCell ref="D8:X8"/>
    <mergeCell ref="Z8:Z9"/>
    <mergeCell ref="AD4:AG4"/>
    <mergeCell ref="AE8:AY8"/>
  </mergeCells>
  <conditionalFormatting sqref="C13:C32">
    <cfRule type="expression" dxfId="54" priority="3">
      <formula>C13&lt;&gt;AD13</formula>
    </cfRule>
    <cfRule type="expression" dxfId="53" priority="47">
      <formula>$G$4=0</formula>
    </cfRule>
  </conditionalFormatting>
  <conditionalFormatting sqref="E13:W13">
    <cfRule type="expression" dxfId="52" priority="46">
      <formula>$G$4=0</formula>
    </cfRule>
  </conditionalFormatting>
  <conditionalFormatting sqref="V14:V30">
    <cfRule type="expression" dxfId="51" priority="44">
      <formula>$G$4=0</formula>
    </cfRule>
  </conditionalFormatting>
  <conditionalFormatting sqref="S14:S27">
    <cfRule type="expression" dxfId="50" priority="42">
      <formula>$G$4=0</formula>
    </cfRule>
  </conditionalFormatting>
  <conditionalFormatting sqref="W14:W31">
    <cfRule type="expression" dxfId="49" priority="45">
      <formula>$G$4=0</formula>
    </cfRule>
  </conditionalFormatting>
  <conditionalFormatting sqref="T14:U28">
    <cfRule type="expression" dxfId="48" priority="43">
      <formula>$G$4=0</formula>
    </cfRule>
  </conditionalFormatting>
  <conditionalFormatting sqref="R14:R26">
    <cfRule type="expression" dxfId="47" priority="41">
      <formula>$G$4=0</formula>
    </cfRule>
  </conditionalFormatting>
  <conditionalFormatting sqref="Q14:Q25">
    <cfRule type="expression" dxfId="46" priority="40">
      <formula>$G$4=0</formula>
    </cfRule>
  </conditionalFormatting>
  <conditionalFormatting sqref="P14:P24">
    <cfRule type="expression" dxfId="45" priority="39">
      <formula>$G$4=0</formula>
    </cfRule>
  </conditionalFormatting>
  <conditionalFormatting sqref="O14:O23">
    <cfRule type="expression" dxfId="44" priority="38">
      <formula>$G$4=0</formula>
    </cfRule>
  </conditionalFormatting>
  <conditionalFormatting sqref="F14">
    <cfRule type="expression" dxfId="43" priority="29">
      <formula>$G$4=0</formula>
    </cfRule>
  </conditionalFormatting>
  <conditionalFormatting sqref="N14:N22">
    <cfRule type="expression" dxfId="42" priority="37">
      <formula>$G$4=0</formula>
    </cfRule>
  </conditionalFormatting>
  <conditionalFormatting sqref="M14:M21">
    <cfRule type="expression" dxfId="41" priority="36">
      <formula>$G$4=0</formula>
    </cfRule>
  </conditionalFormatting>
  <conditionalFormatting sqref="L14:L20">
    <cfRule type="expression" dxfId="40" priority="35">
      <formula>$G$4=0</formula>
    </cfRule>
  </conditionalFormatting>
  <conditionalFormatting sqref="K14:K19">
    <cfRule type="expression" dxfId="39" priority="34">
      <formula>$G$4=0</formula>
    </cfRule>
  </conditionalFormatting>
  <conditionalFormatting sqref="J14:J18">
    <cfRule type="expression" dxfId="38" priority="33">
      <formula>$G$4=0</formula>
    </cfRule>
  </conditionalFormatting>
  <conditionalFormatting sqref="I14:I17">
    <cfRule type="expression" dxfId="37" priority="32">
      <formula>$G$4=0</formula>
    </cfRule>
  </conditionalFormatting>
  <conditionalFormatting sqref="H14:H16">
    <cfRule type="expression" dxfId="36" priority="31">
      <formula>$G$4=0</formula>
    </cfRule>
  </conditionalFormatting>
  <conditionalFormatting sqref="G14:G15">
    <cfRule type="expression" dxfId="35" priority="30">
      <formula>$G$4=0</formula>
    </cfRule>
  </conditionalFormatting>
  <conditionalFormatting sqref="A1:AA1">
    <cfRule type="expression" dxfId="34" priority="28">
      <formula>$G$4=0</formula>
    </cfRule>
  </conditionalFormatting>
  <conditionalFormatting sqref="U29">
    <cfRule type="expression" dxfId="33" priority="26">
      <formula>$G$4=0</formula>
    </cfRule>
  </conditionalFormatting>
  <conditionalFormatting sqref="E13:W13 F14:W14 G15:W15 I17:W17 J18:W18 K19:W19 L20:W20 M21:W21 N22:W22 O23:W23 P24:W24 Q25:W25 R26:W26 S27:W27 T28:W28 U29:W29 V30:W30 W31 H16:W16">
    <cfRule type="expression" dxfId="32" priority="2">
      <formula>E13&lt;&gt;AF13</formula>
    </cfRule>
  </conditionalFormatting>
  <conditionalFormatting sqref="I16">
    <cfRule type="expression" dxfId="31" priority="1">
      <formula>$G$4=0</formula>
    </cfRule>
  </conditionalFormatting>
  <dataValidations count="3">
    <dataValidation allowBlank="1" sqref="C12:AA12 AD12:BA12"/>
    <dataValidation type="custom" allowBlank="1" showErrorMessage="1" errorTitle="Number less than 0" error="You are trying to enter a number which is less than 0, please re-enter a valid number." sqref="H17:H32 D13:D33 L21:L32 N23:N32 K20:K32 M22:M32 F15:F32 J19:J32 G16:G32 I18:I32 E14:E32 AD33:AZ33 C33 E33:Y33">
      <formula1>C13&gt;=0</formula1>
    </dataValidation>
    <dataValidation type="decimal" operator="greaterThanOrEqual" allowBlank="1" showInputMessage="1" showErrorMessage="1" errorTitle="ERROR!" error="Invalid Entry" sqref="C13:C32 E13:W13 F14:W14 G15:W15 H16:W16 I17:W17 J18:W18 K19:W19 L20:W20 M21:W21 N22:W22 O23:W23 P24:W24 Q25:W25 R26:W26 S27:W27 T28:W28 U29:W29 V29:W30 W31">
      <formula1>0</formula1>
    </dataValidation>
  </dataValidations>
  <pageMargins left="0.19685039370078741" right="0.19685039370078741" top="0.19685039370078741" bottom="0.39370078740157483" header="0" footer="0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39</vt:i4>
      </vt:variant>
    </vt:vector>
  </HeadingPairs>
  <TitlesOfParts>
    <vt:vector size="51" baseType="lpstr">
      <vt:lpstr>Contents</vt:lpstr>
      <vt:lpstr>T1 Final Figures 2017-18</vt:lpstr>
      <vt:lpstr>T2 Comments</vt:lpstr>
      <vt:lpstr>T3a TPG FPs</vt:lpstr>
      <vt:lpstr>T3b Innovation Centres TPG FPs</vt:lpstr>
      <vt:lpstr>T3c Early Years FPs</vt:lpstr>
      <vt:lpstr>T3d ESF DSW </vt:lpstr>
      <vt:lpstr>T4a ITE New Routes</vt:lpstr>
      <vt:lpstr>T4b PGDE Subjects</vt:lpstr>
      <vt:lpstr>T4c ITE New Routes Subjects</vt:lpstr>
      <vt:lpstr>Monitoring</vt:lpstr>
      <vt:lpstr>Background 17-18</vt:lpstr>
      <vt:lpstr>Consol_Tol_FTE</vt:lpstr>
      <vt:lpstr>Consol_Tol_Per</vt:lpstr>
      <vt:lpstr>Control_FTE_Tol</vt:lpstr>
      <vt:lpstr>Control_Per_Tol</vt:lpstr>
      <vt:lpstr>Controlled_Tol</vt:lpstr>
      <vt:lpstr>Early_Stats</vt:lpstr>
      <vt:lpstr>Early_Years_ES</vt:lpstr>
      <vt:lpstr>ESF_ES</vt:lpstr>
      <vt:lpstr>FPs_Consol_Nos</vt:lpstr>
      <vt:lpstr>ICs_ES</vt:lpstr>
      <vt:lpstr>Inst_Tables</vt:lpstr>
      <vt:lpstr>Insts_FPs</vt:lpstr>
      <vt:lpstr>New_Routes_ES</vt:lpstr>
      <vt:lpstr>New_Routes_Subjs_ES</vt:lpstr>
      <vt:lpstr>Non_Control_FTE_Tol</vt:lpstr>
      <vt:lpstr>Non_Control_Per_Tol</vt:lpstr>
      <vt:lpstr>Non_controlled_Tol</vt:lpstr>
      <vt:lpstr>PGDE_Sec_Subjs_ES</vt:lpstr>
      <vt:lpstr>Contents!Print_Area</vt:lpstr>
      <vt:lpstr>Monitoring!Print_Area</vt:lpstr>
      <vt:lpstr>'T1 Final Figures 2017-18'!Print_Area</vt:lpstr>
      <vt:lpstr>'T2 Comments'!Print_Area</vt:lpstr>
      <vt:lpstr>'T3a TPG FPs'!Print_Area</vt:lpstr>
      <vt:lpstr>'T3b Innovation Centres TPG FPs'!Print_Area</vt:lpstr>
      <vt:lpstr>'T3c Early Years FPs'!Print_Area</vt:lpstr>
      <vt:lpstr>'T3d ESF DSW '!Print_Area</vt:lpstr>
      <vt:lpstr>'T4a ITE New Routes'!Print_Area</vt:lpstr>
      <vt:lpstr>'T4b PGDE Subjects'!Print_Area</vt:lpstr>
      <vt:lpstr>'T4c ITE New Routes Subjects'!Print_Area</vt:lpstr>
      <vt:lpstr>Monitoring!Print_Titles</vt:lpstr>
      <vt:lpstr>'T2 Comments'!Print_Titles</vt:lpstr>
      <vt:lpstr>RPG_FTE_Tol</vt:lpstr>
      <vt:lpstr>RPG_Per_Tol</vt:lpstr>
      <vt:lpstr>RUK_Control_FTE_Tol</vt:lpstr>
      <vt:lpstr>Warning1</vt:lpstr>
      <vt:lpstr>Warning2_for_Control</vt:lpstr>
      <vt:lpstr>Warning2_for_Non_Control</vt:lpstr>
      <vt:lpstr>Warning2_for_RPG</vt:lpstr>
      <vt:lpstr>Warning2_for_RUK_Control</vt:lpstr>
    </vt:vector>
  </TitlesOfParts>
  <Company>SFC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 Parr</dc:creator>
  <cp:lastModifiedBy>Jacqueline Jack</cp:lastModifiedBy>
  <cp:lastPrinted>2018-09-27T16:01:07Z</cp:lastPrinted>
  <dcterms:created xsi:type="dcterms:W3CDTF">2013-07-17T13:15:07Z</dcterms:created>
  <dcterms:modified xsi:type="dcterms:W3CDTF">2018-10-04T09:09:49Z</dcterms:modified>
</cp:coreProperties>
</file>