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ommunal\SFC\Early and final returns\sfc er 201718\Returned to SFC\Final version returned to SFC 9 Jan 2017\"/>
    </mc:Choice>
  </mc:AlternateContent>
  <bookViews>
    <workbookView xWindow="0" yWindow="0" windowWidth="25200" windowHeight="10140"/>
  </bookViews>
  <sheets>
    <sheet name="Contents" sheetId="47" r:id="rId1"/>
    <sheet name="Table 1 (Main)" sheetId="34" r:id="rId2"/>
    <sheet name="Table 2a (ITE)" sheetId="39" r:id="rId3"/>
    <sheet name="Table 2b (TQFE)" sheetId="13" state="hidden" r:id="rId4"/>
    <sheet name="Table 2c (Catholic ITE)" sheetId="14" r:id="rId5"/>
    <sheet name="Table 2d PGDE Subjects" sheetId="46" r:id="rId6"/>
    <sheet name="Table 3 (Med, Dent)" sheetId="15" r:id="rId7"/>
    <sheet name="Table 4a (Nurse and Midwy 3 Yr)" sheetId="48" state="hidden" r:id="rId8"/>
    <sheet name="Table 4b (Nurse 4 Year)" sheetId="41" r:id="rId9"/>
    <sheet name="Table 5a (Innov Centres)" sheetId="54" r:id="rId10"/>
    <sheet name="Table 5b (Early Years)" sheetId="53" r:id="rId11"/>
    <sheet name="Table 5c (ESF DSW) " sheetId="51" state="hidden" r:id="rId12"/>
    <sheet name="Table 6 (Care Experienced)" sheetId="52" r:id="rId13"/>
    <sheet name="Monitoring" sheetId="36" r:id="rId14"/>
    <sheet name="Background Data" sheetId="49" state="hidden" r:id="rId15"/>
  </sheets>
  <definedNames>
    <definedName name="Consol_Tol_FTE">Monitoring!$C$65</definedName>
    <definedName name="Consol_Tol_Per">Monitoring!$C$64</definedName>
    <definedName name="Controlled_Tol">Monitoring!$C$62</definedName>
    <definedName name="Early_Stats_Last_Year">'Background Data'!$A$74:$BM$105</definedName>
    <definedName name="Final_Figures_Last_Year">'Background Data'!$A$119:$BM$150</definedName>
    <definedName name="HTML_CodePage" hidden="1">1252</definedName>
    <definedName name="HTML_Control" localSheetId="9" hidden="1">{"'Page1'!$E$11:$AJ$51","'Page1'!$A$1"}</definedName>
    <definedName name="HTML_Control" hidden="1">{"'Page1'!$E$11:$AJ$51","'Page1'!$A$1"}</definedName>
    <definedName name="HTML_Description" hidden="1">""</definedName>
    <definedName name="HTML_Email" hidden="1">""</definedName>
    <definedName name="HTML_Header" hidden="1">"Page1"</definedName>
    <definedName name="HTML_LastUpdate" hidden="1">"07/10/1999"</definedName>
    <definedName name="HTML_LineAfter" hidden="1">TRUE</definedName>
    <definedName name="HTML_LineBefore" hidden="1">TRUE</definedName>
    <definedName name="HTML_Name" hidden="1">"ISU"</definedName>
    <definedName name="HTML_OBDlg2" hidden="1">TRUE</definedName>
    <definedName name="HTML_OBDlg4" hidden="1">TRUE</definedName>
    <definedName name="HTML_OS" hidden="1">0</definedName>
    <definedName name="HTML_PathFile" hidden="1">"c:\windows\desktop\MyHTML.htm"</definedName>
    <definedName name="HTML_Title" hidden="1">"CONVFACT"</definedName>
    <definedName name="Inst_FPs">'Background Data'!$A$42:$AL$60</definedName>
    <definedName name="Inst_Tables">'Background Data'!$A$12:$N$31</definedName>
    <definedName name="Intake_inconsistent">'Table 2a (ITE)'!$AE$11</definedName>
    <definedName name="Intake_missing">'Table 2a (ITE)'!$AE$12</definedName>
    <definedName name="Intake_too_high" localSheetId="2">'Table 2a (ITE)'!$AE$11</definedName>
    <definedName name="Non_controlled_Tol">Monitoring!$C$63</definedName>
    <definedName name="Only_intake_recorded">'Table 2a (ITE)'!$AE$14</definedName>
    <definedName name="_xlnm.Print_Area" localSheetId="0">Contents!$A$1:$E$22</definedName>
    <definedName name="_xlnm.Print_Area" localSheetId="13">Monitoring!$A$1:$J$59</definedName>
    <definedName name="_xlnm.Print_Area" localSheetId="1">'Table 1 (Main)'!$A$1:$AM$50</definedName>
    <definedName name="_xlnm.Print_Area" localSheetId="2">'Table 2a (ITE)'!$A$2:$M$33</definedName>
    <definedName name="_xlnm.Print_Area" localSheetId="3">'Table 2b (TQFE)'!$A$2:$Q$15</definedName>
    <definedName name="_xlnm.Print_Area" localSheetId="4">'Table 2c (Catholic ITE)'!$A$2:$F$16</definedName>
    <definedName name="_xlnm.Print_Area" localSheetId="5">'Table 2d PGDE Subjects'!$B$2:$AA$34</definedName>
    <definedName name="_xlnm.Print_Area" localSheetId="6">'Table 3 (Med, Dent)'!$A$2:$P$40</definedName>
    <definedName name="_xlnm.Print_Area" localSheetId="7">'Table 4a (Nurse and Midwy 3 Yr)'!$A$2:$Q$48</definedName>
    <definedName name="_xlnm.Print_Area" localSheetId="8">'Table 4b (Nurse 4 Year)'!$A$2:$F$19</definedName>
    <definedName name="_xlnm.Print_Area" localSheetId="9">'Table 5a (Innov Centres)'!$A$2:$F$21</definedName>
    <definedName name="_xlnm.Print_Area" localSheetId="10">'Table 5b (Early Years)'!$A$2:$E$17</definedName>
    <definedName name="_xlnm.Print_Area" localSheetId="11">'Table 5c (ESF DSW) '!$A$2:$H$33</definedName>
    <definedName name="_xlnm.Print_Area" localSheetId="12">'Table 6 (Care Experienced)'!$A$1:$F$8</definedName>
    <definedName name="_xlnm.Print_Titles" localSheetId="13">Monitoring!$1:$3</definedName>
    <definedName name="_xlnm.Print_Titles" localSheetId="1">'Table 1 (Main)'!$A:$B</definedName>
  </definedNames>
  <calcPr calcId="162913"/>
</workbook>
</file>

<file path=xl/calcChain.xml><?xml version="1.0" encoding="utf-8"?>
<calcChain xmlns="http://schemas.openxmlformats.org/spreadsheetml/2006/main">
  <c r="E19" i="54" l="1"/>
  <c r="X30" i="46"/>
  <c r="X32" i="46"/>
  <c r="X15" i="46"/>
  <c r="X14" i="46"/>
  <c r="N14" i="13"/>
  <c r="N13" i="13"/>
  <c r="M14" i="13"/>
  <c r="M13" i="13"/>
  <c r="D15" i="14" l="1"/>
  <c r="C15" i="14"/>
  <c r="E14" i="14"/>
  <c r="E13" i="14"/>
  <c r="Q16" i="34"/>
  <c r="K43" i="34"/>
  <c r="I44" i="34"/>
  <c r="H44" i="34"/>
  <c r="E44" i="34"/>
  <c r="D44" i="34"/>
  <c r="C44" i="34"/>
  <c r="K42" i="34"/>
  <c r="K41" i="34"/>
  <c r="M41" i="34" s="1"/>
  <c r="D37" i="36" s="1"/>
  <c r="K39" i="34"/>
  <c r="K38" i="34"/>
  <c r="K36" i="34"/>
  <c r="K35" i="34"/>
  <c r="K34" i="34"/>
  <c r="K33" i="34"/>
  <c r="K31" i="34"/>
  <c r="K30" i="34"/>
  <c r="K29" i="34"/>
  <c r="K28" i="34"/>
  <c r="K23" i="34"/>
  <c r="K17" i="34"/>
  <c r="L43" i="34"/>
  <c r="L42" i="34"/>
  <c r="L41" i="34"/>
  <c r="J43" i="34"/>
  <c r="J42" i="34"/>
  <c r="J41" i="34"/>
  <c r="G41" i="34"/>
  <c r="F43" i="34"/>
  <c r="G43" i="34" s="1"/>
  <c r="F42" i="34"/>
  <c r="F41" i="34"/>
  <c r="L39" i="34"/>
  <c r="L38" i="34"/>
  <c r="J39" i="34"/>
  <c r="J38" i="34"/>
  <c r="F39" i="34"/>
  <c r="G39" i="34" s="1"/>
  <c r="F38" i="34"/>
  <c r="G38" i="34" s="1"/>
  <c r="M34" i="34"/>
  <c r="L33" i="34"/>
  <c r="L34" i="34"/>
  <c r="L35" i="34"/>
  <c r="L36" i="34"/>
  <c r="J36" i="34"/>
  <c r="J35" i="34"/>
  <c r="J34" i="34"/>
  <c r="J33" i="34"/>
  <c r="F36" i="34"/>
  <c r="G36" i="34" s="1"/>
  <c r="F35" i="34"/>
  <c r="G35" i="34" s="1"/>
  <c r="F34" i="34"/>
  <c r="G34" i="34" s="1"/>
  <c r="F33" i="34"/>
  <c r="G33" i="34" s="1"/>
  <c r="L30" i="34"/>
  <c r="L29" i="34"/>
  <c r="L28" i="34"/>
  <c r="L31" i="34"/>
  <c r="M31" i="34" s="1"/>
  <c r="J31" i="34"/>
  <c r="J30" i="34"/>
  <c r="J29" i="34"/>
  <c r="J28" i="34"/>
  <c r="F31" i="34"/>
  <c r="G31" i="34" s="1"/>
  <c r="F30" i="34"/>
  <c r="G30" i="34" s="1"/>
  <c r="F29" i="34"/>
  <c r="G29" i="34" s="1"/>
  <c r="F28" i="34"/>
  <c r="G23" i="34"/>
  <c r="K21" i="34"/>
  <c r="F23" i="34"/>
  <c r="F22" i="34"/>
  <c r="G22" i="34" s="1"/>
  <c r="F21" i="34"/>
  <c r="G21" i="34" s="1"/>
  <c r="D24" i="34"/>
  <c r="C24" i="34"/>
  <c r="L23" i="34"/>
  <c r="L22" i="34"/>
  <c r="K22" i="34"/>
  <c r="L21" i="34"/>
  <c r="L17" i="34"/>
  <c r="I24" i="34"/>
  <c r="H24" i="34"/>
  <c r="E24" i="34"/>
  <c r="I18" i="34"/>
  <c r="H18" i="34"/>
  <c r="E18" i="34"/>
  <c r="D18" i="34"/>
  <c r="C18" i="34"/>
  <c r="L16" i="34"/>
  <c r="L18" i="34" s="1"/>
  <c r="K16" i="34"/>
  <c r="J17" i="34"/>
  <c r="J16" i="34"/>
  <c r="F17" i="34"/>
  <c r="G17" i="34" s="1"/>
  <c r="F16" i="34"/>
  <c r="G16" i="34" s="1"/>
  <c r="F13" i="34"/>
  <c r="G13" i="34" s="1"/>
  <c r="L13" i="34"/>
  <c r="K13" i="34"/>
  <c r="M13" i="34" s="1"/>
  <c r="J13" i="34"/>
  <c r="M36" i="34" l="1"/>
  <c r="M29" i="34"/>
  <c r="K18" i="34"/>
  <c r="E15" i="14"/>
  <c r="M43" i="34"/>
  <c r="M33" i="34"/>
  <c r="M28" i="34"/>
  <c r="F24" i="34"/>
  <c r="D59" i="36"/>
  <c r="M42" i="34"/>
  <c r="G42" i="34"/>
  <c r="M39" i="34"/>
  <c r="M35" i="34"/>
  <c r="J44" i="34"/>
  <c r="M30" i="34"/>
  <c r="F44" i="34"/>
  <c r="H45" i="34"/>
  <c r="L44" i="34"/>
  <c r="G28" i="34"/>
  <c r="G44" i="34" s="1"/>
  <c r="K44" i="34"/>
  <c r="I45" i="34"/>
  <c r="L24" i="34"/>
  <c r="E45" i="34"/>
  <c r="G24" i="34"/>
  <c r="C45" i="34"/>
  <c r="K24" i="34"/>
  <c r="M17" i="34"/>
  <c r="J18" i="34"/>
  <c r="G18" i="34"/>
  <c r="M16" i="34"/>
  <c r="F18" i="34"/>
  <c r="D45" i="34"/>
  <c r="M38" i="34"/>
  <c r="F45" i="34" l="1"/>
  <c r="M44" i="34"/>
  <c r="L45" i="34"/>
  <c r="K45" i="34"/>
  <c r="M18" i="34"/>
  <c r="G45" i="34"/>
  <c r="G31" i="51"/>
  <c r="D31" i="51"/>
  <c r="C31" i="51"/>
  <c r="AN130" i="49"/>
  <c r="AI149" i="49"/>
  <c r="AE130" i="49"/>
  <c r="Y124" i="49"/>
  <c r="U124" i="49"/>
  <c r="S149" i="49"/>
  <c r="T124" i="49"/>
  <c r="N124" i="49"/>
  <c r="L149" i="49"/>
  <c r="K149" i="49"/>
  <c r="J149" i="49"/>
  <c r="J130" i="49"/>
  <c r="I130" i="49"/>
  <c r="H149" i="49"/>
  <c r="G149" i="49"/>
  <c r="H124" i="49"/>
  <c r="BL133" i="49"/>
  <c r="AI36" i="34"/>
  <c r="AI35" i="34"/>
  <c r="AI34" i="34"/>
  <c r="AI33" i="34"/>
  <c r="AI31" i="34"/>
  <c r="AI30" i="34"/>
  <c r="AI29" i="34"/>
  <c r="AI28" i="34"/>
  <c r="AI22" i="34"/>
  <c r="AI21" i="34"/>
  <c r="AL149" i="49"/>
  <c r="AH149" i="49"/>
  <c r="Z130" i="49"/>
  <c r="T130" i="49"/>
  <c r="AH124" i="49"/>
  <c r="N149" i="49"/>
  <c r="L130" i="49"/>
  <c r="C124" i="49"/>
  <c r="G130" i="49" l="1"/>
  <c r="I124" i="49"/>
  <c r="M124" i="49"/>
  <c r="AM130" i="49"/>
  <c r="BL139" i="49"/>
  <c r="AO136" i="49"/>
  <c r="AO147" i="49"/>
  <c r="N130" i="49"/>
  <c r="N150" i="49" s="1"/>
  <c r="N152" i="49" s="1"/>
  <c r="P124" i="49"/>
  <c r="P130" i="49"/>
  <c r="P149" i="49"/>
  <c r="T149" i="49"/>
  <c r="T150" i="49" s="1"/>
  <c r="T152" i="49" s="1"/>
  <c r="V124" i="49"/>
  <c r="V130" i="49"/>
  <c r="V149" i="49"/>
  <c r="Z124" i="49"/>
  <c r="Z149" i="49"/>
  <c r="AF124" i="49"/>
  <c r="AF130" i="49"/>
  <c r="AF149" i="49"/>
  <c r="AH130" i="49"/>
  <c r="AH150" i="49" s="1"/>
  <c r="AH152" i="49" s="1"/>
  <c r="AJ124" i="49"/>
  <c r="AJ130" i="49"/>
  <c r="AJ149" i="49"/>
  <c r="AL124" i="49"/>
  <c r="AL130" i="49"/>
  <c r="AN124" i="49"/>
  <c r="AN149" i="49"/>
  <c r="G124" i="49"/>
  <c r="G150" i="49" s="1"/>
  <c r="G152" i="49" s="1"/>
  <c r="I149" i="49"/>
  <c r="I150" i="49" s="1"/>
  <c r="I152" i="49" s="1"/>
  <c r="K124" i="49"/>
  <c r="K130" i="49"/>
  <c r="M130" i="49"/>
  <c r="M149" i="49"/>
  <c r="S124" i="49"/>
  <c r="S130" i="49"/>
  <c r="U149" i="49"/>
  <c r="Y130" i="49"/>
  <c r="Y149" i="49"/>
  <c r="AE124" i="49"/>
  <c r="AE149" i="49"/>
  <c r="AG124" i="49"/>
  <c r="AG130" i="49"/>
  <c r="AG149" i="49"/>
  <c r="AI124" i="49"/>
  <c r="AI130" i="49"/>
  <c r="AK124" i="49"/>
  <c r="AK130" i="49"/>
  <c r="AK149" i="49"/>
  <c r="AM124" i="49"/>
  <c r="AM149" i="49"/>
  <c r="AC124" i="49"/>
  <c r="H130" i="49"/>
  <c r="H150" i="49" s="1"/>
  <c r="H152" i="49" s="1"/>
  <c r="J124" i="49"/>
  <c r="L124" i="49"/>
  <c r="L150" i="49" s="1"/>
  <c r="L152" i="49" s="1"/>
  <c r="AP137" i="49"/>
  <c r="AP142" i="49"/>
  <c r="AA130" i="49"/>
  <c r="AP123" i="49"/>
  <c r="AP139" i="49"/>
  <c r="F124" i="49"/>
  <c r="F130" i="49"/>
  <c r="Q149" i="49"/>
  <c r="W124" i="49"/>
  <c r="W130" i="49"/>
  <c r="AA149" i="49"/>
  <c r="AP147" i="49"/>
  <c r="AR149" i="49"/>
  <c r="Q124" i="49"/>
  <c r="X124" i="49"/>
  <c r="W149" i="49"/>
  <c r="U130" i="49"/>
  <c r="AP148" i="49"/>
  <c r="AP136" i="49"/>
  <c r="AP135" i="49"/>
  <c r="AO119" i="49"/>
  <c r="E130" i="49"/>
  <c r="J150" i="49"/>
  <c r="J152" i="49" s="1"/>
  <c r="AD124" i="49"/>
  <c r="X130" i="49"/>
  <c r="AB130" i="49"/>
  <c r="X149" i="49"/>
  <c r="AB149" i="49"/>
  <c r="AQ124" i="49"/>
  <c r="C130" i="49"/>
  <c r="AP140" i="49"/>
  <c r="BL137" i="49"/>
  <c r="AQ130" i="49"/>
  <c r="AQ149" i="49"/>
  <c r="AO144" i="49"/>
  <c r="D124" i="49"/>
  <c r="AP122" i="49"/>
  <c r="AO128" i="49"/>
  <c r="AP134" i="49"/>
  <c r="AO141" i="49"/>
  <c r="AP144" i="49"/>
  <c r="BL142" i="49"/>
  <c r="BL128" i="49"/>
  <c r="AP127" i="49"/>
  <c r="E149" i="49"/>
  <c r="R149" i="49"/>
  <c r="AC130" i="49"/>
  <c r="AC149" i="49"/>
  <c r="AO123" i="49"/>
  <c r="AO139" i="49"/>
  <c r="AP145" i="49"/>
  <c r="AO122" i="49"/>
  <c r="AO127" i="49"/>
  <c r="AO129" i="49"/>
  <c r="AO135" i="49"/>
  <c r="AO137" i="49"/>
  <c r="AO140" i="49"/>
  <c r="AO142" i="49"/>
  <c r="AO145" i="49"/>
  <c r="AO148" i="49"/>
  <c r="BL134" i="49"/>
  <c r="AP119" i="49"/>
  <c r="AO134" i="49"/>
  <c r="R124" i="49"/>
  <c r="Q130" i="49"/>
  <c r="AA124" i="49"/>
  <c r="AP128" i="49"/>
  <c r="AP141" i="49"/>
  <c r="D130" i="49"/>
  <c r="D149" i="49"/>
  <c r="E124" i="49"/>
  <c r="F149" i="49"/>
  <c r="R130" i="49"/>
  <c r="AB124" i="49"/>
  <c r="AD130" i="49"/>
  <c r="AD149" i="49"/>
  <c r="AP129" i="49"/>
  <c r="AR124" i="49"/>
  <c r="AR130" i="49"/>
  <c r="BL136" i="49"/>
  <c r="BL141" i="49"/>
  <c r="BL127" i="49"/>
  <c r="BL135" i="49"/>
  <c r="BL140" i="49"/>
  <c r="O130" i="49"/>
  <c r="O149" i="49"/>
  <c r="O124" i="49"/>
  <c r="C149" i="49"/>
  <c r="Y150" i="49" l="1"/>
  <c r="Y152" i="49" s="1"/>
  <c r="C150" i="49"/>
  <c r="K150" i="49"/>
  <c r="K152" i="49" s="1"/>
  <c r="AJ150" i="49"/>
  <c r="AJ152" i="49" s="1"/>
  <c r="AM150" i="49"/>
  <c r="AM152" i="49" s="1"/>
  <c r="AI150" i="49"/>
  <c r="AI152" i="49" s="1"/>
  <c r="M150" i="49"/>
  <c r="M152" i="49" s="1"/>
  <c r="AL150" i="49"/>
  <c r="AL152" i="49" s="1"/>
  <c r="P150" i="49"/>
  <c r="P152" i="49" s="1"/>
  <c r="AE150" i="49"/>
  <c r="AE152" i="49" s="1"/>
  <c r="Z150" i="49"/>
  <c r="Z152" i="49" s="1"/>
  <c r="S150" i="49"/>
  <c r="S152" i="49" s="1"/>
  <c r="AK150" i="49"/>
  <c r="AK152" i="49" s="1"/>
  <c r="U150" i="49"/>
  <c r="U152" i="49" s="1"/>
  <c r="V150" i="49"/>
  <c r="V152" i="49" s="1"/>
  <c r="AG150" i="49"/>
  <c r="AG152" i="49" s="1"/>
  <c r="AN150" i="49"/>
  <c r="AN152" i="49" s="1"/>
  <c r="AQ150" i="49"/>
  <c r="AQ152" i="49" s="1"/>
  <c r="AF150" i="49"/>
  <c r="AF152" i="49" s="1"/>
  <c r="W150" i="49"/>
  <c r="W152" i="49" s="1"/>
  <c r="AR150" i="49"/>
  <c r="AR152" i="49" s="1"/>
  <c r="D150" i="49"/>
  <c r="AP124" i="49"/>
  <c r="AB150" i="49"/>
  <c r="AB152" i="49" s="1"/>
  <c r="F150" i="49"/>
  <c r="F152" i="49" s="1"/>
  <c r="AP149" i="49"/>
  <c r="AA150" i="49"/>
  <c r="AA152" i="49" s="1"/>
  <c r="AO124" i="49"/>
  <c r="AP130" i="49"/>
  <c r="X150" i="49"/>
  <c r="X152" i="49" s="1"/>
  <c r="R150" i="49"/>
  <c r="R152" i="49" s="1"/>
  <c r="E150" i="49"/>
  <c r="E152" i="49" s="1"/>
  <c r="Q150" i="49"/>
  <c r="Q152" i="49" s="1"/>
  <c r="AD150" i="49"/>
  <c r="AD152" i="49" s="1"/>
  <c r="AO149" i="49"/>
  <c r="AC150" i="49"/>
  <c r="AC152" i="49" s="1"/>
  <c r="AO130" i="49"/>
  <c r="D152" i="49"/>
  <c r="C152" i="49"/>
  <c r="O150" i="49"/>
  <c r="O152" i="49" s="1"/>
  <c r="AP150" i="49" l="1"/>
  <c r="AP152" i="49" s="1"/>
  <c r="AO150" i="49"/>
  <c r="AO152" i="49" s="1"/>
  <c r="G15" i="51"/>
  <c r="G29" i="51"/>
  <c r="G28" i="51"/>
  <c r="G27" i="51"/>
  <c r="G26" i="51"/>
  <c r="G25" i="51"/>
  <c r="G24" i="51"/>
  <c r="G23" i="51"/>
  <c r="G22" i="51"/>
  <c r="G21" i="51"/>
  <c r="G20" i="51"/>
  <c r="G19" i="51"/>
  <c r="G18" i="51"/>
  <c r="G17" i="51"/>
  <c r="G16" i="51"/>
  <c r="F30" i="51" l="1"/>
  <c r="E30" i="51"/>
  <c r="C4" i="54" l="1"/>
  <c r="C4" i="53" l="1"/>
  <c r="K12" i="49" l="1"/>
  <c r="O45" i="48" l="1"/>
  <c r="N45" i="48"/>
  <c r="M45" i="48"/>
  <c r="O44" i="48"/>
  <c r="N44" i="48"/>
  <c r="M44" i="48"/>
  <c r="O43" i="48"/>
  <c r="N43" i="48"/>
  <c r="M43" i="48"/>
  <c r="O42" i="48"/>
  <c r="N42" i="48"/>
  <c r="M42" i="48"/>
  <c r="O41" i="48"/>
  <c r="N41" i="48"/>
  <c r="M41" i="48"/>
  <c r="O37" i="48"/>
  <c r="N37" i="48"/>
  <c r="M37" i="48"/>
  <c r="O36" i="48"/>
  <c r="N36" i="48"/>
  <c r="M36" i="48"/>
  <c r="O33" i="48"/>
  <c r="N33" i="48"/>
  <c r="M33" i="48"/>
  <c r="O32" i="48"/>
  <c r="N32" i="48"/>
  <c r="M32" i="48"/>
  <c r="O31" i="48"/>
  <c r="N31" i="48"/>
  <c r="M31" i="48"/>
  <c r="O28" i="48"/>
  <c r="N28" i="48"/>
  <c r="M28" i="48"/>
  <c r="O27" i="48"/>
  <c r="N27" i="48"/>
  <c r="M27" i="48"/>
  <c r="O26" i="48"/>
  <c r="N26" i="48"/>
  <c r="M26" i="48"/>
  <c r="O23" i="48"/>
  <c r="N23" i="48"/>
  <c r="M23" i="48"/>
  <c r="O22" i="48"/>
  <c r="N22" i="48"/>
  <c r="M22" i="48"/>
  <c r="O21" i="48"/>
  <c r="N21" i="48"/>
  <c r="M21" i="48"/>
  <c r="O18" i="48"/>
  <c r="N18" i="48"/>
  <c r="M18" i="48"/>
  <c r="O17" i="48"/>
  <c r="N17" i="48"/>
  <c r="M17" i="48"/>
  <c r="O16" i="48"/>
  <c r="N16" i="48"/>
  <c r="M16" i="48"/>
  <c r="C24" i="48"/>
  <c r="J19" i="48"/>
  <c r="I19" i="48"/>
  <c r="H19" i="48"/>
  <c r="F19" i="48"/>
  <c r="E19" i="48"/>
  <c r="D19" i="48"/>
  <c r="C19" i="48"/>
  <c r="J46" i="48"/>
  <c r="I46" i="48"/>
  <c r="H46" i="48"/>
  <c r="K45" i="48"/>
  <c r="L45" i="48" s="1"/>
  <c r="K44" i="48"/>
  <c r="L44" i="48" s="1"/>
  <c r="K43" i="48"/>
  <c r="K42" i="48"/>
  <c r="L42" i="48" s="1"/>
  <c r="K41" i="48"/>
  <c r="L41" i="48" s="1"/>
  <c r="J38" i="48"/>
  <c r="I38" i="48"/>
  <c r="H38" i="48"/>
  <c r="K37" i="48"/>
  <c r="L37" i="48" s="1"/>
  <c r="K36" i="48"/>
  <c r="L36" i="48" s="1"/>
  <c r="L38" i="48" s="1"/>
  <c r="J34" i="48"/>
  <c r="I34" i="48"/>
  <c r="H34" i="48"/>
  <c r="K33" i="48"/>
  <c r="L33" i="48" s="1"/>
  <c r="K32" i="48"/>
  <c r="L32" i="48" s="1"/>
  <c r="K31" i="48"/>
  <c r="L31" i="48" s="1"/>
  <c r="J29" i="48"/>
  <c r="I29" i="48"/>
  <c r="H29" i="48"/>
  <c r="K28" i="48"/>
  <c r="L28" i="48" s="1"/>
  <c r="K27" i="48"/>
  <c r="L27" i="48" s="1"/>
  <c r="K26" i="48"/>
  <c r="L26" i="48" s="1"/>
  <c r="J24" i="48"/>
  <c r="I24" i="48"/>
  <c r="H24" i="48"/>
  <c r="K23" i="48"/>
  <c r="L23" i="48" s="1"/>
  <c r="K22" i="48"/>
  <c r="L22" i="48" s="1"/>
  <c r="K21" i="48"/>
  <c r="L21" i="48" s="1"/>
  <c r="K18" i="48"/>
  <c r="L18" i="48" s="1"/>
  <c r="K17" i="48"/>
  <c r="L17" i="48" s="1"/>
  <c r="K16" i="48"/>
  <c r="L16" i="48" s="1"/>
  <c r="L34" i="48" l="1"/>
  <c r="P43" i="48"/>
  <c r="M29" i="48"/>
  <c r="O34" i="48"/>
  <c r="N34" i="48"/>
  <c r="M34" i="48"/>
  <c r="O29" i="48"/>
  <c r="N29" i="48"/>
  <c r="P29" i="48" s="1"/>
  <c r="O24" i="48"/>
  <c r="N24" i="48"/>
  <c r="P24" i="48" s="1"/>
  <c r="M24" i="48"/>
  <c r="L24" i="48"/>
  <c r="L19" i="48"/>
  <c r="L29" i="48"/>
  <c r="P23" i="48"/>
  <c r="P28" i="48"/>
  <c r="P33" i="48"/>
  <c r="L43" i="48"/>
  <c r="L46" i="48" s="1"/>
  <c r="P22" i="48"/>
  <c r="P27" i="48"/>
  <c r="P34" i="48"/>
  <c r="P32" i="48"/>
  <c r="P31" i="48"/>
  <c r="P26" i="48"/>
  <c r="P21" i="48"/>
  <c r="P37" i="48"/>
  <c r="O38" i="48"/>
  <c r="N38" i="48"/>
  <c r="M38" i="48"/>
  <c r="P41" i="48"/>
  <c r="P42" i="48"/>
  <c r="P45" i="48"/>
  <c r="P17" i="48"/>
  <c r="O19" i="48"/>
  <c r="M19" i="48"/>
  <c r="P16" i="48"/>
  <c r="P18" i="48"/>
  <c r="N19" i="48"/>
  <c r="J39" i="48"/>
  <c r="J47" i="48" s="1"/>
  <c r="K34" i="48"/>
  <c r="K29" i="48"/>
  <c r="H39" i="48"/>
  <c r="H47" i="48" s="1"/>
  <c r="K24" i="48"/>
  <c r="K38" i="48"/>
  <c r="K46" i="48"/>
  <c r="K19" i="48"/>
  <c r="I39" i="48"/>
  <c r="I47" i="48" s="1"/>
  <c r="E17" i="41"/>
  <c r="E16" i="41"/>
  <c r="E15" i="41"/>
  <c r="E14" i="41"/>
  <c r="E12" i="41"/>
  <c r="P38" i="48" l="1"/>
  <c r="L39" i="48"/>
  <c r="L47" i="48" s="1"/>
  <c r="P19" i="48"/>
  <c r="P44" i="48"/>
  <c r="M46" i="48"/>
  <c r="O39" i="48"/>
  <c r="P36" i="48"/>
  <c r="O46" i="48"/>
  <c r="M39" i="48"/>
  <c r="N46" i="48"/>
  <c r="K47" i="48"/>
  <c r="K39" i="48"/>
  <c r="E18" i="41"/>
  <c r="D18" i="41"/>
  <c r="C46" i="48"/>
  <c r="G16" i="48"/>
  <c r="C38" i="48"/>
  <c r="C34" i="48"/>
  <c r="C29" i="48"/>
  <c r="AI37" i="15"/>
  <c r="S37" i="15" s="1"/>
  <c r="AI35" i="15"/>
  <c r="S35" i="15" s="1"/>
  <c r="AI34" i="15"/>
  <c r="S34" i="15" s="1"/>
  <c r="AH37" i="15"/>
  <c r="AG37" i="15"/>
  <c r="AH35" i="15"/>
  <c r="AG35" i="15"/>
  <c r="AG34" i="15"/>
  <c r="AH34" i="15"/>
  <c r="M17" i="15"/>
  <c r="AL17" i="15" s="1"/>
  <c r="M16" i="15"/>
  <c r="AN16" i="15" s="1"/>
  <c r="H22" i="15"/>
  <c r="AG22" i="15" s="1"/>
  <c r="H21" i="15"/>
  <c r="AG21" i="15" s="1"/>
  <c r="H20" i="15"/>
  <c r="AG20" i="15" s="1"/>
  <c r="H17" i="15"/>
  <c r="AG17" i="15" s="1"/>
  <c r="H16" i="15"/>
  <c r="AJ16" i="15" s="1"/>
  <c r="I13" i="41" l="1"/>
  <c r="J13" i="41"/>
  <c r="AI22" i="15"/>
  <c r="AJ22" i="15"/>
  <c r="R34" i="15"/>
  <c r="AH20" i="15"/>
  <c r="AH22" i="15"/>
  <c r="AH21" i="15"/>
  <c r="AI21" i="15"/>
  <c r="AM17" i="15"/>
  <c r="AG16" i="15"/>
  <c r="AH16" i="15"/>
  <c r="AI16" i="15"/>
  <c r="AL16" i="15"/>
  <c r="AH17" i="15"/>
  <c r="AM16" i="15"/>
  <c r="AI17" i="15"/>
  <c r="AN17" i="15"/>
  <c r="AI20" i="15"/>
  <c r="AJ17" i="15"/>
  <c r="AO17" i="15"/>
  <c r="AJ20" i="15"/>
  <c r="AJ21" i="15"/>
  <c r="O47" i="48"/>
  <c r="P46" i="48"/>
  <c r="M47" i="48"/>
  <c r="N39" i="48"/>
  <c r="N47" i="48" s="1"/>
  <c r="C39" i="48"/>
  <c r="C47" i="48" s="1"/>
  <c r="Y30" i="46"/>
  <c r="C33" i="46"/>
  <c r="U33" i="46"/>
  <c r="Z30" i="46" s="1"/>
  <c r="D33" i="46"/>
  <c r="R16" i="15" l="1"/>
  <c r="X16" i="15"/>
  <c r="P47" i="48"/>
  <c r="P39" i="48"/>
  <c r="E31" i="39" l="1"/>
  <c r="E29" i="39"/>
  <c r="E28" i="39"/>
  <c r="E27" i="39"/>
  <c r="H25" i="39"/>
  <c r="G25" i="39"/>
  <c r="L25" i="39" s="1"/>
  <c r="F25" i="39"/>
  <c r="D25" i="39"/>
  <c r="C25" i="39"/>
  <c r="E20" i="39"/>
  <c r="H18" i="39"/>
  <c r="G18" i="39"/>
  <c r="F18" i="39"/>
  <c r="D18" i="39"/>
  <c r="C18" i="39"/>
  <c r="E18" i="39" s="1"/>
  <c r="L31" i="39"/>
  <c r="L29" i="39"/>
  <c r="L28" i="39"/>
  <c r="L27" i="39"/>
  <c r="L24" i="39"/>
  <c r="L23" i="39"/>
  <c r="L20" i="39"/>
  <c r="L17" i="39" l="1"/>
  <c r="E16" i="39"/>
  <c r="I30" i="49" l="1"/>
  <c r="I29" i="49"/>
  <c r="I28" i="49"/>
  <c r="I27" i="49"/>
  <c r="I26" i="49"/>
  <c r="I25" i="49"/>
  <c r="I24" i="49"/>
  <c r="I23" i="49"/>
  <c r="I22" i="49"/>
  <c r="I21" i="49"/>
  <c r="I20" i="49"/>
  <c r="I19" i="49"/>
  <c r="I18" i="49"/>
  <c r="I17" i="49"/>
  <c r="I16" i="49"/>
  <c r="I15" i="49"/>
  <c r="I14" i="49"/>
  <c r="I13" i="49"/>
  <c r="C27" i="36"/>
  <c r="C24" i="36"/>
  <c r="C23" i="36"/>
  <c r="C22" i="36"/>
  <c r="C21" i="36"/>
  <c r="C20" i="36"/>
  <c r="C19" i="36"/>
  <c r="C17" i="36"/>
  <c r="C16" i="36"/>
  <c r="C15" i="36"/>
  <c r="C14" i="36"/>
  <c r="C59" i="36"/>
  <c r="C57" i="36"/>
  <c r="C55" i="36"/>
  <c r="C54" i="36"/>
  <c r="C52" i="36"/>
  <c r="C50" i="36"/>
  <c r="I45" i="49" l="1"/>
  <c r="I49" i="49"/>
  <c r="I53" i="49"/>
  <c r="I59" i="49"/>
  <c r="I62" i="49"/>
  <c r="I42" i="49"/>
  <c r="C38" i="36" s="1"/>
  <c r="P61" i="49"/>
  <c r="L61" i="49"/>
  <c r="U44" i="49"/>
  <c r="U52" i="49"/>
  <c r="U60" i="49"/>
  <c r="U43" i="49"/>
  <c r="U47" i="49"/>
  <c r="U51" i="49"/>
  <c r="U55" i="49"/>
  <c r="U59" i="49"/>
  <c r="T61" i="49"/>
  <c r="I12" i="49"/>
  <c r="I46" i="49"/>
  <c r="I50" i="49"/>
  <c r="I60" i="49"/>
  <c r="U56" i="49"/>
  <c r="U45" i="49"/>
  <c r="U49" i="49"/>
  <c r="U53" i="49"/>
  <c r="U57" i="49"/>
  <c r="U62" i="49"/>
  <c r="U48" i="49"/>
  <c r="U42" i="49"/>
  <c r="U46" i="49"/>
  <c r="U50" i="49"/>
  <c r="U54" i="49"/>
  <c r="U58" i="49"/>
  <c r="K61" i="49"/>
  <c r="O61" i="49"/>
  <c r="S61" i="49"/>
  <c r="N61" i="49"/>
  <c r="R61" i="49"/>
  <c r="I54" i="49"/>
  <c r="I56" i="49"/>
  <c r="I58" i="49"/>
  <c r="M61" i="49"/>
  <c r="Q61" i="49"/>
  <c r="I57" i="49"/>
  <c r="I44" i="49"/>
  <c r="I47" i="49"/>
  <c r="I52" i="49"/>
  <c r="I55" i="49"/>
  <c r="I43" i="49"/>
  <c r="I48" i="49"/>
  <c r="I51" i="49"/>
  <c r="AL61" i="49"/>
  <c r="AK61" i="49"/>
  <c r="AJ61" i="49"/>
  <c r="AI61" i="49"/>
  <c r="AH61" i="49"/>
  <c r="AG61" i="49"/>
  <c r="J61" i="49"/>
  <c r="H61" i="49"/>
  <c r="G61" i="49"/>
  <c r="F61" i="49"/>
  <c r="E61" i="49"/>
  <c r="D61" i="49"/>
  <c r="U61" i="49" l="1"/>
  <c r="I61" i="49"/>
  <c r="C37" i="36"/>
  <c r="E37" i="36" s="1"/>
  <c r="F37" i="36" s="1"/>
  <c r="X61" i="49" l="1"/>
  <c r="C13" i="53" l="1"/>
  <c r="AE61" i="49"/>
  <c r="H16" i="49" l="1"/>
  <c r="H13" i="49"/>
  <c r="H23" i="49"/>
  <c r="H24" i="49"/>
  <c r="H17" i="49"/>
  <c r="F17" i="49"/>
  <c r="F13" i="49"/>
  <c r="F23" i="49"/>
  <c r="F24" i="49"/>
  <c r="H19" i="49" l="1"/>
  <c r="D14" i="36" l="1"/>
  <c r="V61" i="49" l="1"/>
  <c r="D16" i="36"/>
  <c r="W61" i="49" l="1"/>
  <c r="J17" i="49" l="1"/>
  <c r="J24" i="49"/>
  <c r="J23" i="49"/>
  <c r="J13" i="49"/>
  <c r="C24" i="49" l="1"/>
  <c r="C23" i="49"/>
  <c r="C17" i="49"/>
  <c r="AF54" i="49"/>
  <c r="AF47" i="49"/>
  <c r="AF53" i="49"/>
  <c r="C13" i="49" l="1"/>
  <c r="AF43" i="49"/>
  <c r="H27" i="49" l="1"/>
  <c r="H22" i="49"/>
  <c r="D15" i="36"/>
  <c r="F27" i="49"/>
  <c r="F22" i="49"/>
  <c r="H26" i="49" l="1"/>
  <c r="H28" i="49"/>
  <c r="D26" i="36"/>
  <c r="H21" i="49"/>
  <c r="H30" i="49"/>
  <c r="H25" i="49"/>
  <c r="H15" i="49"/>
  <c r="F15" i="49"/>
  <c r="F26" i="49"/>
  <c r="H12" i="49" l="1"/>
  <c r="Y61" i="49"/>
  <c r="H14" i="49"/>
  <c r="H29" i="49"/>
  <c r="H20" i="49"/>
  <c r="H18" i="49"/>
  <c r="F20" i="49"/>
  <c r="F18" i="49"/>
  <c r="Z61" i="49" l="1"/>
  <c r="C26" i="49" l="1"/>
  <c r="J22" i="49"/>
  <c r="J26" i="49"/>
  <c r="J27" i="49"/>
  <c r="AF56" i="49" l="1"/>
  <c r="AF57" i="49"/>
  <c r="AF52" i="49"/>
  <c r="J20" i="49"/>
  <c r="C27" i="49" l="1"/>
  <c r="C22" i="49"/>
  <c r="J18" i="49"/>
  <c r="J15" i="49"/>
  <c r="C18" i="49" l="1"/>
  <c r="AF50" i="49"/>
  <c r="C20" i="49"/>
  <c r="AF48" i="49"/>
  <c r="AF45" i="49" l="1"/>
  <c r="C15" i="49"/>
  <c r="J25" i="49" l="1"/>
  <c r="J28" i="49"/>
  <c r="F28" i="49"/>
  <c r="D19" i="36"/>
  <c r="C25" i="49"/>
  <c r="F25" i="49"/>
  <c r="AF55" i="49" l="1"/>
  <c r="AF58" i="49"/>
  <c r="D23" i="36" l="1"/>
  <c r="AB61" i="49" l="1"/>
  <c r="J19" i="49" l="1"/>
  <c r="J29" i="49"/>
  <c r="J14" i="49"/>
  <c r="J30" i="49"/>
  <c r="F14" i="49"/>
  <c r="J21" i="49" l="1"/>
  <c r="F30" i="49"/>
  <c r="C30" i="49"/>
  <c r="F21" i="49"/>
  <c r="C21" i="49"/>
  <c r="F19" i="49"/>
  <c r="C19" i="49"/>
  <c r="F29" i="49"/>
  <c r="C29" i="49"/>
  <c r="AF51" i="49"/>
  <c r="AF49" i="49"/>
  <c r="AF59" i="49"/>
  <c r="AF60" i="49"/>
  <c r="J16" i="49"/>
  <c r="D24" i="36"/>
  <c r="J12" i="49" l="1"/>
  <c r="C12" i="53"/>
  <c r="F16" i="49"/>
  <c r="C16" i="49"/>
  <c r="F12" i="49"/>
  <c r="C12" i="49"/>
  <c r="AA61" i="49"/>
  <c r="C14" i="49"/>
  <c r="AC61" i="49"/>
  <c r="AD61" i="49"/>
  <c r="AF42" i="49"/>
  <c r="AF44" i="49"/>
  <c r="AF46" i="49"/>
  <c r="E4" i="53" l="1"/>
  <c r="B1" i="53" s="1"/>
  <c r="E17" i="47"/>
  <c r="AF61" i="49"/>
  <c r="M13" i="49" l="1"/>
  <c r="M14" i="49" s="1"/>
  <c r="M15" i="49" s="1"/>
  <c r="M16" i="49" s="1"/>
  <c r="L13" i="49"/>
  <c r="L14" i="49" s="1"/>
  <c r="L15" i="49" s="1"/>
  <c r="L16" i="49" s="1"/>
  <c r="L17" i="49" s="1"/>
  <c r="L18" i="49" s="1"/>
  <c r="L19" i="49" s="1"/>
  <c r="V31" i="34" s="1"/>
  <c r="AR104" i="49"/>
  <c r="AQ104" i="49"/>
  <c r="AQ85" i="49"/>
  <c r="AQ79" i="49"/>
  <c r="AM85" i="49"/>
  <c r="AM79" i="49"/>
  <c r="AK104" i="49"/>
  <c r="AK85" i="49"/>
  <c r="AI104" i="49"/>
  <c r="AI85" i="49"/>
  <c r="AI79" i="49"/>
  <c r="AG104" i="49"/>
  <c r="AG85" i="49"/>
  <c r="AE104" i="49"/>
  <c r="AE85" i="49"/>
  <c r="AE79" i="49"/>
  <c r="AC104" i="49"/>
  <c r="AC85" i="49"/>
  <c r="AA104" i="49"/>
  <c r="AA85" i="49"/>
  <c r="AA79" i="49"/>
  <c r="Y104" i="49"/>
  <c r="Y79" i="49"/>
  <c r="W104" i="49"/>
  <c r="W85" i="49"/>
  <c r="W79" i="49"/>
  <c r="U104" i="49"/>
  <c r="U85" i="49"/>
  <c r="U79" i="49"/>
  <c r="S104" i="49"/>
  <c r="S85" i="49"/>
  <c r="S79" i="49"/>
  <c r="Q85" i="49"/>
  <c r="Q79" i="49"/>
  <c r="O104" i="49"/>
  <c r="O85" i="49"/>
  <c r="O79" i="49"/>
  <c r="I104" i="49"/>
  <c r="I85" i="49"/>
  <c r="I79" i="49"/>
  <c r="G104" i="49"/>
  <c r="G85" i="49"/>
  <c r="G79" i="49"/>
  <c r="E104" i="49"/>
  <c r="E85" i="49"/>
  <c r="V13" i="34"/>
  <c r="BL88" i="49"/>
  <c r="Y36" i="34"/>
  <c r="Y34" i="34"/>
  <c r="Y33" i="34"/>
  <c r="Y31" i="34"/>
  <c r="Y29" i="34"/>
  <c r="Y28" i="34"/>
  <c r="Y22" i="34"/>
  <c r="AN79" i="49"/>
  <c r="AG79" i="49"/>
  <c r="X79" i="49"/>
  <c r="L104" i="49"/>
  <c r="P79" i="49"/>
  <c r="V43" i="34"/>
  <c r="V38" i="34"/>
  <c r="V33" i="34"/>
  <c r="V28" i="34"/>
  <c r="V23" i="34"/>
  <c r="V17" i="34"/>
  <c r="L20" i="49" l="1"/>
  <c r="L21" i="49" s="1"/>
  <c r="L22" i="49" s="1"/>
  <c r="L23" i="49" s="1"/>
  <c r="L24" i="49" s="1"/>
  <c r="L25" i="49" s="1"/>
  <c r="L26" i="49" s="1"/>
  <c r="L27" i="49" s="1"/>
  <c r="L28" i="49" s="1"/>
  <c r="L29" i="49" s="1"/>
  <c r="L30" i="49" s="1"/>
  <c r="L31" i="49" s="1"/>
  <c r="AF43" i="34"/>
  <c r="AJ43" i="34" s="1"/>
  <c r="AF29" i="34"/>
  <c r="AF13" i="34"/>
  <c r="AJ13" i="34" s="1"/>
  <c r="AF39" i="34"/>
  <c r="AF28" i="34"/>
  <c r="AF38" i="34"/>
  <c r="AF23" i="34"/>
  <c r="AF33" i="34"/>
  <c r="AF31" i="34"/>
  <c r="AF36" i="34"/>
  <c r="AF22" i="34"/>
  <c r="AF35" i="34"/>
  <c r="AF17" i="34"/>
  <c r="AF34" i="34"/>
  <c r="AF30" i="34"/>
  <c r="AF42" i="34"/>
  <c r="AF16" i="34"/>
  <c r="AF21" i="34"/>
  <c r="V36" i="34"/>
  <c r="Q104" i="49"/>
  <c r="Q105" i="49" s="1"/>
  <c r="Q107" i="49" s="1"/>
  <c r="F104" i="49"/>
  <c r="J85" i="49"/>
  <c r="R79" i="49"/>
  <c r="R105" i="49" s="1"/>
  <c r="R107" i="49" s="1"/>
  <c r="R104" i="49"/>
  <c r="V79" i="49"/>
  <c r="V85" i="49"/>
  <c r="V104" i="49"/>
  <c r="X85" i="49"/>
  <c r="X104" i="49"/>
  <c r="X105" i="49" s="1"/>
  <c r="X107" i="49" s="1"/>
  <c r="AB79" i="49"/>
  <c r="AB85" i="49"/>
  <c r="AB104" i="49"/>
  <c r="AH79" i="49"/>
  <c r="AH85" i="49"/>
  <c r="AH104" i="49"/>
  <c r="AL79" i="49"/>
  <c r="AL105" i="49" s="1"/>
  <c r="AL107" i="49" s="1"/>
  <c r="AL104" i="49"/>
  <c r="AN85" i="49"/>
  <c r="AN104" i="49"/>
  <c r="E79" i="49"/>
  <c r="E105" i="49" s="1"/>
  <c r="E107" i="49" s="1"/>
  <c r="K104" i="49"/>
  <c r="Y85" i="49"/>
  <c r="AC79" i="49"/>
  <c r="AC105" i="49" s="1"/>
  <c r="AC107" i="49" s="1"/>
  <c r="AK79" i="49"/>
  <c r="AK105" i="49" s="1"/>
  <c r="AK107" i="49" s="1"/>
  <c r="U105" i="49"/>
  <c r="Y105" i="49"/>
  <c r="Y107" i="49" s="1"/>
  <c r="AG105" i="49"/>
  <c r="AG107" i="49" s="1"/>
  <c r="C79" i="49"/>
  <c r="V16" i="34"/>
  <c r="BL82" i="49"/>
  <c r="Y21" i="34"/>
  <c r="BL91" i="49"/>
  <c r="Y30" i="34"/>
  <c r="BL96" i="49"/>
  <c r="Y35" i="34"/>
  <c r="AM104" i="49"/>
  <c r="AM105" i="49" s="1"/>
  <c r="AM107" i="49" s="1"/>
  <c r="AO90" i="49"/>
  <c r="V29" i="34"/>
  <c r="AO95" i="49"/>
  <c r="V34" i="34"/>
  <c r="AO100" i="49"/>
  <c r="V39" i="34"/>
  <c r="AP74" i="49"/>
  <c r="AP96" i="49"/>
  <c r="AO82" i="49"/>
  <c r="V21" i="34"/>
  <c r="AP91" i="49"/>
  <c r="W30" i="34"/>
  <c r="AP102" i="49"/>
  <c r="AO83" i="49"/>
  <c r="V22" i="34"/>
  <c r="AO91" i="49"/>
  <c r="V30" i="34"/>
  <c r="AO96" i="49"/>
  <c r="V35" i="34"/>
  <c r="AO102" i="49"/>
  <c r="V42" i="34"/>
  <c r="AP77" i="49"/>
  <c r="AP84" i="49"/>
  <c r="W23" i="34"/>
  <c r="AP92" i="49"/>
  <c r="W31" i="34"/>
  <c r="AP97" i="49"/>
  <c r="AP103" i="49"/>
  <c r="F85" i="49"/>
  <c r="H79" i="49"/>
  <c r="H104" i="49"/>
  <c r="J79" i="49"/>
  <c r="L79" i="49"/>
  <c r="L85" i="49"/>
  <c r="N79" i="49"/>
  <c r="N105" i="49" s="1"/>
  <c r="N107" i="49" s="1"/>
  <c r="N85" i="49"/>
  <c r="N104" i="49"/>
  <c r="P85" i="49"/>
  <c r="P104" i="49"/>
  <c r="R85" i="49"/>
  <c r="T79" i="49"/>
  <c r="T85" i="49"/>
  <c r="T104" i="49"/>
  <c r="Z79" i="49"/>
  <c r="Z85" i="49"/>
  <c r="Z104" i="49"/>
  <c r="AD79" i="49"/>
  <c r="AD85" i="49"/>
  <c r="AD104" i="49"/>
  <c r="AF79" i="49"/>
  <c r="AF85" i="49"/>
  <c r="AF104" i="49"/>
  <c r="AJ79" i="49"/>
  <c r="AJ85" i="49"/>
  <c r="AJ104" i="49"/>
  <c r="AL85" i="49"/>
  <c r="AR79" i="49"/>
  <c r="AR105" i="49" s="1"/>
  <c r="AR107" i="49" s="1"/>
  <c r="AR85" i="49"/>
  <c r="AP99" i="49"/>
  <c r="AO74" i="49"/>
  <c r="AP78" i="49"/>
  <c r="AP94" i="49"/>
  <c r="AP82" i="49"/>
  <c r="AP90" i="49"/>
  <c r="AP95" i="49"/>
  <c r="AP100" i="49"/>
  <c r="BL83" i="49"/>
  <c r="BL92" i="49"/>
  <c r="BL97" i="49"/>
  <c r="F79" i="49"/>
  <c r="F105" i="49" s="1"/>
  <c r="F107" i="49" s="1"/>
  <c r="H85" i="49"/>
  <c r="J104" i="49"/>
  <c r="G105" i="49"/>
  <c r="G107" i="49" s="1"/>
  <c r="O105" i="49"/>
  <c r="O107" i="49" s="1"/>
  <c r="K85" i="49"/>
  <c r="AO77" i="49"/>
  <c r="AO84" i="49"/>
  <c r="AO92" i="49"/>
  <c r="AO97" i="49"/>
  <c r="AO103" i="49"/>
  <c r="D104" i="49"/>
  <c r="K79" i="49"/>
  <c r="AO78" i="49"/>
  <c r="AO89" i="49"/>
  <c r="AO94" i="49"/>
  <c r="AO99" i="49"/>
  <c r="M17" i="49"/>
  <c r="M18" i="49" s="1"/>
  <c r="M19" i="49" s="1"/>
  <c r="W35" i="34" s="1"/>
  <c r="D85" i="49"/>
  <c r="AI105" i="49"/>
  <c r="AI107" i="49" s="1"/>
  <c r="M79" i="49"/>
  <c r="M85" i="49"/>
  <c r="M104" i="49"/>
  <c r="C104" i="49"/>
  <c r="S105" i="49"/>
  <c r="S107" i="49" s="1"/>
  <c r="W105" i="49"/>
  <c r="W107" i="49" s="1"/>
  <c r="AA105" i="49"/>
  <c r="AA107" i="49" s="1"/>
  <c r="AE105" i="49"/>
  <c r="AE107" i="49" s="1"/>
  <c r="AP83" i="49"/>
  <c r="AP89" i="49"/>
  <c r="C85" i="49"/>
  <c r="D79" i="49"/>
  <c r="BL90" i="49"/>
  <c r="BL89" i="49"/>
  <c r="BL94" i="49"/>
  <c r="BL95" i="49"/>
  <c r="AQ105" i="49"/>
  <c r="AQ107" i="49" s="1"/>
  <c r="U107" i="49"/>
  <c r="I105" i="49"/>
  <c r="I107" i="49" s="1"/>
  <c r="AN105" i="49" l="1"/>
  <c r="AN107" i="49" s="1"/>
  <c r="W43" i="34"/>
  <c r="W16" i="34"/>
  <c r="AH105" i="49"/>
  <c r="AH107" i="49" s="1"/>
  <c r="AD105" i="49"/>
  <c r="AD107" i="49" s="1"/>
  <c r="M20" i="49"/>
  <c r="M21" i="49" s="1"/>
  <c r="M22" i="49" s="1"/>
  <c r="M23" i="49" s="1"/>
  <c r="M24" i="49" s="1"/>
  <c r="M25" i="49" s="1"/>
  <c r="M26" i="49" s="1"/>
  <c r="M27" i="49" s="1"/>
  <c r="M28" i="49" s="1"/>
  <c r="M29" i="49" s="1"/>
  <c r="M30" i="49" s="1"/>
  <c r="M31" i="49" s="1"/>
  <c r="AG34" i="34"/>
  <c r="AG30" i="34"/>
  <c r="AG28" i="34"/>
  <c r="AG38" i="34"/>
  <c r="AG23" i="34"/>
  <c r="AG42" i="34"/>
  <c r="AG22" i="34"/>
  <c r="AG39" i="34"/>
  <c r="AG21" i="34"/>
  <c r="AG16" i="34"/>
  <c r="AG35" i="34"/>
  <c r="AG13" i="34"/>
  <c r="AK13" i="34" s="1"/>
  <c r="AG31" i="34"/>
  <c r="AG17" i="34"/>
  <c r="AG33" i="34"/>
  <c r="AG36" i="34"/>
  <c r="AG43" i="34"/>
  <c r="AK43" i="34" s="1"/>
  <c r="AG29" i="34"/>
  <c r="W33" i="34"/>
  <c r="W29" i="34"/>
  <c r="W21" i="34"/>
  <c r="W39" i="34"/>
  <c r="W34" i="34"/>
  <c r="W28" i="34"/>
  <c r="W22" i="34"/>
  <c r="W17" i="34"/>
  <c r="W38" i="34"/>
  <c r="L105" i="49"/>
  <c r="L107" i="49" s="1"/>
  <c r="W36" i="34"/>
  <c r="W42" i="34"/>
  <c r="W13" i="34"/>
  <c r="V105" i="49"/>
  <c r="V107" i="49" s="1"/>
  <c r="AB105" i="49"/>
  <c r="AB107" i="49" s="1"/>
  <c r="AO79" i="49"/>
  <c r="AJ105" i="49"/>
  <c r="AJ107" i="49" s="1"/>
  <c r="AP79" i="49"/>
  <c r="AO85" i="49"/>
  <c r="J105" i="49"/>
  <c r="J107" i="49" s="1"/>
  <c r="H105" i="49"/>
  <c r="H107" i="49" s="1"/>
  <c r="P105" i="49"/>
  <c r="P107" i="49" s="1"/>
  <c r="AF105" i="49"/>
  <c r="AF107" i="49" s="1"/>
  <c r="K105" i="49"/>
  <c r="K107" i="49" s="1"/>
  <c r="AP85" i="49"/>
  <c r="D105" i="49"/>
  <c r="Z105" i="49"/>
  <c r="Z107" i="49" s="1"/>
  <c r="T105" i="49"/>
  <c r="T107" i="49" s="1"/>
  <c r="AO104" i="49"/>
  <c r="AP104" i="49"/>
  <c r="M105" i="49"/>
  <c r="M107" i="49" s="1"/>
  <c r="C105" i="49"/>
  <c r="AO105" i="49" l="1"/>
  <c r="AO107" i="49" s="1"/>
  <c r="AP105" i="49"/>
  <c r="AP107" i="49" s="1"/>
  <c r="C107" i="49"/>
  <c r="D107" i="49"/>
  <c r="Q31" i="34"/>
  <c r="Q30" i="34"/>
  <c r="Q29" i="34"/>
  <c r="Q28" i="34"/>
  <c r="Q21" i="34"/>
  <c r="Y18" i="48"/>
  <c r="Z18" i="48" s="1"/>
  <c r="AA18" i="48" s="1"/>
  <c r="Q39" i="34"/>
  <c r="K13" i="41" s="1"/>
  <c r="L13" i="41" s="1"/>
  <c r="Q38" i="34"/>
  <c r="Y15" i="48" s="1"/>
  <c r="Z15" i="48" s="1"/>
  <c r="AA15" i="48" s="1"/>
  <c r="Q36" i="34"/>
  <c r="S36" i="34" s="1"/>
  <c r="Q35" i="34"/>
  <c r="S35" i="34" s="1"/>
  <c r="Q34" i="34"/>
  <c r="Q33" i="34"/>
  <c r="S33" i="34" s="1"/>
  <c r="Q22" i="34"/>
  <c r="M22" i="34"/>
  <c r="S31" i="34"/>
  <c r="Z13" i="34"/>
  <c r="S38" i="34" l="1"/>
  <c r="S22" i="34"/>
  <c r="AM21" i="34"/>
  <c r="AC21" i="34"/>
  <c r="S39" i="34"/>
  <c r="S34" i="34"/>
  <c r="S30" i="34"/>
  <c r="M23" i="34"/>
  <c r="M21" i="34"/>
  <c r="S21" i="34" s="1"/>
  <c r="S29" i="34"/>
  <c r="K13" i="49"/>
  <c r="K14" i="49"/>
  <c r="K15" i="49"/>
  <c r="K16" i="49"/>
  <c r="K17" i="49"/>
  <c r="K18" i="49"/>
  <c r="K19" i="49"/>
  <c r="K20" i="49"/>
  <c r="K21" i="49"/>
  <c r="K22" i="49"/>
  <c r="K23" i="49"/>
  <c r="K24" i="49"/>
  <c r="K25" i="49"/>
  <c r="K26" i="49"/>
  <c r="K27" i="49"/>
  <c r="K28" i="49"/>
  <c r="K29" i="49"/>
  <c r="K30" i="49"/>
  <c r="E18" i="47" l="1"/>
  <c r="E4" i="51"/>
  <c r="M24" i="34"/>
  <c r="M45" i="34" s="1"/>
  <c r="S16" i="34"/>
  <c r="D57" i="36" s="1"/>
  <c r="Y17" i="48"/>
  <c r="AK39" i="34"/>
  <c r="S28" i="34" l="1"/>
  <c r="AH39" i="34"/>
  <c r="AL39" i="34" s="1"/>
  <c r="AJ39" i="34"/>
  <c r="E24" i="39" l="1"/>
  <c r="E23" i="39"/>
  <c r="E17" i="39"/>
  <c r="B3" i="52" l="1"/>
  <c r="F4" i="14"/>
  <c r="B1" i="14" s="1"/>
  <c r="D18" i="47" l="1"/>
  <c r="G30" i="51"/>
  <c r="G32" i="51" s="1"/>
  <c r="D30" i="51"/>
  <c r="C30" i="51"/>
  <c r="C4" i="51"/>
  <c r="B1" i="51" l="1"/>
  <c r="C32" i="51"/>
  <c r="D32" i="51"/>
  <c r="F46" i="48" l="1"/>
  <c r="E46" i="48"/>
  <c r="D46" i="48"/>
  <c r="F38" i="48"/>
  <c r="E38" i="48"/>
  <c r="D38" i="48"/>
  <c r="G17" i="48"/>
  <c r="G19" i="48" l="1"/>
  <c r="G46" i="48"/>
  <c r="Z17" i="48" s="1"/>
  <c r="AA17" i="48" s="1"/>
  <c r="AG44" i="34" l="1"/>
  <c r="AF44" i="34"/>
  <c r="L36" i="15"/>
  <c r="L38" i="15" s="1"/>
  <c r="E36" i="15"/>
  <c r="C36" i="15"/>
  <c r="C38" i="15" s="1"/>
  <c r="O23" i="15"/>
  <c r="O18" i="15"/>
  <c r="O24" i="15" s="1"/>
  <c r="I33" i="46"/>
  <c r="G33" i="46"/>
  <c r="X13" i="46"/>
  <c r="L16" i="39"/>
  <c r="Z13" i="46" l="1"/>
  <c r="Y13" i="46"/>
  <c r="Y14" i="46"/>
  <c r="E25" i="39"/>
  <c r="AC33" i="46" s="1"/>
  <c r="E26" i="36"/>
  <c r="F4" i="41"/>
  <c r="B1" i="41" s="1"/>
  <c r="C4" i="48"/>
  <c r="F4" i="48"/>
  <c r="B1" i="48" s="1"/>
  <c r="C4" i="15"/>
  <c r="F4" i="15"/>
  <c r="B1" i="15" s="1"/>
  <c r="C4" i="46"/>
  <c r="AM36" i="34"/>
  <c r="AM35" i="34"/>
  <c r="AM34" i="34"/>
  <c r="AM33" i="34"/>
  <c r="AM31" i="34"/>
  <c r="AM30" i="34"/>
  <c r="AM29" i="34"/>
  <c r="AM28" i="34"/>
  <c r="AM22" i="34"/>
  <c r="C3" i="34" l="1"/>
  <c r="G4" i="13"/>
  <c r="B1" i="13" s="1"/>
  <c r="C4" i="13"/>
  <c r="F4" i="39"/>
  <c r="B1" i="39" s="1"/>
  <c r="C4" i="41"/>
  <c r="C4" i="14"/>
  <c r="C4" i="39"/>
  <c r="B3" i="47" l="1"/>
  <c r="C3" i="36"/>
  <c r="E15" i="47"/>
  <c r="E14" i="47"/>
  <c r="E13" i="47"/>
  <c r="E11" i="47"/>
  <c r="E10" i="47"/>
  <c r="E9" i="47"/>
  <c r="D2" i="49"/>
  <c r="V18" i="34" l="1"/>
  <c r="X43" i="34"/>
  <c r="AB43" i="34" s="1"/>
  <c r="AC35" i="34"/>
  <c r="AC36" i="34"/>
  <c r="W18" i="34"/>
  <c r="W24" i="34"/>
  <c r="W44" i="34"/>
  <c r="V24" i="34"/>
  <c r="V44" i="34"/>
  <c r="AC28" i="34"/>
  <c r="AC29" i="34"/>
  <c r="AC30" i="34"/>
  <c r="AC31" i="34"/>
  <c r="AC33" i="34"/>
  <c r="AC34" i="34"/>
  <c r="G4" i="46"/>
  <c r="B1" i="46" s="1"/>
  <c r="E12" i="47"/>
  <c r="AC22" i="34"/>
  <c r="AA13" i="34" l="1"/>
  <c r="X13" i="34"/>
  <c r="AB13" i="34" s="1"/>
  <c r="E14" i="36"/>
  <c r="C18" i="41" l="1"/>
  <c r="AG16" i="48"/>
  <c r="AF16" i="48"/>
  <c r="AE16" i="48"/>
  <c r="AD16" i="48"/>
  <c r="J34" i="15"/>
  <c r="C23" i="15"/>
  <c r="C18" i="15"/>
  <c r="W16" i="39"/>
  <c r="V16" i="39"/>
  <c r="I12" i="41" l="1"/>
  <c r="J12" i="41"/>
  <c r="C24" i="15"/>
  <c r="AN34" i="15"/>
  <c r="AO34" i="15"/>
  <c r="AM34" i="15"/>
  <c r="X34" i="15" s="1"/>
  <c r="K34" i="15"/>
  <c r="N16" i="15"/>
  <c r="U16" i="48"/>
  <c r="V16" i="48"/>
  <c r="AA42" i="34"/>
  <c r="J23" i="34"/>
  <c r="J22" i="34"/>
  <c r="J21" i="34"/>
  <c r="J24" i="34" l="1"/>
  <c r="J45" i="34" s="1"/>
  <c r="Y34" i="15"/>
  <c r="AA43" i="34"/>
  <c r="AA39" i="34"/>
  <c r="Z39" i="34"/>
  <c r="AF18" i="34" l="1"/>
  <c r="AG18" i="34"/>
  <c r="AH13" i="34"/>
  <c r="AL13" i="34" s="1"/>
  <c r="AF24" i="34"/>
  <c r="AG24" i="34"/>
  <c r="X39" i="34"/>
  <c r="AF45" i="34" l="1"/>
  <c r="AG45" i="34"/>
  <c r="V37" i="48" l="1"/>
  <c r="U37" i="48"/>
  <c r="V32" i="48"/>
  <c r="U32" i="48"/>
  <c r="V27" i="48"/>
  <c r="U27" i="48"/>
  <c r="V22" i="48"/>
  <c r="U22" i="48"/>
  <c r="V17" i="48"/>
  <c r="U17" i="48"/>
  <c r="G45" i="48"/>
  <c r="AF45" i="48" s="1"/>
  <c r="G44" i="48"/>
  <c r="AG44" i="48" s="1"/>
  <c r="G43" i="48"/>
  <c r="AF43" i="48" s="1"/>
  <c r="G42" i="48"/>
  <c r="AG42" i="48" s="1"/>
  <c r="G41" i="48"/>
  <c r="AF41" i="48" s="1"/>
  <c r="G37" i="48"/>
  <c r="G36" i="48"/>
  <c r="AG36" i="48" s="1"/>
  <c r="F34" i="48"/>
  <c r="E34" i="48"/>
  <c r="D34" i="48"/>
  <c r="G33" i="48"/>
  <c r="AG33" i="48" s="1"/>
  <c r="G32" i="48"/>
  <c r="G31" i="48"/>
  <c r="AG31" i="48" s="1"/>
  <c r="F29" i="48"/>
  <c r="E29" i="48"/>
  <c r="D29" i="48"/>
  <c r="G28" i="48"/>
  <c r="AG28" i="48" s="1"/>
  <c r="G27" i="48"/>
  <c r="G26" i="48"/>
  <c r="AG26" i="48" s="1"/>
  <c r="F24" i="48"/>
  <c r="E24" i="48"/>
  <c r="D24" i="48"/>
  <c r="G23" i="48"/>
  <c r="AG23" i="48" s="1"/>
  <c r="G22" i="48"/>
  <c r="G21" i="48"/>
  <c r="AG21" i="48" s="1"/>
  <c r="G18" i="48"/>
  <c r="AG18" i="48" s="1"/>
  <c r="F39" i="48" l="1"/>
  <c r="F47" i="48" s="1"/>
  <c r="G29" i="48"/>
  <c r="D39" i="48"/>
  <c r="D47" i="48" s="1"/>
  <c r="AD36" i="48"/>
  <c r="AD42" i="48"/>
  <c r="G24" i="48"/>
  <c r="E39" i="48"/>
  <c r="E47" i="48" s="1"/>
  <c r="G34" i="48"/>
  <c r="AD44" i="48"/>
  <c r="AF18" i="48"/>
  <c r="V18" i="48" s="1"/>
  <c r="AF21" i="48"/>
  <c r="V21" i="48" s="1"/>
  <c r="AF23" i="48"/>
  <c r="V23" i="48" s="1"/>
  <c r="AF26" i="48"/>
  <c r="V26" i="48" s="1"/>
  <c r="AF28" i="48"/>
  <c r="V28" i="48" s="1"/>
  <c r="AF31" i="48"/>
  <c r="V31" i="48" s="1"/>
  <c r="AF33" i="48"/>
  <c r="V33" i="48" s="1"/>
  <c r="AF36" i="48"/>
  <c r="G38" i="48"/>
  <c r="AD18" i="48"/>
  <c r="AD21" i="48"/>
  <c r="AD23" i="48"/>
  <c r="AD26" i="48"/>
  <c r="AD28" i="48"/>
  <c r="AD31" i="48"/>
  <c r="AD33" i="48"/>
  <c r="AF42" i="48"/>
  <c r="V42" i="48" s="1"/>
  <c r="AF44" i="48"/>
  <c r="V44" i="48" s="1"/>
  <c r="V36" i="48"/>
  <c r="AE41" i="48"/>
  <c r="AG41" i="48"/>
  <c r="AE43" i="48"/>
  <c r="AG43" i="48"/>
  <c r="AE45" i="48"/>
  <c r="AG45" i="48"/>
  <c r="AE18" i="48"/>
  <c r="AE21" i="48"/>
  <c r="U21" i="48" s="1"/>
  <c r="AE23" i="48"/>
  <c r="AE26" i="48"/>
  <c r="AE28" i="48"/>
  <c r="AE31" i="48"/>
  <c r="U31" i="48" s="1"/>
  <c r="AE33" i="48"/>
  <c r="AE36" i="48"/>
  <c r="AD41" i="48"/>
  <c r="AE42" i="48"/>
  <c r="AD43" i="48"/>
  <c r="AE44" i="48"/>
  <c r="U44" i="48" s="1"/>
  <c r="AD45" i="48"/>
  <c r="U45" i="48" s="1"/>
  <c r="D15" i="47"/>
  <c r="D14" i="47"/>
  <c r="D13" i="47"/>
  <c r="D11" i="47"/>
  <c r="D10" i="47"/>
  <c r="D9" i="47"/>
  <c r="Y15" i="46"/>
  <c r="Y32" i="46"/>
  <c r="X31" i="46"/>
  <c r="Y31" i="46" s="1"/>
  <c r="X29" i="46"/>
  <c r="X28" i="46"/>
  <c r="Y28" i="46" s="1"/>
  <c r="X27" i="46"/>
  <c r="Y27" i="46" s="1"/>
  <c r="X26" i="46"/>
  <c r="Y26" i="46" s="1"/>
  <c r="X25" i="46"/>
  <c r="Y25" i="46" s="1"/>
  <c r="X24" i="46"/>
  <c r="Y24" i="46" s="1"/>
  <c r="X23" i="46"/>
  <c r="Y23" i="46" s="1"/>
  <c r="X22" i="46"/>
  <c r="Y22" i="46" s="1"/>
  <c r="X21" i="46"/>
  <c r="Y21" i="46" s="1"/>
  <c r="X20" i="46"/>
  <c r="Y20" i="46" s="1"/>
  <c r="X19" i="46"/>
  <c r="Y19" i="46" s="1"/>
  <c r="X18" i="46"/>
  <c r="X17" i="46"/>
  <c r="Y17" i="46" s="1"/>
  <c r="X16" i="46"/>
  <c r="W33" i="46"/>
  <c r="Z32" i="46" s="1"/>
  <c r="V33" i="46"/>
  <c r="Z31" i="46" s="1"/>
  <c r="T33" i="46"/>
  <c r="S33" i="46"/>
  <c r="Z28" i="46" s="1"/>
  <c r="R33" i="46"/>
  <c r="Z27" i="46" s="1"/>
  <c r="Q33" i="46"/>
  <c r="Z26" i="46" s="1"/>
  <c r="P33" i="46"/>
  <c r="Z25" i="46" s="1"/>
  <c r="O33" i="46"/>
  <c r="Z24" i="46" s="1"/>
  <c r="N33" i="46"/>
  <c r="Z23" i="46" s="1"/>
  <c r="M33" i="46"/>
  <c r="Z22" i="46" s="1"/>
  <c r="L33" i="46"/>
  <c r="Z21" i="46" s="1"/>
  <c r="K33" i="46"/>
  <c r="Z20" i="46" s="1"/>
  <c r="J33" i="46"/>
  <c r="Z19" i="46" s="1"/>
  <c r="H33" i="46"/>
  <c r="F33" i="46"/>
  <c r="Z15" i="46" s="1"/>
  <c r="E33" i="46"/>
  <c r="Z14" i="46" s="1"/>
  <c r="U42" i="48" l="1"/>
  <c r="U36" i="48"/>
  <c r="X33" i="46"/>
  <c r="V45" i="48"/>
  <c r="V43" i="48"/>
  <c r="V41" i="48"/>
  <c r="U33" i="48"/>
  <c r="U23" i="48"/>
  <c r="U28" i="48"/>
  <c r="U18" i="48"/>
  <c r="U43" i="48"/>
  <c r="G39" i="48"/>
  <c r="U26" i="48"/>
  <c r="G47" i="48"/>
  <c r="U41" i="48"/>
  <c r="Y29" i="46"/>
  <c r="Z17" i="46"/>
  <c r="Z29" i="46"/>
  <c r="Y16" i="46"/>
  <c r="Z16" i="46"/>
  <c r="Y18" i="46"/>
  <c r="Z18" i="46"/>
  <c r="Y33" i="46" l="1"/>
  <c r="AD33" i="46" s="1"/>
  <c r="D12" i="47"/>
  <c r="E38" i="15" l="1"/>
  <c r="I36" i="15"/>
  <c r="I38" i="15" s="1"/>
  <c r="H36" i="15"/>
  <c r="H38" i="15" s="1"/>
  <c r="G36" i="15"/>
  <c r="G38" i="15" s="1"/>
  <c r="F36" i="15"/>
  <c r="F38" i="15" s="1"/>
  <c r="D36" i="15"/>
  <c r="D38" i="15" s="1"/>
  <c r="L18" i="15"/>
  <c r="K18" i="15"/>
  <c r="J18" i="15"/>
  <c r="I18" i="15"/>
  <c r="G18" i="15"/>
  <c r="F18" i="15"/>
  <c r="E18" i="15"/>
  <c r="D18" i="15"/>
  <c r="E27" i="36" l="1"/>
  <c r="D17" i="47" l="1"/>
  <c r="AE33" i="46" l="1"/>
  <c r="L18" i="39"/>
  <c r="Z42" i="34"/>
  <c r="Q24" i="39"/>
  <c r="Q17" i="39"/>
  <c r="Z43" i="34" l="1"/>
  <c r="R24" i="39"/>
  <c r="S24" i="39" s="1"/>
  <c r="Q20" i="39" l="1"/>
  <c r="R20" i="39" s="1"/>
  <c r="S20" i="39" s="1"/>
  <c r="Q27" i="39"/>
  <c r="R27" i="39" s="1"/>
  <c r="S27" i="39" s="1"/>
  <c r="Q28" i="39"/>
  <c r="R28" i="39" s="1"/>
  <c r="S28" i="39" s="1"/>
  <c r="Q29" i="39"/>
  <c r="R29" i="39" s="1"/>
  <c r="S29" i="39" s="1"/>
  <c r="AB39" i="34" l="1"/>
  <c r="K12" i="41"/>
  <c r="F27" i="36"/>
  <c r="G27" i="36" s="1"/>
  <c r="H27" i="36" s="1"/>
  <c r="I27" i="36" s="1"/>
  <c r="M13" i="41" l="1"/>
  <c r="L12" i="41"/>
  <c r="M12" i="41" s="1"/>
  <c r="AH16" i="34"/>
  <c r="AH17" i="34"/>
  <c r="AH21" i="34"/>
  <c r="AH22" i="34"/>
  <c r="AH29" i="34"/>
  <c r="AK31" i="34"/>
  <c r="AH33" i="34"/>
  <c r="AH34" i="34"/>
  <c r="AL34" i="34" s="1"/>
  <c r="AK35" i="34"/>
  <c r="AK36" i="34"/>
  <c r="AH42" i="34"/>
  <c r="AJ16" i="34"/>
  <c r="AH23" i="34"/>
  <c r="AH30" i="34"/>
  <c r="AJ35" i="34"/>
  <c r="AH24" i="34" l="1"/>
  <c r="AH35" i="34"/>
  <c r="AL35" i="34" s="1"/>
  <c r="AH43" i="34"/>
  <c r="AL43" i="34" s="1"/>
  <c r="AH36" i="34"/>
  <c r="AH31" i="34"/>
  <c r="AH28" i="34"/>
  <c r="AL16" i="34"/>
  <c r="AH18" i="34"/>
  <c r="AK16" i="34"/>
  <c r="AH38" i="34"/>
  <c r="AH44" i="34" l="1"/>
  <c r="AH45" i="34" s="1"/>
  <c r="J35" i="15" l="1"/>
  <c r="J37" i="15"/>
  <c r="K37" i="15" s="1"/>
  <c r="F23" i="15"/>
  <c r="F24" i="15" s="1"/>
  <c r="G23" i="15"/>
  <c r="G24" i="15" s="1"/>
  <c r="M22" i="15"/>
  <c r="M21" i="15"/>
  <c r="M20" i="15"/>
  <c r="N21" i="15"/>
  <c r="E23" i="15"/>
  <c r="E24" i="15" s="1"/>
  <c r="I23" i="15"/>
  <c r="I24" i="15" s="1"/>
  <c r="J23" i="15"/>
  <c r="J24" i="15" s="1"/>
  <c r="K23" i="15"/>
  <c r="K24" i="15" s="1"/>
  <c r="L23" i="15"/>
  <c r="L24" i="15" s="1"/>
  <c r="AL20" i="15" l="1"/>
  <c r="AO20" i="15"/>
  <c r="AN20" i="15"/>
  <c r="AM20" i="15"/>
  <c r="AL21" i="15"/>
  <c r="AO21" i="15"/>
  <c r="AN21" i="15"/>
  <c r="AM21" i="15"/>
  <c r="AL22" i="15"/>
  <c r="AO22" i="15"/>
  <c r="AN22" i="15"/>
  <c r="AM22" i="15"/>
  <c r="J36" i="15"/>
  <c r="K35" i="15"/>
  <c r="K36" i="15" s="1"/>
  <c r="J38" i="15"/>
  <c r="H18" i="15"/>
  <c r="M18" i="15"/>
  <c r="N22" i="15"/>
  <c r="H23" i="15"/>
  <c r="M23" i="15"/>
  <c r="N20" i="15"/>
  <c r="AO37" i="15"/>
  <c r="AM37" i="15"/>
  <c r="X37" i="15" s="1"/>
  <c r="AN37" i="15"/>
  <c r="AN35" i="15"/>
  <c r="AO35" i="15"/>
  <c r="AM35" i="15"/>
  <c r="X35" i="15" s="1"/>
  <c r="N17" i="15"/>
  <c r="X17" i="15"/>
  <c r="R17" i="15"/>
  <c r="AO16" i="15"/>
  <c r="Y16" i="15" s="1"/>
  <c r="R17" i="39"/>
  <c r="S17" i="39" s="1"/>
  <c r="Y37" i="15" l="1"/>
  <c r="R35" i="15"/>
  <c r="Y17" i="15"/>
  <c r="N23" i="15"/>
  <c r="R37" i="15"/>
  <c r="S17" i="15"/>
  <c r="S16" i="15"/>
  <c r="H24" i="15"/>
  <c r="N18" i="15"/>
  <c r="K38" i="15"/>
  <c r="M24" i="15"/>
  <c r="R21" i="15"/>
  <c r="X21" i="15"/>
  <c r="X22" i="15"/>
  <c r="X20" i="15"/>
  <c r="Y21" i="15"/>
  <c r="Y22" i="15"/>
  <c r="Y20" i="15"/>
  <c r="Y35" i="15"/>
  <c r="R22" i="15"/>
  <c r="R20" i="15"/>
  <c r="S22" i="15"/>
  <c r="S21" i="15"/>
  <c r="S20" i="15"/>
  <c r="N24" i="15" l="1"/>
  <c r="D23" i="15"/>
  <c r="D24" i="15" s="1"/>
  <c r="AB31" i="39" l="1"/>
  <c r="Y31" i="39"/>
  <c r="V31" i="39"/>
  <c r="Z31" i="39"/>
  <c r="Z29" i="39"/>
  <c r="Y29" i="39"/>
  <c r="X29" i="39"/>
  <c r="V29" i="39"/>
  <c r="W29" i="39"/>
  <c r="Z28" i="39"/>
  <c r="Y28" i="39"/>
  <c r="X28" i="39"/>
  <c r="V28" i="39"/>
  <c r="W28" i="39"/>
  <c r="Y27" i="39"/>
  <c r="W27" i="39"/>
  <c r="AB24" i="39"/>
  <c r="Y24" i="39"/>
  <c r="W24" i="39"/>
  <c r="AB23" i="39"/>
  <c r="Z23" i="39"/>
  <c r="Y23" i="39"/>
  <c r="X23" i="39"/>
  <c r="V23" i="39"/>
  <c r="W23" i="39"/>
  <c r="AB20" i="39"/>
  <c r="Y20" i="39"/>
  <c r="W20" i="39"/>
  <c r="AB17" i="39"/>
  <c r="Z17" i="39"/>
  <c r="Y17" i="39"/>
  <c r="X17" i="39"/>
  <c r="V17" i="39"/>
  <c r="W17" i="39"/>
  <c r="AB16" i="39"/>
  <c r="Y16" i="39"/>
  <c r="O28" i="39" l="1"/>
  <c r="O23" i="39"/>
  <c r="O29" i="39"/>
  <c r="O16" i="39"/>
  <c r="O17" i="39"/>
  <c r="V27" i="39"/>
  <c r="O27" i="39" s="1"/>
  <c r="X27" i="39"/>
  <c r="Z27" i="39"/>
  <c r="AA27" i="39" s="1"/>
  <c r="AA29" i="39"/>
  <c r="P29" i="39" s="1"/>
  <c r="AA28" i="39"/>
  <c r="P28" i="39" s="1"/>
  <c r="AA23" i="39"/>
  <c r="P23" i="39" s="1"/>
  <c r="AA17" i="39"/>
  <c r="P17" i="39" s="1"/>
  <c r="AA31" i="39"/>
  <c r="X16" i="39"/>
  <c r="Z16" i="39"/>
  <c r="AA16" i="39" s="1"/>
  <c r="V20" i="39"/>
  <c r="O20" i="39" s="1"/>
  <c r="X20" i="39"/>
  <c r="Z20" i="39"/>
  <c r="AA20" i="39" s="1"/>
  <c r="V24" i="39"/>
  <c r="O24" i="39" s="1"/>
  <c r="X24" i="39"/>
  <c r="Z24" i="39"/>
  <c r="AA24" i="39" s="1"/>
  <c r="W31" i="39"/>
  <c r="O31" i="39" s="1"/>
  <c r="X31" i="39"/>
  <c r="P31" i="39" s="1"/>
  <c r="P27" i="39" l="1"/>
  <c r="P24" i="39"/>
  <c r="P20" i="39"/>
  <c r="P16" i="39"/>
  <c r="Z35" i="34" l="1"/>
  <c r="AA31" i="34" l="1"/>
  <c r="AA35" i="34"/>
  <c r="AA36" i="34"/>
  <c r="AA16" i="34"/>
  <c r="Z16" i="34"/>
  <c r="E15" i="36" l="1"/>
  <c r="E16" i="36"/>
  <c r="E17" i="36"/>
  <c r="E19" i="36"/>
  <c r="E20" i="36"/>
  <c r="E21" i="36"/>
  <c r="E22" i="36"/>
  <c r="E23" i="36"/>
  <c r="E24" i="36"/>
  <c r="D38" i="36"/>
  <c r="E38" i="36" s="1"/>
  <c r="F38" i="36" s="1"/>
  <c r="G38" i="36" s="1"/>
  <c r="AK28" i="34"/>
  <c r="AK29" i="34"/>
  <c r="AK30" i="34"/>
  <c r="T35" i="15"/>
  <c r="U35" i="15" s="1"/>
  <c r="V35" i="15" s="1"/>
  <c r="AK34" i="34"/>
  <c r="X13" i="13"/>
  <c r="S13" i="13"/>
  <c r="T13" i="13"/>
  <c r="U13" i="13"/>
  <c r="V13" i="13"/>
  <c r="W13" i="13"/>
  <c r="X14" i="13"/>
  <c r="S14" i="13"/>
  <c r="T14" i="13"/>
  <c r="U14" i="13"/>
  <c r="V14" i="13"/>
  <c r="W14" i="13"/>
  <c r="S18" i="13"/>
  <c r="T18" i="13"/>
  <c r="U18" i="13"/>
  <c r="V18" i="13"/>
  <c r="W18" i="13"/>
  <c r="X18" i="13"/>
  <c r="S19" i="13"/>
  <c r="T19" i="13"/>
  <c r="U19" i="13"/>
  <c r="V19" i="13"/>
  <c r="W19" i="13"/>
  <c r="X19" i="13"/>
  <c r="X28" i="34"/>
  <c r="T17" i="15" l="1"/>
  <c r="U17" i="15" s="1"/>
  <c r="V17" i="15" s="1"/>
  <c r="AL38" i="34"/>
  <c r="Y14" i="48"/>
  <c r="Z35" i="15"/>
  <c r="AA35" i="15" s="1"/>
  <c r="AB35" i="15" s="1"/>
  <c r="Z17" i="15"/>
  <c r="AA17" i="15" s="1"/>
  <c r="AB17" i="15" s="1"/>
  <c r="AA38" i="34"/>
  <c r="AK38" i="34"/>
  <c r="E57" i="36"/>
  <c r="F57" i="36" s="1"/>
  <c r="G57" i="36" s="1"/>
  <c r="Z38" i="34"/>
  <c r="AJ38" i="34"/>
  <c r="AK21" i="34"/>
  <c r="AA21" i="34"/>
  <c r="AA29" i="34"/>
  <c r="AA28" i="34"/>
  <c r="AA34" i="34"/>
  <c r="AA30" i="34"/>
  <c r="AK42" i="34"/>
  <c r="AJ42" i="34"/>
  <c r="AA33" i="34"/>
  <c r="AK33" i="34"/>
  <c r="Z31" i="34"/>
  <c r="AJ31" i="34"/>
  <c r="AL30" i="34"/>
  <c r="Z30" i="34"/>
  <c r="AJ30" i="34"/>
  <c r="Z29" i="34"/>
  <c r="AJ29" i="34"/>
  <c r="AA23" i="34"/>
  <c r="AK23" i="34"/>
  <c r="AK22" i="34"/>
  <c r="AA22" i="34"/>
  <c r="AA17" i="34"/>
  <c r="AK17" i="34"/>
  <c r="E59" i="36"/>
  <c r="F59" i="36" s="1"/>
  <c r="G59" i="36" s="1"/>
  <c r="F20" i="36"/>
  <c r="G20" i="36" s="1"/>
  <c r="H20" i="36" s="1"/>
  <c r="I20" i="36" s="1"/>
  <c r="Q23" i="39"/>
  <c r="R23" i="39" s="1"/>
  <c r="S23" i="39" s="1"/>
  <c r="AL33" i="34"/>
  <c r="AL23" i="34"/>
  <c r="AL22" i="34"/>
  <c r="AL21" i="34"/>
  <c r="AL42" i="34"/>
  <c r="AJ18" i="34"/>
  <c r="AK18" i="34"/>
  <c r="AK24" i="34"/>
  <c r="F22" i="36"/>
  <c r="G22" i="36" s="1"/>
  <c r="H22" i="36" s="1"/>
  <c r="I22" i="36" s="1"/>
  <c r="X35" i="34"/>
  <c r="AB35" i="34" s="1"/>
  <c r="X29" i="34"/>
  <c r="X21" i="34"/>
  <c r="X42" i="34"/>
  <c r="AB42" i="34" s="1"/>
  <c r="X36" i="34"/>
  <c r="AB36" i="34" s="1"/>
  <c r="X34" i="34"/>
  <c r="AB34" i="34" s="1"/>
  <c r="X33" i="34"/>
  <c r="AB33" i="34" s="1"/>
  <c r="X30" i="34"/>
  <c r="X23" i="34"/>
  <c r="AB23" i="34" s="1"/>
  <c r="X22" i="34"/>
  <c r="AB22" i="34" s="1"/>
  <c r="X38" i="34"/>
  <c r="AB38" i="34" s="1"/>
  <c r="X31" i="34"/>
  <c r="AB31" i="34" s="1"/>
  <c r="X16" i="34"/>
  <c r="Z14" i="48" l="1"/>
  <c r="AA14" i="48" s="1"/>
  <c r="X44" i="34"/>
  <c r="AB16" i="34"/>
  <c r="AB21" i="34"/>
  <c r="X24" i="34"/>
  <c r="V45" i="34"/>
  <c r="Q16" i="39"/>
  <c r="Z34" i="15"/>
  <c r="AA34" i="15" s="1"/>
  <c r="AB34" i="15" s="1"/>
  <c r="T16" i="15"/>
  <c r="U16" i="15" s="1"/>
  <c r="V16" i="15" s="1"/>
  <c r="AB29" i="34"/>
  <c r="T34" i="15"/>
  <c r="U34" i="15" s="1"/>
  <c r="V34" i="15" s="1"/>
  <c r="F23" i="36"/>
  <c r="G23" i="36" s="1"/>
  <c r="H23" i="36" s="1"/>
  <c r="I23" i="36" s="1"/>
  <c r="AB30" i="34"/>
  <c r="AJ34" i="34"/>
  <c r="Z34" i="34"/>
  <c r="AA44" i="34"/>
  <c r="AK44" i="34"/>
  <c r="F17" i="36"/>
  <c r="G17" i="36" s="1"/>
  <c r="H17" i="36" s="1"/>
  <c r="I17" i="36" s="1"/>
  <c r="F16" i="36"/>
  <c r="G16" i="36" s="1"/>
  <c r="H16" i="36" s="1"/>
  <c r="I16" i="36" s="1"/>
  <c r="F15" i="36"/>
  <c r="G15" i="36" s="1"/>
  <c r="H15" i="36" s="1"/>
  <c r="I15" i="36" s="1"/>
  <c r="D54" i="36"/>
  <c r="AL24" i="34"/>
  <c r="F26" i="36"/>
  <c r="AL17" i="34"/>
  <c r="F19" i="36"/>
  <c r="G19" i="36" s="1"/>
  <c r="H19" i="36" s="1"/>
  <c r="I19" i="36" s="1"/>
  <c r="AL36" i="34"/>
  <c r="AJ36" i="34"/>
  <c r="Z36" i="34"/>
  <c r="Z33" i="34"/>
  <c r="AJ33" i="34"/>
  <c r="AL29" i="34"/>
  <c r="AL31" i="34"/>
  <c r="Z28" i="34"/>
  <c r="AJ28" i="34"/>
  <c r="F24" i="36"/>
  <c r="Z23" i="34"/>
  <c r="AJ23" i="34"/>
  <c r="AJ22" i="34"/>
  <c r="Z21" i="34"/>
  <c r="AJ21" i="34"/>
  <c r="Z18" i="34"/>
  <c r="Z17" i="34"/>
  <c r="AJ17" i="34"/>
  <c r="Z22" i="34"/>
  <c r="AK45" i="34"/>
  <c r="AA24" i="34"/>
  <c r="F21" i="36"/>
  <c r="R16" i="39" l="1"/>
  <c r="S16" i="39" s="1"/>
  <c r="D52" i="36"/>
  <c r="Z16" i="15"/>
  <c r="AA16" i="15" s="1"/>
  <c r="AB16" i="15" s="1"/>
  <c r="D50" i="36"/>
  <c r="E50" i="36" s="1"/>
  <c r="AB24" i="34"/>
  <c r="AJ45" i="34"/>
  <c r="AB28" i="34"/>
  <c r="AL28" i="34"/>
  <c r="F14" i="36"/>
  <c r="G14" i="36" s="1"/>
  <c r="H14" i="36" s="1"/>
  <c r="D55" i="36"/>
  <c r="E55" i="36" s="1"/>
  <c r="F55" i="36" s="1"/>
  <c r="G55" i="36" s="1"/>
  <c r="AJ44" i="34"/>
  <c r="Z24" i="34"/>
  <c r="AJ24" i="34"/>
  <c r="Z44" i="34"/>
  <c r="G21" i="36"/>
  <c r="H21" i="36" s="1"/>
  <c r="I21" i="36" s="1"/>
  <c r="X17" i="34"/>
  <c r="X18" i="34" s="1"/>
  <c r="W45" i="34"/>
  <c r="E54" i="36"/>
  <c r="F54" i="36" s="1"/>
  <c r="G54" i="36" s="1"/>
  <c r="AL44" i="34" l="1"/>
  <c r="I14" i="36"/>
  <c r="AB44" i="34"/>
  <c r="AL18" i="34"/>
  <c r="AL45" i="34"/>
  <c r="F50" i="36"/>
  <c r="G50" i="36" s="1"/>
  <c r="E52" i="36"/>
  <c r="F52" i="36" s="1"/>
  <c r="G52" i="36" s="1"/>
  <c r="Z45" i="34"/>
  <c r="AA45" i="34"/>
  <c r="AA18" i="34"/>
  <c r="X45" i="34"/>
  <c r="AB17" i="34"/>
  <c r="G26" i="36"/>
  <c r="H26" i="36" s="1"/>
  <c r="I26" i="36" s="1"/>
  <c r="AB45" i="34" l="1"/>
  <c r="AB18" i="34"/>
  <c r="G24" i="36"/>
  <c r="H24" i="36" s="1"/>
  <c r="I24" i="36" s="1"/>
</calcChain>
</file>

<file path=xl/sharedStrings.xml><?xml version="1.0" encoding="utf-8"?>
<sst xmlns="http://schemas.openxmlformats.org/spreadsheetml/2006/main" count="1406" uniqueCount="447">
  <si>
    <t>Institution:</t>
  </si>
  <si>
    <t>Forecast</t>
  </si>
  <si>
    <t>Total</t>
  </si>
  <si>
    <t>(Calculated)</t>
  </si>
  <si>
    <t>Pre-clinical</t>
  </si>
  <si>
    <t>Pre-clinical Medicine</t>
  </si>
  <si>
    <t>Pre-clinical Dentistry</t>
  </si>
  <si>
    <t>Education</t>
  </si>
  <si>
    <t>BEd  Physical Education</t>
  </si>
  <si>
    <t>Taught Postgraduate</t>
  </si>
  <si>
    <t>Taught PG: UG fees</t>
  </si>
  <si>
    <t>Undergraduate</t>
  </si>
  <si>
    <t>Research Postgraduate</t>
  </si>
  <si>
    <t>2</t>
  </si>
  <si>
    <t>3</t>
  </si>
  <si>
    <t>4</t>
  </si>
  <si>
    <t>5</t>
  </si>
  <si>
    <t>FTE</t>
  </si>
  <si>
    <t>Primary</t>
  </si>
  <si>
    <t>Secondary</t>
  </si>
  <si>
    <t>BEd Music</t>
  </si>
  <si>
    <t>BEd Physical Education</t>
  </si>
  <si>
    <t>BEd Technology</t>
  </si>
  <si>
    <t xml:space="preserve">Combined Degrees in Education </t>
  </si>
  <si>
    <t>1</t>
  </si>
  <si>
    <t>Teaching Sector</t>
  </si>
  <si>
    <t>Headcount</t>
  </si>
  <si>
    <t>Year of Course</t>
  </si>
  <si>
    <t>Medicine</t>
  </si>
  <si>
    <t>Clinical</t>
  </si>
  <si>
    <t>Enter</t>
  </si>
  <si>
    <t>Part-time</t>
  </si>
  <si>
    <t>Clinical Medicine</t>
  </si>
  <si>
    <t>Clinical Dentistry</t>
  </si>
  <si>
    <t>Adult</t>
  </si>
  <si>
    <t>Three-year</t>
  </si>
  <si>
    <t>Conversion</t>
  </si>
  <si>
    <t>Graduate entry</t>
  </si>
  <si>
    <t>Mental Health</t>
  </si>
  <si>
    <t>Child Health</t>
  </si>
  <si>
    <t>Learning Disability</t>
  </si>
  <si>
    <t>Midwifery</t>
  </si>
  <si>
    <t>Full-time</t>
  </si>
  <si>
    <t>Aberdeen, University of</t>
  </si>
  <si>
    <t>Abertay Dundee, University of</t>
  </si>
  <si>
    <t>Dundee, University of</t>
  </si>
  <si>
    <t>Edinburgh, University of</t>
  </si>
  <si>
    <t>Glasgow Caledonian University</t>
  </si>
  <si>
    <t>Glasgow School of Art</t>
  </si>
  <si>
    <t>Glasgow, University of</t>
  </si>
  <si>
    <t>Heriot-Watt University</t>
  </si>
  <si>
    <t>Robert Gordon University</t>
  </si>
  <si>
    <t>St Andrews, University of</t>
  </si>
  <si>
    <t>Stirling, University of</t>
  </si>
  <si>
    <t>Strathclyde, University of</t>
  </si>
  <si>
    <t>Calculated</t>
  </si>
  <si>
    <t>Referenced</t>
  </si>
  <si>
    <t>Queen Margaret University, Edinburgh</t>
  </si>
  <si>
    <t>West of Scotland, University of the</t>
  </si>
  <si>
    <t>Check FTE is less than or equal to Headcount:</t>
  </si>
  <si>
    <t>Table 1</t>
  </si>
  <si>
    <t>(*) These totals should equal the corresponding course totals on Table 1</t>
  </si>
  <si>
    <t>Edinburgh Napier University</t>
  </si>
  <si>
    <t>Head-
count</t>
  </si>
  <si>
    <t>Total
funded
places</t>
  </si>
  <si>
    <t>Autumn
Count</t>
  </si>
  <si>
    <t>Year 1</t>
  </si>
  <si>
    <t>Year 2</t>
  </si>
  <si>
    <t>Year 3</t>
  </si>
  <si>
    <t>Year 4</t>
  </si>
  <si>
    <t>Year 5</t>
  </si>
  <si>
    <t>flag=1</t>
  </si>
  <si>
    <t>Warning messages</t>
  </si>
  <si>
    <t>Check for cells where only one of  FTE and headcount is non-zero:</t>
  </si>
  <si>
    <t>Intake missing?</t>
  </si>
  <si>
    <t>Difference OK?</t>
  </si>
  <si>
    <t>Students Eligible for Funding</t>
  </si>
  <si>
    <t>Full-time and Sandwich (excluding short full-time)</t>
  </si>
  <si>
    <t>Part-time
(including short full-time)</t>
  </si>
  <si>
    <t>Other</t>
  </si>
  <si>
    <t>Controlled Subject Areas</t>
  </si>
  <si>
    <t>Nursing and Midwifery</t>
  </si>
  <si>
    <t>Non-Controlled Subject Areas</t>
  </si>
  <si>
    <t>PGCE / PGDE Primary</t>
  </si>
  <si>
    <t>PGCE / PGDE Secondary</t>
  </si>
  <si>
    <t>Other subject areas</t>
  </si>
  <si>
    <t>Medicine and Dentistry</t>
  </si>
  <si>
    <t>STEM subject areas</t>
  </si>
  <si>
    <t>All Levels</t>
  </si>
  <si>
    <t>The cells with a white background are those in which figures can be entered.</t>
  </si>
  <si>
    <t>BEd Primary</t>
  </si>
  <si>
    <t>Enter /
Calculated</t>
  </si>
  <si>
    <t>Scottish
Govern-
ment
funded
places</t>
  </si>
  <si>
    <t>Fees-only students</t>
  </si>
  <si>
    <t>Percentage</t>
  </si>
  <si>
    <t>Highlands and Islands, University of the</t>
  </si>
  <si>
    <t>Open University in Scotland</t>
  </si>
  <si>
    <t>Royal Conservatoire of Scotland</t>
  </si>
  <si>
    <t>Check total</t>
  </si>
  <si>
    <t>Institution</t>
  </si>
  <si>
    <t>Clinical
medicine</t>
  </si>
  <si>
    <t>Clinical
dentistry</t>
  </si>
  <si>
    <t>BEd
Primary</t>
  </si>
  <si>
    <t>BEd
Music</t>
  </si>
  <si>
    <t>BEd PE</t>
  </si>
  <si>
    <t>BEd
Technology</t>
  </si>
  <si>
    <t>PGDE
Primary</t>
  </si>
  <si>
    <t>PGDE
Secondary</t>
  </si>
  <si>
    <t>PGDE Primary</t>
  </si>
  <si>
    <t>PGDE Secondary</t>
  </si>
  <si>
    <t>Table flags</t>
  </si>
  <si>
    <t>Institution selected</t>
  </si>
  <si>
    <t>(Calcul-
ated)</t>
  </si>
  <si>
    <t>Intake
to the
course</t>
  </si>
  <si>
    <t>Col</t>
  </si>
  <si>
    <t>Medicine
under-
graduates</t>
  </si>
  <si>
    <t>Dentistry
under-
graduates</t>
  </si>
  <si>
    <t>Parameters</t>
  </si>
  <si>
    <t>Controlled Under-enrolments</t>
  </si>
  <si>
    <t>Non-controlled Under-enrolments</t>
  </si>
  <si>
    <t>Is there an
under-
enrolment
below the
tolerance
threshold
(Yes or
No) ?</t>
  </si>
  <si>
    <t>Controlled subject areas</t>
  </si>
  <si>
    <t>Non-controlled subject areas</t>
  </si>
  <si>
    <t>Subject area</t>
  </si>
  <si>
    <t>Non-controlled Subject Areas</t>
  </si>
  <si>
    <t>Is there a
breach of
consol-
idation
(Yes or
No) ?</t>
  </si>
  <si>
    <t>Title</t>
  </si>
  <si>
    <t>Aberdeen,
University of</t>
  </si>
  <si>
    <t>Abertay Dundee,
University of</t>
  </si>
  <si>
    <t>Dundee,
University of</t>
  </si>
  <si>
    <t>West of Scotland,
University of the</t>
  </si>
  <si>
    <t>Strathclyde,
University of</t>
  </si>
  <si>
    <t>Stirling,
University of</t>
  </si>
  <si>
    <t>St Andrews,
University of</t>
  </si>
  <si>
    <t>Robert Gordon
University</t>
  </si>
  <si>
    <t>Glasgow Caledonian
University</t>
  </si>
  <si>
    <t>Edinburgh,
University of</t>
  </si>
  <si>
    <t>Edinburgh Napier
University</t>
  </si>
  <si>
    <t>Heriot-Watt
University</t>
  </si>
  <si>
    <t>Open University
in Scotland
(Enrolments)</t>
  </si>
  <si>
    <t>Open University
in Scotland
(Completions)</t>
  </si>
  <si>
    <t>Level of Study / Subject Area</t>
  </si>
  <si>
    <t>Included in Table</t>
  </si>
  <si>
    <t>2a</t>
  </si>
  <si>
    <t>2b</t>
  </si>
  <si>
    <t>2c</t>
  </si>
  <si>
    <t>Scots, Other EU, Rest of UK</t>
  </si>
  <si>
    <t>Medicine Undergraduates:</t>
  </si>
  <si>
    <t>Nursing and Midwifery Pre-registration:</t>
  </si>
  <si>
    <t>Full-time undergraduates (Scots, Other EU)</t>
  </si>
  <si>
    <t>Consolidation tolerance (&gt;=100)</t>
  </si>
  <si>
    <t>Consolidation tolerance (&lt;100) (FTE)</t>
  </si>
  <si>
    <t>Rest of
UK</t>
  </si>
  <si>
    <t>Students
on inter-
calating
degrees</t>
  </si>
  <si>
    <t>Nursing and Midwifery Pre-registration</t>
  </si>
  <si>
    <t>Initial Teacher Education (BEd and PGDE)
(Scots, Other EU, Rest of UK):</t>
  </si>
  <si>
    <t>Dentistry</t>
  </si>
  <si>
    <t>Other subjects</t>
  </si>
  <si>
    <t>Initial
Teacher
Education
Primary</t>
  </si>
  <si>
    <t>Initial
Teacher
Education
Secondary</t>
  </si>
  <si>
    <t>Nursing
and
midwifery
pre-
registration</t>
  </si>
  <si>
    <t>SFC
funded
places</t>
  </si>
  <si>
    <t>SRUC</t>
  </si>
  <si>
    <t>Students eligible for funding</t>
  </si>
  <si>
    <t>International</t>
  </si>
  <si>
    <t>Type of student</t>
  </si>
  <si>
    <t>Stage and Year of Course</t>
  </si>
  <si>
    <t>Allocation of
additional
funded
places</t>
  </si>
  <si>
    <t>Course</t>
  </si>
  <si>
    <t>International Medical University of Malaysia</t>
  </si>
  <si>
    <t>Closed loop programme: Canada</t>
  </si>
  <si>
    <t>Total
(*)</t>
  </si>
  <si>
    <t>(*) The total(s) for students eligible for funding and rest of UK should equal the corresponding totals on Table 1.</t>
  </si>
  <si>
    <t>Num-
ber</t>
  </si>
  <si>
    <t>5a</t>
  </si>
  <si>
    <t>5b</t>
  </si>
  <si>
    <t>5c</t>
  </si>
  <si>
    <t>Postgraduate (Undergraduate fee)</t>
  </si>
  <si>
    <t>Students
in year
2 or
later</t>
  </si>
  <si>
    <t>International Total</t>
  </si>
  <si>
    <t>Intake or
enrolments
missing?</t>
  </si>
  <si>
    <t>Intake inconsistent
with enrolments?</t>
  </si>
  <si>
    <t>Intake or
enrolments missing?</t>
  </si>
  <si>
    <t>Intake or enrolments
missing?</t>
  </si>
  <si>
    <t>Only intake recorded?</t>
  </si>
  <si>
    <t>Intake inconsistent with enrolments?</t>
  </si>
  <si>
    <t>Early Statistics /
Final Figures Tables
Column Number</t>
  </si>
  <si>
    <t>Percentage Difference</t>
  </si>
  <si>
    <t>Dentistry Undergraduates:</t>
  </si>
  <si>
    <t>Pre-clinical
medicine</t>
  </si>
  <si>
    <t>Pre-clinical
dentistry</t>
  </si>
  <si>
    <t>Open University (Completions)</t>
  </si>
  <si>
    <r>
      <rPr>
        <b/>
        <sz val="11"/>
        <rFont val="Calibri"/>
        <family val="2"/>
      </rPr>
      <t>Courses</t>
    </r>
    <r>
      <rPr>
        <sz val="11"/>
        <rFont val="Calibri"/>
        <family val="2"/>
      </rPr>
      <t xml:space="preserve">
(Only those which lead to registration
with the General Teaching Council)</t>
    </r>
  </si>
  <si>
    <t>Check against Table 1</t>
  </si>
  <si>
    <t>Difference
from
Table 1</t>
  </si>
  <si>
    <t>Intake
but no
enrolments</t>
  </si>
  <si>
    <t>Enrolments
but no
intake</t>
  </si>
  <si>
    <t>Intake
greater
than
enrolments</t>
  </si>
  <si>
    <t>Intake
equals
total
enrolments</t>
  </si>
  <si>
    <t>Intake
equals
total
enrolments
and
students
in year
2 or
later</t>
  </si>
  <si>
    <t>Gaelic
headcount
intake
non-zero
but FTE
intake is
missing</t>
  </si>
  <si>
    <t>Level of Study</t>
  </si>
  <si>
    <r>
      <rPr>
        <b/>
        <sz val="11"/>
        <rFont val="Calibri"/>
        <family val="2"/>
      </rPr>
      <t>Level of Study</t>
    </r>
    <r>
      <rPr>
        <b/>
        <sz val="11"/>
        <color indexed="18"/>
        <rFont val="Calibri"/>
        <family val="2"/>
      </rPr>
      <t xml:space="preserve"> / </t>
    </r>
    <r>
      <rPr>
        <b/>
        <sz val="11"/>
        <color indexed="56"/>
        <rFont val="Calibri"/>
        <family val="2"/>
      </rPr>
      <t>Subject Areas</t>
    </r>
  </si>
  <si>
    <t>Undergraduate Total</t>
  </si>
  <si>
    <t>Total
enrolments
non-zero
but
intake is
missing</t>
  </si>
  <si>
    <t>Intake
non-zero
but no
enrolments</t>
  </si>
  <si>
    <t>Intake
equals
total
enrolments
and
enrolments
in year 2
or later</t>
  </si>
  <si>
    <t>4a</t>
  </si>
  <si>
    <t>4b</t>
  </si>
  <si>
    <t>Honours
Nursing</t>
  </si>
  <si>
    <t>Intake</t>
  </si>
  <si>
    <t>Year of Programme</t>
  </si>
  <si>
    <t>Rest of UK paying deregulated tuition fees</t>
  </si>
  <si>
    <t>Home and Deregulated Tuition Fees</t>
  </si>
  <si>
    <t>Total Home and Deregulated Tuition Fees</t>
  </si>
  <si>
    <t>Total
enrolments
non-zero
but intake
is missing</t>
  </si>
  <si>
    <t>Intake
equals total
enrolments
both non-zero</t>
  </si>
  <si>
    <t>Comparison with Table 1</t>
  </si>
  <si>
    <t>Intake /
Year of Programme</t>
  </si>
  <si>
    <t>2d</t>
  </si>
  <si>
    <t>PGDE Secondary Subject</t>
  </si>
  <si>
    <t>Art</t>
  </si>
  <si>
    <t>Biology</t>
  </si>
  <si>
    <t>Business Education</t>
  </si>
  <si>
    <t>Chemistry</t>
  </si>
  <si>
    <t>Computing</t>
  </si>
  <si>
    <t>Drama</t>
  </si>
  <si>
    <t>English</t>
  </si>
  <si>
    <t>Gaelic</t>
  </si>
  <si>
    <t>Geography</t>
  </si>
  <si>
    <t>History</t>
  </si>
  <si>
    <t>Home Economics</t>
  </si>
  <si>
    <t>Mathematics</t>
  </si>
  <si>
    <t>Modern Languages</t>
  </si>
  <si>
    <t>Modern Studies</t>
  </si>
  <si>
    <t>Music</t>
  </si>
  <si>
    <t>Physical Education</t>
  </si>
  <si>
    <t>Religious Education</t>
  </si>
  <si>
    <t>Technological Education</t>
  </si>
  <si>
    <t>Physics</t>
  </si>
  <si>
    <t>Single
subject</t>
  </si>
  <si>
    <t>Combined with:</t>
  </si>
  <si>
    <t>Business
Education</t>
  </si>
  <si>
    <t>Physical
Education</t>
  </si>
  <si>
    <t>Religious
Education</t>
  </si>
  <si>
    <t>Modern
Studies</t>
  </si>
  <si>
    <t>Combined
total</t>
  </si>
  <si>
    <t>Techn-
ological
Education</t>
  </si>
  <si>
    <t>Total
number of
students
training for
subject  (*)</t>
  </si>
  <si>
    <t>(*) Students are counted against both subjects if they are training to teach two subjects.</t>
  </si>
  <si>
    <t>Check against Table 2a</t>
  </si>
  <si>
    <t>Table 2a</t>
  </si>
  <si>
    <t>Difference
from
Table 2a</t>
  </si>
  <si>
    <t>Contents</t>
  </si>
  <si>
    <t>Table</t>
  </si>
  <si>
    <t>Completed
by
Institution</t>
  </si>
  <si>
    <t>YES</t>
  </si>
  <si>
    <t>For Info</t>
  </si>
  <si>
    <t>Level of Study / Branch</t>
  </si>
  <si>
    <t>Difference</t>
  </si>
  <si>
    <t>Students eligible for funding compared to funded places</t>
  </si>
  <si>
    <t>Relevant
student
numbers</t>
  </si>
  <si>
    <t>Controlled Four-year Nursing Degrees</t>
  </si>
  <si>
    <t>(*) 'Continuing rest of UK' are those students who are eligible for funding because they started their courses prior to 2012-13, but would not have been eligible for funding if they had started in 2012-13 or later because</t>
  </si>
  <si>
    <t>Full-time
and
sandwich
(excluding
short
full-time)</t>
  </si>
  <si>
    <t>Part-time
(including
short
full-time)</t>
  </si>
  <si>
    <t>Rest of UK
students
not eligible
for funding
in controlled
subject
areas</t>
  </si>
  <si>
    <t xml:space="preserve">Rest of UK Students Eligible for Funding in the Controlled Subject Areas / Taught Postgraduate Students Eligible for Funding at the Innovation Centres </t>
  </si>
  <si>
    <t>Glasgow
School
of Art</t>
  </si>
  <si>
    <t>Glasgow,
University of</t>
  </si>
  <si>
    <t>Highlands
and
Islands,
University
of the</t>
  </si>
  <si>
    <t>Open
University
in Scotland
(Enrolments)</t>
  </si>
  <si>
    <t>Queen
Margaret
University,
Edinburgh</t>
  </si>
  <si>
    <t>Robert
Gordon
University</t>
  </si>
  <si>
    <t>Royal
Conser-
vatoire
of Scotland</t>
  </si>
  <si>
    <t>West of
Scotland,
University
of the</t>
  </si>
  <si>
    <t>Open
University
in Scotland
(Completions)</t>
  </si>
  <si>
    <t>RUK</t>
  </si>
  <si>
    <t>At your
institution</t>
  </si>
  <si>
    <t>At another
institution</t>
  </si>
  <si>
    <t>Controlled Three-year</t>
  </si>
  <si>
    <t>Column number for table look ups</t>
  </si>
  <si>
    <t>Funded
through
Main
Teaching
Grant</t>
  </si>
  <si>
    <t>Funded
through
Strategic
Grants</t>
  </si>
  <si>
    <t>Glasgow
Caledonian
University</t>
  </si>
  <si>
    <t>Glasgow
School of Art</t>
  </si>
  <si>
    <t>Highlands and
Islands,
University of the</t>
  </si>
  <si>
    <t>Queen Margaret
University,
Edinburgh</t>
  </si>
  <si>
    <t>Royal
Conservatoire
of Scotland</t>
  </si>
  <si>
    <t>Check difference</t>
  </si>
  <si>
    <t>Students Eligible for Funding, 2016-17</t>
  </si>
  <si>
    <t>Controlled Four-year Degree - Since 2014-15</t>
  </si>
  <si>
    <t>Controlled Three-year Nursing Degrees</t>
  </si>
  <si>
    <t>Controlled Three-year Degree</t>
  </si>
  <si>
    <t>European Social Fund
‘Developing Scotland’s Workforce'</t>
  </si>
  <si>
    <t>Research
post-graduate</t>
  </si>
  <si>
    <t>Taught
post-graduate</t>
  </si>
  <si>
    <t>HN</t>
  </si>
  <si>
    <t>Research
postgraduates</t>
  </si>
  <si>
    <t>Taught
postgraduates</t>
  </si>
  <si>
    <t>Additional ESF-funded Places</t>
  </si>
  <si>
    <t>Students eligible
for funding</t>
  </si>
  <si>
    <t>Total
intake</t>
  </si>
  <si>
    <t>Intake of
students
eligible
for funding
able to
teach in
the Gaelic
medium</t>
  </si>
  <si>
    <t>Scottish and other EU full-time and sandwich undergraduate students eligible for funding compared to consolidation student numbers for non-controlled subject areas</t>
  </si>
  <si>
    <t>Students eligible for funding and rest of UK students paying deregulated tuition fees compared to consolidation student numbers for controlled subject areas</t>
  </si>
  <si>
    <t>Difference between
student numbers and
consolidation student
number</t>
  </si>
  <si>
    <t>Consol-
idation
student
numbers 
2016-17</t>
  </si>
  <si>
    <t>SFC Early Statistics Return 2017-18</t>
  </si>
  <si>
    <t>Students Eligible for Funding on Initial Teacher Education Courses, 2017-18</t>
  </si>
  <si>
    <t>Students Eligible for Funding on Teaching Qualification (Further Education) (TQ(FE)) Courses, 2017-18</t>
  </si>
  <si>
    <t>Students Eligible for Funding Enrolled on Catholic Courses or Modules, 2017-18</t>
  </si>
  <si>
    <t>Subjects Students Eligible for Funding in the Intake to PGDE Secondary Courses are Training to Teach, 2017-18</t>
  </si>
  <si>
    <t>Students on Undergraduate Medicine and Dentistry Courses, 2017-18</t>
  </si>
  <si>
    <t>Students Eligible for Funding on Controlled Three-year Nursing and Midwifery Pre-registration courses, 2017-18</t>
  </si>
  <si>
    <t>Students Eligible for Funding on Controlled Four-year Nursing Degree courses, 2017-18</t>
  </si>
  <si>
    <t>Use of Places Funded by the European Social Fund (ESF)'s Developing Scotland's Workforce Programme, 2017-18</t>
  </si>
  <si>
    <t>Scottish-domiciled Undergraduate Entrants from a Care Experienced Background, 2017-18</t>
  </si>
  <si>
    <t>Monitoring for Under-enrolments against Funded Places or Breaches of Consolidation, 2017-18</t>
  </si>
  <si>
    <t>Scottish Funding Council Early Statistics Return 2017-18: Table 1</t>
  </si>
  <si>
    <t>Students Eligible for Funding, 2017-18</t>
  </si>
  <si>
    <t>Rest of UK Students
Not Eligible for Funding
in Controlled Subject Areas, 2017-18</t>
  </si>
  <si>
    <t>Total for
Controlled
Subject
Areas for
Monitoring
Consolidation
for Scots /
Other EU /
Rest of UK,
2017-18</t>
  </si>
  <si>
    <t>Rest of UK
students
not eligible
for funding
in controlled
subject
areas,
2016-17</t>
  </si>
  <si>
    <t>Comparison with Early Statistics for 2016-17</t>
  </si>
  <si>
    <t>Comparison with Final Figures for 2016-17</t>
  </si>
  <si>
    <t>Look up
for
Early
Statistics
and Final
Figures for
2016-17</t>
  </si>
  <si>
    <t>Scottish Funding Council Early Statistics Return 2017-18: Table 2a</t>
  </si>
  <si>
    <t>Intake to the Course, 2017-18</t>
  </si>
  <si>
    <t>Scottish Funding Council Early Statistics Return 2017-18: Table 2b</t>
  </si>
  <si>
    <t>Scottish Funding Council Early Statistics Return 2017-18: Table 2c</t>
  </si>
  <si>
    <t>Students enrolled on Catholic courses
or modules studying ITE, 2017-18</t>
  </si>
  <si>
    <t>Scottish Funding Council Early Statistics Return 2017-18: Table 2d</t>
  </si>
  <si>
    <t>Students Eligible for Funding and Rest of UK Students in the Intake to PGDE Secondary Courses, 2017-18: Subjects Training to Teach</t>
  </si>
  <si>
    <t>Scottish Funding Council Early Statistics Return 2017-18: Table 3</t>
  </si>
  <si>
    <t>Scottish Funding Council Early Statistics Return 2017-18: Table 4a</t>
  </si>
  <si>
    <t>Scottish Funding Council Early Statistics Return 2017-18: Table 4b</t>
  </si>
  <si>
    <t>Scottish Funding Council Early Statistics Return 2017-18: Table 5a</t>
  </si>
  <si>
    <t>Scottish Funding Council Early Statistics Return 2017-18: Table 5b</t>
  </si>
  <si>
    <t>Scottish Funding Council Early Statistics Return 2017-18: Table 6</t>
  </si>
  <si>
    <t>Scottish Funding Council Early Statistics Return 2017-18</t>
  </si>
  <si>
    <t>Controlled subject areas, 2017-18</t>
  </si>
  <si>
    <t>Non-controlled subject areas, 2017-18</t>
  </si>
  <si>
    <t>Consolidation student numbers, 2017-18</t>
  </si>
  <si>
    <t>Funded Places and Consolidation Student Numbers for 2017-18</t>
  </si>
  <si>
    <t>Total SFC Non-controlled
Funded Places for 2017-18</t>
  </si>
  <si>
    <t>SFC Controlled Funded Places for 2017-18</t>
  </si>
  <si>
    <t>Controlled Consolidation Student Numbers for 2017-18</t>
  </si>
  <si>
    <t>Non-
controlled
Consolid-
ation
Student
Number
for
2017-18</t>
  </si>
  <si>
    <t>Early Statistics 2016-17</t>
  </si>
  <si>
    <t>Final Figures 2016-17</t>
  </si>
  <si>
    <t>Rest of UK Students Eligible for Funding in the Controlled Subject Areas</t>
  </si>
  <si>
    <t>Controlled Four-year Degree</t>
  </si>
  <si>
    <t>BA
Childhood
Practice</t>
  </si>
  <si>
    <t>HNC
Childhood
Practice</t>
  </si>
  <si>
    <t>Pre-
clinical
medicine</t>
  </si>
  <si>
    <t>Nursing
and
midwifery
pre-
registration
education</t>
  </si>
  <si>
    <t>Innovation
centres</t>
  </si>
  <si>
    <t>Scottish Government Funded Places for 2017-18</t>
  </si>
  <si>
    <t>Psychology</t>
  </si>
  <si>
    <t>Psych-
ology</t>
  </si>
  <si>
    <t>1
(*)</t>
  </si>
  <si>
    <t>Students
eligible for
funding</t>
  </si>
  <si>
    <t>Rest of UK
entrants</t>
  </si>
  <si>
    <t>Intake
inconsistent
with
enrolments?</t>
  </si>
  <si>
    <t>Rest of UK entrants</t>
  </si>
  <si>
    <t>Difference
OK?</t>
  </si>
  <si>
    <t>Rest of UK Entrants</t>
  </si>
  <si>
    <t>ITE</t>
  </si>
  <si>
    <t>TQFE</t>
  </si>
  <si>
    <t>Catholic</t>
  </si>
  <si>
    <t>PGDE
Subjs</t>
  </si>
  <si>
    <t>Med/Dent</t>
  </si>
  <si>
    <t>Nurse
3 Year</t>
  </si>
  <si>
    <t>Nurse
4 Year</t>
  </si>
  <si>
    <t>ESF</t>
  </si>
  <si>
    <t>Childcare</t>
  </si>
  <si>
    <t>BA Childhood Practice</t>
  </si>
  <si>
    <t>HNC Childhood Practice</t>
  </si>
  <si>
    <t>Innovation Centre</t>
  </si>
  <si>
    <t>Lead Institution</t>
  </si>
  <si>
    <t>Funded
places</t>
  </si>
  <si>
    <t>Taught
postgraduate
students
eligible
for funding</t>
  </si>
  <si>
    <t>Construction Scotland Innovation Centre (CSIC)</t>
  </si>
  <si>
    <t>The Data Lab (DATALAB)</t>
  </si>
  <si>
    <t>Digital Health and Care Institute (DHI)</t>
  </si>
  <si>
    <t>Centre for Sensors and Imaging Systems (CENSIS)</t>
  </si>
  <si>
    <t>Stratified Scotland Innovation Centre (SMS-IC)</t>
  </si>
  <si>
    <t>Oil and Gas Innovation Centre (OGIC)</t>
  </si>
  <si>
    <t>Heriot Watt University</t>
  </si>
  <si>
    <t>Scottish Aquaculture Innovation Centre (SAIC)</t>
  </si>
  <si>
    <t>Industrial Biotechnology Innovation Centre (IBioIC)</t>
  </si>
  <si>
    <t>(*) The institutions who collaborate in an Innovation Centre should agree amongst themselves who reports which of the taught postgraduate students at the Innovation Centre.</t>
  </si>
  <si>
    <t>Undergraduates</t>
  </si>
  <si>
    <t>Degree</t>
  </si>
  <si>
    <t>Under-
graduate</t>
  </si>
  <si>
    <t>Students
eligible
for  
funding
2017-18
from 
Table1</t>
  </si>
  <si>
    <t>Pre-medical Entry</t>
  </si>
  <si>
    <t>Other STEM subjects</t>
  </si>
  <si>
    <t>Continuing
Rest of UK (*)</t>
  </si>
  <si>
    <t>Other Taught Postgraduates and Undergraduates</t>
  </si>
  <si>
    <t>N/A</t>
  </si>
  <si>
    <t>Pre-
medical
entry</t>
  </si>
  <si>
    <t>Students
eligible
for  
funding in
2017-18
from 
table1</t>
  </si>
  <si>
    <t>(5) There is no tolerance threshold for the funded places for pre-medical entry.</t>
  </si>
  <si>
    <t>(*)</t>
  </si>
  <si>
    <t>Use of Funded Places for Innovation Centres for 2017-18</t>
  </si>
  <si>
    <t>Students Eligible for Funding in All Subject Areas and Students Not Eligible for Funding in the Controlled Subject Areas, 2017-18</t>
  </si>
  <si>
    <t>Students Eligible for Funding in All Subject Areas and Students Not Eligible for Funding in the Controlled Subject Areas</t>
  </si>
  <si>
    <t xml:space="preserve">   </t>
  </si>
  <si>
    <t>Home
Economics</t>
  </si>
  <si>
    <t>Modern
Languages</t>
  </si>
  <si>
    <t>Scottish Funding Council Early Statistics Return 2017-18: Table 5c</t>
  </si>
  <si>
    <t>Student
entrants
eligible
for funding,
2017-18
(*)</t>
  </si>
  <si>
    <t>(*) Enter the total FTE number of student entrants eligible for funding.</t>
  </si>
  <si>
    <t xml:space="preserve">       This figure will be compared to the number of entrants to these courses in previous years to estimate the</t>
  </si>
  <si>
    <t>Entrants to Early Years Education Courses, 2017-18</t>
  </si>
  <si>
    <t>level of additional enrolments and hence to inform how many of the additional places have been filled.</t>
  </si>
  <si>
    <t xml:space="preserve">     they would have been paying deregulated tuition fees, see paragraphs 43 to 48 of the Notes of Guidance.</t>
  </si>
  <si>
    <t>See Notes of Guidance, Paragraphs 74 to 76</t>
  </si>
  <si>
    <t>See Notes of Guidance, Paragraph 77</t>
  </si>
  <si>
    <t>See Notes of Guidance, Paragraphs 78 and 79</t>
  </si>
  <si>
    <t>See Notes of Guidance, Paragraphs 80 to 83</t>
  </si>
  <si>
    <t>See Notes of Guidance, Paragraphs 84 to 89</t>
  </si>
  <si>
    <t>See Notes of Guidance, Paragraphs 90 to 98</t>
  </si>
  <si>
    <t>See Notes of Guidance, Paragraphs 99 to 101</t>
  </si>
  <si>
    <t>See Notes of Guidance, Paragraphs 103 and 104</t>
  </si>
  <si>
    <t>See Notes of Guidance, Paragraphs 105 and 106</t>
  </si>
  <si>
    <t>Students counted in this table can not be counted in any of the other tables.</t>
  </si>
  <si>
    <t>See Notes of Guidance, Paragraphs 107 to 111</t>
  </si>
  <si>
    <t>See Notes of Guidance, Paragraphs 112 to 117</t>
  </si>
  <si>
    <t>See Notes of Guidance, Paragraphs 118 to 120</t>
  </si>
  <si>
    <t>B</t>
  </si>
  <si>
    <t>A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</si>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</sst>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3" formatCode="_-* #,##0.00_-;\-* #,##0.00_-;_-* &quot;-&quot;??_-;_-@_-"/>
    <numFmt numFmtId="164" formatCode="#,##0\ \ \ "/>
    <numFmt numFmtId="165" formatCode="#,##0\ \ "/>
    <numFmt numFmtId="166" formatCode="0.0%"/>
    <numFmt numFmtId="167" formatCode="#,##0.0\ \ ;\-#,##0.0\ \ ;\ \ "/>
    <numFmt numFmtId="168" formatCode="#,##0.0\ \ \ ;\-#,##0.0\ \ \ "/>
    <numFmt numFmtId="169" formatCode="0\ \ "/>
    <numFmt numFmtId="170" formatCode="#,##0\ \ ;\-#,##0\ \ ;\ \ "/>
    <numFmt numFmtId="171" formatCode="_(* #,##0.00_);_(* \(#,##0.00\);_(* &quot;-&quot;??_);_(@_)"/>
    <numFmt numFmtId="172" formatCode="#,##0.0\ \ \ ;\-#,##0.0\ \ \ ;"/>
    <numFmt numFmtId="173" formatCode="#,##0.0"/>
    <numFmt numFmtId="174" formatCode="#,##0\ \ ;\-#,##0\ \ ;\-\ \ "/>
    <numFmt numFmtId="175" formatCode="#,##0.0\ \ ;\-#,##0.0\ \ ;\-\ \ "/>
    <numFmt numFmtId="176" formatCode="0.0%\ \ "/>
    <numFmt numFmtId="177" formatCode="#,##0;\-#,##0;\-"/>
    <numFmt numFmtId="178" formatCode="#,##0.0\ \ ;\-#,##0.0\ \ ;"/>
    <numFmt numFmtId="179" formatCode="#,##0.0\ \ \ ;\-#,##0.0\ \ \ ;0.0\ \ "/>
    <numFmt numFmtId="180" formatCode="#,##0.0\ \ ;\-#,##0.0\ \ ;0.0\ \ "/>
    <numFmt numFmtId="181" formatCode="#,##0\ \ ;\-#,##0\ \ ;0\ \ "/>
    <numFmt numFmtId="182" formatCode="#,##0\ \ ;\-#,##0\ \ ;\ \ \ "/>
    <numFmt numFmtId="183" formatCode="#,##0.0;\-#,##0.0;\-"/>
    <numFmt numFmtId="184" formatCode="#,##0.0\ \ ;#,##0.0\ \ ;\-\ \ "/>
    <numFmt numFmtId="185" formatCode="#,##0.0\ \ ;\-#,##0.0\ \ ;\ \ \ "/>
    <numFmt numFmtId="186" formatCode="#,##0.00\ \ ;\-#,##0.00\ \ ;0.00\ \ "/>
    <numFmt numFmtId="187" formatCode="#,##0.0_ ;\-#,##0.0\ "/>
    <numFmt numFmtId="188" formatCode="\(0\)"/>
    <numFmt numFmtId="189" formatCode="0.0"/>
    <numFmt numFmtId="190" formatCode="#,##0\ \ ;\-#,##0\ \ ;\-\ \ \ \ "/>
  </numFmts>
  <fonts count="30">
    <font>
      <sz val="10"/>
      <name val="Arial"/>
    </font>
    <font>
      <sz val="11"/>
      <color theme="1"/>
      <name val="Calibri"/>
      <family val="2"/>
      <scheme val="minor"/>
    </font>
    <font>
      <sz val="10"/>
      <name val="Arial MT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color indexed="27"/>
      <name val="Calibri"/>
      <family val="2"/>
    </font>
    <font>
      <sz val="11"/>
      <color rgb="FFCCFFFF"/>
      <name val="Calibri"/>
      <family val="2"/>
    </font>
    <font>
      <u/>
      <sz val="11"/>
      <name val="Calibri"/>
      <family val="2"/>
    </font>
    <font>
      <b/>
      <sz val="11"/>
      <color indexed="8"/>
      <name val="Calibri"/>
      <family val="2"/>
    </font>
    <font>
      <u/>
      <sz val="11"/>
      <color indexed="10"/>
      <name val="Calibri"/>
      <family val="2"/>
    </font>
    <font>
      <b/>
      <sz val="11"/>
      <color indexed="18"/>
      <name val="Calibri"/>
      <family val="2"/>
    </font>
    <font>
      <b/>
      <sz val="11"/>
      <color indexed="20"/>
      <name val="Calibri"/>
      <family val="2"/>
    </font>
    <font>
      <b/>
      <sz val="11"/>
      <color theme="3" tint="-0.24994659260841701"/>
      <name val="Calibri"/>
      <family val="2"/>
    </font>
    <font>
      <sz val="11"/>
      <color theme="3" tint="-0.24994659260841701"/>
      <name val="Calibri"/>
      <family val="2"/>
    </font>
    <font>
      <b/>
      <sz val="11"/>
      <color indexed="56"/>
      <name val="Calibri"/>
      <family val="2"/>
    </font>
    <font>
      <sz val="18"/>
      <color indexed="10"/>
      <name val="Calibri"/>
      <family val="2"/>
    </font>
    <font>
      <sz val="12"/>
      <name val="Calibri"/>
      <family val="2"/>
    </font>
    <font>
      <b/>
      <sz val="16"/>
      <color rgb="FFFF0000"/>
      <name val="Calibri"/>
      <family val="2"/>
    </font>
    <font>
      <b/>
      <sz val="12"/>
      <name val="Calibri"/>
      <family val="2"/>
    </font>
    <font>
      <sz val="10"/>
      <color theme="1"/>
      <name val="Arial"/>
      <family val="2"/>
    </font>
    <font>
      <sz val="1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1"/>
        <bgColor indexed="35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15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5"/>
      </patternFill>
    </fill>
    <fill>
      <patternFill patternType="solid">
        <fgColor theme="7" tint="0.59996337778862885"/>
        <bgColor indexed="43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indexed="15"/>
      </patternFill>
    </fill>
    <fill>
      <patternFill patternType="solid">
        <fgColor rgb="FFFFFFFF"/>
        <bgColor indexed="15"/>
      </patternFill>
    </fill>
    <fill>
      <patternFill patternType="solid">
        <fgColor rgb="FFCCFFFF"/>
        <bgColor indexed="15"/>
      </patternFill>
    </fill>
    <fill>
      <patternFill patternType="solid">
        <fgColor rgb="FFCCC0DA"/>
        <bgColor indexed="64"/>
      </patternFill>
    </fill>
    <fill>
      <patternFill patternType="solid">
        <fgColor theme="0" tint="-0.14996795556505021"/>
        <bgColor indexed="64"/>
      </patternFill>
    </fill>
  </fills>
  <borders count="1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3" fillId="0" borderId="0"/>
    <xf numFmtId="0" fontId="3" fillId="0" borderId="0"/>
    <xf numFmtId="43" fontId="28" fillId="0" borderId="0" applyFont="0" applyFill="0" applyBorder="0" applyAlignment="0" applyProtection="0"/>
    <xf numFmtId="0" fontId="1" fillId="0" borderId="0"/>
  </cellStyleXfs>
  <cellXfs count="2015">
    <xf numFmtId="0" fontId="0" fillId="0" borderId="0" xfId="0"/>
    <xf numFmtId="0" fontId="10" fillId="0" borderId="0" xfId="10" applyFont="1" applyFill="1" applyBorder="1" applyProtection="1">
      <protection hidden="1"/>
    </xf>
    <xf numFmtId="0" fontId="10" fillId="0" borderId="0" xfId="10" applyFont="1" applyFill="1" applyBorder="1" applyAlignment="1" applyProtection="1">
      <alignment horizontal="center"/>
      <protection hidden="1"/>
    </xf>
    <xf numFmtId="0" fontId="7" fillId="2" borderId="0" xfId="0" applyNumberFormat="1" applyFont="1" applyFill="1" applyAlignment="1" applyProtection="1">
      <protection hidden="1"/>
    </xf>
    <xf numFmtId="0" fontId="7" fillId="5" borderId="36" xfId="0" applyNumberFormat="1" applyFont="1" applyFill="1" applyBorder="1" applyAlignment="1" applyProtection="1">
      <protection hidden="1"/>
    </xf>
    <xf numFmtId="0" fontId="7" fillId="5" borderId="60" xfId="0" applyNumberFormat="1" applyFont="1" applyFill="1" applyBorder="1" applyAlignment="1" applyProtection="1">
      <protection hidden="1"/>
    </xf>
    <xf numFmtId="0" fontId="7" fillId="5" borderId="37" xfId="0" applyNumberFormat="1" applyFont="1" applyFill="1" applyBorder="1" applyAlignment="1" applyProtection="1">
      <protection hidden="1"/>
    </xf>
    <xf numFmtId="0" fontId="7" fillId="5" borderId="0" xfId="0" applyFont="1" applyFill="1" applyProtection="1">
      <protection hidden="1"/>
    </xf>
    <xf numFmtId="0" fontId="7" fillId="5" borderId="0" xfId="0" applyFont="1" applyFill="1" applyAlignment="1" applyProtection="1">
      <protection hidden="1"/>
    </xf>
    <xf numFmtId="0" fontId="7" fillId="4" borderId="65" xfId="0" applyFont="1" applyFill="1" applyBorder="1" applyAlignment="1" applyProtection="1">
      <alignment vertical="center"/>
      <protection hidden="1"/>
    </xf>
    <xf numFmtId="0" fontId="8" fillId="4" borderId="65" xfId="0" applyFont="1" applyFill="1" applyBorder="1" applyAlignment="1" applyProtection="1">
      <alignment horizontal="center"/>
      <protection hidden="1"/>
    </xf>
    <xf numFmtId="0" fontId="8" fillId="4" borderId="1" xfId="0" applyFont="1" applyFill="1" applyBorder="1" applyAlignment="1" applyProtection="1">
      <alignment vertical="center"/>
      <protection hidden="1"/>
    </xf>
    <xf numFmtId="0" fontId="7" fillId="2" borderId="0" xfId="0" applyFont="1" applyFill="1" applyProtection="1">
      <protection hidden="1"/>
    </xf>
    <xf numFmtId="0" fontId="7" fillId="4" borderId="0" xfId="0" applyFont="1" applyFill="1" applyBorder="1" applyAlignment="1" applyProtection="1">
      <alignment horizontal="left" indent="2"/>
      <protection hidden="1"/>
    </xf>
    <xf numFmtId="0" fontId="7" fillId="4" borderId="2" xfId="0" applyFont="1" applyFill="1" applyBorder="1" applyAlignment="1" applyProtection="1">
      <protection hidden="1"/>
    </xf>
    <xf numFmtId="0" fontId="8" fillId="9" borderId="0" xfId="0" applyFont="1" applyFill="1" applyBorder="1" applyAlignment="1" applyProtection="1">
      <alignment vertical="center"/>
      <protection hidden="1"/>
    </xf>
    <xf numFmtId="0" fontId="8" fillId="5" borderId="0" xfId="0" applyFont="1" applyFill="1" applyBorder="1" applyAlignment="1" applyProtection="1">
      <alignment horizontal="left" vertical="center" indent="1"/>
      <protection hidden="1"/>
    </xf>
    <xf numFmtId="0" fontId="8" fillId="5" borderId="0" xfId="0" applyFont="1" applyFill="1" applyBorder="1" applyAlignment="1" applyProtection="1">
      <alignment vertical="center"/>
      <protection hidden="1"/>
    </xf>
    <xf numFmtId="0" fontId="7" fillId="5" borderId="0" xfId="0" applyFont="1" applyFill="1" applyBorder="1" applyAlignment="1" applyProtection="1">
      <alignment horizontal="left" indent="2"/>
      <protection hidden="1"/>
    </xf>
    <xf numFmtId="0" fontId="8" fillId="4" borderId="0" xfId="0" applyFont="1" applyFill="1" applyBorder="1" applyAlignment="1" applyProtection="1">
      <protection hidden="1"/>
    </xf>
    <xf numFmtId="0" fontId="8" fillId="4" borderId="5" xfId="0" applyFont="1" applyFill="1" applyBorder="1" applyAlignment="1" applyProtection="1">
      <alignment horizontal="center" vertical="top"/>
      <protection hidden="1"/>
    </xf>
    <xf numFmtId="0" fontId="8" fillId="4" borderId="44" xfId="0" applyFont="1" applyFill="1" applyBorder="1" applyAlignment="1" applyProtection="1">
      <alignment horizontal="center" vertical="top"/>
      <protection hidden="1"/>
    </xf>
    <xf numFmtId="0" fontId="8" fillId="4" borderId="4" xfId="0" applyFont="1" applyFill="1" applyBorder="1" applyAlignment="1" applyProtection="1">
      <alignment horizontal="center" vertical="top" wrapText="1"/>
      <protection hidden="1"/>
    </xf>
    <xf numFmtId="0" fontId="7" fillId="4" borderId="2" xfId="0" applyFont="1" applyFill="1" applyBorder="1" applyAlignment="1" applyProtection="1">
      <alignment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  <xf numFmtId="0" fontId="8" fillId="4" borderId="8" xfId="0" applyFont="1" applyFill="1" applyBorder="1" applyAlignment="1" applyProtection="1">
      <alignment horizontal="center" vertical="center"/>
      <protection hidden="1"/>
    </xf>
    <xf numFmtId="0" fontId="8" fillId="4" borderId="9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protection hidden="1"/>
    </xf>
    <xf numFmtId="0" fontId="8" fillId="2" borderId="4" xfId="0" applyFont="1" applyFill="1" applyBorder="1" applyAlignment="1" applyProtection="1">
      <alignment horizontal="center" vertical="top" wrapText="1"/>
      <protection hidden="1"/>
    </xf>
    <xf numFmtId="0" fontId="7" fillId="2" borderId="0" xfId="0" applyFont="1" applyFill="1" applyAlignment="1" applyProtection="1">
      <protection hidden="1"/>
    </xf>
    <xf numFmtId="0" fontId="7" fillId="4" borderId="11" xfId="0" applyFont="1" applyFill="1" applyBorder="1" applyProtection="1">
      <protection hidden="1"/>
    </xf>
    <xf numFmtId="0" fontId="7" fillId="4" borderId="0" xfId="0" applyFont="1" applyFill="1" applyBorder="1" applyProtection="1">
      <protection hidden="1"/>
    </xf>
    <xf numFmtId="0" fontId="8" fillId="2" borderId="24" xfId="0" applyFont="1" applyFill="1" applyBorder="1" applyAlignment="1" applyProtection="1">
      <alignment vertical="top" wrapText="1"/>
      <protection hidden="1"/>
    </xf>
    <xf numFmtId="0" fontId="8" fillId="2" borderId="41" xfId="0" applyFont="1" applyFill="1" applyBorder="1" applyAlignment="1" applyProtection="1">
      <alignment vertical="top" wrapText="1"/>
      <protection hidden="1"/>
    </xf>
    <xf numFmtId="0" fontId="8" fillId="2" borderId="22" xfId="0" applyFont="1" applyFill="1" applyBorder="1" applyAlignment="1" applyProtection="1">
      <alignment vertical="top" wrapText="1"/>
      <protection hidden="1"/>
    </xf>
    <xf numFmtId="0" fontId="8" fillId="2" borderId="25" xfId="0" applyFont="1" applyFill="1" applyBorder="1" applyAlignment="1" applyProtection="1">
      <alignment vertical="top" wrapText="1"/>
      <protection hidden="1"/>
    </xf>
    <xf numFmtId="0" fontId="7" fillId="4" borderId="9" xfId="0" applyFont="1" applyFill="1" applyBorder="1" applyProtection="1">
      <protection hidden="1"/>
    </xf>
    <xf numFmtId="0" fontId="7" fillId="4" borderId="7" xfId="0" applyFont="1" applyFill="1" applyBorder="1" applyProtection="1">
      <protection hidden="1"/>
    </xf>
    <xf numFmtId="0" fontId="7" fillId="4" borderId="2" xfId="0" applyFont="1" applyFill="1" applyBorder="1" applyProtection="1">
      <protection hidden="1"/>
    </xf>
    <xf numFmtId="0" fontId="8" fillId="2" borderId="36" xfId="0" applyFont="1" applyFill="1" applyBorder="1" applyAlignment="1" applyProtection="1">
      <alignment horizontal="center" vertical="top" wrapText="1"/>
      <protection hidden="1"/>
    </xf>
    <xf numFmtId="0" fontId="8" fillId="2" borderId="28" xfId="0" applyFont="1" applyFill="1" applyBorder="1" applyAlignment="1" applyProtection="1">
      <alignment horizontal="center" vertical="top" wrapText="1"/>
      <protection hidden="1"/>
    </xf>
    <xf numFmtId="0" fontId="8" fillId="2" borderId="37" xfId="0" applyFont="1" applyFill="1" applyBorder="1" applyAlignment="1" applyProtection="1">
      <alignment horizontal="center" vertical="top" wrapText="1"/>
      <protection hidden="1"/>
    </xf>
    <xf numFmtId="178" fontId="7" fillId="0" borderId="31" xfId="0" applyNumberFormat="1" applyFont="1" applyFill="1" applyBorder="1" applyAlignment="1" applyProtection="1">
      <alignment vertical="center"/>
      <protection locked="0"/>
    </xf>
    <xf numFmtId="178" fontId="7" fillId="0" borderId="40" xfId="0" applyNumberFormat="1" applyFont="1" applyFill="1" applyBorder="1" applyAlignment="1" applyProtection="1">
      <alignment vertical="center"/>
      <protection locked="0"/>
    </xf>
    <xf numFmtId="178" fontId="7" fillId="4" borderId="31" xfId="0" applyNumberFormat="1" applyFont="1" applyFill="1" applyBorder="1" applyAlignment="1" applyProtection="1">
      <alignment vertical="center"/>
      <protection hidden="1"/>
    </xf>
    <xf numFmtId="169" fontId="7" fillId="4" borderId="31" xfId="0" applyNumberFormat="1" applyFont="1" applyFill="1" applyBorder="1" applyAlignment="1" applyProtection="1">
      <alignment vertical="center"/>
      <protection hidden="1"/>
    </xf>
    <xf numFmtId="169" fontId="7" fillId="4" borderId="32" xfId="0" applyNumberFormat="1" applyFont="1" applyFill="1" applyBorder="1" applyAlignment="1" applyProtection="1">
      <alignment horizontal="right" vertical="center"/>
      <protection hidden="1"/>
    </xf>
    <xf numFmtId="180" fontId="8" fillId="4" borderId="35" xfId="0" applyNumberFormat="1" applyFont="1" applyFill="1" applyBorder="1" applyAlignment="1" applyProtection="1">
      <alignment vertical="center"/>
      <protection hidden="1"/>
    </xf>
    <xf numFmtId="0" fontId="13" fillId="4" borderId="0" xfId="0" applyFont="1" applyFill="1" applyBorder="1" applyAlignment="1" applyProtection="1">
      <alignment vertical="top"/>
      <protection hidden="1"/>
    </xf>
    <xf numFmtId="0" fontId="7" fillId="2" borderId="39" xfId="0" applyFont="1" applyFill="1" applyBorder="1" applyAlignment="1" applyProtection="1">
      <alignment horizontal="center" vertical="center"/>
      <protection hidden="1"/>
    </xf>
    <xf numFmtId="0" fontId="7" fillId="2" borderId="31" xfId="0" applyFont="1" applyFill="1" applyBorder="1" applyAlignment="1" applyProtection="1">
      <alignment horizontal="center" vertical="center"/>
      <protection hidden="1"/>
    </xf>
    <xf numFmtId="2" fontId="7" fillId="2" borderId="35" xfId="0" applyNumberFormat="1" applyFont="1" applyFill="1" applyBorder="1" applyAlignment="1" applyProtection="1">
      <alignment horizontal="center" vertical="center"/>
      <protection hidden="1"/>
    </xf>
    <xf numFmtId="180" fontId="8" fillId="4" borderId="31" xfId="0" applyNumberFormat="1" applyFont="1" applyFill="1" applyBorder="1" applyAlignment="1" applyProtection="1">
      <alignment vertical="center"/>
      <protection hidden="1"/>
    </xf>
    <xf numFmtId="180" fontId="8" fillId="4" borderId="40" xfId="0" applyNumberFormat="1" applyFont="1" applyFill="1" applyBorder="1" applyAlignment="1" applyProtection="1">
      <alignment vertical="center"/>
      <protection hidden="1"/>
    </xf>
    <xf numFmtId="0" fontId="7" fillId="2" borderId="10" xfId="0" applyFont="1" applyFill="1" applyBorder="1" applyAlignment="1" applyProtection="1">
      <protection hidden="1"/>
    </xf>
    <xf numFmtId="0" fontId="7" fillId="2" borderId="7" xfId="0" applyFont="1" applyFill="1" applyBorder="1" applyAlignment="1" applyProtection="1">
      <protection hidden="1"/>
    </xf>
    <xf numFmtId="2" fontId="7" fillId="2" borderId="7" xfId="0" applyNumberFormat="1" applyFont="1" applyFill="1" applyBorder="1" applyAlignment="1" applyProtection="1">
      <protection hidden="1"/>
    </xf>
    <xf numFmtId="2" fontId="7" fillId="2" borderId="45" xfId="0" applyNumberFormat="1" applyFont="1" applyFill="1" applyBorder="1" applyAlignment="1" applyProtection="1">
      <protection hidden="1"/>
    </xf>
    <xf numFmtId="169" fontId="7" fillId="4" borderId="7" xfId="0" applyNumberFormat="1" applyFont="1" applyFill="1" applyBorder="1" applyAlignment="1" applyProtection="1">
      <alignment vertical="center"/>
      <protection hidden="1"/>
    </xf>
    <xf numFmtId="169" fontId="7" fillId="4" borderId="11" xfId="0" applyNumberFormat="1" applyFont="1" applyFill="1" applyBorder="1" applyAlignment="1" applyProtection="1">
      <alignment vertical="center"/>
      <protection hidden="1"/>
    </xf>
    <xf numFmtId="169" fontId="7" fillId="4" borderId="9" xfId="0" applyNumberFormat="1" applyFont="1" applyFill="1" applyBorder="1" applyAlignment="1" applyProtection="1">
      <alignment vertical="center"/>
      <protection hidden="1"/>
    </xf>
    <xf numFmtId="169" fontId="7" fillId="4" borderId="2" xfId="0" applyNumberFormat="1" applyFont="1" applyFill="1" applyBorder="1" applyAlignment="1" applyProtection="1">
      <alignment vertical="center"/>
      <protection hidden="1"/>
    </xf>
    <xf numFmtId="0" fontId="7" fillId="4" borderId="0" xfId="0" applyFont="1" applyFill="1" applyBorder="1" applyAlignment="1" applyProtection="1">
      <alignment vertical="center"/>
      <protection hidden="1"/>
    </xf>
    <xf numFmtId="178" fontId="7" fillId="0" borderId="49" xfId="0" applyNumberFormat="1" applyFont="1" applyFill="1" applyBorder="1" applyAlignment="1" applyProtection="1">
      <alignment vertical="center"/>
      <protection locked="0"/>
    </xf>
    <xf numFmtId="178" fontId="7" fillId="0" borderId="54" xfId="0" applyNumberFormat="1" applyFont="1" applyFill="1" applyBorder="1" applyAlignment="1" applyProtection="1">
      <alignment vertical="center"/>
      <protection locked="0"/>
    </xf>
    <xf numFmtId="169" fontId="7" fillId="4" borderId="52" xfId="0" applyNumberFormat="1" applyFont="1" applyFill="1" applyBorder="1" applyAlignment="1" applyProtection="1">
      <alignment vertical="center"/>
      <protection hidden="1"/>
    </xf>
    <xf numFmtId="180" fontId="8" fillId="4" borderId="53" xfId="0" applyNumberFormat="1" applyFont="1" applyFill="1" applyBorder="1" applyAlignment="1" applyProtection="1">
      <alignment vertical="center"/>
      <protection hidden="1"/>
    </xf>
    <xf numFmtId="169" fontId="7" fillId="4" borderId="32" xfId="0" applyNumberFormat="1" applyFont="1" applyFill="1" applyBorder="1" applyAlignment="1" applyProtection="1">
      <alignment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2" fontId="7" fillId="2" borderId="45" xfId="0" applyNumberFormat="1" applyFont="1" applyFill="1" applyBorder="1" applyAlignment="1" applyProtection="1">
      <alignment horizontal="center" vertical="center"/>
      <protection hidden="1"/>
    </xf>
    <xf numFmtId="0" fontId="7" fillId="2" borderId="27" xfId="0" applyFont="1" applyFill="1" applyBorder="1" applyAlignment="1" applyProtection="1">
      <alignment horizontal="center" vertical="center"/>
      <protection hidden="1"/>
    </xf>
    <xf numFmtId="0" fontId="7" fillId="2" borderId="42" xfId="0" applyFont="1" applyFill="1" applyBorder="1" applyAlignment="1" applyProtection="1">
      <alignment horizontal="center" vertical="center"/>
      <protection hidden="1"/>
    </xf>
    <xf numFmtId="2" fontId="7" fillId="2" borderId="29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Protection="1">
      <protection hidden="1"/>
    </xf>
    <xf numFmtId="0" fontId="7" fillId="2" borderId="30" xfId="0" applyFont="1" applyFill="1" applyBorder="1" applyAlignment="1" applyProtection="1">
      <alignment horizontal="center" vertical="center"/>
      <protection hidden="1"/>
    </xf>
    <xf numFmtId="0" fontId="7" fillId="2" borderId="32" xfId="0" applyFont="1" applyFill="1" applyBorder="1" applyAlignment="1" applyProtection="1">
      <alignment horizontal="center" vertical="center"/>
      <protection hidden="1"/>
    </xf>
    <xf numFmtId="2" fontId="7" fillId="2" borderId="33" xfId="0" applyNumberFormat="1" applyFont="1" applyFill="1" applyBorder="1" applyAlignment="1" applyProtection="1">
      <alignment horizontal="center" vertical="center"/>
      <protection hidden="1"/>
    </xf>
    <xf numFmtId="169" fontId="7" fillId="4" borderId="28" xfId="0" applyNumberFormat="1" applyFont="1" applyFill="1" applyBorder="1" applyAlignment="1" applyProtection="1">
      <alignment vertical="center"/>
      <protection hidden="1"/>
    </xf>
    <xf numFmtId="169" fontId="7" fillId="4" borderId="37" xfId="0" applyNumberFormat="1" applyFont="1" applyFill="1" applyBorder="1" applyAlignment="1" applyProtection="1">
      <alignment vertical="center"/>
      <protection hidden="1"/>
    </xf>
    <xf numFmtId="169" fontId="7" fillId="4" borderId="62" xfId="0" applyNumberFormat="1" applyFont="1" applyFill="1" applyBorder="1" applyAlignment="1" applyProtection="1">
      <alignment vertical="center"/>
      <protection hidden="1"/>
    </xf>
    <xf numFmtId="0" fontId="7" fillId="2" borderId="39" xfId="0" applyFont="1" applyFill="1" applyBorder="1" applyAlignment="1" applyProtection="1">
      <protection hidden="1"/>
    </xf>
    <xf numFmtId="0" fontId="7" fillId="2" borderId="50" xfId="0" applyFont="1" applyFill="1" applyBorder="1" applyAlignment="1" applyProtection="1">
      <protection hidden="1"/>
    </xf>
    <xf numFmtId="2" fontId="7" fillId="2" borderId="65" xfId="0" applyNumberFormat="1" applyFont="1" applyFill="1" applyBorder="1" applyAlignment="1" applyProtection="1">
      <protection hidden="1"/>
    </xf>
    <xf numFmtId="0" fontId="7" fillId="2" borderId="45" xfId="0" applyFont="1" applyFill="1" applyBorder="1" applyAlignment="1" applyProtection="1">
      <protection hidden="1"/>
    </xf>
    <xf numFmtId="178" fontId="7" fillId="0" borderId="52" xfId="0" applyNumberFormat="1" applyFont="1" applyFill="1" applyBorder="1" applyAlignment="1" applyProtection="1">
      <alignment vertical="center"/>
      <protection locked="0"/>
    </xf>
    <xf numFmtId="0" fontId="7" fillId="2" borderId="55" xfId="0" applyFont="1" applyFill="1" applyBorder="1" applyAlignment="1" applyProtection="1">
      <alignment horizontal="center" vertical="center"/>
      <protection hidden="1"/>
    </xf>
    <xf numFmtId="0" fontId="7" fillId="2" borderId="52" xfId="0" applyFont="1" applyFill="1" applyBorder="1" applyAlignment="1" applyProtection="1">
      <alignment horizontal="center" vertical="center"/>
      <protection hidden="1"/>
    </xf>
    <xf numFmtId="2" fontId="7" fillId="2" borderId="49" xfId="0" applyNumberFormat="1" applyFont="1" applyFill="1" applyBorder="1" applyAlignment="1" applyProtection="1">
      <alignment horizontal="center" vertical="center"/>
      <protection hidden="1"/>
    </xf>
    <xf numFmtId="2" fontId="7" fillId="2" borderId="53" xfId="0" applyNumberFormat="1" applyFont="1" applyFill="1" applyBorder="1" applyAlignment="1" applyProtection="1">
      <alignment horizontal="center" vertical="center"/>
      <protection hidden="1"/>
    </xf>
    <xf numFmtId="0" fontId="8" fillId="3" borderId="0" xfId="9" applyFont="1" applyFill="1" applyBorder="1" applyAlignment="1" applyProtection="1">
      <alignment horizontal="centerContinuous" vertical="center"/>
      <protection hidden="1"/>
    </xf>
    <xf numFmtId="0" fontId="7" fillId="2" borderId="9" xfId="0" applyFont="1" applyFill="1" applyBorder="1" applyProtection="1">
      <protection hidden="1"/>
    </xf>
    <xf numFmtId="0" fontId="7" fillId="4" borderId="60" xfId="0" applyFont="1" applyFill="1" applyBorder="1" applyAlignment="1" applyProtection="1">
      <alignment vertical="center"/>
      <protection hidden="1"/>
    </xf>
    <xf numFmtId="0" fontId="8" fillId="3" borderId="7" xfId="0" applyFont="1" applyFill="1" applyBorder="1" applyAlignment="1" applyProtection="1">
      <alignment horizontal="center" vertical="center"/>
      <protection hidden="1"/>
    </xf>
    <xf numFmtId="0" fontId="8" fillId="2" borderId="6" xfId="0" applyFont="1" applyFill="1" applyBorder="1" applyAlignment="1" applyProtection="1">
      <alignment horizontal="center" vertical="top" wrapText="1"/>
      <protection hidden="1"/>
    </xf>
    <xf numFmtId="0" fontId="8" fillId="2" borderId="2" xfId="0" applyFont="1" applyFill="1" applyBorder="1" applyAlignment="1" applyProtection="1">
      <alignment horizontal="center" vertical="top" wrapText="1"/>
      <protection hidden="1"/>
    </xf>
    <xf numFmtId="0" fontId="8" fillId="2" borderId="8" xfId="0" applyFont="1" applyFill="1" applyBorder="1" applyAlignment="1" applyProtection="1">
      <alignment horizontal="center" vertical="top" wrapText="1"/>
      <protection hidden="1"/>
    </xf>
    <xf numFmtId="0" fontId="8" fillId="3" borderId="6" xfId="0" applyFont="1" applyFill="1" applyBorder="1" applyAlignment="1" applyProtection="1">
      <alignment horizontal="center" vertical="center"/>
      <protection hidden="1"/>
    </xf>
    <xf numFmtId="0" fontId="8" fillId="3" borderId="8" xfId="0" applyFont="1" applyFill="1" applyBorder="1" applyAlignment="1" applyProtection="1">
      <alignment horizontal="center" vertical="center"/>
      <protection hidden="1"/>
    </xf>
    <xf numFmtId="0" fontId="7" fillId="2" borderId="65" xfId="0" applyFont="1" applyFill="1" applyBorder="1" applyAlignment="1" applyProtection="1">
      <protection hidden="1"/>
    </xf>
    <xf numFmtId="0" fontId="8" fillId="2" borderId="5" xfId="0" applyFont="1" applyFill="1" applyBorder="1" applyAlignment="1" applyProtection="1">
      <alignment horizontal="center" vertical="top" wrapText="1"/>
      <protection hidden="1"/>
    </xf>
    <xf numFmtId="0" fontId="7" fillId="4" borderId="65" xfId="0" applyFont="1" applyFill="1" applyBorder="1" applyProtection="1">
      <protection hidden="1"/>
    </xf>
    <xf numFmtId="0" fontId="8" fillId="4" borderId="65" xfId="0" applyFont="1" applyFill="1" applyBorder="1" applyAlignment="1" applyProtection="1">
      <alignment horizontal="right"/>
      <protection hidden="1"/>
    </xf>
    <xf numFmtId="0" fontId="7" fillId="4" borderId="1" xfId="0" applyFont="1" applyFill="1" applyBorder="1" applyProtection="1">
      <protection hidden="1"/>
    </xf>
    <xf numFmtId="0" fontId="8" fillId="4" borderId="62" xfId="0" applyFont="1" applyFill="1" applyBorder="1" applyAlignment="1" applyProtection="1">
      <alignment horizontal="centerContinuous" vertical="center"/>
      <protection hidden="1"/>
    </xf>
    <xf numFmtId="0" fontId="8" fillId="4" borderId="42" xfId="0" applyFont="1" applyFill="1" applyBorder="1" applyAlignment="1" applyProtection="1">
      <alignment horizontal="centerContinuous" vertical="center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8" fillId="4" borderId="1" xfId="0" applyFont="1" applyFill="1" applyBorder="1" applyAlignment="1" applyProtection="1">
      <alignment horizontal="center" vertical="top" wrapText="1"/>
      <protection hidden="1"/>
    </xf>
    <xf numFmtId="0" fontId="8" fillId="4" borderId="45" xfId="0" applyFont="1" applyFill="1" applyBorder="1" applyAlignment="1" applyProtection="1">
      <alignment horizontal="center" vertical="top" wrapText="1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167" fontId="7" fillId="0" borderId="62" xfId="0" applyNumberFormat="1" applyFont="1" applyFill="1" applyBorder="1" applyAlignment="1" applyProtection="1">
      <alignment vertical="center"/>
      <protection locked="0"/>
    </xf>
    <xf numFmtId="170" fontId="7" fillId="0" borderId="28" xfId="0" applyNumberFormat="1" applyFont="1" applyFill="1" applyBorder="1" applyAlignment="1" applyProtection="1">
      <alignment vertical="center"/>
      <protection locked="0"/>
    </xf>
    <xf numFmtId="167" fontId="7" fillId="0" borderId="28" xfId="0" applyNumberFormat="1" applyFont="1" applyFill="1" applyBorder="1" applyAlignment="1" applyProtection="1">
      <alignment vertical="center"/>
      <protection locked="0"/>
    </xf>
    <xf numFmtId="170" fontId="7" fillId="0" borderId="42" xfId="0" applyNumberFormat="1" applyFont="1" applyFill="1" applyBorder="1" applyAlignment="1" applyProtection="1">
      <alignment vertical="center"/>
      <protection locked="0"/>
    </xf>
    <xf numFmtId="180" fontId="8" fillId="8" borderId="62" xfId="0" applyNumberFormat="1" applyFont="1" applyFill="1" applyBorder="1" applyAlignment="1" applyProtection="1">
      <alignment vertical="center"/>
      <protection hidden="1"/>
    </xf>
    <xf numFmtId="181" fontId="8" fillId="8" borderId="73" xfId="0" applyNumberFormat="1" applyFont="1" applyFill="1" applyBorder="1" applyAlignment="1" applyProtection="1">
      <alignment vertical="center"/>
      <protection hidden="1"/>
    </xf>
    <xf numFmtId="0" fontId="7" fillId="2" borderId="75" xfId="0" applyFont="1" applyFill="1" applyBorder="1" applyAlignment="1" applyProtection="1">
      <alignment horizontal="center" vertical="center" wrapText="1"/>
      <protection hidden="1"/>
    </xf>
    <xf numFmtId="0" fontId="7" fillId="2" borderId="76" xfId="0" applyFont="1" applyFill="1" applyBorder="1" applyAlignment="1" applyProtection="1">
      <alignment horizontal="center" vertical="center" wrapText="1"/>
      <protection hidden="1"/>
    </xf>
    <xf numFmtId="0" fontId="7" fillId="2" borderId="77" xfId="0" applyFont="1" applyFill="1" applyBorder="1" applyAlignment="1" applyProtection="1">
      <alignment horizontal="center" vertical="center" wrapText="1"/>
      <protection hidden="1"/>
    </xf>
    <xf numFmtId="167" fontId="7" fillId="0" borderId="14" xfId="0" applyNumberFormat="1" applyFont="1" applyFill="1" applyBorder="1" applyAlignment="1" applyProtection="1">
      <alignment vertical="center"/>
      <protection locked="0"/>
    </xf>
    <xf numFmtId="170" fontId="7" fillId="0" borderId="13" xfId="0" applyNumberFormat="1" applyFont="1" applyFill="1" applyBorder="1" applyAlignment="1" applyProtection="1">
      <alignment vertical="center"/>
      <protection locked="0"/>
    </xf>
    <xf numFmtId="167" fontId="7" fillId="0" borderId="13" xfId="0" applyNumberFormat="1" applyFont="1" applyFill="1" applyBorder="1" applyAlignment="1" applyProtection="1">
      <alignment vertical="center"/>
      <protection locked="0"/>
    </xf>
    <xf numFmtId="170" fontId="7" fillId="0" borderId="72" xfId="0" applyNumberFormat="1" applyFont="1" applyFill="1" applyBorder="1" applyAlignment="1" applyProtection="1">
      <alignment vertical="center"/>
      <protection locked="0"/>
    </xf>
    <xf numFmtId="0" fontId="7" fillId="2" borderId="55" xfId="0" applyFont="1" applyFill="1" applyBorder="1" applyAlignment="1" applyProtection="1">
      <alignment horizontal="center" vertical="center" wrapText="1"/>
      <protection hidden="1"/>
    </xf>
    <xf numFmtId="0" fontId="7" fillId="2" borderId="52" xfId="0" applyFont="1" applyFill="1" applyBorder="1" applyAlignment="1" applyProtection="1">
      <alignment horizontal="center" vertical="center" wrapText="1"/>
      <protection hidden="1"/>
    </xf>
    <xf numFmtId="0" fontId="7" fillId="2" borderId="53" xfId="0" applyFont="1" applyFill="1" applyBorder="1" applyAlignment="1" applyProtection="1">
      <alignment horizontal="center" vertical="center" wrapText="1"/>
      <protection hidden="1"/>
    </xf>
    <xf numFmtId="0" fontId="7" fillId="4" borderId="60" xfId="0" applyFont="1" applyFill="1" applyBorder="1" applyProtection="1">
      <protection hidden="1"/>
    </xf>
    <xf numFmtId="0" fontId="7" fillId="4" borderId="42" xfId="0" applyFont="1" applyFill="1" applyBorder="1" applyProtection="1">
      <protection hidden="1"/>
    </xf>
    <xf numFmtId="0" fontId="13" fillId="4" borderId="0" xfId="0" applyFont="1" applyFill="1" applyBorder="1" applyAlignment="1" applyProtection="1">
      <alignment horizontal="left" vertical="center"/>
      <protection hidden="1"/>
    </xf>
    <xf numFmtId="0" fontId="7" fillId="4" borderId="0" xfId="0" applyFont="1" applyFill="1" applyBorder="1" applyAlignment="1" applyProtection="1">
      <alignment horizontal="centerContinuous"/>
      <protection hidden="1"/>
    </xf>
    <xf numFmtId="0" fontId="7" fillId="2" borderId="75" xfId="0" quotePrefix="1" applyFont="1" applyFill="1" applyBorder="1" applyAlignment="1" applyProtection="1">
      <alignment horizontal="center" vertical="center" wrapText="1"/>
      <protection hidden="1"/>
    </xf>
    <xf numFmtId="0" fontId="7" fillId="2" borderId="78" xfId="0" quotePrefix="1" applyFont="1" applyFill="1" applyBorder="1" applyAlignment="1" applyProtection="1">
      <alignment horizontal="center" vertical="center" wrapText="1"/>
      <protection hidden="1"/>
    </xf>
    <xf numFmtId="0" fontId="7" fillId="2" borderId="79" xfId="0" quotePrefix="1" applyFont="1" applyFill="1" applyBorder="1" applyAlignment="1" applyProtection="1">
      <alignment horizontal="center" vertical="center" wrapText="1"/>
      <protection hidden="1"/>
    </xf>
    <xf numFmtId="0" fontId="7" fillId="5" borderId="0" xfId="0" applyFont="1" applyFill="1" applyBorder="1" applyAlignment="1" applyProtection="1">
      <protection hidden="1"/>
    </xf>
    <xf numFmtId="0" fontId="7" fillId="2" borderId="55" xfId="0" quotePrefix="1" applyFont="1" applyFill="1" applyBorder="1" applyAlignment="1" applyProtection="1">
      <alignment horizontal="center" vertical="center" wrapText="1"/>
      <protection hidden="1"/>
    </xf>
    <xf numFmtId="0" fontId="7" fillId="2" borderId="49" xfId="0" quotePrefix="1" applyFont="1" applyFill="1" applyBorder="1" applyAlignment="1" applyProtection="1">
      <alignment horizontal="center" vertical="center" wrapText="1"/>
      <protection hidden="1"/>
    </xf>
    <xf numFmtId="0" fontId="7" fillId="2" borderId="51" xfId="0" quotePrefix="1" applyFont="1" applyFill="1" applyBorder="1" applyAlignment="1" applyProtection="1">
      <alignment horizontal="center" vertical="center" wrapText="1"/>
      <protection hidden="1"/>
    </xf>
    <xf numFmtId="0" fontId="7" fillId="2" borderId="0" xfId="0" quotePrefix="1" applyFont="1" applyFill="1" applyBorder="1" applyAlignment="1" applyProtection="1">
      <alignment horizontal="center" vertical="center" wrapText="1"/>
      <protection hidden="1"/>
    </xf>
    <xf numFmtId="0" fontId="8" fillId="4" borderId="1" xfId="0" applyFont="1" applyFill="1" applyBorder="1" applyAlignment="1" applyProtection="1">
      <alignment horizontal="right"/>
      <protection hidden="1"/>
    </xf>
    <xf numFmtId="0" fontId="7" fillId="4" borderId="0" xfId="0" applyFont="1" applyFill="1" applyBorder="1" applyAlignment="1" applyProtection="1">
      <alignment vertical="top"/>
      <protection hidden="1"/>
    </xf>
    <xf numFmtId="0" fontId="7" fillId="4" borderId="2" xfId="0" applyFont="1" applyFill="1" applyBorder="1" applyAlignment="1" applyProtection="1">
      <alignment vertical="top"/>
      <protection hidden="1"/>
    </xf>
    <xf numFmtId="0" fontId="14" fillId="4" borderId="0" xfId="0" applyFont="1" applyFill="1" applyBorder="1" applyAlignment="1" applyProtection="1">
      <alignment horizontal="center" vertical="center"/>
      <protection hidden="1"/>
    </xf>
    <xf numFmtId="0" fontId="16" fillId="4" borderId="0" xfId="0" applyFont="1" applyFill="1" applyBorder="1" applyAlignment="1" applyProtection="1">
      <alignment horizontal="left"/>
      <protection hidden="1"/>
    </xf>
    <xf numFmtId="0" fontId="7" fillId="4" borderId="0" xfId="0" applyFont="1" applyFill="1" applyBorder="1" applyAlignment="1" applyProtection="1">
      <alignment horizontal="right"/>
      <protection hidden="1"/>
    </xf>
    <xf numFmtId="0" fontId="7" fillId="4" borderId="2" xfId="0" applyFont="1" applyFill="1" applyBorder="1" applyAlignment="1" applyProtection="1">
      <alignment horizontal="right"/>
      <protection hidden="1"/>
    </xf>
    <xf numFmtId="181" fontId="8" fillId="4" borderId="29" xfId="0" applyNumberFormat="1" applyFont="1" applyFill="1" applyBorder="1" applyAlignment="1" applyProtection="1">
      <alignment vertical="center"/>
      <protection hidden="1"/>
    </xf>
    <xf numFmtId="181" fontId="8" fillId="4" borderId="49" xfId="0" applyNumberFormat="1" applyFont="1" applyFill="1" applyBorder="1" applyAlignment="1" applyProtection="1">
      <alignment vertical="center"/>
      <protection hidden="1"/>
    </xf>
    <xf numFmtId="181" fontId="8" fillId="4" borderId="51" xfId="0" applyNumberFormat="1" applyFont="1" applyFill="1" applyBorder="1" applyAlignment="1" applyProtection="1">
      <alignment vertical="center"/>
      <protection hidden="1"/>
    </xf>
    <xf numFmtId="0" fontId="13" fillId="4" borderId="60" xfId="0" applyFont="1" applyFill="1" applyBorder="1" applyAlignment="1" applyProtection="1">
      <alignment horizontal="left" vertical="center"/>
      <protection hidden="1"/>
    </xf>
    <xf numFmtId="0" fontId="7" fillId="4" borderId="60" xfId="0" applyFont="1" applyFill="1" applyBorder="1" applyAlignment="1" applyProtection="1">
      <alignment horizontal="centerContinuous" vertical="center"/>
      <protection hidden="1"/>
    </xf>
    <xf numFmtId="0" fontId="7" fillId="4" borderId="42" xfId="0" applyFont="1" applyFill="1" applyBorder="1" applyAlignment="1" applyProtection="1">
      <alignment horizontal="centerContinuous" vertical="center"/>
      <protection hidden="1"/>
    </xf>
    <xf numFmtId="182" fontId="7" fillId="0" borderId="42" xfId="0" applyNumberFormat="1" applyFont="1" applyFill="1" applyBorder="1" applyAlignment="1" applyProtection="1">
      <alignment vertical="center"/>
      <protection locked="0"/>
    </xf>
    <xf numFmtId="182" fontId="7" fillId="0" borderId="28" xfId="0" applyNumberFormat="1" applyFont="1" applyFill="1" applyBorder="1" applyAlignment="1" applyProtection="1">
      <alignment vertical="center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hidden="1"/>
    </xf>
    <xf numFmtId="0" fontId="8" fillId="4" borderId="7" xfId="0" applyFont="1" applyFill="1" applyBorder="1" applyAlignment="1" applyProtection="1">
      <alignment horizontal="center" vertical="center" wrapText="1"/>
      <protection hidden="1"/>
    </xf>
    <xf numFmtId="0" fontId="8" fillId="4" borderId="8" xfId="0" applyFont="1" applyFill="1" applyBorder="1" applyAlignment="1" applyProtection="1">
      <alignment horizontal="center" vertical="center" wrapText="1"/>
      <protection hidden="1"/>
    </xf>
    <xf numFmtId="0" fontId="8" fillId="4" borderId="44" xfId="0" applyFont="1" applyFill="1" applyBorder="1" applyAlignment="1" applyProtection="1">
      <alignment horizontal="center" vertical="top" wrapText="1"/>
      <protection hidden="1"/>
    </xf>
    <xf numFmtId="0" fontId="8" fillId="4" borderId="0" xfId="0" applyFont="1" applyFill="1" applyBorder="1" applyAlignment="1" applyProtection="1">
      <alignment horizontal="center" vertical="top"/>
      <protection hidden="1"/>
    </xf>
    <xf numFmtId="0" fontId="8" fillId="4" borderId="7" xfId="0" applyFont="1" applyFill="1" applyBorder="1" applyAlignment="1" applyProtection="1">
      <alignment horizontal="center" vertical="top"/>
      <protection hidden="1"/>
    </xf>
    <xf numFmtId="0" fontId="8" fillId="4" borderId="7" xfId="0" applyFont="1" applyFill="1" applyBorder="1" applyAlignment="1" applyProtection="1">
      <alignment horizontal="center" vertical="top" wrapText="1"/>
      <protection hidden="1"/>
    </xf>
    <xf numFmtId="0" fontId="7" fillId="3" borderId="0" xfId="0" applyFont="1" applyFill="1" applyBorder="1" applyAlignment="1" applyProtection="1">
      <alignment horizontal="left" vertical="center" indent="2"/>
      <protection hidden="1"/>
    </xf>
    <xf numFmtId="0" fontId="7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vertical="top"/>
      <protection hidden="1"/>
    </xf>
    <xf numFmtId="0" fontId="7" fillId="3" borderId="0" xfId="0" applyFont="1" applyFill="1" applyBorder="1" applyProtection="1">
      <protection hidden="1"/>
    </xf>
    <xf numFmtId="0" fontId="7" fillId="3" borderId="7" xfId="0" applyFont="1" applyFill="1" applyBorder="1" applyProtection="1">
      <protection hidden="1"/>
    </xf>
    <xf numFmtId="0" fontId="7" fillId="3" borderId="11" xfId="0" applyFont="1" applyFill="1" applyBorder="1" applyProtection="1">
      <protection hidden="1"/>
    </xf>
    <xf numFmtId="180" fontId="17" fillId="2" borderId="33" xfId="0" applyNumberFormat="1" applyFont="1" applyFill="1" applyBorder="1" applyAlignment="1" applyProtection="1">
      <alignment vertical="center"/>
      <protection hidden="1"/>
    </xf>
    <xf numFmtId="169" fontId="7" fillId="3" borderId="7" xfId="0" applyNumberFormat="1" applyFont="1" applyFill="1" applyBorder="1" applyAlignment="1" applyProtection="1">
      <alignment horizontal="center" vertical="center"/>
      <protection hidden="1"/>
    </xf>
    <xf numFmtId="169" fontId="7" fillId="3" borderId="0" xfId="0" applyNumberFormat="1" applyFont="1" applyFill="1" applyBorder="1" applyAlignment="1" applyProtection="1">
      <alignment horizontal="center" vertical="center"/>
      <protection hidden="1"/>
    </xf>
    <xf numFmtId="180" fontId="8" fillId="2" borderId="31" xfId="0" applyNumberFormat="1" applyFont="1" applyFill="1" applyBorder="1" applyAlignment="1" applyProtection="1">
      <alignment vertical="center"/>
      <protection hidden="1"/>
    </xf>
    <xf numFmtId="170" fontId="7" fillId="2" borderId="7" xfId="0" applyNumberFormat="1" applyFont="1" applyFill="1" applyBorder="1" applyAlignment="1" applyProtection="1">
      <alignment vertical="center"/>
      <protection hidden="1"/>
    </xf>
    <xf numFmtId="170" fontId="7" fillId="2" borderId="11" xfId="0" applyNumberFormat="1" applyFont="1" applyFill="1" applyBorder="1" applyAlignment="1" applyProtection="1">
      <alignment vertical="center"/>
      <protection hidden="1"/>
    </xf>
    <xf numFmtId="180" fontId="8" fillId="2" borderId="49" xfId="0" applyNumberFormat="1" applyFont="1" applyFill="1" applyBorder="1" applyAlignment="1" applyProtection="1">
      <alignment vertical="center"/>
      <protection hidden="1"/>
    </xf>
    <xf numFmtId="172" fontId="7" fillId="5" borderId="0" xfId="4" applyNumberFormat="1" applyFont="1" applyFill="1" applyBorder="1" applyAlignment="1" applyProtection="1">
      <protection hidden="1"/>
    </xf>
    <xf numFmtId="0" fontId="7" fillId="9" borderId="0" xfId="4" applyFont="1" applyFill="1" applyBorder="1" applyAlignment="1" applyProtection="1">
      <alignment vertical="top"/>
      <protection hidden="1"/>
    </xf>
    <xf numFmtId="0" fontId="7" fillId="5" borderId="0" xfId="4" applyFont="1" applyFill="1" applyBorder="1" applyAlignment="1" applyProtection="1">
      <alignment vertical="top"/>
      <protection hidden="1"/>
    </xf>
    <xf numFmtId="0" fontId="8" fillId="5" borderId="0" xfId="0" applyNumberFormat="1" applyFont="1" applyFill="1" applyBorder="1" applyAlignment="1" applyProtection="1">
      <alignment horizontal="right" vertical="center" indent="1"/>
      <protection hidden="1"/>
    </xf>
    <xf numFmtId="0" fontId="7" fillId="5" borderId="0" xfId="4" applyFont="1" applyFill="1" applyBorder="1" applyAlignment="1" applyProtection="1">
      <protection hidden="1"/>
    </xf>
    <xf numFmtId="172" fontId="7" fillId="6" borderId="0" xfId="0" applyNumberFormat="1" applyFont="1" applyFill="1" applyBorder="1" applyAlignment="1" applyProtection="1">
      <protection hidden="1"/>
    </xf>
    <xf numFmtId="172" fontId="8" fillId="6" borderId="0" xfId="0" applyNumberFormat="1" applyFont="1" applyFill="1" applyBorder="1" applyAlignment="1" applyProtection="1">
      <alignment vertical="center" wrapText="1"/>
      <protection hidden="1"/>
    </xf>
    <xf numFmtId="172" fontId="8" fillId="6" borderId="0" xfId="0" applyNumberFormat="1" applyFont="1" applyFill="1" applyBorder="1" applyAlignment="1" applyProtection="1">
      <alignment horizontal="right" vertical="center" indent="1"/>
      <protection hidden="1"/>
    </xf>
    <xf numFmtId="172" fontId="8" fillId="11" borderId="0" xfId="0" applyNumberFormat="1" applyFont="1" applyFill="1" applyBorder="1" applyAlignment="1" applyProtection="1">
      <alignment horizontal="right" vertical="center" indent="1"/>
      <protection hidden="1"/>
    </xf>
    <xf numFmtId="172" fontId="8" fillId="11" borderId="0" xfId="0" applyNumberFormat="1" applyFont="1" applyFill="1" applyBorder="1" applyAlignment="1" applyProtection="1">
      <alignment vertical="center" wrapText="1"/>
      <protection hidden="1"/>
    </xf>
    <xf numFmtId="0" fontId="18" fillId="11" borderId="0" xfId="0" applyFont="1" applyFill="1" applyBorder="1" applyAlignment="1" applyProtection="1">
      <protection hidden="1"/>
    </xf>
    <xf numFmtId="0" fontId="7" fillId="7" borderId="0" xfId="4" applyFont="1" applyFill="1" applyBorder="1" applyAlignment="1" applyProtection="1">
      <protection hidden="1"/>
    </xf>
    <xf numFmtId="0" fontId="18" fillId="6" borderId="0" xfId="0" applyFont="1" applyFill="1" applyBorder="1" applyAlignment="1" applyProtection="1">
      <protection hidden="1"/>
    </xf>
    <xf numFmtId="0" fontId="19" fillId="5" borderId="26" xfId="4" applyFont="1" applyFill="1" applyBorder="1" applyAlignment="1" applyProtection="1">
      <alignment vertical="center"/>
      <protection hidden="1"/>
    </xf>
    <xf numFmtId="0" fontId="8" fillId="5" borderId="0" xfId="4" applyFont="1" applyFill="1" applyBorder="1" applyAlignment="1" applyProtection="1">
      <alignment horizontal="center" vertical="center"/>
      <protection hidden="1"/>
    </xf>
    <xf numFmtId="0" fontId="12" fillId="11" borderId="0" xfId="0" applyFont="1" applyFill="1" applyBorder="1" applyAlignment="1" applyProtection="1">
      <alignment vertical="center"/>
      <protection hidden="1"/>
    </xf>
    <xf numFmtId="0" fontId="7" fillId="5" borderId="12" xfId="4" applyFont="1" applyFill="1" applyBorder="1" applyAlignment="1" applyProtection="1">
      <alignment vertical="center"/>
      <protection hidden="1"/>
    </xf>
    <xf numFmtId="0" fontId="7" fillId="5" borderId="0" xfId="4" applyFont="1" applyFill="1" applyBorder="1" applyProtection="1">
      <protection hidden="1"/>
    </xf>
    <xf numFmtId="0" fontId="12" fillId="11" borderId="0" xfId="0" applyFont="1" applyFill="1" applyBorder="1" applyAlignment="1" applyProtection="1">
      <protection hidden="1"/>
    </xf>
    <xf numFmtId="0" fontId="7" fillId="5" borderId="12" xfId="0" applyFont="1" applyFill="1" applyBorder="1" applyAlignment="1" applyProtection="1">
      <alignment vertical="center"/>
      <protection hidden="1"/>
    </xf>
    <xf numFmtId="0" fontId="8" fillId="5" borderId="7" xfId="4" applyFont="1" applyFill="1" applyBorder="1" applyAlignment="1" applyProtection="1">
      <alignment horizontal="center" vertical="top"/>
      <protection hidden="1"/>
    </xf>
    <xf numFmtId="0" fontId="8" fillId="5" borderId="0" xfId="4" applyFont="1" applyFill="1" applyBorder="1" applyAlignment="1" applyProtection="1">
      <alignment horizontal="center" vertical="top"/>
      <protection hidden="1"/>
    </xf>
    <xf numFmtId="0" fontId="19" fillId="5" borderId="12" xfId="4" applyFont="1" applyFill="1" applyBorder="1" applyAlignment="1" applyProtection="1">
      <alignment horizontal="left" vertical="center" indent="1"/>
      <protection hidden="1"/>
    </xf>
    <xf numFmtId="0" fontId="7" fillId="5" borderId="7" xfId="0" applyFont="1" applyFill="1" applyBorder="1" applyAlignment="1" applyProtection="1">
      <protection hidden="1"/>
    </xf>
    <xf numFmtId="0" fontId="7" fillId="5" borderId="8" xfId="0" applyFont="1" applyFill="1" applyBorder="1" applyAlignment="1" applyProtection="1">
      <protection hidden="1"/>
    </xf>
    <xf numFmtId="0" fontId="7" fillId="5" borderId="7" xfId="4" applyFont="1" applyFill="1" applyBorder="1" applyProtection="1">
      <protection hidden="1"/>
    </xf>
    <xf numFmtId="0" fontId="7" fillId="5" borderId="8" xfId="4" applyFont="1" applyFill="1" applyBorder="1" applyProtection="1">
      <protection hidden="1"/>
    </xf>
    <xf numFmtId="0" fontId="7" fillId="12" borderId="0" xfId="4" applyFont="1" applyFill="1" applyBorder="1" applyProtection="1">
      <protection hidden="1"/>
    </xf>
    <xf numFmtId="0" fontId="7" fillId="5" borderId="12" xfId="0" applyFont="1" applyFill="1" applyBorder="1" applyAlignment="1" applyProtection="1">
      <protection hidden="1"/>
    </xf>
    <xf numFmtId="0" fontId="8" fillId="5" borderId="10" xfId="0" applyFont="1" applyFill="1" applyBorder="1" applyAlignment="1" applyProtection="1">
      <alignment horizontal="center" vertical="center" wrapText="1"/>
      <protection hidden="1"/>
    </xf>
    <xf numFmtId="0" fontId="8" fillId="5" borderId="7" xfId="0" applyFont="1" applyFill="1" applyBorder="1" applyAlignment="1" applyProtection="1">
      <alignment horizontal="center" vertical="center" wrapText="1"/>
      <protection hidden="1"/>
    </xf>
    <xf numFmtId="0" fontId="8" fillId="5" borderId="8" xfId="0" applyFont="1" applyFill="1" applyBorder="1" applyAlignment="1" applyProtection="1">
      <alignment horizontal="center" vertical="center" wrapText="1"/>
      <protection hidden="1"/>
    </xf>
    <xf numFmtId="0" fontId="8" fillId="5" borderId="0" xfId="0" applyFont="1" applyFill="1" applyBorder="1" applyAlignment="1" applyProtection="1">
      <alignment horizontal="center" vertical="center" wrapText="1"/>
      <protection hidden="1"/>
    </xf>
    <xf numFmtId="0" fontId="8" fillId="5" borderId="6" xfId="0" applyFont="1" applyFill="1" applyBorder="1" applyAlignment="1" applyProtection="1">
      <alignment horizontal="center" vertical="center" wrapText="1"/>
      <protection hidden="1"/>
    </xf>
    <xf numFmtId="0" fontId="8" fillId="5" borderId="11" xfId="0" applyFont="1" applyFill="1" applyBorder="1" applyAlignment="1" applyProtection="1">
      <alignment horizontal="center" vertical="center" wrapText="1"/>
      <protection hidden="1"/>
    </xf>
    <xf numFmtId="0" fontId="8" fillId="5" borderId="12" xfId="0" applyFont="1" applyFill="1" applyBorder="1" applyAlignment="1" applyProtection="1">
      <alignment horizontal="center" vertical="center" wrapText="1"/>
      <protection hidden="1"/>
    </xf>
    <xf numFmtId="0" fontId="8" fillId="7" borderId="10" xfId="0" applyFont="1" applyFill="1" applyBorder="1" applyAlignment="1" applyProtection="1">
      <alignment horizontal="center" vertical="center" wrapText="1"/>
      <protection hidden="1"/>
    </xf>
    <xf numFmtId="0" fontId="8" fillId="7" borderId="7" xfId="0" applyFont="1" applyFill="1" applyBorder="1" applyAlignment="1" applyProtection="1">
      <alignment horizontal="center" vertical="center" wrapText="1"/>
      <protection hidden="1"/>
    </xf>
    <xf numFmtId="0" fontId="8" fillId="12" borderId="10" xfId="0" applyFont="1" applyFill="1" applyBorder="1" applyAlignment="1" applyProtection="1">
      <alignment horizontal="center" vertical="center" wrapText="1"/>
      <protection hidden="1"/>
    </xf>
    <xf numFmtId="0" fontId="8" fillId="12" borderId="7" xfId="0" applyFont="1" applyFill="1" applyBorder="1" applyAlignment="1" applyProtection="1">
      <alignment horizontal="center" vertical="center" wrapText="1"/>
      <protection hidden="1"/>
    </xf>
    <xf numFmtId="0" fontId="8" fillId="5" borderId="10" xfId="0" applyFont="1" applyFill="1" applyBorder="1" applyAlignment="1" applyProtection="1">
      <alignment horizontal="center" vertical="top" wrapText="1"/>
      <protection hidden="1"/>
    </xf>
    <xf numFmtId="0" fontId="8" fillId="5" borderId="7" xfId="0" applyFont="1" applyFill="1" applyBorder="1" applyAlignment="1" applyProtection="1">
      <alignment horizontal="center" vertical="top" wrapText="1"/>
      <protection hidden="1"/>
    </xf>
    <xf numFmtId="0" fontId="8" fillId="5" borderId="6" xfId="0" applyFont="1" applyFill="1" applyBorder="1" applyAlignment="1" applyProtection="1">
      <alignment horizontal="center" vertical="top" wrapText="1"/>
      <protection hidden="1"/>
    </xf>
    <xf numFmtId="0" fontId="8" fillId="5" borderId="8" xfId="0" applyFont="1" applyFill="1" applyBorder="1" applyAlignment="1" applyProtection="1">
      <alignment horizontal="center" vertical="top" wrapText="1"/>
      <protection hidden="1"/>
    </xf>
    <xf numFmtId="0" fontId="8" fillId="5" borderId="0" xfId="0" applyFont="1" applyFill="1" applyBorder="1" applyAlignment="1" applyProtection="1">
      <alignment horizontal="center" vertical="top" wrapText="1"/>
      <protection hidden="1"/>
    </xf>
    <xf numFmtId="0" fontId="8" fillId="5" borderId="12" xfId="0" applyFont="1" applyFill="1" applyBorder="1" applyAlignment="1" applyProtection="1">
      <alignment horizontal="center" vertical="top" wrapText="1"/>
      <protection hidden="1"/>
    </xf>
    <xf numFmtId="0" fontId="20" fillId="7" borderId="6" xfId="0" applyFont="1" applyFill="1" applyBorder="1" applyAlignment="1" applyProtection="1">
      <alignment horizontal="center" vertical="top" wrapText="1"/>
      <protection hidden="1"/>
    </xf>
    <xf numFmtId="0" fontId="20" fillId="7" borderId="7" xfId="0" applyFont="1" applyFill="1" applyBorder="1" applyAlignment="1" applyProtection="1">
      <alignment horizontal="center" vertical="top" wrapText="1"/>
      <protection hidden="1"/>
    </xf>
    <xf numFmtId="0" fontId="20" fillId="7" borderId="8" xfId="0" applyFont="1" applyFill="1" applyBorder="1" applyAlignment="1" applyProtection="1">
      <alignment horizontal="center" vertical="top" wrapText="1"/>
      <protection hidden="1"/>
    </xf>
    <xf numFmtId="0" fontId="21" fillId="12" borderId="6" xfId="0" applyFont="1" applyFill="1" applyBorder="1" applyAlignment="1" applyProtection="1">
      <alignment horizontal="center" vertical="top" wrapText="1"/>
      <protection hidden="1"/>
    </xf>
    <xf numFmtId="0" fontId="21" fillId="12" borderId="7" xfId="0" applyFont="1" applyFill="1" applyBorder="1" applyAlignment="1" applyProtection="1">
      <alignment horizontal="center" vertical="top" wrapText="1"/>
      <protection hidden="1"/>
    </xf>
    <xf numFmtId="0" fontId="21" fillId="12" borderId="8" xfId="0" applyFont="1" applyFill="1" applyBorder="1" applyAlignment="1" applyProtection="1">
      <alignment horizontal="center" vertical="top" wrapText="1"/>
      <protection hidden="1"/>
    </xf>
    <xf numFmtId="0" fontId="8" fillId="5" borderId="59" xfId="4" applyFont="1" applyFill="1" applyBorder="1" applyAlignment="1" applyProtection="1">
      <alignment horizontal="left" vertical="center" indent="1"/>
      <protection hidden="1"/>
    </xf>
    <xf numFmtId="178" fontId="7" fillId="0" borderId="57" xfId="4" applyNumberFormat="1" applyFont="1" applyFill="1" applyBorder="1" applyAlignment="1" applyProtection="1">
      <alignment vertical="center"/>
      <protection locked="0"/>
    </xf>
    <xf numFmtId="178" fontId="7" fillId="0" borderId="20" xfId="4" applyNumberFormat="1" applyFont="1" applyFill="1" applyBorder="1" applyAlignment="1" applyProtection="1">
      <alignment vertical="center"/>
      <protection locked="0"/>
    </xf>
    <xf numFmtId="180" fontId="17" fillId="5" borderId="48" xfId="4" applyNumberFormat="1" applyFont="1" applyFill="1" applyBorder="1" applyAlignment="1" applyProtection="1">
      <alignment vertical="center"/>
      <protection hidden="1"/>
    </xf>
    <xf numFmtId="180" fontId="8" fillId="5" borderId="80" xfId="4" applyNumberFormat="1" applyFont="1" applyFill="1" applyBorder="1" applyAlignment="1" applyProtection="1">
      <alignment vertical="center"/>
      <protection hidden="1"/>
    </xf>
    <xf numFmtId="180" fontId="8" fillId="5" borderId="31" xfId="4" applyNumberFormat="1" applyFont="1" applyFill="1" applyBorder="1" applyAlignment="1" applyProtection="1">
      <alignment vertical="center"/>
      <protection hidden="1"/>
    </xf>
    <xf numFmtId="180" fontId="8" fillId="5" borderId="48" xfId="4" applyNumberFormat="1" applyFont="1" applyFill="1" applyBorder="1" applyAlignment="1" applyProtection="1">
      <alignment vertical="center"/>
      <protection hidden="1"/>
    </xf>
    <xf numFmtId="0" fontId="7" fillId="5" borderId="21" xfId="4" applyFont="1" applyFill="1" applyBorder="1" applyProtection="1">
      <protection hidden="1"/>
    </xf>
    <xf numFmtId="0" fontId="7" fillId="5" borderId="22" xfId="4" applyFont="1" applyFill="1" applyBorder="1" applyProtection="1">
      <protection hidden="1"/>
    </xf>
    <xf numFmtId="0" fontId="7" fillId="5" borderId="23" xfId="4" applyFont="1" applyFill="1" applyBorder="1" applyProtection="1">
      <protection hidden="1"/>
    </xf>
    <xf numFmtId="0" fontId="7" fillId="5" borderId="12" xfId="4" applyFont="1" applyFill="1" applyBorder="1" applyProtection="1">
      <protection hidden="1"/>
    </xf>
    <xf numFmtId="180" fontId="7" fillId="7" borderId="46" xfId="4" applyNumberFormat="1" applyFont="1" applyFill="1" applyBorder="1" applyAlignment="1" applyProtection="1">
      <alignment vertical="center"/>
      <protection hidden="1"/>
    </xf>
    <xf numFmtId="180" fontId="7" fillId="7" borderId="20" xfId="4" applyNumberFormat="1" applyFont="1" applyFill="1" applyBorder="1" applyAlignment="1" applyProtection="1">
      <alignment vertical="center"/>
      <protection hidden="1"/>
    </xf>
    <xf numFmtId="180" fontId="7" fillId="12" borderId="46" xfId="4" applyNumberFormat="1" applyFont="1" applyFill="1" applyBorder="1" applyAlignment="1" applyProtection="1">
      <alignment vertical="center"/>
      <protection hidden="1"/>
    </xf>
    <xf numFmtId="180" fontId="7" fillId="12" borderId="20" xfId="4" applyNumberFormat="1" applyFont="1" applyFill="1" applyBorder="1" applyAlignment="1" applyProtection="1">
      <alignment vertical="center"/>
      <protection hidden="1"/>
    </xf>
    <xf numFmtId="180" fontId="8" fillId="12" borderId="48" xfId="4" applyNumberFormat="1" applyFont="1" applyFill="1" applyBorder="1" applyAlignment="1" applyProtection="1">
      <alignment vertical="center"/>
      <protection hidden="1"/>
    </xf>
    <xf numFmtId="0" fontId="8" fillId="5" borderId="26" xfId="4" applyFont="1" applyFill="1" applyBorder="1" applyAlignment="1" applyProtection="1">
      <alignment horizontal="left" vertical="center" indent="1"/>
      <protection hidden="1"/>
    </xf>
    <xf numFmtId="0" fontId="7" fillId="5" borderId="26" xfId="4" applyFont="1" applyFill="1" applyBorder="1" applyProtection="1">
      <protection hidden="1"/>
    </xf>
    <xf numFmtId="0" fontId="7" fillId="7" borderId="24" xfId="4" applyFont="1" applyFill="1" applyBorder="1" applyProtection="1">
      <protection hidden="1"/>
    </xf>
    <xf numFmtId="0" fontId="7" fillId="7" borderId="22" xfId="4" applyFont="1" applyFill="1" applyBorder="1" applyProtection="1">
      <protection hidden="1"/>
    </xf>
    <xf numFmtId="0" fontId="7" fillId="7" borderId="21" xfId="4" applyFont="1" applyFill="1" applyBorder="1" applyProtection="1">
      <protection hidden="1"/>
    </xf>
    <xf numFmtId="0" fontId="7" fillId="7" borderId="23" xfId="4" applyFont="1" applyFill="1" applyBorder="1" applyProtection="1">
      <protection hidden="1"/>
    </xf>
    <xf numFmtId="0" fontId="7" fillId="12" borderId="24" xfId="4" applyFont="1" applyFill="1" applyBorder="1" applyProtection="1">
      <protection hidden="1"/>
    </xf>
    <xf numFmtId="0" fontId="7" fillId="12" borderId="22" xfId="4" applyFont="1" applyFill="1" applyBorder="1" applyProtection="1">
      <protection hidden="1"/>
    </xf>
    <xf numFmtId="0" fontId="7" fillId="12" borderId="25" xfId="4" applyFont="1" applyFill="1" applyBorder="1" applyProtection="1">
      <protection hidden="1"/>
    </xf>
    <xf numFmtId="0" fontId="19" fillId="5" borderId="12" xfId="4" applyFont="1" applyFill="1" applyBorder="1" applyAlignment="1" applyProtection="1">
      <alignment horizontal="left" vertical="center" indent="3"/>
      <protection hidden="1"/>
    </xf>
    <xf numFmtId="0" fontId="7" fillId="5" borderId="10" xfId="4" applyFont="1" applyFill="1" applyBorder="1" applyProtection="1">
      <protection hidden="1"/>
    </xf>
    <xf numFmtId="0" fontId="7" fillId="5" borderId="11" xfId="4" applyFont="1" applyFill="1" applyBorder="1" applyProtection="1">
      <protection hidden="1"/>
    </xf>
    <xf numFmtId="0" fontId="7" fillId="7" borderId="6" xfId="4" applyFont="1" applyFill="1" applyBorder="1" applyProtection="1">
      <protection hidden="1"/>
    </xf>
    <xf numFmtId="0" fontId="7" fillId="7" borderId="7" xfId="4" applyFont="1" applyFill="1" applyBorder="1" applyProtection="1">
      <protection hidden="1"/>
    </xf>
    <xf numFmtId="0" fontId="7" fillId="7" borderId="10" xfId="4" applyFont="1" applyFill="1" applyBorder="1" applyProtection="1">
      <protection hidden="1"/>
    </xf>
    <xf numFmtId="0" fontId="7" fillId="7" borderId="11" xfId="4" applyFont="1" applyFill="1" applyBorder="1" applyProtection="1">
      <protection hidden="1"/>
    </xf>
    <xf numFmtId="0" fontId="7" fillId="12" borderId="6" xfId="4" applyFont="1" applyFill="1" applyBorder="1" applyProtection="1">
      <protection hidden="1"/>
    </xf>
    <xf numFmtId="0" fontId="7" fillId="12" borderId="7" xfId="4" applyFont="1" applyFill="1" applyBorder="1" applyProtection="1">
      <protection hidden="1"/>
    </xf>
    <xf numFmtId="0" fontId="7" fillId="12" borderId="10" xfId="4" applyFont="1" applyFill="1" applyBorder="1" applyProtection="1">
      <protection hidden="1"/>
    </xf>
    <xf numFmtId="0" fontId="23" fillId="5" borderId="12" xfId="4" applyFont="1" applyFill="1" applyBorder="1" applyAlignment="1" applyProtection="1">
      <alignment horizontal="left" vertical="center" indent="4"/>
      <protection hidden="1"/>
    </xf>
    <xf numFmtId="178" fontId="7" fillId="0" borderId="31" xfId="7" applyNumberFormat="1" applyFont="1" applyFill="1" applyBorder="1" applyAlignment="1" applyProtection="1">
      <alignment vertical="center"/>
      <protection locked="0"/>
    </xf>
    <xf numFmtId="178" fontId="7" fillId="0" borderId="30" xfId="7" applyNumberFormat="1" applyFont="1" applyFill="1" applyBorder="1" applyAlignment="1" applyProtection="1">
      <alignment vertical="center"/>
      <protection locked="0"/>
    </xf>
    <xf numFmtId="180" fontId="8" fillId="5" borderId="30" xfId="4" applyNumberFormat="1" applyFont="1" applyFill="1" applyBorder="1" applyAlignment="1" applyProtection="1">
      <alignment vertical="center"/>
      <protection hidden="1"/>
    </xf>
    <xf numFmtId="180" fontId="8" fillId="5" borderId="33" xfId="4" applyNumberFormat="1" applyFont="1" applyFill="1" applyBorder="1" applyAlignment="1" applyProtection="1">
      <alignment vertical="center"/>
      <protection hidden="1"/>
    </xf>
    <xf numFmtId="180" fontId="7" fillId="7" borderId="39" xfId="4" applyNumberFormat="1" applyFont="1" applyFill="1" applyBorder="1" applyAlignment="1" applyProtection="1">
      <alignment vertical="center"/>
      <protection hidden="1"/>
    </xf>
    <xf numFmtId="180" fontId="7" fillId="7" borderId="31" xfId="4" applyNumberFormat="1" applyFont="1" applyFill="1" applyBorder="1" applyAlignment="1" applyProtection="1">
      <alignment vertical="center"/>
      <protection hidden="1"/>
    </xf>
    <xf numFmtId="176" fontId="7" fillId="7" borderId="39" xfId="4" applyNumberFormat="1" applyFont="1" applyFill="1" applyBorder="1" applyAlignment="1" applyProtection="1">
      <alignment vertical="center"/>
      <protection hidden="1"/>
    </xf>
    <xf numFmtId="176" fontId="7" fillId="7" borderId="31" xfId="4" applyNumberFormat="1" applyFont="1" applyFill="1" applyBorder="1" applyAlignment="1" applyProtection="1">
      <alignment vertical="center"/>
      <protection hidden="1"/>
    </xf>
    <xf numFmtId="180" fontId="7" fillId="12" borderId="39" xfId="4" applyNumberFormat="1" applyFont="1" applyFill="1" applyBorder="1" applyAlignment="1" applyProtection="1">
      <alignment vertical="center"/>
      <protection hidden="1"/>
    </xf>
    <xf numFmtId="180" fontId="7" fillId="12" borderId="31" xfId="4" applyNumberFormat="1" applyFont="1" applyFill="1" applyBorder="1" applyAlignment="1" applyProtection="1">
      <alignment vertical="center"/>
      <protection hidden="1"/>
    </xf>
    <xf numFmtId="176" fontId="7" fillId="12" borderId="31" xfId="4" applyNumberFormat="1" applyFont="1" applyFill="1" applyBorder="1" applyAlignment="1" applyProtection="1">
      <alignment vertical="center"/>
      <protection hidden="1"/>
    </xf>
    <xf numFmtId="0" fontId="8" fillId="5" borderId="18" xfId="4" applyFont="1" applyFill="1" applyBorder="1" applyAlignment="1" applyProtection="1">
      <alignment horizontal="left" vertical="center" indent="3"/>
      <protection hidden="1"/>
    </xf>
    <xf numFmtId="180" fontId="8" fillId="5" borderId="39" xfId="4" applyNumberFormat="1" applyFont="1" applyFill="1" applyBorder="1" applyAlignment="1" applyProtection="1">
      <alignment vertical="center"/>
      <protection hidden="1"/>
    </xf>
    <xf numFmtId="180" fontId="8" fillId="5" borderId="49" xfId="4" applyNumberFormat="1" applyFont="1" applyFill="1" applyBorder="1" applyAlignment="1" applyProtection="1">
      <alignment vertical="center"/>
      <protection hidden="1"/>
    </xf>
    <xf numFmtId="180" fontId="8" fillId="5" borderId="51" xfId="4" applyNumberFormat="1" applyFont="1" applyFill="1" applyBorder="1" applyAlignment="1" applyProtection="1">
      <alignment vertical="center"/>
      <protection hidden="1"/>
    </xf>
    <xf numFmtId="180" fontId="8" fillId="5" borderId="54" xfId="4" applyNumberFormat="1" applyFont="1" applyFill="1" applyBorder="1" applyAlignment="1" applyProtection="1">
      <alignment vertical="center"/>
      <protection hidden="1"/>
    </xf>
    <xf numFmtId="0" fontId="7" fillId="5" borderId="34" xfId="4" applyFont="1" applyFill="1" applyBorder="1" applyProtection="1">
      <protection hidden="1"/>
    </xf>
    <xf numFmtId="0" fontId="7" fillId="5" borderId="13" xfId="4" applyFont="1" applyFill="1" applyBorder="1" applyProtection="1">
      <protection hidden="1"/>
    </xf>
    <xf numFmtId="0" fontId="7" fillId="5" borderId="17" xfId="4" applyFont="1" applyFill="1" applyBorder="1" applyProtection="1">
      <protection hidden="1"/>
    </xf>
    <xf numFmtId="0" fontId="7" fillId="5" borderId="18" xfId="4" applyFont="1" applyFill="1" applyBorder="1" applyProtection="1">
      <protection hidden="1"/>
    </xf>
    <xf numFmtId="180" fontId="8" fillId="7" borderId="49" xfId="4" applyNumberFormat="1" applyFont="1" applyFill="1" applyBorder="1" applyAlignment="1" applyProtection="1">
      <alignment vertical="center"/>
      <protection hidden="1"/>
    </xf>
    <xf numFmtId="176" fontId="8" fillId="7" borderId="34" xfId="4" applyNumberFormat="1" applyFont="1" applyFill="1" applyBorder="1" applyAlignment="1" applyProtection="1">
      <alignment vertical="center"/>
      <protection hidden="1"/>
    </xf>
    <xf numFmtId="176" fontId="8" fillId="7" borderId="13" xfId="4" applyNumberFormat="1" applyFont="1" applyFill="1" applyBorder="1" applyAlignment="1" applyProtection="1">
      <alignment vertical="center"/>
      <protection hidden="1"/>
    </xf>
    <xf numFmtId="176" fontId="8" fillId="12" borderId="13" xfId="4" applyNumberFormat="1" applyFont="1" applyFill="1" applyBorder="1" applyAlignment="1" applyProtection="1">
      <alignment vertical="center"/>
      <protection hidden="1"/>
    </xf>
    <xf numFmtId="0" fontId="7" fillId="7" borderId="8" xfId="4" applyFont="1" applyFill="1" applyBorder="1" applyProtection="1">
      <protection hidden="1"/>
    </xf>
    <xf numFmtId="0" fontId="7" fillId="12" borderId="8" xfId="4" applyFont="1" applyFill="1" applyBorder="1" applyProtection="1">
      <protection hidden="1"/>
    </xf>
    <xf numFmtId="180" fontId="17" fillId="5" borderId="31" xfId="4" applyNumberFormat="1" applyFont="1" applyFill="1" applyBorder="1" applyAlignment="1" applyProtection="1">
      <alignment vertical="center"/>
      <protection hidden="1"/>
    </xf>
    <xf numFmtId="180" fontId="8" fillId="5" borderId="35" xfId="4" applyNumberFormat="1" applyFont="1" applyFill="1" applyBorder="1" applyAlignment="1" applyProtection="1">
      <alignment vertical="center"/>
      <protection hidden="1"/>
    </xf>
    <xf numFmtId="180" fontId="8" fillId="5" borderId="43" xfId="4" applyNumberFormat="1" applyFont="1" applyFill="1" applyBorder="1" applyAlignment="1" applyProtection="1">
      <alignment vertical="center"/>
      <protection hidden="1"/>
    </xf>
    <xf numFmtId="180" fontId="8" fillId="5" borderId="53" xfId="4" applyNumberFormat="1" applyFont="1" applyFill="1" applyBorder="1" applyAlignment="1" applyProtection="1">
      <alignment vertical="center"/>
      <protection hidden="1"/>
    </xf>
    <xf numFmtId="180" fontId="8" fillId="5" borderId="55" xfId="4" applyNumberFormat="1" applyFont="1" applyFill="1" applyBorder="1" applyAlignment="1" applyProtection="1">
      <alignment vertical="center"/>
      <protection hidden="1"/>
    </xf>
    <xf numFmtId="180" fontId="8" fillId="7" borderId="15" xfId="4" applyNumberFormat="1" applyFont="1" applyFill="1" applyBorder="1" applyAlignment="1" applyProtection="1">
      <alignment vertical="center"/>
      <protection hidden="1"/>
    </xf>
    <xf numFmtId="180" fontId="8" fillId="7" borderId="13" xfId="4" applyNumberFormat="1" applyFont="1" applyFill="1" applyBorder="1" applyAlignment="1" applyProtection="1">
      <alignment vertical="center"/>
      <protection hidden="1"/>
    </xf>
    <xf numFmtId="176" fontId="8" fillId="7" borderId="10" xfId="4" applyNumberFormat="1" applyFont="1" applyFill="1" applyBorder="1" applyAlignment="1" applyProtection="1">
      <alignment vertical="center"/>
      <protection hidden="1"/>
    </xf>
    <xf numFmtId="176" fontId="8" fillId="7" borderId="7" xfId="4" applyNumberFormat="1" applyFont="1" applyFill="1" applyBorder="1" applyAlignment="1" applyProtection="1">
      <alignment vertical="center"/>
      <protection hidden="1"/>
    </xf>
    <xf numFmtId="180" fontId="8" fillId="12" borderId="15" xfId="4" applyNumberFormat="1" applyFont="1" applyFill="1" applyBorder="1" applyAlignment="1" applyProtection="1">
      <alignment vertical="center"/>
      <protection hidden="1"/>
    </xf>
    <xf numFmtId="180" fontId="8" fillId="12" borderId="13" xfId="4" applyNumberFormat="1" applyFont="1" applyFill="1" applyBorder="1" applyAlignment="1" applyProtection="1">
      <alignment vertical="center"/>
      <protection hidden="1"/>
    </xf>
    <xf numFmtId="176" fontId="8" fillId="12" borderId="7" xfId="4" applyNumberFormat="1" applyFont="1" applyFill="1" applyBorder="1" applyAlignment="1" applyProtection="1">
      <alignment vertical="center"/>
      <protection hidden="1"/>
    </xf>
    <xf numFmtId="0" fontId="8" fillId="5" borderId="12" xfId="4" applyFont="1" applyFill="1" applyBorder="1" applyAlignment="1" applyProtection="1">
      <alignment horizontal="left" vertical="center" indent="1"/>
      <protection hidden="1"/>
    </xf>
    <xf numFmtId="0" fontId="19" fillId="5" borderId="12" xfId="4" applyFont="1" applyFill="1" applyBorder="1" applyAlignment="1" applyProtection="1">
      <alignment horizontal="left" vertical="center" indent="4"/>
      <protection hidden="1"/>
    </xf>
    <xf numFmtId="0" fontId="23" fillId="5" borderId="12" xfId="4" applyFont="1" applyFill="1" applyBorder="1" applyAlignment="1" applyProtection="1">
      <alignment horizontal="left" vertical="center" indent="5"/>
      <protection hidden="1"/>
    </xf>
    <xf numFmtId="178" fontId="7" fillId="0" borderId="39" xfId="7" applyNumberFormat="1" applyFont="1" applyFill="1" applyBorder="1" applyAlignment="1" applyProtection="1">
      <alignment vertical="center"/>
      <protection locked="0"/>
    </xf>
    <xf numFmtId="0" fontId="7" fillId="7" borderId="30" xfId="4" applyFont="1" applyFill="1" applyBorder="1" applyProtection="1">
      <protection hidden="1"/>
    </xf>
    <xf numFmtId="0" fontId="7" fillId="7" borderId="31" xfId="4" applyFont="1" applyFill="1" applyBorder="1" applyProtection="1">
      <protection hidden="1"/>
    </xf>
    <xf numFmtId="0" fontId="7" fillId="7" borderId="33" xfId="4" applyFont="1" applyFill="1" applyBorder="1" applyProtection="1">
      <protection hidden="1"/>
    </xf>
    <xf numFmtId="0" fontId="7" fillId="12" borderId="30" xfId="4" applyFont="1" applyFill="1" applyBorder="1" applyProtection="1">
      <protection hidden="1"/>
    </xf>
    <xf numFmtId="0" fontId="7" fillId="12" borderId="31" xfId="4" applyFont="1" applyFill="1" applyBorder="1" applyProtection="1">
      <protection hidden="1"/>
    </xf>
    <xf numFmtId="0" fontId="7" fillId="7" borderId="28" xfId="4" applyFont="1" applyFill="1" applyBorder="1" applyProtection="1">
      <protection hidden="1"/>
    </xf>
    <xf numFmtId="0" fontId="7" fillId="12" borderId="28" xfId="4" applyFont="1" applyFill="1" applyBorder="1" applyProtection="1">
      <protection hidden="1"/>
    </xf>
    <xf numFmtId="0" fontId="8" fillId="5" borderId="12" xfId="4" applyFont="1" applyFill="1" applyBorder="1" applyAlignment="1" applyProtection="1">
      <alignment horizontal="left" vertical="center" indent="3"/>
      <protection hidden="1"/>
    </xf>
    <xf numFmtId="180" fontId="8" fillId="7" borderId="36" xfId="4" applyNumberFormat="1" applyFont="1" applyFill="1" applyBorder="1" applyAlignment="1" applyProtection="1">
      <alignment vertical="center"/>
      <protection hidden="1"/>
    </xf>
    <xf numFmtId="180" fontId="8" fillId="5" borderId="57" xfId="4" applyNumberFormat="1" applyFont="1" applyFill="1" applyBorder="1" applyAlignment="1" applyProtection="1">
      <alignment vertical="center"/>
      <protection hidden="1"/>
    </xf>
    <xf numFmtId="180" fontId="8" fillId="5" borderId="56" xfId="4" applyNumberFormat="1" applyFont="1" applyFill="1" applyBorder="1" applyAlignment="1" applyProtection="1">
      <alignment vertical="center"/>
      <protection hidden="1"/>
    </xf>
    <xf numFmtId="180" fontId="8" fillId="5" borderId="20" xfId="4" applyNumberFormat="1" applyFont="1" applyFill="1" applyBorder="1" applyAlignment="1" applyProtection="1">
      <alignment vertical="center"/>
      <protection hidden="1"/>
    </xf>
    <xf numFmtId="180" fontId="8" fillId="5" borderId="19" xfId="4" applyNumberFormat="1" applyFont="1" applyFill="1" applyBorder="1" applyAlignment="1" applyProtection="1">
      <alignment vertical="center"/>
      <protection hidden="1"/>
    </xf>
    <xf numFmtId="180" fontId="8" fillId="7" borderId="19" xfId="4" applyNumberFormat="1" applyFont="1" applyFill="1" applyBorder="1" applyAlignment="1" applyProtection="1">
      <alignment vertical="center"/>
      <protection hidden="1"/>
    </xf>
    <xf numFmtId="180" fontId="8" fillId="7" borderId="20" xfId="4" applyNumberFormat="1" applyFont="1" applyFill="1" applyBorder="1" applyAlignment="1" applyProtection="1">
      <alignment vertical="center"/>
      <protection hidden="1"/>
    </xf>
    <xf numFmtId="180" fontId="8" fillId="12" borderId="19" xfId="4" applyNumberFormat="1" applyFont="1" applyFill="1" applyBorder="1" applyAlignment="1" applyProtection="1">
      <alignment vertical="center"/>
      <protection hidden="1"/>
    </xf>
    <xf numFmtId="180" fontId="8" fillId="12" borderId="20" xfId="4" applyNumberFormat="1" applyFont="1" applyFill="1" applyBorder="1" applyAlignment="1" applyProtection="1">
      <alignment vertical="center"/>
      <protection hidden="1"/>
    </xf>
    <xf numFmtId="0" fontId="7" fillId="7" borderId="0" xfId="4" applyFont="1" applyFill="1" applyBorder="1" applyProtection="1">
      <protection hidden="1"/>
    </xf>
    <xf numFmtId="0" fontId="7" fillId="5" borderId="0" xfId="4" quotePrefix="1" applyFont="1" applyFill="1" applyBorder="1" applyProtection="1">
      <protection hidden="1"/>
    </xf>
    <xf numFmtId="180" fontId="7" fillId="7" borderId="0" xfId="4" applyNumberFormat="1" applyFont="1" applyFill="1" applyBorder="1" applyAlignment="1" applyProtection="1">
      <protection hidden="1"/>
    </xf>
    <xf numFmtId="180" fontId="7" fillId="12" borderId="0" xfId="4" applyNumberFormat="1" applyFont="1" applyFill="1" applyBorder="1" applyAlignment="1" applyProtection="1">
      <protection hidden="1"/>
    </xf>
    <xf numFmtId="180" fontId="7" fillId="7" borderId="0" xfId="4" applyNumberFormat="1" applyFont="1" applyFill="1" applyBorder="1" applyProtection="1">
      <protection hidden="1"/>
    </xf>
    <xf numFmtId="0" fontId="8" fillId="5" borderId="8" xfId="4" applyFont="1" applyFill="1" applyBorder="1" applyAlignment="1" applyProtection="1">
      <alignment horizontal="center" vertical="top"/>
      <protection hidden="1"/>
    </xf>
    <xf numFmtId="0" fontId="8" fillId="3" borderId="7" xfId="0" applyFont="1" applyFill="1" applyBorder="1" applyAlignment="1" applyProtection="1">
      <alignment horizontal="center" vertical="top"/>
      <protection hidden="1"/>
    </xf>
    <xf numFmtId="0" fontId="8" fillId="3" borderId="0" xfId="0" applyFont="1" applyFill="1" applyBorder="1" applyAlignment="1" applyProtection="1">
      <alignment horizontal="center" vertical="top"/>
      <protection hidden="1"/>
    </xf>
    <xf numFmtId="0" fontId="8" fillId="3" borderId="11" xfId="0" applyFont="1" applyFill="1" applyBorder="1" applyAlignment="1" applyProtection="1">
      <alignment horizontal="center" vertical="top" wrapText="1"/>
      <protection hidden="1"/>
    </xf>
    <xf numFmtId="180" fontId="17" fillId="2" borderId="53" xfId="0" applyNumberFormat="1" applyFont="1" applyFill="1" applyBorder="1" applyAlignment="1" applyProtection="1">
      <alignment vertical="center"/>
      <protection hidden="1"/>
    </xf>
    <xf numFmtId="169" fontId="7" fillId="3" borderId="11" xfId="0" applyNumberFormat="1" applyFont="1" applyFill="1" applyBorder="1" applyAlignment="1" applyProtection="1">
      <alignment horizontal="center" vertical="center"/>
      <protection hidden="1"/>
    </xf>
    <xf numFmtId="0" fontId="8" fillId="9" borderId="0" xfId="0" applyFont="1" applyFill="1" applyBorder="1" applyAlignment="1" applyProtection="1">
      <alignment vertical="top" wrapText="1"/>
      <protection hidden="1"/>
    </xf>
    <xf numFmtId="0" fontId="7" fillId="9" borderId="0" xfId="0" applyFont="1" applyFill="1" applyBorder="1" applyProtection="1">
      <protection hidden="1"/>
    </xf>
    <xf numFmtId="168" fontId="6" fillId="9" borderId="23" xfId="0" applyNumberFormat="1" applyFont="1" applyFill="1" applyBorder="1" applyAlignment="1" applyProtection="1">
      <alignment horizontal="left" vertical="center"/>
      <protection hidden="1"/>
    </xf>
    <xf numFmtId="170" fontId="7" fillId="9" borderId="22" xfId="0" applyNumberFormat="1" applyFont="1" applyFill="1" applyBorder="1" applyAlignment="1" applyProtection="1">
      <alignment horizontal="left" vertical="center"/>
      <protection hidden="1"/>
    </xf>
    <xf numFmtId="180" fontId="8" fillId="2" borderId="13" xfId="0" applyNumberFormat="1" applyFont="1" applyFill="1" applyBorder="1" applyAlignment="1" applyProtection="1">
      <alignment vertical="center"/>
      <protection hidden="1"/>
    </xf>
    <xf numFmtId="0" fontId="7" fillId="9" borderId="0" xfId="0" applyFont="1" applyFill="1" applyProtection="1">
      <protection hidden="1"/>
    </xf>
    <xf numFmtId="0" fontId="7" fillId="5" borderId="0" xfId="0" applyFont="1" applyFill="1" applyBorder="1" applyProtection="1">
      <protection hidden="1"/>
    </xf>
    <xf numFmtId="180" fontId="8" fillId="2" borderId="16" xfId="0" applyNumberFormat="1" applyFont="1" applyFill="1" applyBorder="1" applyAlignment="1" applyProtection="1">
      <alignment vertical="center"/>
      <protection hidden="1"/>
    </xf>
    <xf numFmtId="180" fontId="8" fillId="9" borderId="20" xfId="0" applyNumberFormat="1" applyFont="1" applyFill="1" applyBorder="1" applyAlignment="1" applyProtection="1">
      <alignment vertical="center"/>
      <protection hidden="1"/>
    </xf>
    <xf numFmtId="180" fontId="8" fillId="9" borderId="48" xfId="0" applyNumberFormat="1" applyFont="1" applyFill="1" applyBorder="1" applyAlignment="1" applyProtection="1">
      <alignment vertical="center"/>
      <protection hidden="1"/>
    </xf>
    <xf numFmtId="0" fontId="8" fillId="9" borderId="6" xfId="0" applyFont="1" applyFill="1" applyBorder="1" applyAlignment="1" applyProtection="1">
      <alignment vertical="top" wrapText="1"/>
      <protection hidden="1"/>
    </xf>
    <xf numFmtId="0" fontId="8" fillId="3" borderId="0" xfId="0" applyFont="1" applyFill="1" applyBorder="1" applyAlignment="1" applyProtection="1">
      <alignment horizontal="right" vertical="center" indent="1"/>
      <protection hidden="1"/>
    </xf>
    <xf numFmtId="169" fontId="7" fillId="3" borderId="0" xfId="0" applyNumberFormat="1" applyFont="1" applyFill="1" applyBorder="1" applyProtection="1">
      <protection hidden="1"/>
    </xf>
    <xf numFmtId="0" fontId="8" fillId="2" borderId="6" xfId="0" applyFont="1" applyFill="1" applyBorder="1" applyAlignment="1" applyProtection="1">
      <alignment horizontal="center" vertical="center" wrapText="1"/>
      <protection hidden="1"/>
    </xf>
    <xf numFmtId="0" fontId="8" fillId="2" borderId="11" xfId="0" applyFont="1" applyFill="1" applyBorder="1" applyAlignment="1" applyProtection="1">
      <alignment horizontal="center" vertical="center" wrapText="1"/>
      <protection hidden="1"/>
    </xf>
    <xf numFmtId="0" fontId="7" fillId="2" borderId="27" xfId="0" applyFont="1" applyFill="1" applyBorder="1" applyAlignment="1" applyProtection="1">
      <protection hidden="1"/>
    </xf>
    <xf numFmtId="0" fontId="7" fillId="2" borderId="11" xfId="0" applyFont="1" applyFill="1" applyBorder="1" applyAlignment="1" applyProtection="1">
      <protection hidden="1"/>
    </xf>
    <xf numFmtId="0" fontId="7" fillId="2" borderId="35" xfId="0" applyFont="1" applyFill="1" applyBorder="1" applyAlignment="1" applyProtection="1">
      <alignment horizontal="center" vertical="center"/>
      <protection hidden="1"/>
    </xf>
    <xf numFmtId="0" fontId="7" fillId="2" borderId="11" xfId="0" applyFont="1" applyFill="1" applyBorder="1" applyProtection="1"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7" fillId="2" borderId="11" xfId="0" applyFont="1" applyFill="1" applyBorder="1" applyAlignment="1" applyProtection="1">
      <alignment horizontal="center" vertical="center"/>
      <protection hidden="1"/>
    </xf>
    <xf numFmtId="169" fontId="7" fillId="2" borderId="6" xfId="0" applyNumberFormat="1" applyFont="1" applyFill="1" applyBorder="1" applyAlignment="1" applyProtection="1">
      <alignment horizontal="center"/>
      <protection hidden="1"/>
    </xf>
    <xf numFmtId="169" fontId="7" fillId="2" borderId="6" xfId="0" applyNumberFormat="1" applyFont="1" applyFill="1" applyBorder="1" applyAlignment="1" applyProtection="1">
      <alignment vertical="center"/>
      <protection hidden="1"/>
    </xf>
    <xf numFmtId="169" fontId="7" fillId="2" borderId="27" xfId="0" applyNumberFormat="1" applyFont="1" applyFill="1" applyBorder="1" applyAlignment="1" applyProtection="1">
      <alignment vertical="center"/>
      <protection hidden="1"/>
    </xf>
    <xf numFmtId="0" fontId="7" fillId="2" borderId="37" xfId="0" applyFont="1" applyFill="1" applyBorder="1" applyProtection="1">
      <protection hidden="1"/>
    </xf>
    <xf numFmtId="0" fontId="8" fillId="2" borderId="8" xfId="0" applyFont="1" applyFill="1" applyBorder="1" applyAlignment="1" applyProtection="1">
      <alignment horizontal="center" vertical="center" wrapText="1"/>
      <protection hidden="1"/>
    </xf>
    <xf numFmtId="2" fontId="7" fillId="2" borderId="6" xfId="0" applyNumberFormat="1" applyFont="1" applyFill="1" applyBorder="1" applyAlignment="1" applyProtection="1">
      <alignment horizontal="center" vertical="center" wrapText="1"/>
      <protection hidden="1"/>
    </xf>
    <xf numFmtId="2" fontId="7" fillId="2" borderId="8" xfId="0" applyNumberFormat="1" applyFont="1" applyFill="1" applyBorder="1" applyAlignment="1" applyProtection="1">
      <alignment horizontal="center" vertical="center"/>
      <protection hidden="1"/>
    </xf>
    <xf numFmtId="0" fontId="7" fillId="2" borderId="29" xfId="0" applyFont="1" applyFill="1" applyBorder="1" applyAlignment="1" applyProtection="1">
      <protection hidden="1"/>
    </xf>
    <xf numFmtId="0" fontId="7" fillId="2" borderId="53" xfId="0" applyFont="1" applyFill="1" applyBorder="1" applyAlignment="1" applyProtection="1">
      <alignment horizontal="center" vertical="center"/>
      <protection hidden="1"/>
    </xf>
    <xf numFmtId="180" fontId="7" fillId="12" borderId="30" xfId="4" applyNumberFormat="1" applyFont="1" applyFill="1" applyBorder="1" applyAlignment="1" applyProtection="1">
      <alignment vertical="center"/>
      <protection hidden="1"/>
    </xf>
    <xf numFmtId="176" fontId="7" fillId="12" borderId="33" xfId="4" applyNumberFormat="1" applyFont="1" applyFill="1" applyBorder="1" applyAlignment="1" applyProtection="1">
      <alignment vertical="center"/>
      <protection hidden="1"/>
    </xf>
    <xf numFmtId="176" fontId="8" fillId="12" borderId="64" xfId="4" applyNumberFormat="1" applyFont="1" applyFill="1" applyBorder="1" applyAlignment="1" applyProtection="1">
      <alignment vertical="center"/>
      <protection hidden="1"/>
    </xf>
    <xf numFmtId="0" fontId="24" fillId="5" borderId="0" xfId="0" applyFont="1" applyFill="1" applyAlignment="1" applyProtection="1">
      <alignment vertical="center"/>
      <protection hidden="1"/>
    </xf>
    <xf numFmtId="0" fontId="8" fillId="2" borderId="5" xfId="0" applyFont="1" applyFill="1" applyBorder="1" applyAlignment="1" applyProtection="1">
      <alignment horizontal="center" vertical="top" wrapText="1"/>
      <protection hidden="1"/>
    </xf>
    <xf numFmtId="0" fontId="8" fillId="2" borderId="13" xfId="0" applyFont="1" applyFill="1" applyBorder="1" applyAlignment="1" applyProtection="1">
      <alignment horizontal="center" vertical="top" wrapText="1"/>
      <protection hidden="1"/>
    </xf>
    <xf numFmtId="0" fontId="8" fillId="0" borderId="7" xfId="5" applyNumberFormat="1" applyFont="1" applyFill="1" applyBorder="1" applyAlignment="1" applyProtection="1">
      <alignment horizontal="center" vertical="top" wrapText="1"/>
      <protection hidden="1"/>
    </xf>
    <xf numFmtId="0" fontId="7" fillId="5" borderId="0" xfId="0" applyFont="1" applyFill="1" applyBorder="1" applyAlignment="1" applyProtection="1">
      <alignment horizontal="center" vertical="center" wrapText="1"/>
      <protection hidden="1"/>
    </xf>
    <xf numFmtId="0" fontId="18" fillId="5" borderId="0" xfId="0" applyFont="1" applyFill="1" applyBorder="1" applyAlignment="1" applyProtection="1">
      <protection hidden="1"/>
    </xf>
    <xf numFmtId="172" fontId="8" fillId="5" borderId="0" xfId="0" applyNumberFormat="1" applyFont="1" applyFill="1" applyBorder="1" applyAlignment="1" applyProtection="1">
      <protection hidden="1"/>
    </xf>
    <xf numFmtId="0" fontId="7" fillId="5" borderId="0" xfId="0" applyFont="1" applyFill="1" applyBorder="1" applyAlignment="1" applyProtection="1">
      <alignment vertical="center"/>
      <protection hidden="1"/>
    </xf>
    <xf numFmtId="0" fontId="7" fillId="5" borderId="64" xfId="0" applyFont="1" applyFill="1" applyBorder="1" applyAlignment="1" applyProtection="1">
      <alignment vertical="center"/>
      <protection hidden="1"/>
    </xf>
    <xf numFmtId="172" fontId="8" fillId="5" borderId="22" xfId="0" applyNumberFormat="1" applyFont="1" applyFill="1" applyBorder="1" applyAlignment="1" applyProtection="1">
      <alignment horizontal="center" vertical="top" wrapText="1"/>
      <protection hidden="1"/>
    </xf>
    <xf numFmtId="172" fontId="8" fillId="5" borderId="25" xfId="0" applyNumberFormat="1" applyFont="1" applyFill="1" applyBorder="1" applyAlignment="1" applyProtection="1">
      <alignment horizontal="center" vertical="top" wrapText="1"/>
      <protection hidden="1"/>
    </xf>
    <xf numFmtId="0" fontId="8" fillId="5" borderId="7" xfId="0" applyFont="1" applyFill="1" applyBorder="1" applyAlignment="1" applyProtection="1">
      <alignment horizontal="center" vertical="center"/>
      <protection hidden="1"/>
    </xf>
    <xf numFmtId="172" fontId="8" fillId="5" borderId="7" xfId="0" applyNumberFormat="1" applyFont="1" applyFill="1" applyBorder="1" applyAlignment="1" applyProtection="1">
      <alignment horizontal="center" vertical="center"/>
      <protection hidden="1"/>
    </xf>
    <xf numFmtId="172" fontId="8" fillId="5" borderId="8" xfId="0" applyNumberFormat="1" applyFont="1" applyFill="1" applyBorder="1" applyAlignment="1" applyProtection="1">
      <alignment horizontal="center" vertical="center"/>
      <protection hidden="1"/>
    </xf>
    <xf numFmtId="0" fontId="7" fillId="5" borderId="36" xfId="0" applyFont="1" applyFill="1" applyBorder="1" applyAlignment="1" applyProtection="1">
      <alignment horizontal="left" vertical="center" wrapText="1" indent="2"/>
      <protection hidden="1"/>
    </xf>
    <xf numFmtId="165" fontId="19" fillId="5" borderId="10" xfId="0" applyNumberFormat="1" applyFont="1" applyFill="1" applyBorder="1" applyAlignment="1" applyProtection="1">
      <alignment horizontal="left" vertical="center" indent="1"/>
      <protection hidden="1"/>
    </xf>
    <xf numFmtId="172" fontId="7" fillId="5" borderId="67" xfId="0" quotePrefix="1" applyNumberFormat="1" applyFont="1" applyFill="1" applyBorder="1" applyAlignment="1" applyProtection="1">
      <alignment horizontal="center" vertical="center"/>
      <protection hidden="1"/>
    </xf>
    <xf numFmtId="172" fontId="7" fillId="5" borderId="7" xfId="0" quotePrefix="1" applyNumberFormat="1" applyFont="1" applyFill="1" applyBorder="1" applyAlignment="1" applyProtection="1">
      <alignment horizontal="center" vertical="center"/>
      <protection hidden="1"/>
    </xf>
    <xf numFmtId="0" fontId="18" fillId="5" borderId="11" xfId="0" applyFont="1" applyFill="1" applyBorder="1" applyAlignment="1" applyProtection="1">
      <protection hidden="1"/>
    </xf>
    <xf numFmtId="0" fontId="8" fillId="5" borderId="10" xfId="0" applyFont="1" applyFill="1" applyBorder="1" applyAlignment="1" applyProtection="1">
      <alignment horizontal="left" vertical="center" indent="2"/>
      <protection hidden="1"/>
    </xf>
    <xf numFmtId="176" fontId="17" fillId="5" borderId="31" xfId="0" applyNumberFormat="1" applyFont="1" applyFill="1" applyBorder="1" applyAlignment="1" applyProtection="1">
      <alignment vertical="center"/>
      <protection hidden="1"/>
    </xf>
    <xf numFmtId="0" fontId="8" fillId="5" borderId="35" xfId="0" applyFont="1" applyFill="1" applyBorder="1" applyAlignment="1" applyProtection="1">
      <alignment horizontal="center" vertical="center"/>
      <protection hidden="1"/>
    </xf>
    <xf numFmtId="0" fontId="8" fillId="5" borderId="36" xfId="0" applyFont="1" applyFill="1" applyBorder="1" applyAlignment="1" applyProtection="1">
      <alignment horizontal="left" vertical="center" indent="2"/>
      <protection hidden="1"/>
    </xf>
    <xf numFmtId="0" fontId="19" fillId="5" borderId="10" xfId="0" applyFont="1" applyFill="1" applyBorder="1" applyAlignment="1" applyProtection="1">
      <alignment horizontal="left" vertical="center" indent="1"/>
      <protection hidden="1"/>
    </xf>
    <xf numFmtId="172" fontId="7" fillId="5" borderId="67" xfId="0" applyNumberFormat="1" applyFont="1" applyFill="1" applyBorder="1" applyAlignment="1" applyProtection="1">
      <alignment vertical="center"/>
      <protection hidden="1"/>
    </xf>
    <xf numFmtId="172" fontId="7" fillId="5" borderId="66" xfId="0" applyNumberFormat="1" applyFont="1" applyFill="1" applyBorder="1" applyAlignment="1" applyProtection="1">
      <alignment vertical="center"/>
      <protection hidden="1"/>
    </xf>
    <xf numFmtId="172" fontId="7" fillId="5" borderId="7" xfId="0" applyNumberFormat="1" applyFont="1" applyFill="1" applyBorder="1" applyAlignment="1" applyProtection="1">
      <alignment vertical="center"/>
      <protection hidden="1"/>
    </xf>
    <xf numFmtId="172" fontId="6" fillId="5" borderId="67" xfId="0" applyNumberFormat="1" applyFont="1" applyFill="1" applyBorder="1" applyAlignment="1" applyProtection="1">
      <alignment vertical="center"/>
      <protection hidden="1"/>
    </xf>
    <xf numFmtId="176" fontId="6" fillId="5" borderId="7" xfId="0" applyNumberFormat="1" applyFont="1" applyFill="1" applyBorder="1" applyAlignment="1" applyProtection="1">
      <alignment vertical="center"/>
      <protection hidden="1"/>
    </xf>
    <xf numFmtId="176" fontId="17" fillId="5" borderId="49" xfId="0" applyNumberFormat="1" applyFont="1" applyFill="1" applyBorder="1" applyAlignment="1" applyProtection="1">
      <alignment vertical="center"/>
      <protection hidden="1"/>
    </xf>
    <xf numFmtId="0" fontId="8" fillId="5" borderId="51" xfId="0" applyFont="1" applyFill="1" applyBorder="1" applyAlignment="1" applyProtection="1">
      <alignment horizontal="center" vertical="center"/>
      <protection hidden="1"/>
    </xf>
    <xf numFmtId="172" fontId="7" fillId="5" borderId="0" xfId="0" applyNumberFormat="1" applyFont="1" applyFill="1" applyBorder="1" applyAlignment="1" applyProtection="1">
      <alignment horizontal="center"/>
      <protection hidden="1"/>
    </xf>
    <xf numFmtId="0" fontId="7" fillId="5" borderId="10" xfId="0" applyFont="1" applyFill="1" applyBorder="1" applyProtection="1">
      <protection hidden="1"/>
    </xf>
    <xf numFmtId="0" fontId="7" fillId="5" borderId="10" xfId="0" applyFont="1" applyFill="1" applyBorder="1" applyAlignment="1" applyProtection="1">
      <alignment horizontal="left" vertical="center" wrapText="1" indent="2"/>
      <protection hidden="1"/>
    </xf>
    <xf numFmtId="176" fontId="8" fillId="5" borderId="49" xfId="0" applyNumberFormat="1" applyFont="1" applyFill="1" applyBorder="1" applyAlignment="1" applyProtection="1">
      <alignment vertical="center"/>
      <protection hidden="1"/>
    </xf>
    <xf numFmtId="0" fontId="7" fillId="5" borderId="64" xfId="0" applyFont="1" applyFill="1" applyBorder="1" applyAlignment="1" applyProtection="1">
      <protection hidden="1"/>
    </xf>
    <xf numFmtId="0" fontId="19" fillId="5" borderId="24" xfId="0" applyFont="1" applyFill="1" applyBorder="1" applyAlignment="1" applyProtection="1">
      <alignment horizontal="left" vertical="center" wrapText="1" indent="2"/>
      <protection hidden="1"/>
    </xf>
    <xf numFmtId="172" fontId="8" fillId="5" borderId="41" xfId="0" applyNumberFormat="1" applyFont="1" applyFill="1" applyBorder="1" applyAlignment="1" applyProtection="1">
      <alignment horizontal="center" vertical="top" wrapText="1"/>
      <protection hidden="1"/>
    </xf>
    <xf numFmtId="0" fontId="7" fillId="5" borderId="6" xfId="0" applyFont="1" applyFill="1" applyBorder="1" applyAlignment="1" applyProtection="1">
      <alignment horizontal="left"/>
      <protection hidden="1"/>
    </xf>
    <xf numFmtId="0" fontId="7" fillId="5" borderId="27" xfId="0" applyFont="1" applyFill="1" applyBorder="1" applyAlignment="1" applyProtection="1">
      <alignment horizontal="left" wrapText="1" indent="2"/>
      <protection hidden="1"/>
    </xf>
    <xf numFmtId="165" fontId="19" fillId="5" borderId="6" xfId="0" applyNumberFormat="1" applyFont="1" applyFill="1" applyBorder="1" applyAlignment="1" applyProtection="1">
      <alignment horizontal="left" vertical="center" indent="1"/>
      <protection hidden="1"/>
    </xf>
    <xf numFmtId="175" fontId="8" fillId="5" borderId="7" xfId="0" applyNumberFormat="1" applyFont="1" applyFill="1" applyBorder="1" applyAlignment="1" applyProtection="1">
      <alignment vertical="center"/>
      <protection hidden="1"/>
    </xf>
    <xf numFmtId="176" fontId="8" fillId="5" borderId="7" xfId="0" applyNumberFormat="1" applyFont="1" applyFill="1" applyBorder="1" applyAlignment="1" applyProtection="1">
      <alignment vertical="center"/>
      <protection hidden="1"/>
    </xf>
    <xf numFmtId="0" fontId="23" fillId="5" borderId="6" xfId="0" applyFont="1" applyFill="1" applyBorder="1" applyAlignment="1" applyProtection="1">
      <alignment horizontal="left" vertical="center" indent="2"/>
      <protection hidden="1"/>
    </xf>
    <xf numFmtId="175" fontId="8" fillId="5" borderId="5" xfId="0" applyNumberFormat="1" applyFont="1" applyFill="1" applyBorder="1" applyAlignment="1" applyProtection="1">
      <alignment vertical="center"/>
      <protection hidden="1"/>
    </xf>
    <xf numFmtId="0" fontId="8" fillId="5" borderId="6" xfId="0" applyFont="1" applyFill="1" applyBorder="1" applyAlignment="1" applyProtection="1">
      <alignment horizontal="left" vertical="center" indent="3"/>
      <protection hidden="1"/>
    </xf>
    <xf numFmtId="176" fontId="8" fillId="5" borderId="31" xfId="0" applyNumberFormat="1" applyFont="1" applyFill="1" applyBorder="1" applyAlignment="1" applyProtection="1">
      <alignment vertical="center"/>
      <protection hidden="1"/>
    </xf>
    <xf numFmtId="172" fontId="8" fillId="5" borderId="33" xfId="0" applyNumberFormat="1" applyFont="1" applyFill="1" applyBorder="1" applyAlignment="1" applyProtection="1">
      <alignment horizontal="center" vertical="center"/>
      <protection hidden="1"/>
    </xf>
    <xf numFmtId="0" fontId="7" fillId="5" borderId="40" xfId="0" applyFont="1" applyFill="1" applyBorder="1" applyProtection="1">
      <protection hidden="1"/>
    </xf>
    <xf numFmtId="0" fontId="18" fillId="5" borderId="31" xfId="0" applyFont="1" applyFill="1" applyBorder="1" applyAlignment="1" applyProtection="1">
      <protection hidden="1"/>
    </xf>
    <xf numFmtId="0" fontId="18" fillId="5" borderId="33" xfId="0" applyFont="1" applyFill="1" applyBorder="1" applyAlignment="1" applyProtection="1">
      <protection hidden="1"/>
    </xf>
    <xf numFmtId="0" fontId="23" fillId="5" borderId="6" xfId="0" applyFont="1" applyFill="1" applyBorder="1" applyAlignment="1" applyProtection="1">
      <alignment horizontal="left" vertical="center" wrapText="1" indent="2"/>
      <protection hidden="1"/>
    </xf>
    <xf numFmtId="0" fontId="7" fillId="5" borderId="31" xfId="0" applyFont="1" applyFill="1" applyBorder="1" applyAlignment="1" applyProtection="1">
      <alignment vertical="center"/>
      <protection hidden="1"/>
    </xf>
    <xf numFmtId="0" fontId="7" fillId="5" borderId="33" xfId="0" applyFont="1" applyFill="1" applyBorder="1" applyAlignment="1" applyProtection="1">
      <alignment vertical="center"/>
      <protection hidden="1"/>
    </xf>
    <xf numFmtId="180" fontId="7" fillId="5" borderId="69" xfId="0" applyNumberFormat="1" applyFont="1" applyFill="1" applyBorder="1" applyAlignment="1" applyProtection="1">
      <alignment vertical="center"/>
      <protection hidden="1"/>
    </xf>
    <xf numFmtId="0" fontId="7" fillId="5" borderId="5" xfId="0" applyFont="1" applyFill="1" applyBorder="1" applyAlignment="1" applyProtection="1">
      <alignment vertical="center"/>
      <protection hidden="1"/>
    </xf>
    <xf numFmtId="0" fontId="7" fillId="5" borderId="4" xfId="0" applyFont="1" applyFill="1" applyBorder="1" applyAlignment="1" applyProtection="1">
      <alignment vertical="center"/>
      <protection hidden="1"/>
    </xf>
    <xf numFmtId="0" fontId="8" fillId="5" borderId="6" xfId="0" applyFont="1" applyFill="1" applyBorder="1" applyAlignment="1" applyProtection="1">
      <alignment horizontal="left" vertical="center" wrapText="1" indent="3"/>
      <protection hidden="1"/>
    </xf>
    <xf numFmtId="165" fontId="19" fillId="5" borderId="71" xfId="0" applyNumberFormat="1" applyFont="1" applyFill="1" applyBorder="1" applyAlignment="1" applyProtection="1">
      <alignment horizontal="left" vertical="center" indent="1"/>
      <protection hidden="1"/>
    </xf>
    <xf numFmtId="0" fontId="8" fillId="5" borderId="15" xfId="0" applyFont="1" applyFill="1" applyBorder="1" applyAlignment="1" applyProtection="1">
      <alignment horizontal="left" vertical="center" indent="2"/>
      <protection hidden="1"/>
    </xf>
    <xf numFmtId="172" fontId="8" fillId="5" borderId="51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Protection="1">
      <protection hidden="1"/>
    </xf>
    <xf numFmtId="172" fontId="7" fillId="0" borderId="0" xfId="0" applyNumberFormat="1" applyFont="1" applyFill="1" applyProtection="1">
      <protection hidden="1"/>
    </xf>
    <xf numFmtId="166" fontId="7" fillId="0" borderId="0" xfId="0" applyNumberFormat="1" applyFont="1" applyFill="1" applyProtection="1">
      <protection hidden="1"/>
    </xf>
    <xf numFmtId="173" fontId="7" fillId="0" borderId="0" xfId="0" applyNumberFormat="1" applyFont="1" applyFill="1" applyProtection="1">
      <protection hidden="1"/>
    </xf>
    <xf numFmtId="176" fontId="17" fillId="5" borderId="5" xfId="0" applyNumberFormat="1" applyFont="1" applyFill="1" applyBorder="1" applyAlignment="1" applyProtection="1">
      <alignment vertical="center"/>
      <protection hidden="1"/>
    </xf>
    <xf numFmtId="0" fontId="8" fillId="5" borderId="4" xfId="0" applyFont="1" applyFill="1" applyBorder="1" applyAlignment="1" applyProtection="1">
      <alignment horizontal="center" vertical="center"/>
      <protection hidden="1"/>
    </xf>
    <xf numFmtId="172" fontId="6" fillId="5" borderId="7" xfId="0" applyNumberFormat="1" applyFont="1" applyFill="1" applyBorder="1" applyAlignment="1" applyProtection="1">
      <alignment vertical="center"/>
      <protection hidden="1"/>
    </xf>
    <xf numFmtId="175" fontId="8" fillId="5" borderId="68" xfId="0" applyNumberFormat="1" applyFont="1" applyFill="1" applyBorder="1" applyAlignment="1" applyProtection="1">
      <alignment vertical="center"/>
      <protection hidden="1"/>
    </xf>
    <xf numFmtId="175" fontId="8" fillId="5" borderId="74" xfId="0" applyNumberFormat="1" applyFont="1" applyFill="1" applyBorder="1" applyAlignment="1" applyProtection="1">
      <alignment vertical="center"/>
      <protection hidden="1"/>
    </xf>
    <xf numFmtId="175" fontId="17" fillId="5" borderId="68" xfId="0" applyNumberFormat="1" applyFont="1" applyFill="1" applyBorder="1" applyAlignment="1" applyProtection="1">
      <alignment vertical="center"/>
      <protection hidden="1"/>
    </xf>
    <xf numFmtId="175" fontId="8" fillId="5" borderId="69" xfId="0" applyNumberFormat="1" applyFont="1" applyFill="1" applyBorder="1" applyAlignment="1" applyProtection="1">
      <alignment vertical="center"/>
      <protection hidden="1"/>
    </xf>
    <xf numFmtId="175" fontId="17" fillId="5" borderId="69" xfId="0" applyNumberFormat="1" applyFont="1" applyFill="1" applyBorder="1" applyAlignment="1" applyProtection="1">
      <alignment vertical="center"/>
      <protection hidden="1"/>
    </xf>
    <xf numFmtId="164" fontId="8" fillId="9" borderId="34" xfId="0" applyNumberFormat="1" applyFont="1" applyFill="1" applyBorder="1" applyAlignment="1" applyProtection="1">
      <alignment horizontal="left" vertical="center" indent="2"/>
      <protection hidden="1"/>
    </xf>
    <xf numFmtId="175" fontId="17" fillId="5" borderId="5" xfId="0" applyNumberFormat="1" applyFont="1" applyFill="1" applyBorder="1" applyAlignment="1" applyProtection="1">
      <alignment vertical="center"/>
      <protection hidden="1"/>
    </xf>
    <xf numFmtId="0" fontId="8" fillId="9" borderId="10" xfId="0" applyNumberFormat="1" applyFont="1" applyFill="1" applyBorder="1" applyAlignment="1" applyProtection="1">
      <alignment vertical="center"/>
      <protection hidden="1"/>
    </xf>
    <xf numFmtId="175" fontId="8" fillId="5" borderId="70" xfId="0" applyNumberFormat="1" applyFont="1" applyFill="1" applyBorder="1" applyAlignment="1" applyProtection="1">
      <alignment vertical="center"/>
      <protection hidden="1"/>
    </xf>
    <xf numFmtId="175" fontId="8" fillId="5" borderId="49" xfId="0" applyNumberFormat="1" applyFont="1" applyFill="1" applyBorder="1" applyAlignment="1" applyProtection="1">
      <alignment vertical="center"/>
      <protection hidden="1"/>
    </xf>
    <xf numFmtId="175" fontId="17" fillId="5" borderId="49" xfId="0" applyNumberFormat="1" applyFont="1" applyFill="1" applyBorder="1" applyAlignment="1" applyProtection="1">
      <alignment vertical="center"/>
      <protection hidden="1"/>
    </xf>
    <xf numFmtId="0" fontId="7" fillId="5" borderId="61" xfId="0" applyNumberFormat="1" applyFont="1" applyFill="1" applyBorder="1" applyAlignment="1" applyProtection="1">
      <alignment vertical="center"/>
      <protection hidden="1"/>
    </xf>
    <xf numFmtId="0" fontId="7" fillId="5" borderId="62" xfId="0" applyFont="1" applyFill="1" applyBorder="1" applyProtection="1">
      <protection hidden="1"/>
    </xf>
    <xf numFmtId="175" fontId="8" fillId="5" borderId="28" xfId="0" applyNumberFormat="1" applyFont="1" applyFill="1" applyBorder="1" applyAlignment="1" applyProtection="1">
      <alignment vertical="center"/>
      <protection hidden="1"/>
    </xf>
    <xf numFmtId="176" fontId="8" fillId="5" borderId="28" xfId="0" applyNumberFormat="1" applyFont="1" applyFill="1" applyBorder="1" applyAlignment="1" applyProtection="1">
      <alignment vertical="center"/>
      <protection hidden="1"/>
    </xf>
    <xf numFmtId="172" fontId="8" fillId="5" borderId="29" xfId="0" applyNumberFormat="1" applyFont="1" applyFill="1" applyBorder="1" applyAlignment="1" applyProtection="1">
      <alignment horizontal="center" vertical="center"/>
      <protection hidden="1"/>
    </xf>
    <xf numFmtId="175" fontId="8" fillId="5" borderId="31" xfId="0" applyNumberFormat="1" applyFont="1" applyFill="1" applyBorder="1" applyAlignment="1" applyProtection="1">
      <alignment vertical="center"/>
      <protection hidden="1"/>
    </xf>
    <xf numFmtId="0" fontId="15" fillId="5" borderId="2" xfId="0" applyFont="1" applyFill="1" applyBorder="1" applyAlignment="1" applyProtection="1">
      <alignment horizontal="center" vertical="center"/>
      <protection hidden="1"/>
    </xf>
    <xf numFmtId="0" fontId="7" fillId="4" borderId="1" xfId="0" applyFont="1" applyFill="1" applyBorder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Continuous" vertical="center"/>
      <protection hidden="1"/>
    </xf>
    <xf numFmtId="0" fontId="8" fillId="9" borderId="2" xfId="0" applyFont="1" applyFill="1" applyBorder="1" applyAlignment="1" applyProtection="1">
      <alignment vertical="top" wrapText="1"/>
      <protection hidden="1"/>
    </xf>
    <xf numFmtId="0" fontId="7" fillId="5" borderId="3" xfId="0" applyNumberFormat="1" applyFont="1" applyFill="1" applyBorder="1" applyAlignment="1" applyProtection="1">
      <protection hidden="1"/>
    </xf>
    <xf numFmtId="0" fontId="7" fillId="5" borderId="65" xfId="0" applyNumberFormat="1" applyFont="1" applyFill="1" applyBorder="1" applyAlignment="1" applyProtection="1">
      <protection hidden="1"/>
    </xf>
    <xf numFmtId="0" fontId="7" fillId="5" borderId="45" xfId="0" applyNumberFormat="1" applyFont="1" applyFill="1" applyBorder="1" applyAlignment="1" applyProtection="1">
      <protection hidden="1"/>
    </xf>
    <xf numFmtId="0" fontId="7" fillId="2" borderId="31" xfId="0" applyFont="1" applyFill="1" applyBorder="1" applyAlignment="1" applyProtection="1">
      <protection hidden="1"/>
    </xf>
    <xf numFmtId="2" fontId="7" fillId="2" borderId="31" xfId="0" applyNumberFormat="1" applyFont="1" applyFill="1" applyBorder="1" applyAlignment="1" applyProtection="1">
      <protection hidden="1"/>
    </xf>
    <xf numFmtId="2" fontId="7" fillId="2" borderId="35" xfId="0" applyNumberFormat="1" applyFont="1" applyFill="1" applyBorder="1" applyAlignment="1" applyProtection="1">
      <protection hidden="1"/>
    </xf>
    <xf numFmtId="179" fontId="7" fillId="2" borderId="31" xfId="0" applyNumberFormat="1" applyFont="1" applyFill="1" applyBorder="1" applyAlignment="1" applyProtection="1">
      <alignment vertical="center"/>
      <protection hidden="1"/>
    </xf>
    <xf numFmtId="0" fontId="7" fillId="2" borderId="3" xfId="0" applyFont="1" applyFill="1" applyBorder="1" applyAlignment="1" applyProtection="1">
      <alignment horizontal="center"/>
      <protection hidden="1"/>
    </xf>
    <xf numFmtId="0" fontId="7" fillId="2" borderId="5" xfId="0" applyFont="1" applyFill="1" applyBorder="1" applyAlignment="1" applyProtection="1">
      <alignment horizontal="center"/>
      <protection hidden="1"/>
    </xf>
    <xf numFmtId="2" fontId="7" fillId="2" borderId="5" xfId="0" applyNumberFormat="1" applyFont="1" applyFill="1" applyBorder="1" applyAlignment="1" applyProtection="1">
      <alignment horizontal="center"/>
      <protection hidden="1"/>
    </xf>
    <xf numFmtId="2" fontId="7" fillId="2" borderId="45" xfId="0" applyNumberFormat="1" applyFont="1" applyFill="1" applyBorder="1" applyAlignment="1" applyProtection="1">
      <alignment horizontal="center"/>
      <protection hidden="1"/>
    </xf>
    <xf numFmtId="0" fontId="7" fillId="2" borderId="36" xfId="0" applyFont="1" applyFill="1" applyBorder="1" applyAlignment="1" applyProtection="1">
      <alignment horizontal="center"/>
      <protection hidden="1"/>
    </xf>
    <xf numFmtId="0" fontId="7" fillId="2" borderId="28" xfId="0" applyFont="1" applyFill="1" applyBorder="1" applyAlignment="1" applyProtection="1">
      <alignment horizontal="center"/>
      <protection hidden="1"/>
    </xf>
    <xf numFmtId="2" fontId="7" fillId="2" borderId="28" xfId="0" applyNumberFormat="1" applyFont="1" applyFill="1" applyBorder="1" applyAlignment="1" applyProtection="1">
      <alignment horizontal="center"/>
      <protection hidden="1"/>
    </xf>
    <xf numFmtId="2" fontId="7" fillId="2" borderId="37" xfId="0" applyNumberFormat="1" applyFont="1" applyFill="1" applyBorder="1" applyAlignment="1" applyProtection="1">
      <alignment horizontal="center"/>
      <protection hidden="1"/>
    </xf>
    <xf numFmtId="179" fontId="7" fillId="2" borderId="7" xfId="0" applyNumberFormat="1" applyFont="1" applyFill="1" applyBorder="1" applyAlignment="1" applyProtection="1">
      <protection hidden="1"/>
    </xf>
    <xf numFmtId="186" fontId="7" fillId="2" borderId="31" xfId="0" applyNumberFormat="1" applyFont="1" applyFill="1" applyBorder="1" applyAlignment="1" applyProtection="1">
      <alignment vertical="center"/>
      <protection hidden="1"/>
    </xf>
    <xf numFmtId="0" fontId="7" fillId="5" borderId="0" xfId="9" applyFont="1" applyFill="1" applyProtection="1">
      <protection hidden="1"/>
    </xf>
    <xf numFmtId="0" fontId="7" fillId="5" borderId="0" xfId="9" applyFont="1" applyFill="1" applyAlignment="1" applyProtection="1">
      <alignment horizontal="center"/>
      <protection hidden="1"/>
    </xf>
    <xf numFmtId="0" fontId="8" fillId="3" borderId="65" xfId="9" applyFont="1" applyFill="1" applyBorder="1" applyAlignment="1" applyProtection="1">
      <alignment horizontal="left" vertical="center"/>
      <protection hidden="1"/>
    </xf>
    <xf numFmtId="0" fontId="8" fillId="3" borderId="65" xfId="9" applyFont="1" applyFill="1" applyBorder="1" applyAlignment="1" applyProtection="1">
      <alignment vertical="center"/>
      <protection hidden="1"/>
    </xf>
    <xf numFmtId="0" fontId="7" fillId="3" borderId="65" xfId="9" applyFont="1" applyFill="1" applyBorder="1" applyAlignment="1" applyProtection="1">
      <alignment vertical="center"/>
      <protection hidden="1"/>
    </xf>
    <xf numFmtId="0" fontId="8" fillId="3" borderId="65" xfId="9" applyFont="1" applyFill="1" applyBorder="1" applyAlignment="1" applyProtection="1">
      <alignment horizontal="right" vertical="center"/>
      <protection hidden="1"/>
    </xf>
    <xf numFmtId="0" fontId="8" fillId="4" borderId="1" xfId="9" applyFont="1" applyFill="1" applyBorder="1" applyAlignment="1" applyProtection="1">
      <alignment horizontal="right" vertical="top"/>
      <protection hidden="1"/>
    </xf>
    <xf numFmtId="0" fontId="8" fillId="4" borderId="0" xfId="9" applyFont="1" applyFill="1" applyBorder="1" applyAlignment="1" applyProtection="1">
      <alignment horizontal="right" vertical="top"/>
      <protection hidden="1"/>
    </xf>
    <xf numFmtId="0" fontId="7" fillId="2" borderId="0" xfId="9" applyFont="1" applyFill="1" applyAlignment="1" applyProtection="1">
      <alignment vertical="top"/>
      <protection hidden="1"/>
    </xf>
    <xf numFmtId="0" fontId="7" fillId="3" borderId="0" xfId="9" applyFont="1" applyFill="1" applyBorder="1" applyAlignment="1" applyProtection="1">
      <alignment vertical="top"/>
      <protection hidden="1"/>
    </xf>
    <xf numFmtId="0" fontId="7" fillId="4" borderId="2" xfId="9" applyFont="1" applyFill="1" applyBorder="1" applyAlignment="1" applyProtection="1">
      <alignment vertical="center"/>
      <protection hidden="1"/>
    </xf>
    <xf numFmtId="0" fontId="7" fillId="4" borderId="0" xfId="9" applyFont="1" applyFill="1" applyBorder="1" applyAlignment="1" applyProtection="1">
      <alignment vertical="center"/>
      <protection hidden="1"/>
    </xf>
    <xf numFmtId="0" fontId="7" fillId="2" borderId="0" xfId="9" applyFont="1" applyFill="1" applyProtection="1">
      <protection hidden="1"/>
    </xf>
    <xf numFmtId="0" fontId="7" fillId="4" borderId="2" xfId="9" applyFont="1" applyFill="1" applyBorder="1" applyAlignment="1" applyProtection="1">
      <alignment horizontal="center" vertical="center"/>
      <protection hidden="1"/>
    </xf>
    <xf numFmtId="0" fontId="7" fillId="4" borderId="0" xfId="9" applyFont="1" applyFill="1" applyBorder="1" applyAlignment="1" applyProtection="1">
      <alignment horizontal="center" vertical="center"/>
      <protection hidden="1"/>
    </xf>
    <xf numFmtId="0" fontId="7" fillId="4" borderId="0" xfId="9" applyFont="1" applyFill="1" applyBorder="1" applyProtection="1">
      <protection hidden="1"/>
    </xf>
    <xf numFmtId="0" fontId="7" fillId="3" borderId="0" xfId="9" applyFont="1" applyFill="1" applyBorder="1" applyProtection="1">
      <protection hidden="1"/>
    </xf>
    <xf numFmtId="0" fontId="7" fillId="3" borderId="0" xfId="9" applyFont="1" applyFill="1" applyBorder="1" applyAlignment="1" applyProtection="1">
      <alignment horizontal="center"/>
      <protection hidden="1"/>
    </xf>
    <xf numFmtId="0" fontId="7" fillId="4" borderId="2" xfId="9" applyFont="1" applyFill="1" applyBorder="1" applyProtection="1">
      <protection hidden="1"/>
    </xf>
    <xf numFmtId="0" fontId="7" fillId="9" borderId="0" xfId="9" applyNumberFormat="1" applyFont="1" applyFill="1" applyBorder="1" applyAlignment="1" applyProtection="1">
      <protection hidden="1"/>
    </xf>
    <xf numFmtId="0" fontId="7" fillId="2" borderId="0" xfId="9" applyNumberFormat="1" applyFont="1" applyFill="1" applyBorder="1" applyAlignment="1" applyProtection="1">
      <protection hidden="1"/>
    </xf>
    <xf numFmtId="0" fontId="7" fillId="9" borderId="0" xfId="0" applyNumberFormat="1" applyFont="1" applyFill="1" applyBorder="1" applyAlignment="1" applyProtection="1">
      <protection hidden="1"/>
    </xf>
    <xf numFmtId="0" fontId="7" fillId="2" borderId="0" xfId="0" applyNumberFormat="1" applyFont="1" applyFill="1" applyBorder="1" applyAlignment="1" applyProtection="1">
      <protection hidden="1"/>
    </xf>
    <xf numFmtId="0" fontId="8" fillId="3" borderId="7" xfId="9" applyFont="1" applyFill="1" applyBorder="1" applyAlignment="1" applyProtection="1">
      <alignment horizontal="center" vertical="center"/>
      <protection hidden="1"/>
    </xf>
    <xf numFmtId="0" fontId="8" fillId="3" borderId="11" xfId="9" applyFont="1" applyFill="1" applyBorder="1" applyAlignment="1" applyProtection="1">
      <alignment horizontal="center" vertical="center"/>
      <protection hidden="1"/>
    </xf>
    <xf numFmtId="172" fontId="8" fillId="2" borderId="28" xfId="0" applyNumberFormat="1" applyFont="1" applyFill="1" applyBorder="1" applyAlignment="1" applyProtection="1">
      <alignment horizontal="center" vertical="top"/>
      <protection hidden="1"/>
    </xf>
    <xf numFmtId="172" fontId="8" fillId="2" borderId="42" xfId="0" applyNumberFormat="1" applyFont="1" applyFill="1" applyBorder="1" applyAlignment="1" applyProtection="1">
      <alignment horizontal="center" vertical="top"/>
      <protection hidden="1"/>
    </xf>
    <xf numFmtId="0" fontId="7" fillId="9" borderId="5" xfId="9" applyNumberFormat="1" applyFont="1" applyFill="1" applyBorder="1" applyAlignment="1" applyProtection="1">
      <protection hidden="1"/>
    </xf>
    <xf numFmtId="0" fontId="7" fillId="9" borderId="32" xfId="9" applyNumberFormat="1" applyFont="1" applyFill="1" applyBorder="1" applyAlignment="1" applyProtection="1">
      <protection hidden="1"/>
    </xf>
    <xf numFmtId="0" fontId="7" fillId="9" borderId="31" xfId="9" applyNumberFormat="1" applyFont="1" applyFill="1" applyBorder="1" applyAlignment="1" applyProtection="1">
      <protection hidden="1"/>
    </xf>
    <xf numFmtId="172" fontId="8" fillId="9" borderId="45" xfId="0" applyNumberFormat="1" applyFont="1" applyFill="1" applyBorder="1" applyAlignment="1" applyProtection="1">
      <alignment vertical="center"/>
      <protection hidden="1"/>
    </xf>
    <xf numFmtId="0" fontId="7" fillId="2" borderId="10" xfId="0" applyFont="1" applyFill="1" applyBorder="1" applyAlignment="1" applyProtection="1">
      <alignment horizontal="left" vertical="center" indent="2"/>
      <protection hidden="1"/>
    </xf>
    <xf numFmtId="0" fontId="7" fillId="2" borderId="49" xfId="0" applyFont="1" applyFill="1" applyBorder="1" applyAlignment="1" applyProtection="1">
      <alignment horizontal="center" vertical="center"/>
      <protection hidden="1"/>
    </xf>
    <xf numFmtId="0" fontId="7" fillId="9" borderId="0" xfId="0" quotePrefix="1" applyNumberFormat="1" applyFont="1" applyFill="1" applyBorder="1" applyAlignment="1" applyProtection="1">
      <protection hidden="1"/>
    </xf>
    <xf numFmtId="0" fontId="8" fillId="3" borderId="34" xfId="9" applyFont="1" applyFill="1" applyBorder="1" applyAlignment="1" applyProtection="1">
      <alignment horizontal="left" vertical="center" indent="1"/>
      <protection hidden="1"/>
    </xf>
    <xf numFmtId="0" fontId="7" fillId="9" borderId="58" xfId="9" applyNumberFormat="1" applyFont="1" applyFill="1" applyBorder="1" applyAlignment="1" applyProtection="1">
      <protection hidden="1"/>
    </xf>
    <xf numFmtId="0" fontId="7" fillId="2" borderId="0" xfId="0" quotePrefix="1" applyNumberFormat="1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2" fontId="7" fillId="2" borderId="0" xfId="0" quotePrefix="1" applyNumberFormat="1" applyFont="1" applyFill="1" applyBorder="1" applyAlignment="1" applyProtection="1">
      <alignment horizontal="center" vertical="center"/>
      <protection hidden="1"/>
    </xf>
    <xf numFmtId="2" fontId="7" fillId="2" borderId="0" xfId="0" applyNumberFormat="1" applyFont="1" applyFill="1" applyBorder="1" applyAlignment="1" applyProtection="1">
      <alignment horizontal="center" vertical="center"/>
      <protection hidden="1"/>
    </xf>
    <xf numFmtId="0" fontId="7" fillId="3" borderId="0" xfId="9" applyFont="1" applyFill="1" applyBorder="1" applyAlignment="1" applyProtection="1">
      <protection hidden="1"/>
    </xf>
    <xf numFmtId="0" fontId="7" fillId="4" borderId="2" xfId="9" applyFont="1" applyFill="1" applyBorder="1" applyAlignment="1" applyProtection="1">
      <alignment horizontal="centerContinuous" vertical="center"/>
      <protection hidden="1"/>
    </xf>
    <xf numFmtId="0" fontId="7" fillId="4" borderId="0" xfId="9" applyFont="1" applyFill="1" applyBorder="1" applyAlignment="1" applyProtection="1">
      <alignment horizontal="centerContinuous" vertical="center"/>
      <protection hidden="1"/>
    </xf>
    <xf numFmtId="0" fontId="7" fillId="2" borderId="0" xfId="9" applyFont="1" applyFill="1" applyAlignment="1" applyProtection="1">
      <alignment vertical="center"/>
      <protection hidden="1"/>
    </xf>
    <xf numFmtId="0" fontId="7" fillId="3" borderId="60" xfId="9" applyFont="1" applyFill="1" applyBorder="1" applyAlignment="1" applyProtection="1">
      <alignment horizontal="centerContinuous" vertical="center"/>
      <protection hidden="1"/>
    </xf>
    <xf numFmtId="0" fontId="7" fillId="4" borderId="42" xfId="9" applyFont="1" applyFill="1" applyBorder="1" applyAlignment="1" applyProtection="1">
      <alignment horizontal="centerContinuous" vertical="center"/>
      <protection hidden="1"/>
    </xf>
    <xf numFmtId="0" fontId="8" fillId="2" borderId="0" xfId="0" applyFont="1" applyFill="1" applyBorder="1" applyAlignment="1" applyProtection="1">
      <protection hidden="1"/>
    </xf>
    <xf numFmtId="0" fontId="8" fillId="3" borderId="8" xfId="9" applyFont="1" applyFill="1" applyBorder="1" applyAlignment="1" applyProtection="1">
      <alignment horizontal="center" vertical="center"/>
      <protection hidden="1"/>
    </xf>
    <xf numFmtId="0" fontId="7" fillId="9" borderId="33" xfId="9" applyNumberFormat="1" applyFont="1" applyFill="1" applyBorder="1" applyAlignment="1" applyProtection="1">
      <protection hidden="1"/>
    </xf>
    <xf numFmtId="0" fontId="8" fillId="3" borderId="9" xfId="9" applyFont="1" applyFill="1" applyBorder="1" applyAlignment="1" applyProtection="1">
      <alignment horizontal="center" vertical="center"/>
      <protection hidden="1"/>
    </xf>
    <xf numFmtId="0" fontId="7" fillId="3" borderId="10" xfId="9" applyFont="1" applyFill="1" applyBorder="1" applyProtection="1">
      <protection hidden="1"/>
    </xf>
    <xf numFmtId="172" fontId="8" fillId="2" borderId="7" xfId="0" applyNumberFormat="1" applyFont="1" applyFill="1" applyBorder="1" applyAlignment="1" applyProtection="1">
      <alignment horizontal="center" vertical="top"/>
      <protection hidden="1"/>
    </xf>
    <xf numFmtId="172" fontId="8" fillId="2" borderId="11" xfId="0" applyNumberFormat="1" applyFont="1" applyFill="1" applyBorder="1" applyAlignment="1" applyProtection="1">
      <alignment horizontal="center" vertical="top"/>
      <protection hidden="1"/>
    </xf>
    <xf numFmtId="0" fontId="8" fillId="3" borderId="10" xfId="9" applyFont="1" applyFill="1" applyBorder="1" applyAlignment="1" applyProtection="1">
      <alignment horizontal="left" vertical="center" indent="1"/>
      <protection hidden="1"/>
    </xf>
    <xf numFmtId="180" fontId="8" fillId="9" borderId="1" xfId="9" applyNumberFormat="1" applyFont="1" applyFill="1" applyBorder="1" applyAlignment="1" applyProtection="1">
      <alignment vertical="center"/>
      <protection hidden="1"/>
    </xf>
    <xf numFmtId="180" fontId="8" fillId="9" borderId="5" xfId="9" applyNumberFormat="1" applyFont="1" applyFill="1" applyBorder="1" applyAlignment="1" applyProtection="1">
      <alignment vertical="center"/>
      <protection hidden="1"/>
    </xf>
    <xf numFmtId="180" fontId="8" fillId="9" borderId="31" xfId="9" applyNumberFormat="1" applyFont="1" applyFill="1" applyBorder="1" applyAlignment="1" applyProtection="1">
      <alignment vertical="center"/>
      <protection hidden="1"/>
    </xf>
    <xf numFmtId="180" fontId="8" fillId="9" borderId="32" xfId="9" applyNumberFormat="1" applyFont="1" applyFill="1" applyBorder="1" applyAlignment="1" applyProtection="1">
      <alignment vertical="center"/>
      <protection hidden="1"/>
    </xf>
    <xf numFmtId="180" fontId="8" fillId="9" borderId="33" xfId="9" applyNumberFormat="1" applyFont="1" applyFill="1" applyBorder="1" applyAlignment="1" applyProtection="1">
      <alignment vertical="center"/>
      <protection hidden="1"/>
    </xf>
    <xf numFmtId="180" fontId="8" fillId="3" borderId="85" xfId="9" applyNumberFormat="1" applyFont="1" applyFill="1" applyBorder="1" applyAlignment="1" applyProtection="1">
      <alignment vertical="center"/>
      <protection hidden="1"/>
    </xf>
    <xf numFmtId="0" fontId="7" fillId="3" borderId="36" xfId="9" applyFont="1" applyFill="1" applyBorder="1" applyProtection="1">
      <protection hidden="1"/>
    </xf>
    <xf numFmtId="172" fontId="8" fillId="2" borderId="11" xfId="0" applyNumberFormat="1" applyFont="1" applyFill="1" applyBorder="1" applyAlignment="1" applyProtection="1">
      <alignment horizontal="center" vertical="center"/>
      <protection hidden="1"/>
    </xf>
    <xf numFmtId="0" fontId="8" fillId="3" borderId="8" xfId="9" applyFont="1" applyFill="1" applyBorder="1" applyAlignment="1" applyProtection="1">
      <alignment horizontal="center" vertical="top" wrapText="1"/>
      <protection hidden="1"/>
    </xf>
    <xf numFmtId="180" fontId="8" fillId="9" borderId="4" xfId="9" applyNumberFormat="1" applyFont="1" applyFill="1" applyBorder="1" applyAlignment="1" applyProtection="1">
      <alignment vertical="center"/>
      <protection hidden="1"/>
    </xf>
    <xf numFmtId="180" fontId="8" fillId="9" borderId="35" xfId="9" applyNumberFormat="1" applyFont="1" applyFill="1" applyBorder="1" applyAlignment="1" applyProtection="1">
      <alignment vertical="center"/>
      <protection hidden="1"/>
    </xf>
    <xf numFmtId="0" fontId="7" fillId="3" borderId="85" xfId="9" applyNumberFormat="1" applyFont="1" applyFill="1" applyBorder="1" applyAlignment="1" applyProtection="1">
      <protection hidden="1"/>
    </xf>
    <xf numFmtId="0" fontId="8" fillId="3" borderId="9" xfId="9" applyFont="1" applyFill="1" applyBorder="1" applyAlignment="1" applyProtection="1">
      <alignment horizontal="center" vertical="top" wrapText="1"/>
      <protection hidden="1"/>
    </xf>
    <xf numFmtId="0" fontId="8" fillId="3" borderId="0" xfId="9" applyFont="1" applyFill="1" applyBorder="1" applyAlignment="1" applyProtection="1">
      <alignment horizontal="center" vertical="top" wrapText="1"/>
      <protection hidden="1"/>
    </xf>
    <xf numFmtId="180" fontId="8" fillId="3" borderId="88" xfId="9" applyNumberFormat="1" applyFont="1" applyFill="1" applyBorder="1" applyAlignment="1" applyProtection="1">
      <alignment vertical="center"/>
      <protection hidden="1"/>
    </xf>
    <xf numFmtId="180" fontId="8" fillId="9" borderId="40" xfId="9" applyNumberFormat="1" applyFont="1" applyFill="1" applyBorder="1" applyAlignment="1" applyProtection="1">
      <alignment vertical="center"/>
      <protection hidden="1"/>
    </xf>
    <xf numFmtId="0" fontId="7" fillId="9" borderId="40" xfId="9" applyNumberFormat="1" applyFont="1" applyFill="1" applyBorder="1" applyAlignment="1" applyProtection="1">
      <protection hidden="1"/>
    </xf>
    <xf numFmtId="180" fontId="8" fillId="9" borderId="44" xfId="9" applyNumberFormat="1" applyFont="1" applyFill="1" applyBorder="1" applyAlignment="1" applyProtection="1">
      <alignment vertical="center"/>
      <protection hidden="1"/>
    </xf>
    <xf numFmtId="0" fontId="8" fillId="3" borderId="6" xfId="9" applyFont="1" applyFill="1" applyBorder="1" applyAlignment="1" applyProtection="1">
      <alignment horizontal="center" vertical="center"/>
      <protection hidden="1"/>
    </xf>
    <xf numFmtId="0" fontId="8" fillId="3" borderId="12" xfId="9" applyFont="1" applyFill="1" applyBorder="1" applyAlignment="1" applyProtection="1">
      <alignment horizontal="center" vertical="center"/>
      <protection hidden="1"/>
    </xf>
    <xf numFmtId="172" fontId="8" fillId="2" borderId="6" xfId="0" applyNumberFormat="1" applyFont="1" applyFill="1" applyBorder="1" applyAlignment="1" applyProtection="1">
      <alignment horizontal="center" vertical="top"/>
      <protection hidden="1"/>
    </xf>
    <xf numFmtId="172" fontId="8" fillId="2" borderId="12" xfId="0" applyNumberFormat="1" applyFont="1" applyFill="1" applyBorder="1" applyAlignment="1" applyProtection="1">
      <alignment horizontal="center" vertical="top"/>
      <protection hidden="1"/>
    </xf>
    <xf numFmtId="172" fontId="8" fillId="2" borderId="38" xfId="0" applyNumberFormat="1" applyFont="1" applyFill="1" applyBorder="1" applyAlignment="1" applyProtection="1">
      <alignment horizontal="center" vertical="top"/>
      <protection hidden="1"/>
    </xf>
    <xf numFmtId="180" fontId="8" fillId="9" borderId="39" xfId="9" applyNumberFormat="1" applyFont="1" applyFill="1" applyBorder="1" applyAlignment="1" applyProtection="1">
      <alignment vertical="center"/>
      <protection hidden="1"/>
    </xf>
    <xf numFmtId="180" fontId="8" fillId="9" borderId="43" xfId="9" applyNumberFormat="1" applyFont="1" applyFill="1" applyBorder="1" applyAlignment="1" applyProtection="1">
      <alignment vertical="center"/>
      <protection hidden="1"/>
    </xf>
    <xf numFmtId="0" fontId="7" fillId="9" borderId="43" xfId="9" applyNumberFormat="1" applyFont="1" applyFill="1" applyBorder="1" applyAlignment="1" applyProtection="1">
      <protection hidden="1"/>
    </xf>
    <xf numFmtId="180" fontId="8" fillId="9" borderId="89" xfId="9" applyNumberFormat="1" applyFont="1" applyFill="1" applyBorder="1" applyAlignment="1" applyProtection="1">
      <alignment vertical="center"/>
      <protection hidden="1"/>
    </xf>
    <xf numFmtId="0" fontId="8" fillId="3" borderId="6" xfId="9" applyFont="1" applyFill="1" applyBorder="1" applyAlignment="1" applyProtection="1">
      <alignment horizontal="center" vertical="top"/>
      <protection hidden="1"/>
    </xf>
    <xf numFmtId="0" fontId="8" fillId="3" borderId="7" xfId="9" applyFont="1" applyFill="1" applyBorder="1" applyAlignment="1" applyProtection="1">
      <alignment horizontal="center" vertical="top"/>
      <protection hidden="1"/>
    </xf>
    <xf numFmtId="0" fontId="8" fillId="3" borderId="12" xfId="9" applyFont="1" applyFill="1" applyBorder="1" applyAlignment="1" applyProtection="1">
      <alignment horizontal="center" vertical="top" wrapText="1"/>
      <protection hidden="1"/>
    </xf>
    <xf numFmtId="0" fontId="8" fillId="3" borderId="0" xfId="9" applyFont="1" applyFill="1" applyBorder="1" applyAlignment="1" applyProtection="1">
      <alignment horizontal="center" vertical="center"/>
      <protection hidden="1"/>
    </xf>
    <xf numFmtId="172" fontId="8" fillId="2" borderId="0" xfId="0" applyNumberFormat="1" applyFont="1" applyFill="1" applyBorder="1" applyAlignment="1" applyProtection="1">
      <alignment horizontal="center" vertical="top"/>
      <protection hidden="1"/>
    </xf>
    <xf numFmtId="180" fontId="8" fillId="9" borderId="65" xfId="9" applyNumberFormat="1" applyFont="1" applyFill="1" applyBorder="1" applyAlignment="1" applyProtection="1">
      <alignment vertical="center"/>
      <protection hidden="1"/>
    </xf>
    <xf numFmtId="0" fontId="7" fillId="3" borderId="12" xfId="9" applyFont="1" applyFill="1" applyBorder="1" applyAlignment="1" applyProtection="1">
      <protection hidden="1"/>
    </xf>
    <xf numFmtId="0" fontId="8" fillId="3" borderId="12" xfId="9" applyFont="1" applyFill="1" applyBorder="1" applyAlignment="1" applyProtection="1">
      <alignment horizontal="left" vertical="center" indent="1"/>
      <protection hidden="1"/>
    </xf>
    <xf numFmtId="0" fontId="7" fillId="3" borderId="12" xfId="9" applyFont="1" applyFill="1" applyBorder="1" applyProtection="1">
      <protection hidden="1"/>
    </xf>
    <xf numFmtId="0" fontId="7" fillId="2" borderId="12" xfId="0" applyFont="1" applyFill="1" applyBorder="1" applyAlignment="1" applyProtection="1">
      <alignment horizontal="left" vertical="center" indent="2"/>
      <protection hidden="1"/>
    </xf>
    <xf numFmtId="0" fontId="8" fillId="2" borderId="12" xfId="0" applyFont="1" applyFill="1" applyBorder="1" applyAlignment="1" applyProtection="1">
      <alignment horizontal="left" vertical="center" indent="2"/>
      <protection hidden="1"/>
    </xf>
    <xf numFmtId="0" fontId="8" fillId="2" borderId="89" xfId="0" applyFont="1" applyFill="1" applyBorder="1" applyAlignment="1" applyProtection="1">
      <alignment horizontal="left" vertical="center" indent="1"/>
      <protection hidden="1"/>
    </xf>
    <xf numFmtId="0" fontId="8" fillId="2" borderId="38" xfId="0" applyFont="1" applyFill="1" applyBorder="1" applyAlignment="1" applyProtection="1">
      <alignment horizontal="left" vertical="center" indent="2"/>
      <protection hidden="1"/>
    </xf>
    <xf numFmtId="0" fontId="8" fillId="3" borderId="18" xfId="9" applyFont="1" applyFill="1" applyBorder="1" applyAlignment="1" applyProtection="1">
      <alignment horizontal="left" vertical="center" indent="1"/>
      <protection hidden="1"/>
    </xf>
    <xf numFmtId="0" fontId="8" fillId="3" borderId="11" xfId="9" applyFont="1" applyFill="1" applyBorder="1" applyAlignment="1" applyProtection="1">
      <alignment horizontal="center" vertical="center" wrapText="1"/>
      <protection hidden="1"/>
    </xf>
    <xf numFmtId="0" fontId="7" fillId="3" borderId="18" xfId="9" applyFont="1" applyFill="1" applyBorder="1" applyProtection="1">
      <protection hidden="1"/>
    </xf>
    <xf numFmtId="0" fontId="7" fillId="3" borderId="10" xfId="9" applyFont="1" applyFill="1" applyBorder="1" applyAlignment="1" applyProtection="1">
      <protection hidden="1"/>
    </xf>
    <xf numFmtId="0" fontId="8" fillId="2" borderId="36" xfId="0" applyFont="1" applyFill="1" applyBorder="1" applyAlignment="1" applyProtection="1">
      <alignment horizontal="left" vertical="center" indent="2"/>
      <protection hidden="1"/>
    </xf>
    <xf numFmtId="0" fontId="7" fillId="2" borderId="39" xfId="0" applyFont="1" applyFill="1" applyBorder="1" applyAlignment="1" applyProtection="1">
      <alignment horizontal="left" vertical="center" indent="1"/>
      <protection hidden="1"/>
    </xf>
    <xf numFmtId="0" fontId="8" fillId="3" borderId="10" xfId="9" applyFont="1" applyFill="1" applyBorder="1" applyAlignment="1" applyProtection="1">
      <alignment horizontal="center" vertical="center"/>
      <protection hidden="1"/>
    </xf>
    <xf numFmtId="180" fontId="8" fillId="3" borderId="90" xfId="9" applyNumberFormat="1" applyFont="1" applyFill="1" applyBorder="1" applyAlignment="1" applyProtection="1">
      <alignment vertical="center"/>
      <protection hidden="1"/>
    </xf>
    <xf numFmtId="180" fontId="8" fillId="3" borderId="35" xfId="9" applyNumberFormat="1" applyFont="1" applyFill="1" applyBorder="1" applyAlignment="1" applyProtection="1">
      <alignment vertical="center"/>
      <protection hidden="1"/>
    </xf>
    <xf numFmtId="180" fontId="8" fillId="9" borderId="45" xfId="9" applyNumberFormat="1" applyFont="1" applyFill="1" applyBorder="1" applyAlignment="1" applyProtection="1">
      <alignment vertical="center"/>
      <protection hidden="1"/>
    </xf>
    <xf numFmtId="180" fontId="8" fillId="2" borderId="43" xfId="9" applyNumberFormat="1" applyFont="1" applyFill="1" applyBorder="1" applyAlignment="1" applyProtection="1">
      <alignment vertical="center"/>
      <protection hidden="1"/>
    </xf>
    <xf numFmtId="180" fontId="8" fillId="2" borderId="91" xfId="9" applyNumberFormat="1" applyFont="1" applyFill="1" applyBorder="1" applyAlignment="1" applyProtection="1">
      <alignment vertical="center"/>
      <protection hidden="1"/>
    </xf>
    <xf numFmtId="180" fontId="8" fillId="9" borderId="92" xfId="9" applyNumberFormat="1" applyFont="1" applyFill="1" applyBorder="1" applyAlignment="1" applyProtection="1">
      <alignment vertical="center"/>
      <protection hidden="1"/>
    </xf>
    <xf numFmtId="180" fontId="8" fillId="9" borderId="87" xfId="9" applyNumberFormat="1" applyFont="1" applyFill="1" applyBorder="1" applyAlignment="1" applyProtection="1">
      <alignment vertical="center"/>
      <protection hidden="1"/>
    </xf>
    <xf numFmtId="180" fontId="8" fillId="9" borderId="86" xfId="9" applyNumberFormat="1" applyFont="1" applyFill="1" applyBorder="1" applyAlignment="1" applyProtection="1">
      <alignment vertical="center"/>
      <protection hidden="1"/>
    </xf>
    <xf numFmtId="180" fontId="7" fillId="0" borderId="65" xfId="9" applyNumberFormat="1" applyFont="1" applyFill="1" applyBorder="1" applyAlignment="1" applyProtection="1">
      <alignment vertical="center"/>
      <protection locked="0"/>
    </xf>
    <xf numFmtId="180" fontId="7" fillId="0" borderId="71" xfId="9" applyNumberFormat="1" applyFont="1" applyFill="1" applyBorder="1" applyAlignment="1" applyProtection="1">
      <alignment vertical="center"/>
      <protection locked="0"/>
    </xf>
    <xf numFmtId="180" fontId="7" fillId="0" borderId="5" xfId="9" applyNumberFormat="1" applyFont="1" applyFill="1" applyBorder="1" applyAlignment="1" applyProtection="1">
      <alignment vertical="center"/>
      <protection locked="0"/>
    </xf>
    <xf numFmtId="180" fontId="7" fillId="0" borderId="1" xfId="9" applyNumberFormat="1" applyFont="1" applyFill="1" applyBorder="1" applyAlignment="1" applyProtection="1">
      <alignment vertical="center"/>
      <protection locked="0"/>
    </xf>
    <xf numFmtId="180" fontId="7" fillId="0" borderId="89" xfId="9" applyNumberFormat="1" applyFont="1" applyFill="1" applyBorder="1" applyAlignment="1" applyProtection="1">
      <alignment vertical="center"/>
      <protection locked="0"/>
    </xf>
    <xf numFmtId="180" fontId="7" fillId="0" borderId="45" xfId="0" applyNumberFormat="1" applyFont="1" applyFill="1" applyBorder="1" applyAlignment="1" applyProtection="1">
      <alignment vertical="center"/>
      <protection locked="0"/>
    </xf>
    <xf numFmtId="180" fontId="8" fillId="9" borderId="55" xfId="9" applyNumberFormat="1" applyFont="1" applyFill="1" applyBorder="1" applyAlignment="1" applyProtection="1">
      <alignment vertical="center"/>
      <protection hidden="1"/>
    </xf>
    <xf numFmtId="180" fontId="8" fillId="9" borderId="49" xfId="9" applyNumberFormat="1" applyFont="1" applyFill="1" applyBorder="1" applyAlignment="1" applyProtection="1">
      <alignment vertical="center"/>
      <protection hidden="1"/>
    </xf>
    <xf numFmtId="180" fontId="8" fillId="9" borderId="54" xfId="9" applyNumberFormat="1" applyFont="1" applyFill="1" applyBorder="1" applyAlignment="1" applyProtection="1">
      <alignment vertical="center"/>
      <protection hidden="1"/>
    </xf>
    <xf numFmtId="180" fontId="8" fillId="9" borderId="52" xfId="9" applyNumberFormat="1" applyFont="1" applyFill="1" applyBorder="1" applyAlignment="1" applyProtection="1">
      <alignment vertical="center"/>
      <protection hidden="1"/>
    </xf>
    <xf numFmtId="180" fontId="8" fillId="9" borderId="51" xfId="9" applyNumberFormat="1" applyFont="1" applyFill="1" applyBorder="1" applyAlignment="1" applyProtection="1">
      <alignment vertical="center"/>
      <protection hidden="1"/>
    </xf>
    <xf numFmtId="180" fontId="8" fillId="9" borderId="53" xfId="9" applyNumberFormat="1" applyFont="1" applyFill="1" applyBorder="1" applyAlignment="1" applyProtection="1">
      <alignment vertical="center"/>
      <protection hidden="1"/>
    </xf>
    <xf numFmtId="180" fontId="7" fillId="0" borderId="30" xfId="9" applyNumberFormat="1" applyFont="1" applyFill="1" applyBorder="1" applyAlignment="1" applyProtection="1">
      <alignment vertical="center"/>
      <protection locked="0"/>
    </xf>
    <xf numFmtId="180" fontId="7" fillId="0" borderId="31" xfId="9" applyNumberFormat="1" applyFont="1" applyFill="1" applyBorder="1" applyAlignment="1" applyProtection="1">
      <alignment vertical="center"/>
      <protection locked="0"/>
    </xf>
    <xf numFmtId="180" fontId="7" fillId="0" borderId="43" xfId="9" applyNumberFormat="1" applyFont="1" applyFill="1" applyBorder="1" applyAlignment="1" applyProtection="1">
      <alignment vertical="center"/>
      <protection locked="0"/>
    </xf>
    <xf numFmtId="180" fontId="7" fillId="0" borderId="32" xfId="9" applyNumberFormat="1" applyFont="1" applyFill="1" applyBorder="1" applyAlignment="1" applyProtection="1">
      <alignment vertical="center"/>
      <protection locked="0"/>
    </xf>
    <xf numFmtId="180" fontId="7" fillId="0" borderId="50" xfId="9" applyNumberFormat="1" applyFont="1" applyFill="1" applyBorder="1" applyAlignment="1" applyProtection="1">
      <alignment vertical="center"/>
      <protection locked="0"/>
    </xf>
    <xf numFmtId="180" fontId="7" fillId="0" borderId="0" xfId="9" applyNumberFormat="1" applyFont="1" applyFill="1" applyBorder="1" applyAlignment="1" applyProtection="1">
      <alignment vertical="center"/>
      <protection locked="0"/>
    </xf>
    <xf numFmtId="180" fontId="7" fillId="0" borderId="6" xfId="9" applyNumberFormat="1" applyFont="1" applyFill="1" applyBorder="1" applyAlignment="1" applyProtection="1">
      <alignment vertical="center"/>
      <protection locked="0"/>
    </xf>
    <xf numFmtId="180" fontId="7" fillId="0" borderId="7" xfId="9" applyNumberFormat="1" applyFont="1" applyFill="1" applyBorder="1" applyAlignment="1" applyProtection="1">
      <alignment vertical="center"/>
      <protection locked="0"/>
    </xf>
    <xf numFmtId="180" fontId="8" fillId="2" borderId="53" xfId="0" applyNumberFormat="1" applyFont="1" applyFill="1" applyBorder="1" applyAlignment="1" applyProtection="1">
      <alignment vertical="center"/>
      <protection hidden="1"/>
    </xf>
    <xf numFmtId="180" fontId="7" fillId="0" borderId="35" xfId="9" applyNumberFormat="1" applyFont="1" applyFill="1" applyBorder="1" applyAlignment="1" applyProtection="1">
      <alignment vertical="center"/>
      <protection locked="0"/>
    </xf>
    <xf numFmtId="180" fontId="7" fillId="0" borderId="11" xfId="9" applyNumberFormat="1" applyFont="1" applyFill="1" applyBorder="1" applyAlignment="1" applyProtection="1">
      <alignment vertical="center"/>
      <protection locked="0"/>
    </xf>
    <xf numFmtId="180" fontId="7" fillId="0" borderId="45" xfId="9" applyNumberFormat="1" applyFont="1" applyFill="1" applyBorder="1" applyAlignment="1" applyProtection="1">
      <alignment vertical="center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hidden="1"/>
    </xf>
    <xf numFmtId="0" fontId="8" fillId="2" borderId="72" xfId="0" applyFont="1" applyFill="1" applyBorder="1" applyAlignment="1" applyProtection="1">
      <alignment horizontal="center" vertical="top" wrapText="1"/>
      <protection hidden="1"/>
    </xf>
    <xf numFmtId="0" fontId="7" fillId="9" borderId="16" xfId="9" applyFont="1" applyFill="1" applyBorder="1" applyProtection="1">
      <protection hidden="1"/>
    </xf>
    <xf numFmtId="0" fontId="7" fillId="2" borderId="65" xfId="0" applyFont="1" applyFill="1" applyBorder="1" applyAlignment="1" applyProtection="1">
      <alignment horizontal="center" vertical="center"/>
      <protection hidden="1"/>
    </xf>
    <xf numFmtId="2" fontId="7" fillId="2" borderId="65" xfId="0" quotePrefix="1" applyNumberFormat="1" applyFont="1" applyFill="1" applyBorder="1" applyAlignment="1" applyProtection="1">
      <alignment horizontal="center" vertical="center"/>
      <protection hidden="1"/>
    </xf>
    <xf numFmtId="0" fontId="7" fillId="2" borderId="36" xfId="0" applyFont="1" applyFill="1" applyBorder="1" applyAlignment="1" applyProtection="1">
      <alignment horizontal="center" vertical="center"/>
      <protection hidden="1"/>
    </xf>
    <xf numFmtId="0" fontId="7" fillId="2" borderId="60" xfId="0" applyFont="1" applyFill="1" applyBorder="1" applyAlignment="1" applyProtection="1">
      <alignment horizontal="center" vertical="center"/>
      <protection hidden="1"/>
    </xf>
    <xf numFmtId="2" fontId="7" fillId="2" borderId="11" xfId="0" applyNumberFormat="1" applyFont="1" applyFill="1" applyBorder="1" applyAlignment="1" applyProtection="1">
      <alignment horizontal="center" vertical="center"/>
      <protection hidden="1"/>
    </xf>
    <xf numFmtId="0" fontId="7" fillId="2" borderId="9" xfId="0" applyFont="1" applyFill="1" applyBorder="1" applyAlignment="1" applyProtection="1">
      <alignment horizontal="center" vertical="center"/>
      <protection hidden="1"/>
    </xf>
    <xf numFmtId="0" fontId="7" fillId="2" borderId="14" xfId="0" applyFont="1" applyFill="1" applyBorder="1" applyAlignment="1" applyProtection="1">
      <alignment horizontal="center" vertical="center"/>
      <protection hidden="1"/>
    </xf>
    <xf numFmtId="2" fontId="7" fillId="2" borderId="64" xfId="0" quotePrefix="1" applyNumberFormat="1" applyFont="1" applyFill="1" applyBorder="1" applyAlignment="1" applyProtection="1">
      <alignment horizontal="center" vertical="center"/>
      <protection hidden="1"/>
    </xf>
    <xf numFmtId="2" fontId="7" fillId="2" borderId="17" xfId="0" applyNumberFormat="1" applyFont="1" applyFill="1" applyBorder="1" applyAlignment="1" applyProtection="1">
      <alignment horizontal="center" vertical="center"/>
      <protection hidden="1"/>
    </xf>
    <xf numFmtId="0" fontId="8" fillId="2" borderId="82" xfId="0" applyFont="1" applyFill="1" applyBorder="1" applyAlignment="1" applyProtection="1">
      <alignment horizontal="center" vertical="top" wrapText="1"/>
      <protection hidden="1"/>
    </xf>
    <xf numFmtId="0" fontId="8" fillId="2" borderId="83" xfId="0" applyFont="1" applyFill="1" applyBorder="1" applyAlignment="1" applyProtection="1">
      <alignment horizontal="center" vertical="top" wrapText="1"/>
      <protection hidden="1"/>
    </xf>
    <xf numFmtId="0" fontId="7" fillId="9" borderId="77" xfId="9" applyFont="1" applyFill="1" applyBorder="1" applyProtection="1">
      <protection hidden="1"/>
    </xf>
    <xf numFmtId="180" fontId="7" fillId="2" borderId="32" xfId="0" applyNumberFormat="1" applyFont="1" applyFill="1" applyBorder="1" applyAlignment="1" applyProtection="1">
      <alignment vertical="center"/>
      <protection hidden="1"/>
    </xf>
    <xf numFmtId="186" fontId="7" fillId="2" borderId="32" xfId="0" quotePrefix="1" applyNumberFormat="1" applyFont="1" applyFill="1" applyBorder="1" applyAlignment="1" applyProtection="1">
      <alignment vertical="center"/>
      <protection hidden="1"/>
    </xf>
    <xf numFmtId="0" fontId="7" fillId="2" borderId="64" xfId="0" applyFont="1" applyFill="1" applyBorder="1" applyAlignment="1" applyProtection="1">
      <protection hidden="1"/>
    </xf>
    <xf numFmtId="0" fontId="7" fillId="9" borderId="37" xfId="9" applyFont="1" applyFill="1" applyBorder="1" applyProtection="1">
      <protection hidden="1"/>
    </xf>
    <xf numFmtId="0" fontId="7" fillId="2" borderId="0" xfId="9" applyFont="1" applyFill="1" applyAlignment="1" applyProtection="1">
      <protection hidden="1"/>
    </xf>
    <xf numFmtId="0" fontId="7" fillId="2" borderId="50" xfId="0" applyFont="1" applyFill="1" applyBorder="1" applyAlignment="1" applyProtection="1">
      <alignment horizontal="center" vertical="center"/>
      <protection hidden="1"/>
    </xf>
    <xf numFmtId="169" fontId="8" fillId="3" borderId="0" xfId="0" applyNumberFormat="1" applyFont="1" applyFill="1" applyBorder="1" applyProtection="1">
      <protection hidden="1"/>
    </xf>
    <xf numFmtId="0" fontId="8" fillId="4" borderId="4" xfId="0" applyFont="1" applyFill="1" applyBorder="1" applyAlignment="1" applyProtection="1">
      <alignment horizontal="center" vertical="top" wrapText="1"/>
      <protection hidden="1"/>
    </xf>
    <xf numFmtId="0" fontId="8" fillId="4" borderId="8" xfId="0" applyFont="1" applyFill="1" applyBorder="1" applyAlignment="1" applyProtection="1">
      <alignment horizontal="center" vertical="top" wrapText="1"/>
      <protection hidden="1"/>
    </xf>
    <xf numFmtId="0" fontId="8" fillId="5" borderId="65" xfId="0" applyNumberFormat="1" applyFont="1" applyFill="1" applyBorder="1" applyAlignment="1" applyProtection="1">
      <protection hidden="1"/>
    </xf>
    <xf numFmtId="0" fontId="8" fillId="5" borderId="65" xfId="0" applyFont="1" applyFill="1" applyBorder="1" applyAlignment="1" applyProtection="1">
      <alignment horizontal="center" vertical="center" wrapText="1"/>
      <protection hidden="1"/>
    </xf>
    <xf numFmtId="0" fontId="7" fillId="5" borderId="1" xfId="0" applyFont="1" applyFill="1" applyBorder="1" applyAlignment="1" applyProtection="1">
      <alignment vertical="center"/>
      <protection hidden="1"/>
    </xf>
    <xf numFmtId="0" fontId="8" fillId="5" borderId="0" xfId="0" applyNumberFormat="1" applyFont="1" applyFill="1" applyBorder="1" applyAlignment="1" applyProtection="1">
      <protection hidden="1"/>
    </xf>
    <xf numFmtId="0" fontId="8" fillId="5" borderId="2" xfId="0" applyFont="1" applyFill="1" applyBorder="1" applyAlignment="1" applyProtection="1">
      <alignment horizontal="right" indent="1"/>
      <protection hidden="1"/>
    </xf>
    <xf numFmtId="0" fontId="7" fillId="5" borderId="2" xfId="0" applyFont="1" applyFill="1" applyBorder="1" applyAlignment="1" applyProtection="1">
      <protection hidden="1"/>
    </xf>
    <xf numFmtId="178" fontId="7" fillId="5" borderId="0" xfId="0" applyNumberFormat="1" applyFont="1" applyFill="1" applyBorder="1" applyAlignment="1" applyProtection="1">
      <alignment vertical="center"/>
      <protection hidden="1"/>
    </xf>
    <xf numFmtId="0" fontId="7" fillId="9" borderId="9" xfId="0" applyFont="1" applyFill="1" applyBorder="1" applyProtection="1">
      <protection hidden="1"/>
    </xf>
    <xf numFmtId="0" fontId="7" fillId="5" borderId="2" xfId="0" applyNumberFormat="1" applyFont="1" applyFill="1" applyBorder="1" applyAlignment="1" applyProtection="1">
      <protection hidden="1"/>
    </xf>
    <xf numFmtId="0" fontId="7" fillId="5" borderId="21" xfId="0" applyFont="1" applyFill="1" applyBorder="1" applyAlignment="1" applyProtection="1">
      <protection hidden="1"/>
    </xf>
    <xf numFmtId="0" fontId="7" fillId="9" borderId="2" xfId="0" applyFont="1" applyFill="1" applyBorder="1" applyAlignment="1" applyProtection="1">
      <alignment vertical="top" wrapText="1"/>
      <protection hidden="1"/>
    </xf>
    <xf numFmtId="0" fontId="19" fillId="5" borderId="10" xfId="0" applyFont="1" applyFill="1" applyBorder="1" applyAlignment="1" applyProtection="1">
      <alignment vertical="center"/>
      <protection hidden="1"/>
    </xf>
    <xf numFmtId="0" fontId="7" fillId="9" borderId="2" xfId="0" applyFont="1" applyFill="1" applyBorder="1" applyProtection="1">
      <protection hidden="1"/>
    </xf>
    <xf numFmtId="0" fontId="7" fillId="9" borderId="2" xfId="0" applyNumberFormat="1" applyFont="1" applyFill="1" applyBorder="1" applyAlignment="1" applyProtection="1">
      <protection hidden="1"/>
    </xf>
    <xf numFmtId="172" fontId="8" fillId="5" borderId="7" xfId="0" applyNumberFormat="1" applyFont="1" applyFill="1" applyBorder="1" applyAlignment="1" applyProtection="1">
      <alignment horizontal="center" vertical="top" wrapText="1"/>
      <protection hidden="1"/>
    </xf>
    <xf numFmtId="172" fontId="8" fillId="5" borderId="8" xfId="0" applyNumberFormat="1" applyFont="1" applyFill="1" applyBorder="1" applyAlignment="1" applyProtection="1">
      <alignment horizontal="center" vertical="top" wrapText="1"/>
      <protection hidden="1"/>
    </xf>
    <xf numFmtId="0" fontId="7" fillId="9" borderId="6" xfId="0" applyFont="1" applyFill="1" applyBorder="1" applyAlignment="1" applyProtection="1">
      <alignment vertical="top" wrapText="1"/>
      <protection hidden="1"/>
    </xf>
    <xf numFmtId="0" fontId="7" fillId="9" borderId="60" xfId="0" applyFont="1" applyFill="1" applyBorder="1" applyProtection="1">
      <protection hidden="1"/>
    </xf>
    <xf numFmtId="172" fontId="7" fillId="9" borderId="60" xfId="0" applyNumberFormat="1" applyFont="1" applyFill="1" applyBorder="1" applyProtection="1">
      <protection hidden="1"/>
    </xf>
    <xf numFmtId="0" fontId="7" fillId="9" borderId="42" xfId="0" applyFont="1" applyFill="1" applyBorder="1" applyProtection="1">
      <protection hidden="1"/>
    </xf>
    <xf numFmtId="0" fontId="7" fillId="9" borderId="62" xfId="0" applyFont="1" applyFill="1" applyBorder="1" applyProtection="1">
      <protection hidden="1"/>
    </xf>
    <xf numFmtId="0" fontId="8" fillId="3" borderId="11" xfId="9" applyFont="1" applyFill="1" applyBorder="1" applyAlignment="1" applyProtection="1">
      <alignment horizontal="center" vertical="top" wrapText="1"/>
      <protection hidden="1"/>
    </xf>
    <xf numFmtId="0" fontId="8" fillId="4" borderId="0" xfId="0" applyFont="1" applyFill="1" applyBorder="1" applyAlignment="1" applyProtection="1">
      <alignment vertical="center"/>
      <protection hidden="1"/>
    </xf>
    <xf numFmtId="0" fontId="13" fillId="4" borderId="2" xfId="0" applyFont="1" applyFill="1" applyBorder="1" applyAlignment="1" applyProtection="1">
      <alignment vertical="top"/>
      <protection hidden="1"/>
    </xf>
    <xf numFmtId="0" fontId="7" fillId="4" borderId="42" xfId="0" applyFont="1" applyFill="1" applyBorder="1" applyAlignment="1" applyProtection="1">
      <alignment vertical="center"/>
      <protection hidden="1"/>
    </xf>
    <xf numFmtId="0" fontId="7" fillId="4" borderId="64" xfId="0" applyFont="1" applyFill="1" applyBorder="1" applyAlignment="1" applyProtection="1">
      <alignment horizontal="left" indent="2"/>
      <protection hidden="1"/>
    </xf>
    <xf numFmtId="0" fontId="7" fillId="4" borderId="58" xfId="0" applyFont="1" applyFill="1" applyBorder="1" applyAlignment="1" applyProtection="1">
      <alignment vertical="center"/>
      <protection hidden="1"/>
    </xf>
    <xf numFmtId="0" fontId="7" fillId="9" borderId="0" xfId="0" applyFont="1" applyFill="1" applyBorder="1" applyAlignment="1" applyProtection="1">
      <protection hidden="1"/>
    </xf>
    <xf numFmtId="172" fontId="8" fillId="5" borderId="0" xfId="0" applyNumberFormat="1" applyFont="1" applyFill="1" applyBorder="1" applyAlignment="1" applyProtection="1">
      <alignment horizontal="center" vertical="center"/>
      <protection hidden="1"/>
    </xf>
    <xf numFmtId="0" fontId="7" fillId="5" borderId="26" xfId="0" applyFont="1" applyFill="1" applyBorder="1" applyAlignment="1" applyProtection="1">
      <protection hidden="1"/>
    </xf>
    <xf numFmtId="0" fontId="8" fillId="5" borderId="12" xfId="0" applyFont="1" applyFill="1" applyBorder="1" applyAlignment="1" applyProtection="1">
      <alignment horizontal="left" vertical="center" indent="1"/>
      <protection hidden="1"/>
    </xf>
    <xf numFmtId="0" fontId="19" fillId="5" borderId="12" xfId="0" applyFont="1" applyFill="1" applyBorder="1" applyAlignment="1" applyProtection="1">
      <alignment vertical="center"/>
      <protection hidden="1"/>
    </xf>
    <xf numFmtId="165" fontId="19" fillId="5" borderId="18" xfId="0" applyNumberFormat="1" applyFont="1" applyFill="1" applyBorder="1" applyAlignment="1" applyProtection="1">
      <protection hidden="1"/>
    </xf>
    <xf numFmtId="0" fontId="14" fillId="9" borderId="64" xfId="0" applyFont="1" applyFill="1" applyBorder="1" applyAlignment="1" applyProtection="1">
      <protection hidden="1"/>
    </xf>
    <xf numFmtId="0" fontId="8" fillId="9" borderId="2" xfId="0" applyNumberFormat="1" applyFont="1" applyFill="1" applyBorder="1" applyAlignment="1" applyProtection="1">
      <alignment vertical="center"/>
      <protection hidden="1"/>
    </xf>
    <xf numFmtId="0" fontId="14" fillId="10" borderId="0" xfId="0" applyFont="1" applyFill="1" applyBorder="1" applyAlignment="1" applyProtection="1">
      <alignment horizontal="center" vertical="center"/>
      <protection hidden="1"/>
    </xf>
    <xf numFmtId="172" fontId="8" fillId="5" borderId="11" xfId="0" applyNumberFormat="1" applyFont="1" applyFill="1" applyBorder="1" applyAlignment="1" applyProtection="1">
      <alignment horizontal="center" vertical="center"/>
      <protection hidden="1"/>
    </xf>
    <xf numFmtId="0" fontId="7" fillId="9" borderId="9" xfId="0" applyFont="1" applyFill="1" applyBorder="1" applyAlignment="1" applyProtection="1">
      <protection hidden="1"/>
    </xf>
    <xf numFmtId="0" fontId="7" fillId="9" borderId="94" xfId="0" applyFont="1" applyFill="1" applyBorder="1" applyProtection="1">
      <protection hidden="1"/>
    </xf>
    <xf numFmtId="0" fontId="7" fillId="9" borderId="8" xfId="4" applyFont="1" applyFill="1" applyBorder="1" applyAlignment="1" applyProtection="1">
      <protection hidden="1"/>
    </xf>
    <xf numFmtId="0" fontId="7" fillId="9" borderId="8" xfId="4" applyFont="1" applyFill="1" applyBorder="1" applyProtection="1">
      <protection hidden="1"/>
    </xf>
    <xf numFmtId="172" fontId="8" fillId="5" borderId="0" xfId="4" applyNumberFormat="1" applyFont="1" applyFill="1" applyBorder="1" applyAlignment="1" applyProtection="1">
      <alignment vertical="center"/>
      <protection hidden="1"/>
    </xf>
    <xf numFmtId="172" fontId="8" fillId="5" borderId="0" xfId="4" applyNumberFormat="1" applyFont="1" applyFill="1" applyBorder="1" applyAlignment="1" applyProtection="1">
      <protection hidden="1"/>
    </xf>
    <xf numFmtId="172" fontId="8" fillId="5" borderId="0" xfId="4" applyNumberFormat="1" applyFont="1" applyFill="1" applyBorder="1" applyAlignment="1" applyProtection="1">
      <alignment horizontal="left" vertical="center" indent="1"/>
      <protection hidden="1"/>
    </xf>
    <xf numFmtId="0" fontId="7" fillId="9" borderId="62" xfId="4" applyFont="1" applyFill="1" applyBorder="1" applyProtection="1">
      <protection hidden="1"/>
    </xf>
    <xf numFmtId="0" fontId="7" fillId="5" borderId="94" xfId="4" applyFont="1" applyFill="1" applyBorder="1" applyAlignment="1" applyProtection="1">
      <alignment vertical="top"/>
      <protection hidden="1"/>
    </xf>
    <xf numFmtId="172" fontId="8" fillId="6" borderId="94" xfId="0" applyNumberFormat="1" applyFont="1" applyFill="1" applyBorder="1" applyAlignment="1" applyProtection="1">
      <alignment horizontal="right" vertical="center" indent="1"/>
      <protection hidden="1"/>
    </xf>
    <xf numFmtId="172" fontId="8" fillId="6" borderId="94" xfId="0" applyNumberFormat="1" applyFont="1" applyFill="1" applyBorder="1" applyAlignment="1" applyProtection="1">
      <alignment vertical="center" wrapText="1"/>
      <protection hidden="1"/>
    </xf>
    <xf numFmtId="0" fontId="7" fillId="5" borderId="94" xfId="4" applyFont="1" applyFill="1" applyBorder="1" applyAlignment="1" applyProtection="1">
      <protection hidden="1"/>
    </xf>
    <xf numFmtId="0" fontId="18" fillId="6" borderId="94" xfId="0" applyFont="1" applyFill="1" applyBorder="1" applyAlignment="1" applyProtection="1">
      <protection hidden="1"/>
    </xf>
    <xf numFmtId="0" fontId="12" fillId="6" borderId="94" xfId="0" applyFont="1" applyFill="1" applyBorder="1" applyAlignment="1" applyProtection="1">
      <alignment vertical="center"/>
      <protection hidden="1"/>
    </xf>
    <xf numFmtId="0" fontId="7" fillId="5" borderId="94" xfId="4" applyFont="1" applyFill="1" applyBorder="1" applyProtection="1">
      <protection hidden="1"/>
    </xf>
    <xf numFmtId="0" fontId="12" fillId="6" borderId="94" xfId="0" applyFont="1" applyFill="1" applyBorder="1" applyAlignment="1" applyProtection="1">
      <protection hidden="1"/>
    </xf>
    <xf numFmtId="0" fontId="7" fillId="7" borderId="94" xfId="4" applyFont="1" applyFill="1" applyBorder="1" applyProtection="1">
      <protection hidden="1"/>
    </xf>
    <xf numFmtId="0" fontId="7" fillId="5" borderId="42" xfId="4" applyFont="1" applyFill="1" applyBorder="1" applyProtection="1">
      <protection hidden="1"/>
    </xf>
    <xf numFmtId="0" fontId="7" fillId="7" borderId="62" xfId="4" applyFont="1" applyFill="1" applyBorder="1" applyProtection="1">
      <protection hidden="1"/>
    </xf>
    <xf numFmtId="0" fontId="7" fillId="7" borderId="42" xfId="4" applyFont="1" applyFill="1" applyBorder="1" applyProtection="1">
      <protection hidden="1"/>
    </xf>
    <xf numFmtId="0" fontId="13" fillId="4" borderId="0" xfId="0" applyFont="1" applyFill="1" applyBorder="1" applyAlignment="1" applyProtection="1">
      <protection hidden="1"/>
    </xf>
    <xf numFmtId="0" fontId="8" fillId="4" borderId="0" xfId="0" applyFont="1" applyFill="1" applyBorder="1" applyAlignment="1" applyProtection="1">
      <alignment horizontal="right" vertical="center"/>
      <protection hidden="1"/>
    </xf>
    <xf numFmtId="0" fontId="7" fillId="9" borderId="44" xfId="0" applyFont="1" applyFill="1" applyBorder="1" applyProtection="1">
      <protection hidden="1"/>
    </xf>
    <xf numFmtId="0" fontId="7" fillId="4" borderId="26" xfId="0" applyFont="1" applyFill="1" applyBorder="1" applyAlignment="1" applyProtection="1">
      <protection hidden="1"/>
    </xf>
    <xf numFmtId="0" fontId="7" fillId="4" borderId="12" xfId="0" applyFont="1" applyFill="1" applyBorder="1" applyAlignment="1" applyProtection="1">
      <protection hidden="1"/>
    </xf>
    <xf numFmtId="0" fontId="7" fillId="4" borderId="12" xfId="0" applyFont="1" applyFill="1" applyBorder="1" applyAlignment="1" applyProtection="1">
      <alignment vertical="center" wrapText="1"/>
      <protection hidden="1"/>
    </xf>
    <xf numFmtId="0" fontId="8" fillId="4" borderId="12" xfId="0" applyFont="1" applyFill="1" applyBorder="1" applyAlignment="1" applyProtection="1">
      <protection hidden="1"/>
    </xf>
    <xf numFmtId="0" fontId="8" fillId="4" borderId="18" xfId="0" applyFont="1" applyFill="1" applyBorder="1" applyAlignment="1" applyProtection="1">
      <protection hidden="1"/>
    </xf>
    <xf numFmtId="0" fontId="8" fillId="4" borderId="12" xfId="0" applyFont="1" applyFill="1" applyBorder="1" applyAlignment="1" applyProtection="1">
      <alignment horizontal="left" vertical="center" indent="1"/>
      <protection hidden="1"/>
    </xf>
    <xf numFmtId="0" fontId="8" fillId="4" borderId="12" xfId="0" applyFont="1" applyFill="1" applyBorder="1" applyAlignment="1" applyProtection="1">
      <alignment horizontal="left" vertical="center" indent="2"/>
      <protection hidden="1"/>
    </xf>
    <xf numFmtId="0" fontId="7" fillId="4" borderId="12" xfId="0" applyFont="1" applyFill="1" applyBorder="1" applyAlignment="1" applyProtection="1">
      <alignment horizontal="left" vertical="center" indent="3"/>
      <protection hidden="1"/>
    </xf>
    <xf numFmtId="0" fontId="8" fillId="4" borderId="12" xfId="0" applyFont="1" applyFill="1" applyBorder="1" applyAlignment="1" applyProtection="1">
      <alignment horizontal="left" vertical="center" indent="3"/>
      <protection hidden="1"/>
    </xf>
    <xf numFmtId="0" fontId="7" fillId="4" borderId="12" xfId="0" applyFont="1" applyFill="1" applyBorder="1" applyAlignment="1" applyProtection="1">
      <alignment horizontal="left" vertical="center" wrapText="1" indent="4"/>
      <protection hidden="1"/>
    </xf>
    <xf numFmtId="0" fontId="8" fillId="4" borderId="18" xfId="0" applyFont="1" applyFill="1" applyBorder="1" applyAlignment="1" applyProtection="1">
      <alignment horizontal="left" vertical="center" indent="2"/>
      <protection hidden="1"/>
    </xf>
    <xf numFmtId="0" fontId="7" fillId="4" borderId="58" xfId="0" applyFont="1" applyFill="1" applyBorder="1" applyAlignment="1" applyProtection="1">
      <protection hidden="1"/>
    </xf>
    <xf numFmtId="0" fontId="13" fillId="4" borderId="0" xfId="0" applyFont="1" applyFill="1" applyBorder="1" applyProtection="1">
      <protection hidden="1"/>
    </xf>
    <xf numFmtId="0" fontId="8" fillId="4" borderId="0" xfId="0" applyFont="1" applyFill="1" applyBorder="1" applyAlignment="1" applyProtection="1">
      <alignment horizontal="left"/>
      <protection hidden="1"/>
    </xf>
    <xf numFmtId="0" fontId="8" fillId="3" borderId="0" xfId="9" applyFont="1" applyFill="1" applyBorder="1" applyProtection="1">
      <protection hidden="1"/>
    </xf>
    <xf numFmtId="0" fontId="8" fillId="4" borderId="0" xfId="0" applyFont="1" applyFill="1" applyBorder="1" applyAlignment="1" applyProtection="1">
      <alignment horizontal="left" vertical="center" indent="1"/>
      <protection hidden="1"/>
    </xf>
    <xf numFmtId="0" fontId="8" fillId="4" borderId="60" xfId="0" applyFont="1" applyFill="1" applyBorder="1" applyAlignment="1" applyProtection="1">
      <alignment horizontal="left" vertical="center" indent="1"/>
      <protection hidden="1"/>
    </xf>
    <xf numFmtId="0" fontId="8" fillId="4" borderId="24" xfId="0" applyFont="1" applyFill="1" applyBorder="1" applyAlignment="1" applyProtection="1">
      <alignment horizontal="left"/>
      <protection hidden="1"/>
    </xf>
    <xf numFmtId="0" fontId="8" fillId="4" borderId="6" xfId="0" applyFont="1" applyFill="1" applyBorder="1" applyAlignment="1" applyProtection="1">
      <alignment horizontal="left" vertical="center" indent="1"/>
      <protection hidden="1"/>
    </xf>
    <xf numFmtId="0" fontId="7" fillId="4" borderId="6" xfId="0" applyFont="1" applyFill="1" applyBorder="1" applyAlignment="1" applyProtection="1">
      <alignment vertical="center"/>
      <protection hidden="1"/>
    </xf>
    <xf numFmtId="0" fontId="7" fillId="4" borderId="15" xfId="0" applyFont="1" applyFill="1" applyBorder="1" applyAlignment="1" applyProtection="1">
      <alignment vertical="center"/>
      <protection hidden="1"/>
    </xf>
    <xf numFmtId="0" fontId="7" fillId="4" borderId="6" xfId="0" applyFont="1" applyFill="1" applyBorder="1" applyAlignment="1" applyProtection="1">
      <alignment horizontal="left" vertical="center" indent="2"/>
      <protection hidden="1"/>
    </xf>
    <xf numFmtId="0" fontId="8" fillId="4" borderId="65" xfId="0" applyFont="1" applyFill="1" applyBorder="1" applyAlignment="1" applyProtection="1">
      <alignment horizontal="left" vertical="center" indent="1"/>
      <protection hidden="1"/>
    </xf>
    <xf numFmtId="0" fontId="8" fillId="5" borderId="0" xfId="0" applyFont="1" applyFill="1" applyBorder="1" applyAlignment="1" applyProtection="1">
      <alignment horizontal="left" vertical="center"/>
      <protection hidden="1"/>
    </xf>
    <xf numFmtId="0" fontId="8" fillId="5" borderId="0" xfId="0" applyFont="1" applyFill="1" applyBorder="1" applyAlignment="1" applyProtection="1">
      <protection hidden="1"/>
    </xf>
    <xf numFmtId="0" fontId="7" fillId="5" borderId="24" xfId="0" applyFont="1" applyFill="1" applyBorder="1" applyProtection="1">
      <protection hidden="1"/>
    </xf>
    <xf numFmtId="0" fontId="8" fillId="4" borderId="6" xfId="0" applyFont="1" applyFill="1" applyBorder="1" applyAlignment="1" applyProtection="1">
      <alignment horizontal="left" vertical="center" wrapText="1" indent="1"/>
      <protection hidden="1"/>
    </xf>
    <xf numFmtId="0" fontId="7" fillId="5" borderId="6" xfId="0" applyFont="1" applyFill="1" applyBorder="1" applyProtection="1">
      <protection hidden="1"/>
    </xf>
    <xf numFmtId="0" fontId="7" fillId="4" borderId="6" xfId="0" applyFont="1" applyFill="1" applyBorder="1" applyAlignment="1" applyProtection="1">
      <protection hidden="1"/>
    </xf>
    <xf numFmtId="0" fontId="7" fillId="4" borderId="15" xfId="0" applyFont="1" applyFill="1" applyBorder="1" applyAlignment="1" applyProtection="1">
      <protection hidden="1"/>
    </xf>
    <xf numFmtId="0" fontId="7" fillId="4" borderId="6" xfId="0" applyFont="1" applyFill="1" applyBorder="1" applyAlignment="1" applyProtection="1">
      <alignment horizontal="left" vertical="center" indent="1"/>
      <protection hidden="1"/>
    </xf>
    <xf numFmtId="0" fontId="7" fillId="4" borderId="30" xfId="0" applyFont="1" applyFill="1" applyBorder="1" applyAlignment="1" applyProtection="1">
      <alignment horizontal="left" vertical="center" indent="1"/>
      <protection hidden="1"/>
    </xf>
    <xf numFmtId="0" fontId="8" fillId="5" borderId="15" xfId="0" applyFont="1" applyFill="1" applyBorder="1" applyAlignment="1" applyProtection="1">
      <alignment horizontal="left" vertical="center" wrapText="1" indent="1"/>
      <protection hidden="1"/>
    </xf>
    <xf numFmtId="0" fontId="7" fillId="9" borderId="0" xfId="9" applyFont="1" applyFill="1" applyProtection="1"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8" fillId="3" borderId="0" xfId="9" applyFont="1" applyFill="1" applyBorder="1" applyAlignment="1" applyProtection="1">
      <alignment horizontal="left"/>
      <protection hidden="1"/>
    </xf>
    <xf numFmtId="0" fontId="8" fillId="3" borderId="0" xfId="9" applyFont="1" applyFill="1" applyBorder="1" applyAlignment="1" applyProtection="1">
      <alignment horizontal="left" vertical="center" indent="1"/>
      <protection hidden="1"/>
    </xf>
    <xf numFmtId="0" fontId="7" fillId="9" borderId="9" xfId="9" applyFont="1" applyFill="1" applyBorder="1" applyProtection="1">
      <protection hidden="1"/>
    </xf>
    <xf numFmtId="0" fontId="7" fillId="9" borderId="9" xfId="9" applyFont="1" applyFill="1" applyBorder="1" applyAlignment="1" applyProtection="1">
      <alignment vertical="center"/>
      <protection hidden="1"/>
    </xf>
    <xf numFmtId="0" fontId="7" fillId="9" borderId="44" xfId="9" applyFont="1" applyFill="1" applyBorder="1" applyAlignment="1" applyProtection="1">
      <alignment vertical="top"/>
      <protection hidden="1"/>
    </xf>
    <xf numFmtId="0" fontId="7" fillId="9" borderId="62" xfId="9" applyFont="1" applyFill="1" applyBorder="1" applyAlignment="1" applyProtection="1">
      <alignment vertical="center"/>
      <protection hidden="1"/>
    </xf>
    <xf numFmtId="0" fontId="8" fillId="3" borderId="94" xfId="9" applyFont="1" applyFill="1" applyBorder="1" applyAlignment="1" applyProtection="1">
      <alignment horizontal="center" vertical="top"/>
      <protection hidden="1"/>
    </xf>
    <xf numFmtId="0" fontId="8" fillId="3" borderId="94" xfId="9" applyFont="1" applyFill="1" applyBorder="1" applyAlignment="1" applyProtection="1">
      <alignment horizontal="center" vertical="center"/>
      <protection hidden="1"/>
    </xf>
    <xf numFmtId="172" fontId="8" fillId="2" borderId="94" xfId="0" applyNumberFormat="1" applyFont="1" applyFill="1" applyBorder="1" applyAlignment="1" applyProtection="1">
      <alignment horizontal="center" vertical="top"/>
      <protection hidden="1"/>
    </xf>
    <xf numFmtId="0" fontId="8" fillId="3" borderId="0" xfId="0" applyFont="1" applyFill="1" applyBorder="1" applyAlignment="1" applyProtection="1">
      <alignment horizontal="left"/>
      <protection hidden="1"/>
    </xf>
    <xf numFmtId="0" fontId="8" fillId="3" borderId="0" xfId="0" applyFont="1" applyFill="1" applyBorder="1" applyAlignment="1" applyProtection="1">
      <alignment horizontal="left" indent="1"/>
      <protection hidden="1"/>
    </xf>
    <xf numFmtId="0" fontId="8" fillId="5" borderId="15" xfId="0" applyFont="1" applyFill="1" applyBorder="1" applyAlignment="1" applyProtection="1">
      <alignment horizontal="left" vertical="center" wrapText="1" indent="2"/>
      <protection hidden="1"/>
    </xf>
    <xf numFmtId="0" fontId="8" fillId="4" borderId="0" xfId="0" applyFont="1" applyFill="1" applyBorder="1" applyAlignment="1" applyProtection="1">
      <alignment horizontal="left" vertical="center"/>
      <protection hidden="1"/>
    </xf>
    <xf numFmtId="0" fontId="8" fillId="9" borderId="0" xfId="0" applyFont="1" applyFill="1" applyBorder="1" applyProtection="1">
      <protection hidden="1"/>
    </xf>
    <xf numFmtId="0" fontId="7" fillId="10" borderId="0" xfId="0" applyFont="1" applyFill="1" applyBorder="1" applyAlignment="1" applyProtection="1">
      <protection hidden="1"/>
    </xf>
    <xf numFmtId="0" fontId="7" fillId="10" borderId="60" xfId="0" applyFont="1" applyFill="1" applyBorder="1" applyAlignment="1" applyProtection="1">
      <protection hidden="1"/>
    </xf>
    <xf numFmtId="0" fontId="7" fillId="9" borderId="44" xfId="0" applyFont="1" applyFill="1" applyBorder="1" applyAlignment="1" applyProtection="1">
      <alignment vertical="center"/>
      <protection hidden="1"/>
    </xf>
    <xf numFmtId="0" fontId="12" fillId="9" borderId="64" xfId="0" applyFont="1" applyFill="1" applyBorder="1" applyAlignment="1" applyProtection="1">
      <protection hidden="1"/>
    </xf>
    <xf numFmtId="0" fontId="7" fillId="9" borderId="96" xfId="0" applyFont="1" applyFill="1" applyBorder="1" applyAlignment="1" applyProtection="1">
      <alignment vertical="center"/>
      <protection hidden="1"/>
    </xf>
    <xf numFmtId="0" fontId="7" fillId="9" borderId="96" xfId="0" applyFont="1" applyFill="1" applyBorder="1" applyProtection="1">
      <protection hidden="1"/>
    </xf>
    <xf numFmtId="0" fontId="7" fillId="9" borderId="96" xfId="0" applyFont="1" applyFill="1" applyBorder="1" applyAlignment="1" applyProtection="1">
      <protection hidden="1"/>
    </xf>
    <xf numFmtId="0" fontId="12" fillId="5" borderId="64" xfId="0" applyFont="1" applyFill="1" applyBorder="1" applyAlignment="1" applyProtection="1">
      <alignment vertical="center"/>
      <protection hidden="1"/>
    </xf>
    <xf numFmtId="0" fontId="7" fillId="4" borderId="55" xfId="0" applyFont="1" applyFill="1" applyBorder="1" applyAlignment="1" applyProtection="1">
      <alignment horizontal="left" vertical="center" indent="1"/>
      <protection hidden="1"/>
    </xf>
    <xf numFmtId="0" fontId="8" fillId="4" borderId="10" xfId="0" applyFont="1" applyFill="1" applyBorder="1" applyAlignment="1" applyProtection="1">
      <alignment horizontal="left" vertical="center" indent="1"/>
      <protection hidden="1"/>
    </xf>
    <xf numFmtId="0" fontId="8" fillId="4" borderId="2" xfId="0" applyFont="1" applyFill="1" applyBorder="1" applyAlignment="1" applyProtection="1">
      <alignment horizontal="center" vertical="top" wrapText="1"/>
      <protection hidden="1"/>
    </xf>
    <xf numFmtId="0" fontId="8" fillId="4" borderId="0" xfId="0" applyFont="1" applyFill="1" applyBorder="1" applyAlignment="1" applyProtection="1">
      <alignment horizontal="center" vertical="center"/>
      <protection hidden="1"/>
    </xf>
    <xf numFmtId="0" fontId="8" fillId="4" borderId="21" xfId="0" applyFont="1" applyFill="1" applyBorder="1" applyAlignment="1" applyProtection="1">
      <alignment horizontal="left"/>
      <protection hidden="1"/>
    </xf>
    <xf numFmtId="0" fontId="8" fillId="4" borderId="11" xfId="0" applyFont="1" applyFill="1" applyBorder="1" applyAlignment="1" applyProtection="1">
      <alignment horizontal="center" vertical="top" wrapText="1"/>
      <protection hidden="1"/>
    </xf>
    <xf numFmtId="0" fontId="8" fillId="4" borderId="23" xfId="0" applyFont="1" applyFill="1" applyBorder="1" applyAlignment="1" applyProtection="1">
      <alignment horizontal="center" vertical="center"/>
      <protection hidden="1"/>
    </xf>
    <xf numFmtId="0" fontId="7" fillId="4" borderId="10" xfId="0" applyFont="1" applyFill="1" applyBorder="1" applyAlignment="1" applyProtection="1">
      <alignment vertical="center"/>
      <protection hidden="1"/>
    </xf>
    <xf numFmtId="0" fontId="7" fillId="4" borderId="34" xfId="0" applyFont="1" applyFill="1" applyBorder="1" applyAlignment="1" applyProtection="1">
      <alignment vertical="center"/>
      <protection hidden="1"/>
    </xf>
    <xf numFmtId="0" fontId="7" fillId="4" borderId="10" xfId="0" applyFont="1" applyFill="1" applyBorder="1" applyAlignment="1" applyProtection="1">
      <alignment horizontal="left" vertical="center" indent="1"/>
      <protection hidden="1"/>
    </xf>
    <xf numFmtId="0" fontId="7" fillId="4" borderId="39" xfId="0" applyFont="1" applyFill="1" applyBorder="1" applyAlignment="1" applyProtection="1">
      <alignment horizontal="left" vertical="center" indent="1"/>
      <protection hidden="1"/>
    </xf>
    <xf numFmtId="0" fontId="8" fillId="4" borderId="34" xfId="0" applyFont="1" applyFill="1" applyBorder="1" applyAlignment="1" applyProtection="1">
      <alignment horizontal="left" vertical="center" indent="1"/>
      <protection hidden="1"/>
    </xf>
    <xf numFmtId="0" fontId="8" fillId="4" borderId="12" xfId="0" applyFont="1" applyFill="1" applyBorder="1" applyAlignment="1" applyProtection="1">
      <alignment horizontal="center" vertical="center"/>
      <protection hidden="1"/>
    </xf>
    <xf numFmtId="0" fontId="8" fillId="4" borderId="11" xfId="0" applyFont="1" applyFill="1" applyBorder="1" applyAlignment="1" applyProtection="1">
      <alignment horizontal="center" vertical="center" wrapText="1"/>
      <protection hidden="1"/>
    </xf>
    <xf numFmtId="0" fontId="8" fillId="4" borderId="71" xfId="0" applyFont="1" applyFill="1" applyBorder="1" applyAlignment="1" applyProtection="1">
      <alignment horizontal="center" vertical="top"/>
      <protection hidden="1"/>
    </xf>
    <xf numFmtId="0" fontId="8" fillId="4" borderId="6" xfId="0" applyFont="1" applyFill="1" applyBorder="1" applyAlignment="1" applyProtection="1">
      <alignment horizontal="center" vertical="center" wrapText="1"/>
      <protection hidden="1"/>
    </xf>
    <xf numFmtId="0" fontId="8" fillId="4" borderId="10" xfId="0" applyFont="1" applyFill="1" applyBorder="1" applyAlignment="1" applyProtection="1">
      <alignment horizontal="center" vertical="center"/>
      <protection hidden="1"/>
    </xf>
    <xf numFmtId="170" fontId="7" fillId="13" borderId="6" xfId="0" applyNumberFormat="1" applyFont="1" applyFill="1" applyBorder="1" applyAlignment="1" applyProtection="1">
      <alignment vertical="center"/>
      <protection hidden="1"/>
    </xf>
    <xf numFmtId="167" fontId="7" fillId="13" borderId="31" xfId="0" applyNumberFormat="1" applyFont="1" applyFill="1" applyBorder="1" applyAlignment="1" applyProtection="1">
      <alignment vertical="center"/>
      <protection hidden="1"/>
    </xf>
    <xf numFmtId="170" fontId="7" fillId="13" borderId="32" xfId="0" applyNumberFormat="1" applyFont="1" applyFill="1" applyBorder="1" applyAlignment="1" applyProtection="1">
      <alignment vertical="center"/>
      <protection hidden="1"/>
    </xf>
    <xf numFmtId="167" fontId="7" fillId="13" borderId="95" xfId="0" applyNumberFormat="1" applyFont="1" applyFill="1" applyBorder="1" applyAlignment="1" applyProtection="1">
      <alignment vertical="center"/>
      <protection hidden="1"/>
    </xf>
    <xf numFmtId="170" fontId="7" fillId="13" borderId="31" xfId="0" applyNumberFormat="1" applyFont="1" applyFill="1" applyBorder="1" applyAlignment="1" applyProtection="1">
      <alignment vertical="center"/>
      <protection hidden="1"/>
    </xf>
    <xf numFmtId="170" fontId="7" fillId="13" borderId="50" xfId="0" applyNumberFormat="1" applyFont="1" applyFill="1" applyBorder="1" applyAlignment="1" applyProtection="1">
      <alignment vertical="center"/>
      <protection hidden="1"/>
    </xf>
    <xf numFmtId="180" fontId="8" fillId="14" borderId="31" xfId="0" applyNumberFormat="1" applyFont="1" applyFill="1" applyBorder="1" applyAlignment="1" applyProtection="1">
      <alignment vertical="center"/>
      <protection hidden="1"/>
    </xf>
    <xf numFmtId="181" fontId="8" fillId="14" borderId="31" xfId="0" applyNumberFormat="1" applyFont="1" applyFill="1" applyBorder="1" applyAlignment="1" applyProtection="1">
      <alignment vertical="center"/>
      <protection hidden="1"/>
    </xf>
    <xf numFmtId="181" fontId="8" fillId="14" borderId="33" xfId="0" applyNumberFormat="1" applyFont="1" applyFill="1" applyBorder="1" applyAlignment="1" applyProtection="1">
      <alignment vertical="center"/>
      <protection hidden="1"/>
    </xf>
    <xf numFmtId="0" fontId="8" fillId="4" borderId="89" xfId="0" applyFont="1" applyFill="1" applyBorder="1" applyAlignment="1" applyProtection="1">
      <alignment horizontal="center" vertical="top" wrapText="1"/>
      <protection hidden="1"/>
    </xf>
    <xf numFmtId="170" fontId="7" fillId="13" borderId="30" xfId="0" applyNumberFormat="1" applyFont="1" applyFill="1" applyBorder="1" applyAlignment="1" applyProtection="1">
      <alignment vertical="center"/>
      <protection hidden="1"/>
    </xf>
    <xf numFmtId="180" fontId="8" fillId="9" borderId="18" xfId="0" applyNumberFormat="1" applyFont="1" applyFill="1" applyBorder="1" applyAlignment="1" applyProtection="1">
      <alignment vertical="center"/>
      <protection hidden="1"/>
    </xf>
    <xf numFmtId="180" fontId="8" fillId="9" borderId="87" xfId="0" applyNumberFormat="1" applyFont="1" applyFill="1" applyBorder="1" applyAlignment="1" applyProtection="1">
      <alignment vertical="center"/>
      <protection hidden="1"/>
    </xf>
    <xf numFmtId="180" fontId="7" fillId="9" borderId="63" xfId="0" applyNumberFormat="1" applyFont="1" applyFill="1" applyBorder="1" applyAlignment="1" applyProtection="1">
      <alignment vertical="center"/>
      <protection hidden="1"/>
    </xf>
    <xf numFmtId="180" fontId="7" fillId="0" borderId="12" xfId="0" applyNumberFormat="1" applyFont="1" applyFill="1" applyBorder="1" applyAlignment="1" applyProtection="1">
      <alignment vertical="center"/>
      <protection locked="0"/>
    </xf>
    <xf numFmtId="180" fontId="7" fillId="0" borderId="43" xfId="0" applyNumberFormat="1" applyFont="1" applyFill="1" applyBorder="1" applyAlignment="1" applyProtection="1">
      <alignment vertical="center"/>
      <protection locked="0"/>
    </xf>
    <xf numFmtId="178" fontId="7" fillId="0" borderId="7" xfId="0" applyNumberFormat="1" applyFont="1" applyFill="1" applyBorder="1" applyAlignment="1" applyProtection="1">
      <alignment vertical="center"/>
      <protection locked="0"/>
    </xf>
    <xf numFmtId="178" fontId="7" fillId="0" borderId="2" xfId="0" applyNumberFormat="1" applyFont="1" applyFill="1" applyBorder="1" applyAlignment="1" applyProtection="1">
      <alignment vertical="center"/>
      <protection locked="0"/>
    </xf>
    <xf numFmtId="178" fontId="7" fillId="0" borderId="96" xfId="0" applyNumberFormat="1" applyFont="1" applyFill="1" applyBorder="1" applyAlignment="1" applyProtection="1">
      <alignment vertical="center"/>
      <protection locked="0"/>
    </xf>
    <xf numFmtId="178" fontId="7" fillId="0" borderId="0" xfId="0" applyNumberFormat="1" applyFont="1" applyFill="1" applyBorder="1" applyAlignment="1" applyProtection="1">
      <alignment vertical="center"/>
      <protection locked="0"/>
    </xf>
    <xf numFmtId="178" fontId="7" fillId="15" borderId="7" xfId="0" applyNumberFormat="1" applyFont="1" applyFill="1" applyBorder="1" applyAlignment="1" applyProtection="1">
      <alignment vertical="center"/>
      <protection locked="0"/>
    </xf>
    <xf numFmtId="178" fontId="7" fillId="15" borderId="8" xfId="0" applyNumberFormat="1" applyFont="1" applyFill="1" applyBorder="1" applyAlignment="1" applyProtection="1">
      <alignment vertical="center"/>
      <protection locked="0"/>
    </xf>
    <xf numFmtId="178" fontId="7" fillId="15" borderId="31" xfId="0" applyNumberFormat="1" applyFont="1" applyFill="1" applyBorder="1" applyAlignment="1" applyProtection="1">
      <alignment vertical="center"/>
      <protection locked="0"/>
    </xf>
    <xf numFmtId="178" fontId="7" fillId="15" borderId="33" xfId="0" applyNumberFormat="1" applyFont="1" applyFill="1" applyBorder="1" applyAlignment="1" applyProtection="1">
      <alignment vertical="center"/>
      <protection locked="0"/>
    </xf>
    <xf numFmtId="178" fontId="7" fillId="9" borderId="86" xfId="0" applyNumberFormat="1" applyFont="1" applyFill="1" applyBorder="1" applyAlignment="1" applyProtection="1">
      <alignment vertical="center"/>
      <protection hidden="1"/>
    </xf>
    <xf numFmtId="181" fontId="8" fillId="8" borderId="18" xfId="0" applyNumberFormat="1" applyFont="1" applyFill="1" applyBorder="1" applyAlignment="1" applyProtection="1">
      <alignment vertical="center"/>
      <protection hidden="1"/>
    </xf>
    <xf numFmtId="180" fontId="8" fillId="8" borderId="26" xfId="0" applyNumberFormat="1" applyFont="1" applyFill="1" applyBorder="1" applyAlignment="1" applyProtection="1">
      <alignment vertical="center"/>
      <protection hidden="1"/>
    </xf>
    <xf numFmtId="180" fontId="8" fillId="8" borderId="43" xfId="0" applyNumberFormat="1" applyFont="1" applyFill="1" applyBorder="1" applyAlignment="1" applyProtection="1">
      <alignment vertical="center"/>
      <protection hidden="1"/>
    </xf>
    <xf numFmtId="0" fontId="7" fillId="4" borderId="2" xfId="0" applyFont="1" applyFill="1" applyBorder="1" applyAlignment="1" applyProtection="1">
      <alignment horizontal="left" indent="2"/>
      <protection hidden="1"/>
    </xf>
    <xf numFmtId="0" fontId="8" fillId="4" borderId="2" xfId="0" applyFont="1" applyFill="1" applyBorder="1" applyAlignment="1" applyProtection="1">
      <alignment vertical="center"/>
      <protection hidden="1"/>
    </xf>
    <xf numFmtId="0" fontId="8" fillId="5" borderId="2" xfId="0" quotePrefix="1" applyFont="1" applyFill="1" applyBorder="1" applyAlignment="1" applyProtection="1">
      <alignment horizontal="center" vertical="center" wrapText="1"/>
      <protection hidden="1"/>
    </xf>
    <xf numFmtId="181" fontId="8" fillId="8" borderId="2" xfId="0" applyNumberFormat="1" applyFont="1" applyFill="1" applyBorder="1" applyAlignment="1" applyProtection="1">
      <alignment vertical="center"/>
      <protection hidden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8" fillId="4" borderId="12" xfId="0" applyFont="1" applyFill="1" applyBorder="1" applyAlignment="1" applyProtection="1">
      <alignment horizontal="center" vertical="top" wrapText="1"/>
      <protection hidden="1"/>
    </xf>
    <xf numFmtId="0" fontId="7" fillId="4" borderId="60" xfId="0" applyFont="1" applyFill="1" applyBorder="1" applyAlignment="1" applyProtection="1">
      <protection hidden="1"/>
    </xf>
    <xf numFmtId="178" fontId="7" fillId="9" borderId="63" xfId="0" applyNumberFormat="1" applyFont="1" applyFill="1" applyBorder="1" applyAlignment="1" applyProtection="1">
      <alignment vertical="center"/>
      <protection hidden="1"/>
    </xf>
    <xf numFmtId="0" fontId="7" fillId="9" borderId="10" xfId="0" applyFont="1" applyFill="1" applyBorder="1" applyProtection="1">
      <protection hidden="1"/>
    </xf>
    <xf numFmtId="0" fontId="7" fillId="9" borderId="11" xfId="0" applyFont="1" applyFill="1" applyBorder="1" applyProtection="1">
      <protection hidden="1"/>
    </xf>
    <xf numFmtId="0" fontId="8" fillId="9" borderId="3" xfId="0" applyFont="1" applyFill="1" applyBorder="1" applyAlignment="1" applyProtection="1">
      <alignment horizontal="center" vertical="top" wrapText="1"/>
      <protection hidden="1"/>
    </xf>
    <xf numFmtId="0" fontId="8" fillId="9" borderId="45" xfId="0" applyFont="1" applyFill="1" applyBorder="1" applyAlignment="1" applyProtection="1">
      <alignment horizontal="center" vertical="top" wrapText="1"/>
      <protection hidden="1"/>
    </xf>
    <xf numFmtId="178" fontId="15" fillId="8" borderId="11" xfId="0" applyNumberFormat="1" applyFont="1" applyFill="1" applyBorder="1" applyAlignment="1" applyProtection="1">
      <alignment vertical="center"/>
      <protection hidden="1"/>
    </xf>
    <xf numFmtId="178" fontId="15" fillId="16" borderId="11" xfId="0" applyNumberFormat="1" applyFont="1" applyFill="1" applyBorder="1" applyAlignment="1" applyProtection="1">
      <alignment vertical="center"/>
      <protection hidden="1"/>
    </xf>
    <xf numFmtId="178" fontId="15" fillId="16" borderId="12" xfId="0" applyNumberFormat="1" applyFont="1" applyFill="1" applyBorder="1" applyAlignment="1" applyProtection="1">
      <alignment vertical="center"/>
      <protection hidden="1"/>
    </xf>
    <xf numFmtId="178" fontId="15" fillId="16" borderId="38" xfId="0" applyNumberFormat="1" applyFont="1" applyFill="1" applyBorder="1" applyAlignment="1" applyProtection="1">
      <alignment vertical="center"/>
      <protection hidden="1"/>
    </xf>
    <xf numFmtId="186" fontId="7" fillId="9" borderId="49" xfId="0" applyNumberFormat="1" applyFont="1" applyFill="1" applyBorder="1" applyAlignment="1" applyProtection="1">
      <alignment vertical="center"/>
      <protection hidden="1"/>
    </xf>
    <xf numFmtId="2" fontId="7" fillId="9" borderId="53" xfId="0" applyNumberFormat="1" applyFont="1" applyFill="1" applyBorder="1" applyAlignment="1" applyProtection="1">
      <alignment horizontal="center" vertical="center"/>
      <protection hidden="1"/>
    </xf>
    <xf numFmtId="172" fontId="7" fillId="9" borderId="0" xfId="4" applyNumberFormat="1" applyFont="1" applyFill="1" applyBorder="1" applyAlignment="1" applyProtection="1">
      <alignment vertical="center"/>
      <protection hidden="1"/>
    </xf>
    <xf numFmtId="0" fontId="8" fillId="9" borderId="30" xfId="0" applyFont="1" applyFill="1" applyBorder="1" applyAlignment="1" applyProtection="1">
      <alignment horizontal="center" vertical="top" wrapText="1"/>
      <protection hidden="1"/>
    </xf>
    <xf numFmtId="0" fontId="8" fillId="9" borderId="95" xfId="0" applyFont="1" applyFill="1" applyBorder="1" applyAlignment="1" applyProtection="1">
      <alignment horizontal="left" vertical="top" indent="1"/>
      <protection hidden="1"/>
    </xf>
    <xf numFmtId="172" fontId="8" fillId="9" borderId="0" xfId="4" applyNumberFormat="1" applyFont="1" applyFill="1" applyBorder="1" applyAlignment="1" applyProtection="1">
      <alignment vertical="center"/>
      <protection hidden="1"/>
    </xf>
    <xf numFmtId="0" fontId="7" fillId="9" borderId="44" xfId="0" applyNumberFormat="1" applyFont="1" applyFill="1" applyBorder="1" applyProtection="1">
      <protection hidden="1"/>
    </xf>
    <xf numFmtId="0" fontId="8" fillId="9" borderId="65" xfId="0" applyFont="1" applyFill="1" applyBorder="1" applyProtection="1">
      <protection hidden="1"/>
    </xf>
    <xf numFmtId="0" fontId="7" fillId="9" borderId="65" xfId="0" applyFont="1" applyFill="1" applyBorder="1" applyProtection="1">
      <protection hidden="1"/>
    </xf>
    <xf numFmtId="0" fontId="7" fillId="9" borderId="1" xfId="0" applyFont="1" applyFill="1" applyBorder="1" applyProtection="1">
      <protection hidden="1"/>
    </xf>
    <xf numFmtId="0" fontId="7" fillId="9" borderId="96" xfId="0" applyNumberFormat="1" applyFont="1" applyFill="1" applyBorder="1" applyProtection="1">
      <protection hidden="1"/>
    </xf>
    <xf numFmtId="172" fontId="7" fillId="9" borderId="94" xfId="4" applyNumberFormat="1" applyFont="1" applyFill="1" applyBorder="1" applyAlignment="1" applyProtection="1">
      <alignment vertical="center"/>
      <protection hidden="1"/>
    </xf>
    <xf numFmtId="172" fontId="8" fillId="9" borderId="94" xfId="4" applyNumberFormat="1" applyFont="1" applyFill="1" applyBorder="1" applyAlignment="1" applyProtection="1">
      <alignment vertical="center"/>
      <protection hidden="1"/>
    </xf>
    <xf numFmtId="0" fontId="7" fillId="9" borderId="94" xfId="0" applyFont="1" applyFill="1" applyBorder="1" applyAlignment="1" applyProtection="1">
      <alignment horizontal="center" vertical="center"/>
      <protection hidden="1"/>
    </xf>
    <xf numFmtId="0" fontId="26" fillId="9" borderId="35" xfId="0" applyFont="1" applyFill="1" applyBorder="1" applyAlignment="1" applyProtection="1">
      <alignment horizontal="center" vertical="center"/>
      <protection hidden="1"/>
    </xf>
    <xf numFmtId="0" fontId="25" fillId="9" borderId="32" xfId="0" applyFont="1" applyFill="1" applyBorder="1" applyAlignment="1" applyProtection="1">
      <alignment horizontal="left" vertical="center" indent="1"/>
      <protection hidden="1"/>
    </xf>
    <xf numFmtId="0" fontId="27" fillId="0" borderId="1" xfId="0" applyFont="1" applyFill="1" applyBorder="1" applyAlignment="1" applyProtection="1">
      <alignment horizontal="left" vertical="center" indent="1"/>
      <protection hidden="1"/>
    </xf>
    <xf numFmtId="0" fontId="25" fillId="9" borderId="1" xfId="0" applyFont="1" applyFill="1" applyBorder="1" applyAlignment="1" applyProtection="1">
      <alignment horizontal="left" vertical="center" indent="1"/>
      <protection hidden="1"/>
    </xf>
    <xf numFmtId="0" fontId="26" fillId="9" borderId="45" xfId="0" applyFont="1" applyFill="1" applyBorder="1" applyAlignment="1" applyProtection="1">
      <alignment horizontal="center" vertical="center"/>
      <protection hidden="1"/>
    </xf>
    <xf numFmtId="0" fontId="25" fillId="9" borderId="97" xfId="0" applyFont="1" applyFill="1" applyBorder="1" applyAlignment="1" applyProtection="1">
      <alignment horizontal="left" vertical="center" indent="1"/>
      <protection hidden="1"/>
    </xf>
    <xf numFmtId="0" fontId="27" fillId="9" borderId="98" xfId="0" applyFont="1" applyFill="1" applyBorder="1" applyAlignment="1" applyProtection="1">
      <alignment horizontal="left" vertical="center" indent="1"/>
      <protection hidden="1"/>
    </xf>
    <xf numFmtId="0" fontId="27" fillId="9" borderId="99" xfId="0" applyFont="1" applyFill="1" applyBorder="1" applyAlignment="1" applyProtection="1">
      <alignment horizontal="center" vertical="center"/>
      <protection hidden="1"/>
    </xf>
    <xf numFmtId="0" fontId="15" fillId="9" borderId="94" xfId="0" applyFont="1" applyFill="1" applyBorder="1" applyAlignment="1" applyProtection="1">
      <alignment horizontal="center" vertical="center"/>
      <protection hidden="1"/>
    </xf>
    <xf numFmtId="0" fontId="26" fillId="0" borderId="11" xfId="0" applyFont="1" applyFill="1" applyBorder="1" applyAlignment="1" applyProtection="1">
      <alignment horizontal="center" vertical="center"/>
      <protection hidden="1"/>
    </xf>
    <xf numFmtId="0" fontId="8" fillId="4" borderId="26" xfId="0" applyFont="1" applyFill="1" applyBorder="1" applyAlignment="1" applyProtection="1">
      <alignment horizontal="center" vertical="center" wrapText="1"/>
      <protection hidden="1"/>
    </xf>
    <xf numFmtId="172" fontId="8" fillId="5" borderId="94" xfId="0" applyNumberFormat="1" applyFont="1" applyFill="1" applyBorder="1" applyAlignment="1" applyProtection="1">
      <alignment horizontal="center" vertical="center"/>
      <protection hidden="1"/>
    </xf>
    <xf numFmtId="172" fontId="8" fillId="5" borderId="12" xfId="0" applyNumberFormat="1" applyFont="1" applyFill="1" applyBorder="1" applyAlignment="1" applyProtection="1">
      <alignment horizontal="center" vertical="center"/>
      <protection hidden="1"/>
    </xf>
    <xf numFmtId="178" fontId="8" fillId="5" borderId="43" xfId="0" applyNumberFormat="1" applyFont="1" applyFill="1" applyBorder="1" applyAlignment="1" applyProtection="1">
      <alignment vertical="center"/>
      <protection hidden="1"/>
    </xf>
    <xf numFmtId="0" fontId="15" fillId="9" borderId="0" xfId="0" applyFont="1" applyFill="1" applyBorder="1" applyAlignment="1" applyProtection="1">
      <alignment horizontal="center" vertical="center"/>
      <protection hidden="1"/>
    </xf>
    <xf numFmtId="0" fontId="8" fillId="5" borderId="10" xfId="0" applyFont="1" applyFill="1" applyBorder="1" applyAlignment="1" applyProtection="1">
      <alignment horizontal="left" vertical="top" indent="1"/>
      <protection hidden="1"/>
    </xf>
    <xf numFmtId="0" fontId="7" fillId="5" borderId="94" xfId="0" applyFont="1" applyFill="1" applyBorder="1" applyProtection="1">
      <protection hidden="1"/>
    </xf>
    <xf numFmtId="0" fontId="7" fillId="5" borderId="24" xfId="0" applyFont="1" applyFill="1" applyBorder="1" applyAlignment="1" applyProtection="1">
      <alignment vertical="center"/>
      <protection hidden="1"/>
    </xf>
    <xf numFmtId="172" fontId="7" fillId="5" borderId="100" xfId="0" applyNumberFormat="1" applyFont="1" applyFill="1" applyBorder="1" applyProtection="1">
      <protection hidden="1"/>
    </xf>
    <xf numFmtId="0" fontId="7" fillId="5" borderId="100" xfId="0" applyFont="1" applyFill="1" applyBorder="1" applyProtection="1">
      <protection hidden="1"/>
    </xf>
    <xf numFmtId="0" fontId="7" fillId="5" borderId="101" xfId="0" applyFont="1" applyFill="1" applyBorder="1" applyProtection="1">
      <protection hidden="1"/>
    </xf>
    <xf numFmtId="172" fontId="7" fillId="5" borderId="0" xfId="0" applyNumberFormat="1" applyFont="1" applyFill="1" applyBorder="1" applyProtection="1">
      <protection hidden="1"/>
    </xf>
    <xf numFmtId="0" fontId="18" fillId="5" borderId="94" xfId="0" applyFont="1" applyFill="1" applyBorder="1" applyAlignment="1" applyProtection="1">
      <protection hidden="1"/>
    </xf>
    <xf numFmtId="0" fontId="7" fillId="9" borderId="96" xfId="0" applyFont="1" applyFill="1" applyBorder="1" applyAlignment="1" applyProtection="1">
      <alignment vertical="top"/>
      <protection hidden="1"/>
    </xf>
    <xf numFmtId="172" fontId="7" fillId="5" borderId="94" xfId="0" quotePrefix="1" applyNumberFormat="1" applyFont="1" applyFill="1" applyBorder="1" applyAlignment="1" applyProtection="1">
      <alignment horizontal="center" vertical="center"/>
      <protection hidden="1"/>
    </xf>
    <xf numFmtId="172" fontId="7" fillId="5" borderId="94" xfId="0" applyNumberFormat="1" applyFont="1" applyFill="1" applyBorder="1" applyAlignment="1" applyProtection="1">
      <alignment vertical="center"/>
      <protection hidden="1"/>
    </xf>
    <xf numFmtId="0" fontId="18" fillId="9" borderId="94" xfId="0" applyFont="1" applyFill="1" applyBorder="1" applyAlignment="1" applyProtection="1">
      <protection hidden="1"/>
    </xf>
    <xf numFmtId="0" fontId="8" fillId="5" borderId="96" xfId="0" applyFont="1" applyFill="1" applyBorder="1" applyAlignment="1" applyProtection="1">
      <alignment horizontal="center" vertical="center"/>
      <protection hidden="1"/>
    </xf>
    <xf numFmtId="172" fontId="8" fillId="5" borderId="96" xfId="0" applyNumberFormat="1" applyFont="1" applyFill="1" applyBorder="1" applyAlignment="1" applyProtection="1">
      <alignment horizontal="center" vertical="center"/>
      <protection hidden="1"/>
    </xf>
    <xf numFmtId="164" fontId="7" fillId="5" borderId="102" xfId="0" applyNumberFormat="1" applyFont="1" applyFill="1" applyBorder="1" applyAlignment="1" applyProtection="1">
      <alignment vertical="center"/>
      <protection hidden="1"/>
    </xf>
    <xf numFmtId="0" fontId="7" fillId="5" borderId="102" xfId="0" applyFont="1" applyFill="1" applyBorder="1" applyAlignment="1" applyProtection="1">
      <alignment vertical="center"/>
      <protection hidden="1"/>
    </xf>
    <xf numFmtId="0" fontId="18" fillId="5" borderId="103" xfId="0" applyFont="1" applyFill="1" applyBorder="1" applyAlignment="1" applyProtection="1">
      <protection hidden="1"/>
    </xf>
    <xf numFmtId="0" fontId="7" fillId="9" borderId="58" xfId="0" applyFont="1" applyFill="1" applyBorder="1" applyAlignment="1" applyProtection="1">
      <alignment horizontal="center"/>
      <protection hidden="1"/>
    </xf>
    <xf numFmtId="0" fontId="8" fillId="4" borderId="24" xfId="0" applyFont="1" applyFill="1" applyBorder="1" applyAlignment="1" applyProtection="1">
      <alignment horizontal="left" vertical="center" indent="1"/>
      <protection hidden="1"/>
    </xf>
    <xf numFmtId="0" fontId="8" fillId="3" borderId="10" xfId="0" applyFont="1" applyFill="1" applyBorder="1" applyAlignment="1" applyProtection="1">
      <alignment horizontal="left" vertical="center" indent="1"/>
      <protection hidden="1"/>
    </xf>
    <xf numFmtId="0" fontId="8" fillId="3" borderId="10" xfId="0" applyFont="1" applyFill="1" applyBorder="1" applyAlignment="1" applyProtection="1">
      <alignment horizontal="left" vertical="center" indent="2"/>
      <protection hidden="1"/>
    </xf>
    <xf numFmtId="0" fontId="7" fillId="3" borderId="10" xfId="0" applyFont="1" applyFill="1" applyBorder="1" applyAlignment="1" applyProtection="1">
      <alignment horizontal="left" vertical="center" indent="3"/>
      <protection hidden="1"/>
    </xf>
    <xf numFmtId="0" fontId="8" fillId="3" borderId="10" xfId="0" applyFont="1" applyFill="1" applyBorder="1" applyAlignment="1" applyProtection="1">
      <alignment horizontal="left" vertical="center" indent="3"/>
      <protection hidden="1"/>
    </xf>
    <xf numFmtId="0" fontId="8" fillId="3" borderId="34" xfId="0" applyFont="1" applyFill="1" applyBorder="1" applyAlignment="1" applyProtection="1">
      <alignment horizontal="left" vertical="center" indent="1"/>
      <protection hidden="1"/>
    </xf>
    <xf numFmtId="0" fontId="8" fillId="10" borderId="21" xfId="0" applyFont="1" applyFill="1" applyBorder="1" applyAlignment="1" applyProtection="1">
      <alignment horizontal="left" vertical="center" indent="1"/>
      <protection hidden="1"/>
    </xf>
    <xf numFmtId="0" fontId="7" fillId="10" borderId="10" xfId="0" applyFont="1" applyFill="1" applyBorder="1" applyAlignment="1" applyProtection="1">
      <alignment horizontal="left" vertical="center" indent="2"/>
      <protection hidden="1"/>
    </xf>
    <xf numFmtId="0" fontId="8" fillId="9" borderId="34" xfId="0" applyFont="1" applyFill="1" applyBorder="1" applyAlignment="1" applyProtection="1">
      <alignment horizontal="left" vertical="center" indent="2"/>
      <protection hidden="1"/>
    </xf>
    <xf numFmtId="0" fontId="8" fillId="9" borderId="46" xfId="0" applyFont="1" applyFill="1" applyBorder="1" applyAlignment="1" applyProtection="1">
      <alignment horizontal="left" vertical="center" indent="1"/>
      <protection hidden="1"/>
    </xf>
    <xf numFmtId="180" fontId="8" fillId="2" borderId="86" xfId="0" applyNumberFormat="1" applyFont="1" applyFill="1" applyBorder="1" applyAlignment="1" applyProtection="1">
      <alignment vertical="center"/>
      <protection hidden="1"/>
    </xf>
    <xf numFmtId="170" fontId="7" fillId="9" borderId="41" xfId="0" applyNumberFormat="1" applyFont="1" applyFill="1" applyBorder="1" applyAlignment="1" applyProtection="1">
      <alignment horizontal="left" vertical="center"/>
      <protection hidden="1"/>
    </xf>
    <xf numFmtId="180" fontId="8" fillId="2" borderId="72" xfId="0" applyNumberFormat="1" applyFont="1" applyFill="1" applyBorder="1" applyAlignment="1" applyProtection="1">
      <alignment vertical="center"/>
      <protection hidden="1"/>
    </xf>
    <xf numFmtId="180" fontId="8" fillId="9" borderId="56" xfId="0" applyNumberFormat="1" applyFont="1" applyFill="1" applyBorder="1" applyAlignment="1" applyProtection="1">
      <alignment vertical="center"/>
      <protection hidden="1"/>
    </xf>
    <xf numFmtId="178" fontId="7" fillId="0" borderId="43" xfId="0" applyNumberFormat="1" applyFont="1" applyFill="1" applyBorder="1" applyAlignment="1" applyProtection="1">
      <alignment vertical="center"/>
      <protection locked="0"/>
    </xf>
    <xf numFmtId="0" fontId="7" fillId="3" borderId="21" xfId="0" applyFont="1" applyFill="1" applyBorder="1" applyAlignment="1" applyProtection="1">
      <protection hidden="1"/>
    </xf>
    <xf numFmtId="0" fontId="8" fillId="3" borderId="10" xfId="0" applyFont="1" applyFill="1" applyBorder="1" applyProtection="1">
      <protection hidden="1"/>
    </xf>
    <xf numFmtId="0" fontId="7" fillId="3" borderId="10" xfId="0" applyFont="1" applyFill="1" applyBorder="1" applyProtection="1">
      <protection hidden="1"/>
    </xf>
    <xf numFmtId="0" fontId="7" fillId="3" borderId="34" xfId="0" applyFont="1" applyFill="1" applyBorder="1" applyProtection="1">
      <protection hidden="1"/>
    </xf>
    <xf numFmtId="0" fontId="8" fillId="3" borderId="94" xfId="0" applyFont="1" applyFill="1" applyBorder="1" applyAlignment="1" applyProtection="1">
      <alignment horizontal="center" vertical="center"/>
      <protection hidden="1"/>
    </xf>
    <xf numFmtId="0" fontId="7" fillId="5" borderId="0" xfId="12" quotePrefix="1" applyFont="1" applyFill="1" applyBorder="1" applyProtection="1">
      <protection hidden="1"/>
    </xf>
    <xf numFmtId="0" fontId="7" fillId="5" borderId="0" xfId="12" applyFont="1" applyFill="1" applyBorder="1" applyProtection="1">
      <protection hidden="1"/>
    </xf>
    <xf numFmtId="0" fontId="7" fillId="5" borderId="102" xfId="12" applyFont="1" applyFill="1" applyBorder="1" applyProtection="1">
      <protection hidden="1"/>
    </xf>
    <xf numFmtId="0" fontId="11" fillId="0" borderId="0" xfId="0" applyFont="1" applyAlignment="1" applyProtection="1">
      <alignment horizontal="left" vertical="center" indent="1"/>
      <protection hidden="1"/>
    </xf>
    <xf numFmtId="175" fontId="8" fillId="0" borderId="7" xfId="5" applyNumberFormat="1" applyFont="1" applyFill="1" applyBorder="1" applyAlignment="1" applyProtection="1">
      <alignment horizontal="center" vertical="top" wrapText="1"/>
      <protection hidden="1"/>
    </xf>
    <xf numFmtId="175" fontId="8" fillId="0" borderId="0" xfId="5" applyNumberFormat="1" applyFont="1" applyFill="1" applyBorder="1" applyAlignment="1" applyProtection="1">
      <alignment horizontal="center" vertical="top" wrapText="1"/>
      <protection hidden="1"/>
    </xf>
    <xf numFmtId="0" fontId="8" fillId="0" borderId="7" xfId="11" applyFont="1" applyBorder="1" applyAlignment="1" applyProtection="1">
      <alignment horizontal="center" vertical="center"/>
      <protection hidden="1"/>
    </xf>
    <xf numFmtId="0" fontId="8" fillId="0" borderId="10" xfId="12" applyFont="1" applyBorder="1" applyAlignment="1" applyProtection="1">
      <alignment horizontal="center" vertical="center"/>
      <protection hidden="1"/>
    </xf>
    <xf numFmtId="0" fontId="8" fillId="0" borderId="7" xfId="12" applyFont="1" applyBorder="1" applyAlignment="1" applyProtection="1">
      <alignment horizontal="center" vertical="center"/>
      <protection hidden="1"/>
    </xf>
    <xf numFmtId="0" fontId="8" fillId="0" borderId="8" xfId="12" applyFont="1" applyBorder="1" applyAlignment="1" applyProtection="1">
      <alignment horizontal="center" vertical="center"/>
      <protection hidden="1"/>
    </xf>
    <xf numFmtId="175" fontId="7" fillId="0" borderId="6" xfId="11" applyNumberFormat="1" applyFont="1" applyFill="1" applyBorder="1" applyAlignment="1" applyProtection="1">
      <protection hidden="1"/>
    </xf>
    <xf numFmtId="175" fontId="7" fillId="0" borderId="7" xfId="11" applyNumberFormat="1" applyFont="1" applyFill="1" applyBorder="1" applyAlignment="1" applyProtection="1">
      <protection hidden="1"/>
    </xf>
    <xf numFmtId="175" fontId="7" fillId="0" borderId="7" xfId="12" applyNumberFormat="1" applyFont="1" applyFill="1" applyBorder="1" applyProtection="1">
      <protection hidden="1"/>
    </xf>
    <xf numFmtId="175" fontId="8" fillId="0" borderId="8" xfId="12" applyNumberFormat="1" applyFont="1" applyFill="1" applyBorder="1" applyAlignment="1" applyProtection="1">
      <protection hidden="1"/>
    </xf>
    <xf numFmtId="175" fontId="7" fillId="0" borderId="6" xfId="12" applyNumberFormat="1" applyFont="1" applyFill="1" applyBorder="1" applyAlignment="1" applyProtection="1">
      <protection hidden="1"/>
    </xf>
    <xf numFmtId="175" fontId="7" fillId="0" borderId="6" xfId="12" applyNumberFormat="1" applyFont="1" applyFill="1" applyBorder="1" applyProtection="1">
      <protection hidden="1"/>
    </xf>
    <xf numFmtId="0" fontId="10" fillId="0" borderId="11" xfId="8" applyNumberFormat="1" applyFont="1" applyBorder="1" applyAlignment="1" applyProtection="1">
      <alignment horizontal="left" indent="1"/>
      <protection hidden="1"/>
    </xf>
    <xf numFmtId="0" fontId="10" fillId="0" borderId="0" xfId="11" applyNumberFormat="1" applyFont="1" applyFill="1" applyBorder="1" applyAlignment="1" applyProtection="1">
      <protection hidden="1"/>
    </xf>
    <xf numFmtId="0" fontId="10" fillId="0" borderId="0" xfId="12" applyNumberFormat="1" applyFont="1" applyFill="1" applyBorder="1" applyAlignment="1" applyProtection="1">
      <protection hidden="1"/>
    </xf>
    <xf numFmtId="175" fontId="11" fillId="0" borderId="0" xfId="11" applyNumberFormat="1" applyFont="1" applyFill="1" applyBorder="1" applyAlignment="1" applyProtection="1">
      <protection hidden="1"/>
    </xf>
    <xf numFmtId="0" fontId="10" fillId="0" borderId="0" xfId="8" applyNumberFormat="1" applyFont="1" applyBorder="1" applyAlignment="1" applyProtection="1">
      <alignment horizontal="left" indent="1"/>
      <protection hidden="1"/>
    </xf>
    <xf numFmtId="172" fontId="8" fillId="6" borderId="100" xfId="0" applyNumberFormat="1" applyFont="1" applyFill="1" applyBorder="1" applyAlignment="1" applyProtection="1">
      <alignment vertical="center" wrapText="1"/>
      <protection hidden="1"/>
    </xf>
    <xf numFmtId="0" fontId="8" fillId="7" borderId="0" xfId="0" applyFont="1" applyFill="1" applyBorder="1" applyAlignment="1" applyProtection="1">
      <alignment horizontal="center" vertical="center" wrapText="1"/>
      <protection hidden="1"/>
    </xf>
    <xf numFmtId="0" fontId="20" fillId="7" borderId="0" xfId="0" applyFont="1" applyFill="1" applyBorder="1" applyAlignment="1" applyProtection="1">
      <alignment horizontal="center" vertical="top" wrapText="1"/>
      <protection hidden="1"/>
    </xf>
    <xf numFmtId="0" fontId="7" fillId="7" borderId="58" xfId="4" applyFont="1" applyFill="1" applyBorder="1" applyProtection="1">
      <protection hidden="1"/>
    </xf>
    <xf numFmtId="0" fontId="7" fillId="7" borderId="102" xfId="4" applyFont="1" applyFill="1" applyBorder="1" applyProtection="1">
      <protection hidden="1"/>
    </xf>
    <xf numFmtId="0" fontId="7" fillId="7" borderId="96" xfId="0" applyFont="1" applyFill="1" applyBorder="1" applyAlignment="1" applyProtection="1">
      <alignment horizontal="center" vertical="top" wrapText="1"/>
      <protection hidden="1"/>
    </xf>
    <xf numFmtId="0" fontId="20" fillId="7" borderId="96" xfId="0" applyFont="1" applyFill="1" applyBorder="1" applyAlignment="1" applyProtection="1">
      <alignment horizontal="center" vertical="top" wrapText="1"/>
      <protection hidden="1"/>
    </xf>
    <xf numFmtId="0" fontId="8" fillId="7" borderId="8" xfId="0" applyFont="1" applyFill="1" applyBorder="1" applyAlignment="1" applyProtection="1">
      <alignment horizontal="center" vertical="center" wrapText="1"/>
      <protection hidden="1"/>
    </xf>
    <xf numFmtId="172" fontId="8" fillId="6" borderId="100" xfId="0" applyNumberFormat="1" applyFont="1" applyFill="1" applyBorder="1" applyAlignment="1" applyProtection="1">
      <alignment horizontal="right" vertical="center" indent="1"/>
      <protection hidden="1"/>
    </xf>
    <xf numFmtId="176" fontId="8" fillId="7" borderId="0" xfId="4" applyNumberFormat="1" applyFont="1" applyFill="1" applyBorder="1" applyAlignment="1" applyProtection="1">
      <alignment vertical="center"/>
      <protection hidden="1"/>
    </xf>
    <xf numFmtId="180" fontId="8" fillId="7" borderId="17" xfId="4" applyNumberFormat="1" applyFont="1" applyFill="1" applyBorder="1" applyAlignment="1" applyProtection="1">
      <alignment vertical="center"/>
      <protection hidden="1"/>
    </xf>
    <xf numFmtId="180" fontId="8" fillId="7" borderId="11" xfId="4" applyNumberFormat="1" applyFont="1" applyFill="1" applyBorder="1" applyAlignment="1" applyProtection="1">
      <alignment vertical="center"/>
      <protection hidden="1"/>
    </xf>
    <xf numFmtId="0" fontId="7" fillId="7" borderId="7" xfId="0" applyFont="1" applyFill="1" applyBorder="1" applyAlignment="1" applyProtection="1">
      <alignment horizontal="center" vertical="top" wrapText="1"/>
      <protection hidden="1"/>
    </xf>
    <xf numFmtId="176" fontId="7" fillId="7" borderId="104" xfId="4" applyNumberFormat="1" applyFont="1" applyFill="1" applyBorder="1" applyAlignment="1" applyProtection="1">
      <alignment vertical="center"/>
      <protection hidden="1"/>
    </xf>
    <xf numFmtId="176" fontId="8" fillId="7" borderId="64" xfId="4" applyNumberFormat="1" applyFont="1" applyFill="1" applyBorder="1" applyAlignment="1" applyProtection="1">
      <alignment vertical="center"/>
      <protection hidden="1"/>
    </xf>
    <xf numFmtId="176" fontId="7" fillId="7" borderId="8" xfId="4" applyNumberFormat="1" applyFont="1" applyFill="1" applyBorder="1" applyAlignment="1" applyProtection="1">
      <alignment vertical="center"/>
      <protection hidden="1"/>
    </xf>
    <xf numFmtId="176" fontId="8" fillId="7" borderId="8" xfId="4" applyNumberFormat="1" applyFont="1" applyFill="1" applyBorder="1" applyAlignment="1" applyProtection="1">
      <alignment vertical="center"/>
      <protection hidden="1"/>
    </xf>
    <xf numFmtId="176" fontId="8" fillId="7" borderId="16" xfId="4" applyNumberFormat="1" applyFont="1" applyFill="1" applyBorder="1" applyAlignment="1" applyProtection="1">
      <alignment vertical="center"/>
      <protection hidden="1"/>
    </xf>
    <xf numFmtId="180" fontId="8" fillId="7" borderId="81" xfId="4" applyNumberFormat="1" applyFont="1" applyFill="1" applyBorder="1" applyAlignment="1" applyProtection="1">
      <alignment vertical="center"/>
      <protection hidden="1"/>
    </xf>
    <xf numFmtId="176" fontId="7" fillId="7" borderId="46" xfId="4" applyNumberFormat="1" applyFont="1" applyFill="1" applyBorder="1" applyAlignment="1" applyProtection="1">
      <alignment vertical="center"/>
      <protection hidden="1"/>
    </xf>
    <xf numFmtId="176" fontId="7" fillId="7" borderId="20" xfId="4" applyNumberFormat="1" applyFont="1" applyFill="1" applyBorder="1" applyAlignment="1" applyProtection="1">
      <alignment vertical="center"/>
      <protection hidden="1"/>
    </xf>
    <xf numFmtId="176" fontId="7" fillId="7" borderId="80" xfId="4" applyNumberFormat="1" applyFont="1" applyFill="1" applyBorder="1" applyAlignment="1" applyProtection="1">
      <alignment vertical="center"/>
      <protection hidden="1"/>
    </xf>
    <xf numFmtId="176" fontId="7" fillId="7" borderId="48" xfId="4" applyNumberFormat="1" applyFont="1" applyFill="1" applyBorder="1" applyAlignment="1" applyProtection="1">
      <alignment vertical="center"/>
      <protection hidden="1"/>
    </xf>
    <xf numFmtId="188" fontId="8" fillId="5" borderId="10" xfId="0" quotePrefix="1" applyNumberFormat="1" applyFont="1" applyFill="1" applyBorder="1" applyAlignment="1" applyProtection="1">
      <alignment horizontal="center" vertical="center" wrapText="1"/>
      <protection hidden="1"/>
    </xf>
    <xf numFmtId="188" fontId="8" fillId="5" borderId="13" xfId="0" quotePrefix="1" applyNumberFormat="1" applyFont="1" applyFill="1" applyBorder="1" applyAlignment="1" applyProtection="1">
      <alignment horizontal="center" vertical="center" wrapText="1"/>
      <protection hidden="1"/>
    </xf>
    <xf numFmtId="188" fontId="8" fillId="5" borderId="14" xfId="0" quotePrefix="1" applyNumberFormat="1" applyFont="1" applyFill="1" applyBorder="1" applyAlignment="1" applyProtection="1">
      <alignment horizontal="center" vertical="center" wrapText="1"/>
      <protection hidden="1"/>
    </xf>
    <xf numFmtId="188" fontId="8" fillId="5" borderId="15" xfId="0" quotePrefix="1" applyNumberFormat="1" applyFont="1" applyFill="1" applyBorder="1" applyAlignment="1" applyProtection="1">
      <alignment horizontal="center" vertical="center" wrapText="1"/>
      <protection hidden="1"/>
    </xf>
    <xf numFmtId="188" fontId="8" fillId="5" borderId="16" xfId="0" quotePrefix="1" applyNumberFormat="1" applyFont="1" applyFill="1" applyBorder="1" applyAlignment="1" applyProtection="1">
      <alignment horizontal="center" vertical="center" wrapText="1"/>
      <protection hidden="1"/>
    </xf>
    <xf numFmtId="188" fontId="8" fillId="5" borderId="18" xfId="0" quotePrefix="1" applyNumberFormat="1" applyFont="1" applyFill="1" applyBorder="1" applyAlignment="1" applyProtection="1">
      <alignment horizontal="center" vertical="center" wrapText="1"/>
      <protection hidden="1"/>
    </xf>
    <xf numFmtId="188" fontId="11" fillId="0" borderId="62" xfId="8" quotePrefix="1" applyNumberFormat="1" applyFont="1" applyBorder="1" applyAlignment="1" applyProtection="1">
      <alignment horizontal="center" vertical="center"/>
      <protection hidden="1"/>
    </xf>
    <xf numFmtId="188" fontId="11" fillId="0" borderId="28" xfId="8" quotePrefix="1" applyNumberFormat="1" applyFont="1" applyBorder="1" applyAlignment="1" applyProtection="1">
      <alignment horizontal="center" vertical="center"/>
      <protection hidden="1"/>
    </xf>
    <xf numFmtId="188" fontId="11" fillId="0" borderId="103" xfId="8" quotePrefix="1" applyNumberFormat="1" applyFont="1" applyBorder="1" applyAlignment="1" applyProtection="1">
      <alignment horizontal="center" vertical="center"/>
      <protection hidden="1"/>
    </xf>
    <xf numFmtId="188" fontId="11" fillId="0" borderId="8" xfId="8" quotePrefix="1" applyNumberFormat="1" applyFont="1" applyBorder="1" applyAlignment="1" applyProtection="1">
      <alignment horizontal="center" vertical="center"/>
      <protection hidden="1"/>
    </xf>
    <xf numFmtId="188" fontId="11" fillId="0" borderId="38" xfId="8" quotePrefix="1" applyNumberFormat="1" applyFont="1" applyBorder="1" applyAlignment="1" applyProtection="1">
      <alignment horizontal="center" vertical="center"/>
      <protection hidden="1"/>
    </xf>
    <xf numFmtId="188" fontId="11" fillId="0" borderId="29" xfId="8" quotePrefix="1" applyNumberFormat="1" applyFont="1" applyBorder="1" applyAlignment="1" applyProtection="1">
      <alignment horizontal="center" vertical="center"/>
      <protection hidden="1"/>
    </xf>
    <xf numFmtId="180" fontId="7" fillId="7" borderId="0" xfId="4" applyNumberFormat="1" applyFont="1" applyFill="1" applyBorder="1" applyAlignment="1" applyProtection="1">
      <alignment vertical="center"/>
      <protection hidden="1"/>
    </xf>
    <xf numFmtId="0" fontId="7" fillId="7" borderId="8" xfId="4" applyNumberFormat="1" applyFont="1" applyFill="1" applyBorder="1" applyAlignment="1" applyProtection="1">
      <alignment vertical="center"/>
      <protection hidden="1"/>
    </xf>
    <xf numFmtId="0" fontId="7" fillId="7" borderId="8" xfId="4" applyNumberFormat="1" applyFont="1" applyFill="1" applyBorder="1" applyAlignment="1" applyProtection="1">
      <protection hidden="1"/>
    </xf>
    <xf numFmtId="0" fontId="7" fillId="7" borderId="16" xfId="4" applyNumberFormat="1" applyFont="1" applyFill="1" applyBorder="1" applyAlignment="1" applyProtection="1">
      <protection hidden="1"/>
    </xf>
    <xf numFmtId="176" fontId="8" fillId="7" borderId="48" xfId="4" applyNumberFormat="1" applyFont="1" applyFill="1" applyBorder="1" applyAlignment="1" applyProtection="1">
      <alignment vertical="center"/>
      <protection hidden="1"/>
    </xf>
    <xf numFmtId="0" fontId="7" fillId="0" borderId="0" xfId="5" applyNumberFormat="1" applyFont="1" applyFill="1" applyBorder="1" applyAlignment="1"/>
    <xf numFmtId="175" fontId="7" fillId="0" borderId="7" xfId="11" applyNumberFormat="1" applyFont="1" applyFill="1" applyBorder="1" applyAlignment="1"/>
    <xf numFmtId="175" fontId="7" fillId="0" borderId="0" xfId="11" applyNumberFormat="1" applyFont="1" applyFill="1" applyBorder="1" applyAlignment="1"/>
    <xf numFmtId="175" fontId="7" fillId="0" borderId="7" xfId="12" applyNumberFormat="1" applyFont="1" applyBorder="1"/>
    <xf numFmtId="0" fontId="7" fillId="0" borderId="0" xfId="5" applyNumberFormat="1" applyFont="1" applyFill="1" applyBorder="1" applyAlignment="1" applyProtection="1">
      <protection hidden="1"/>
    </xf>
    <xf numFmtId="0" fontId="7" fillId="0" borderId="0" xfId="8" quotePrefix="1" applyNumberFormat="1" applyFont="1" applyFill="1" applyBorder="1" applyAlignment="1"/>
    <xf numFmtId="0" fontId="8" fillId="0" borderId="8" xfId="11" applyFont="1" applyBorder="1" applyAlignment="1" applyProtection="1">
      <alignment horizontal="center" vertical="center"/>
      <protection hidden="1"/>
    </xf>
    <xf numFmtId="0" fontId="7" fillId="0" borderId="0" xfId="12" applyNumberFormat="1" applyFont="1" applyBorder="1" applyAlignment="1"/>
    <xf numFmtId="0" fontId="7" fillId="0" borderId="0" xfId="12" applyNumberFormat="1" applyFont="1" applyFill="1" applyBorder="1" applyAlignment="1"/>
    <xf numFmtId="188" fontId="11" fillId="0" borderId="27" xfId="8" quotePrefix="1" applyNumberFormat="1" applyFont="1" applyBorder="1" applyAlignment="1" applyProtection="1">
      <alignment horizontal="center" vertical="center"/>
      <protection hidden="1"/>
    </xf>
    <xf numFmtId="175" fontId="8" fillId="5" borderId="109" xfId="0" applyNumberFormat="1" applyFont="1" applyFill="1" applyBorder="1" applyAlignment="1" applyProtection="1">
      <alignment vertical="center"/>
      <protection hidden="1"/>
    </xf>
    <xf numFmtId="188" fontId="8" fillId="5" borderId="28" xfId="0" quotePrefix="1" applyNumberFormat="1" applyFont="1" applyFill="1" applyBorder="1" applyAlignment="1" applyProtection="1">
      <alignment horizontal="center" vertical="center"/>
      <protection hidden="1"/>
    </xf>
    <xf numFmtId="188" fontId="8" fillId="5" borderId="29" xfId="0" quotePrefix="1" applyNumberFormat="1" applyFont="1" applyFill="1" applyBorder="1" applyAlignment="1" applyProtection="1">
      <alignment horizontal="center" vertical="center"/>
      <protection hidden="1"/>
    </xf>
    <xf numFmtId="188" fontId="8" fillId="3" borderId="15" xfId="0" quotePrefix="1" applyNumberFormat="1" applyFont="1" applyFill="1" applyBorder="1" applyAlignment="1" applyProtection="1">
      <alignment horizontal="center" vertical="center"/>
      <protection hidden="1"/>
    </xf>
    <xf numFmtId="188" fontId="8" fillId="3" borderId="13" xfId="0" quotePrefix="1" applyNumberFormat="1" applyFont="1" applyFill="1" applyBorder="1" applyAlignment="1" applyProtection="1">
      <alignment horizontal="center" vertical="center"/>
      <protection hidden="1"/>
    </xf>
    <xf numFmtId="188" fontId="8" fillId="3" borderId="16" xfId="0" quotePrefix="1" applyNumberFormat="1" applyFont="1" applyFill="1" applyBorder="1" applyAlignment="1" applyProtection="1">
      <alignment horizontal="center" vertical="center"/>
      <protection hidden="1"/>
    </xf>
    <xf numFmtId="188" fontId="8" fillId="4" borderId="72" xfId="0" quotePrefix="1" applyNumberFormat="1" applyFont="1" applyFill="1" applyBorder="1" applyAlignment="1" applyProtection="1">
      <alignment horizontal="center" vertical="center" wrapText="1"/>
      <protection hidden="1"/>
    </xf>
    <xf numFmtId="188" fontId="8" fillId="4" borderId="16" xfId="0" quotePrefix="1" applyNumberFormat="1" applyFont="1" applyFill="1" applyBorder="1" applyAlignment="1" applyProtection="1">
      <alignment horizontal="center" vertical="center" wrapText="1"/>
      <protection hidden="1"/>
    </xf>
    <xf numFmtId="188" fontId="8" fillId="5" borderId="72" xfId="0" quotePrefix="1" applyNumberFormat="1" applyFont="1" applyFill="1" applyBorder="1" applyAlignment="1" applyProtection="1">
      <alignment horizontal="center" vertical="center" wrapText="1"/>
      <protection hidden="1"/>
    </xf>
    <xf numFmtId="188" fontId="8" fillId="2" borderId="64" xfId="0" quotePrefix="1" applyNumberFormat="1" applyFont="1" applyFill="1" applyBorder="1" applyAlignment="1" applyProtection="1">
      <alignment horizontal="center" vertical="center"/>
      <protection hidden="1"/>
    </xf>
    <xf numFmtId="188" fontId="8" fillId="2" borderId="15" xfId="0" quotePrefix="1" applyNumberFormat="1" applyFont="1" applyFill="1" applyBorder="1" applyAlignment="1" applyProtection="1">
      <alignment horizontal="center" vertical="center"/>
      <protection hidden="1"/>
    </xf>
    <xf numFmtId="188" fontId="8" fillId="2" borderId="13" xfId="0" quotePrefix="1" applyNumberFormat="1" applyFont="1" applyFill="1" applyBorder="1" applyAlignment="1" applyProtection="1">
      <alignment horizontal="center" vertical="center"/>
      <protection hidden="1"/>
    </xf>
    <xf numFmtId="188" fontId="8" fillId="2" borderId="72" xfId="0" quotePrefix="1" applyNumberFormat="1" applyFont="1" applyFill="1" applyBorder="1" applyAlignment="1" applyProtection="1">
      <alignment horizontal="center" vertical="center"/>
      <protection hidden="1"/>
    </xf>
    <xf numFmtId="188" fontId="8" fillId="2" borderId="18" xfId="0" quotePrefix="1" applyNumberFormat="1" applyFont="1" applyFill="1" applyBorder="1" applyAlignment="1" applyProtection="1">
      <alignment horizontal="center" vertical="center"/>
      <protection hidden="1"/>
    </xf>
    <xf numFmtId="188" fontId="8" fillId="2" borderId="16" xfId="0" quotePrefix="1" applyNumberFormat="1" applyFont="1" applyFill="1" applyBorder="1" applyAlignment="1" applyProtection="1">
      <alignment horizontal="center" vertical="center"/>
      <protection hidden="1"/>
    </xf>
    <xf numFmtId="188" fontId="8" fillId="2" borderId="17" xfId="0" quotePrefix="1" applyNumberFormat="1" applyFont="1" applyFill="1" applyBorder="1" applyAlignment="1" applyProtection="1">
      <alignment horizontal="center" vertical="center"/>
      <protection hidden="1"/>
    </xf>
    <xf numFmtId="188" fontId="8" fillId="3" borderId="72" xfId="0" quotePrefix="1" applyNumberFormat="1" applyFont="1" applyFill="1" applyBorder="1" applyAlignment="1" applyProtection="1">
      <alignment horizontal="center" vertical="center"/>
      <protection hidden="1"/>
    </xf>
    <xf numFmtId="188" fontId="8" fillId="5" borderId="72" xfId="0" quotePrefix="1" applyNumberFormat="1" applyFont="1" applyFill="1" applyBorder="1" applyAlignment="1" applyProtection="1">
      <alignment horizontal="center" vertical="center"/>
      <protection hidden="1"/>
    </xf>
    <xf numFmtId="188" fontId="8" fillId="5" borderId="18" xfId="0" quotePrefix="1" applyNumberFormat="1" applyFont="1" applyFill="1" applyBorder="1" applyAlignment="1" applyProtection="1">
      <alignment horizontal="center" vertical="center"/>
      <protection hidden="1"/>
    </xf>
    <xf numFmtId="188" fontId="8" fillId="5" borderId="17" xfId="0" quotePrefix="1" applyNumberFormat="1" applyFont="1" applyFill="1" applyBorder="1" applyAlignment="1" applyProtection="1">
      <alignment horizontal="center" vertical="center"/>
      <protection hidden="1"/>
    </xf>
    <xf numFmtId="0" fontId="11" fillId="0" borderId="0" xfId="14" applyFont="1" applyAlignment="1" applyProtection="1">
      <alignment vertical="center"/>
      <protection hidden="1"/>
    </xf>
    <xf numFmtId="0" fontId="10" fillId="0" borderId="0" xfId="14" applyFont="1" applyProtection="1">
      <protection hidden="1"/>
    </xf>
    <xf numFmtId="0" fontId="11" fillId="0" borderId="31" xfId="14" applyFont="1" applyBorder="1" applyAlignment="1" applyProtection="1">
      <alignment horizontal="center" vertical="center"/>
      <protection locked="0"/>
    </xf>
    <xf numFmtId="0" fontId="11" fillId="0" borderId="0" xfId="14" applyFont="1" applyFill="1" applyBorder="1" applyAlignment="1" applyProtection="1">
      <protection hidden="1"/>
    </xf>
    <xf numFmtId="0" fontId="10" fillId="0" borderId="0" xfId="14" applyNumberFormat="1" applyFont="1" applyFill="1" applyProtection="1">
      <protection hidden="1"/>
    </xf>
    <xf numFmtId="0" fontId="10" fillId="0" borderId="0" xfId="14" applyNumberFormat="1" applyFont="1" applyBorder="1" applyProtection="1">
      <protection hidden="1"/>
    </xf>
    <xf numFmtId="0" fontId="10" fillId="0" borderId="0" xfId="14" applyFont="1" applyFill="1" applyProtection="1">
      <protection hidden="1"/>
    </xf>
    <xf numFmtId="172" fontId="11" fillId="0" borderId="0" xfId="14" applyNumberFormat="1" applyFont="1" applyFill="1" applyBorder="1" applyAlignment="1" applyProtection="1">
      <protection hidden="1"/>
    </xf>
    <xf numFmtId="0" fontId="10" fillId="0" borderId="0" xfId="14" applyFont="1" applyBorder="1" applyAlignment="1" applyProtection="1">
      <protection hidden="1"/>
    </xf>
    <xf numFmtId="177" fontId="10" fillId="0" borderId="0" xfId="14" applyNumberFormat="1" applyFont="1" applyFill="1" applyAlignment="1" applyProtection="1">
      <alignment horizontal="center"/>
      <protection hidden="1"/>
    </xf>
    <xf numFmtId="172" fontId="10" fillId="0" borderId="0" xfId="14" applyNumberFormat="1" applyFont="1" applyFill="1" applyProtection="1">
      <protection hidden="1"/>
    </xf>
    <xf numFmtId="0" fontId="11" fillId="0" borderId="0" xfId="14" applyFont="1" applyAlignment="1" applyProtection="1">
      <alignment horizontal="left"/>
      <protection hidden="1"/>
    </xf>
    <xf numFmtId="0" fontId="10" fillId="0" borderId="0" xfId="14" applyFont="1" applyAlignment="1" applyProtection="1">
      <alignment horizontal="center"/>
      <protection hidden="1"/>
    </xf>
    <xf numFmtId="0" fontId="10" fillId="0" borderId="21" xfId="14" applyFont="1" applyBorder="1" applyProtection="1">
      <protection hidden="1"/>
    </xf>
    <xf numFmtId="0" fontId="10" fillId="0" borderId="103" xfId="14" applyFont="1" applyBorder="1" applyProtection="1">
      <protection hidden="1"/>
    </xf>
    <xf numFmtId="174" fontId="10" fillId="0" borderId="10" xfId="14" applyNumberFormat="1" applyFont="1" applyBorder="1" applyProtection="1">
      <protection hidden="1"/>
    </xf>
    <xf numFmtId="0" fontId="10" fillId="0" borderId="0" xfId="14" applyFont="1" applyFill="1" applyBorder="1" applyAlignment="1" applyProtection="1">
      <alignment horizontal="left" indent="1"/>
      <protection hidden="1"/>
    </xf>
    <xf numFmtId="177" fontId="10" fillId="0" borderId="7" xfId="14" applyNumberFormat="1" applyFont="1" applyFill="1" applyBorder="1" applyAlignment="1" applyProtection="1">
      <alignment horizontal="center"/>
      <protection hidden="1"/>
    </xf>
    <xf numFmtId="182" fontId="10" fillId="0" borderId="94" xfId="14" applyNumberFormat="1" applyFont="1" applyFill="1" applyBorder="1" applyAlignment="1" applyProtection="1">
      <protection hidden="1"/>
    </xf>
    <xf numFmtId="182" fontId="10" fillId="0" borderId="96" xfId="14" applyNumberFormat="1" applyFont="1" applyFill="1" applyBorder="1" applyAlignment="1" applyProtection="1">
      <protection hidden="1"/>
    </xf>
    <xf numFmtId="0" fontId="10" fillId="0" borderId="0" xfId="14" applyFont="1" applyAlignment="1" applyProtection="1">
      <protection hidden="1"/>
    </xf>
    <xf numFmtId="177" fontId="10" fillId="0" borderId="7" xfId="14" applyNumberFormat="1" applyFont="1" applyBorder="1" applyAlignment="1" applyProtection="1">
      <alignment horizontal="center"/>
      <protection hidden="1"/>
    </xf>
    <xf numFmtId="0" fontId="10" fillId="0" borderId="94" xfId="14" applyFont="1" applyFill="1" applyBorder="1" applyAlignment="1" applyProtection="1">
      <alignment horizontal="left" indent="1"/>
      <protection hidden="1"/>
    </xf>
    <xf numFmtId="169" fontId="10" fillId="0" borderId="34" xfId="14" applyNumberFormat="1" applyFont="1" applyBorder="1" applyAlignment="1" applyProtection="1">
      <alignment vertical="center"/>
      <protection hidden="1"/>
    </xf>
    <xf numFmtId="0" fontId="10" fillId="0" borderId="64" xfId="14" applyFont="1" applyFill="1" applyBorder="1" applyAlignment="1" applyProtection="1">
      <alignment horizontal="left" vertical="center" indent="1"/>
      <protection hidden="1"/>
    </xf>
    <xf numFmtId="177" fontId="10" fillId="0" borderId="13" xfId="14" applyNumberFormat="1" applyFont="1" applyFill="1" applyBorder="1" applyAlignment="1" applyProtection="1">
      <alignment horizontal="center" vertical="center"/>
      <protection hidden="1"/>
    </xf>
    <xf numFmtId="177" fontId="10" fillId="0" borderId="13" xfId="14" applyNumberFormat="1" applyFont="1" applyBorder="1" applyAlignment="1" applyProtection="1">
      <alignment horizontal="center" vertical="center"/>
      <protection hidden="1"/>
    </xf>
    <xf numFmtId="177" fontId="10" fillId="0" borderId="13" xfId="14" applyNumberFormat="1" applyFont="1" applyBorder="1" applyAlignment="1" applyProtection="1">
      <alignment horizontal="center"/>
      <protection hidden="1"/>
    </xf>
    <xf numFmtId="182" fontId="10" fillId="0" borderId="72" xfId="14" applyNumberFormat="1" applyFont="1" applyFill="1" applyBorder="1" applyAlignment="1" applyProtection="1">
      <alignment vertical="center"/>
      <protection hidden="1"/>
    </xf>
    <xf numFmtId="182" fontId="10" fillId="0" borderId="14" xfId="14" applyNumberFormat="1" applyFont="1" applyFill="1" applyBorder="1" applyAlignment="1" applyProtection="1">
      <alignment vertical="center"/>
      <protection hidden="1"/>
    </xf>
    <xf numFmtId="0" fontId="11" fillId="0" borderId="0" xfId="14" applyFont="1" applyProtection="1">
      <protection hidden="1"/>
    </xf>
    <xf numFmtId="0" fontId="10" fillId="0" borderId="23" xfId="14" applyFont="1" applyBorder="1" applyProtection="1">
      <protection hidden="1"/>
    </xf>
    <xf numFmtId="0" fontId="10" fillId="0" borderId="0" xfId="14" applyNumberFormat="1" applyFont="1" applyFill="1" applyBorder="1" applyAlignment="1" applyProtection="1">
      <protection hidden="1"/>
    </xf>
    <xf numFmtId="0" fontId="7" fillId="0" borderId="0" xfId="14" applyNumberFormat="1" applyFont="1" applyFill="1" applyBorder="1" applyAlignment="1"/>
    <xf numFmtId="175" fontId="8" fillId="0" borderId="96" xfId="5" applyNumberFormat="1" applyFont="1" applyFill="1" applyBorder="1" applyAlignment="1" applyProtection="1">
      <alignment horizontal="center" vertical="top" wrapText="1"/>
      <protection hidden="1"/>
    </xf>
    <xf numFmtId="175" fontId="8" fillId="0" borderId="10" xfId="5" applyNumberFormat="1" applyFont="1" applyFill="1" applyBorder="1" applyAlignment="1" applyProtection="1">
      <alignment horizontal="center" vertical="top" wrapText="1"/>
      <protection hidden="1"/>
    </xf>
    <xf numFmtId="175" fontId="8" fillId="0" borderId="112" xfId="5" applyNumberFormat="1" applyFont="1" applyFill="1" applyBorder="1" applyAlignment="1" applyProtection="1">
      <alignment horizontal="center" vertical="top" wrapText="1"/>
      <protection hidden="1"/>
    </xf>
    <xf numFmtId="0" fontId="11" fillId="0" borderId="111" xfId="14" applyFont="1" applyBorder="1" applyAlignment="1" applyProtection="1">
      <alignment horizontal="center" vertical="top" wrapText="1"/>
      <protection hidden="1"/>
    </xf>
    <xf numFmtId="0" fontId="11" fillId="0" borderId="94" xfId="14" applyNumberFormat="1" applyFont="1" applyFill="1" applyBorder="1" applyAlignment="1" applyProtection="1">
      <alignment horizontal="center" vertical="top" wrapText="1"/>
      <protection hidden="1"/>
    </xf>
    <xf numFmtId="0" fontId="11" fillId="0" borderId="7" xfId="14" applyNumberFormat="1" applyFont="1" applyFill="1" applyBorder="1" applyAlignment="1" applyProtection="1">
      <alignment horizontal="center" vertical="top" wrapText="1"/>
      <protection hidden="1"/>
    </xf>
    <xf numFmtId="0" fontId="11" fillId="0" borderId="111" xfId="14" applyNumberFormat="1" applyFont="1" applyFill="1" applyBorder="1" applyAlignment="1" applyProtection="1">
      <alignment horizontal="center" vertical="top" wrapText="1"/>
      <protection hidden="1"/>
    </xf>
    <xf numFmtId="0" fontId="11" fillId="0" borderId="96" xfId="14" applyNumberFormat="1" applyFont="1" applyFill="1" applyBorder="1" applyAlignment="1" applyProtection="1">
      <alignment horizontal="center" vertical="top" wrapText="1"/>
      <protection hidden="1"/>
    </xf>
    <xf numFmtId="0" fontId="11" fillId="0" borderId="112" xfId="14" applyFont="1" applyBorder="1" applyAlignment="1" applyProtection="1">
      <alignment horizontal="left" vertical="top" indent="1"/>
      <protection hidden="1"/>
    </xf>
    <xf numFmtId="0" fontId="8" fillId="0" borderId="6" xfId="11" applyFont="1" applyBorder="1" applyAlignment="1" applyProtection="1">
      <alignment horizontal="center" vertical="center"/>
      <protection hidden="1"/>
    </xf>
    <xf numFmtId="0" fontId="8" fillId="0" borderId="96" xfId="12" applyFont="1" applyBorder="1" applyAlignment="1" applyProtection="1">
      <alignment horizontal="center" vertical="center"/>
      <protection hidden="1"/>
    </xf>
    <xf numFmtId="0" fontId="8" fillId="0" borderId="94" xfId="12" applyFont="1" applyBorder="1" applyAlignment="1" applyProtection="1">
      <alignment horizontal="center" vertical="center"/>
      <protection hidden="1"/>
    </xf>
    <xf numFmtId="0" fontId="8" fillId="0" borderId="6" xfId="12" applyFont="1" applyBorder="1" applyAlignment="1" applyProtection="1">
      <alignment horizontal="center" vertical="center"/>
      <protection hidden="1"/>
    </xf>
    <xf numFmtId="0" fontId="10" fillId="0" borderId="7" xfId="14" applyFont="1" applyBorder="1" applyProtection="1">
      <protection hidden="1"/>
    </xf>
    <xf numFmtId="0" fontId="11" fillId="0" borderId="94" xfId="14" applyFont="1" applyBorder="1" applyAlignment="1" applyProtection="1">
      <alignment horizontal="center" vertical="center"/>
      <protection hidden="1"/>
    </xf>
    <xf numFmtId="0" fontId="11" fillId="0" borderId="7" xfId="14" applyFont="1" applyBorder="1" applyAlignment="1" applyProtection="1">
      <alignment horizontal="center" vertical="center"/>
      <protection hidden="1"/>
    </xf>
    <xf numFmtId="0" fontId="11" fillId="0" borderId="96" xfId="14" applyFont="1" applyBorder="1" applyAlignment="1" applyProtection="1">
      <alignment horizontal="center" vertical="center"/>
      <protection hidden="1"/>
    </xf>
    <xf numFmtId="0" fontId="11" fillId="0" borderId="8" xfId="14" applyFont="1" applyBorder="1" applyAlignment="1" applyProtection="1">
      <alignment horizontal="center" vertical="center"/>
      <protection hidden="1"/>
    </xf>
    <xf numFmtId="0" fontId="10" fillId="0" borderId="29" xfId="14" applyFont="1" applyBorder="1" applyProtection="1">
      <protection hidden="1"/>
    </xf>
    <xf numFmtId="188" fontId="11" fillId="0" borderId="27" xfId="14" quotePrefix="1" applyNumberFormat="1" applyFont="1" applyBorder="1" applyAlignment="1" applyProtection="1">
      <alignment horizontal="center" vertical="center"/>
      <protection hidden="1"/>
    </xf>
    <xf numFmtId="188" fontId="11" fillId="0" borderId="28" xfId="14" quotePrefix="1" applyNumberFormat="1" applyFont="1" applyBorder="1" applyAlignment="1" applyProtection="1">
      <alignment horizontal="center" vertical="center"/>
      <protection hidden="1"/>
    </xf>
    <xf numFmtId="174" fontId="10" fillId="0" borderId="108" xfId="14" applyNumberFormat="1" applyFont="1" applyBorder="1" applyProtection="1">
      <protection hidden="1"/>
    </xf>
    <xf numFmtId="0" fontId="10" fillId="0" borderId="110" xfId="14" applyFont="1" applyFill="1" applyBorder="1" applyAlignment="1" applyProtection="1">
      <alignment horizontal="left" indent="1"/>
      <protection hidden="1"/>
    </xf>
    <xf numFmtId="175" fontId="7" fillId="0" borderId="111" xfId="11" applyNumberFormat="1" applyFont="1" applyFill="1" applyBorder="1" applyAlignment="1"/>
    <xf numFmtId="175" fontId="7" fillId="0" borderId="6" xfId="12" applyNumberFormat="1" applyFont="1" applyBorder="1"/>
    <xf numFmtId="0" fontId="10" fillId="0" borderId="7" xfId="14" applyFont="1" applyBorder="1" applyProtection="1">
      <protection hidden="1"/>
    </xf>
    <xf numFmtId="0" fontId="7" fillId="0" borderId="0" xfId="11" applyNumberFormat="1" applyFont="1" applyFill="1" applyBorder="1" applyAlignment="1"/>
    <xf numFmtId="0" fontId="10" fillId="0" borderId="11" xfId="14" applyFont="1" applyFill="1" applyBorder="1" applyAlignment="1" applyProtection="1">
      <alignment horizontal="left" indent="1"/>
      <protection hidden="1"/>
    </xf>
    <xf numFmtId="0" fontId="7" fillId="0" borderId="0" xfId="8" applyNumberFormat="1" applyFont="1" applyFill="1" applyBorder="1" applyAlignment="1" applyProtection="1"/>
    <xf numFmtId="0" fontId="10" fillId="0" borderId="34" xfId="14" applyFont="1" applyBorder="1" applyProtection="1">
      <protection hidden="1"/>
    </xf>
    <xf numFmtId="0" fontId="11" fillId="0" borderId="17" xfId="14" applyFont="1" applyFill="1" applyBorder="1" applyAlignment="1" applyProtection="1">
      <alignment horizontal="left" vertical="center" indent="1"/>
      <protection hidden="1"/>
    </xf>
    <xf numFmtId="175" fontId="11" fillId="0" borderId="72" xfId="14" applyNumberFormat="1" applyFont="1" applyBorder="1" applyAlignment="1" applyProtection="1">
      <alignment vertical="center"/>
      <protection hidden="1"/>
    </xf>
    <xf numFmtId="175" fontId="11" fillId="0" borderId="13" xfId="14" applyNumberFormat="1" applyFont="1" applyBorder="1" applyAlignment="1" applyProtection="1">
      <alignment vertical="center"/>
      <protection hidden="1"/>
    </xf>
    <xf numFmtId="175" fontId="11" fillId="0" borderId="17" xfId="14" applyNumberFormat="1" applyFont="1" applyBorder="1" applyAlignment="1" applyProtection="1">
      <alignment vertical="center"/>
      <protection hidden="1"/>
    </xf>
    <xf numFmtId="175" fontId="11" fillId="0" borderId="15" xfId="14" applyNumberFormat="1" applyFont="1" applyBorder="1" applyAlignment="1" applyProtection="1">
      <alignment vertical="center"/>
      <protection hidden="1"/>
    </xf>
    <xf numFmtId="175" fontId="11" fillId="0" borderId="16" xfId="14" applyNumberFormat="1" applyFont="1" applyBorder="1" applyAlignment="1" applyProtection="1">
      <alignment vertical="center"/>
      <protection hidden="1"/>
    </xf>
    <xf numFmtId="0" fontId="10" fillId="0" borderId="0" xfId="14" applyFont="1" applyBorder="1" applyProtection="1">
      <protection hidden="1"/>
    </xf>
    <xf numFmtId="0" fontId="10" fillId="0" borderId="0" xfId="14" applyFont="1" applyBorder="1" applyAlignment="1" applyProtection="1">
      <alignment horizontal="left" indent="1"/>
      <protection hidden="1"/>
    </xf>
    <xf numFmtId="175" fontId="7" fillId="0" borderId="58" xfId="11" applyNumberFormat="1" applyFont="1" applyFill="1" applyBorder="1" applyAlignment="1"/>
    <xf numFmtId="175" fontId="10" fillId="0" borderId="0" xfId="14" applyNumberFormat="1" applyFont="1" applyProtection="1">
      <protection hidden="1"/>
    </xf>
    <xf numFmtId="0" fontId="10" fillId="0" borderId="0" xfId="14" applyNumberFormat="1" applyFont="1" applyFill="1" applyBorder="1" applyProtection="1">
      <protection hidden="1"/>
    </xf>
    <xf numFmtId="0" fontId="10" fillId="0" borderId="41" xfId="14" applyFont="1" applyBorder="1" applyProtection="1">
      <protection hidden="1"/>
    </xf>
    <xf numFmtId="0" fontId="10" fillId="0" borderId="10" xfId="14" applyFont="1" applyBorder="1" applyProtection="1">
      <protection hidden="1"/>
    </xf>
    <xf numFmtId="0" fontId="10" fillId="0" borderId="94" xfId="14" applyFont="1" applyBorder="1" applyProtection="1">
      <protection hidden="1"/>
    </xf>
    <xf numFmtId="0" fontId="11" fillId="0" borderId="101" xfId="14" applyFont="1" applyFill="1" applyBorder="1" applyAlignment="1" applyProtection="1">
      <alignment horizontal="center" vertical="top" wrapText="1"/>
      <protection hidden="1"/>
    </xf>
    <xf numFmtId="0" fontId="11" fillId="0" borderId="111" xfId="8" applyNumberFormat="1" applyFont="1" applyBorder="1" applyAlignment="1" applyProtection="1">
      <alignment horizontal="center" vertical="top" wrapText="1"/>
      <protection hidden="1"/>
    </xf>
    <xf numFmtId="0" fontId="11" fillId="0" borderId="111" xfId="14" applyFont="1" applyFill="1" applyBorder="1" applyAlignment="1" applyProtection="1">
      <alignment horizontal="center" vertical="top"/>
      <protection hidden="1"/>
    </xf>
    <xf numFmtId="0" fontId="11" fillId="0" borderId="113" xfId="14" applyFont="1" applyFill="1" applyBorder="1" applyAlignment="1" applyProtection="1">
      <alignment horizontal="center" vertical="top"/>
      <protection hidden="1"/>
    </xf>
    <xf numFmtId="0" fontId="11" fillId="0" borderId="107" xfId="14" applyFont="1" applyFill="1" applyBorder="1" applyAlignment="1" applyProtection="1">
      <alignment horizontal="center" vertical="top" wrapText="1"/>
      <protection hidden="1"/>
    </xf>
    <xf numFmtId="0" fontId="11" fillId="0" borderId="94" xfId="14" applyFont="1" applyBorder="1" applyAlignment="1" applyProtection="1">
      <alignment horizontal="left" vertical="center" indent="1"/>
      <protection hidden="1"/>
    </xf>
    <xf numFmtId="0" fontId="11" fillId="0" borderId="0" xfId="14" applyFont="1" applyBorder="1" applyAlignment="1" applyProtection="1">
      <alignment horizontal="center" vertical="center"/>
      <protection hidden="1"/>
    </xf>
    <xf numFmtId="0" fontId="11" fillId="0" borderId="111" xfId="14" applyFont="1" applyBorder="1" applyAlignment="1" applyProtection="1">
      <alignment horizontal="center" vertical="center"/>
      <protection hidden="1"/>
    </xf>
    <xf numFmtId="0" fontId="11" fillId="0" borderId="112" xfId="14" applyFont="1" applyBorder="1" applyAlignment="1" applyProtection="1">
      <alignment horizontal="center" vertical="center"/>
      <protection hidden="1"/>
    </xf>
    <xf numFmtId="0" fontId="11" fillId="0" borderId="101" xfId="14" applyFont="1" applyBorder="1" applyAlignment="1" applyProtection="1">
      <alignment horizontal="center" vertical="center"/>
      <protection hidden="1"/>
    </xf>
    <xf numFmtId="0" fontId="11" fillId="0" borderId="12" xfId="14" applyFont="1" applyBorder="1" applyAlignment="1" applyProtection="1">
      <alignment horizontal="center" vertical="center"/>
      <protection hidden="1"/>
    </xf>
    <xf numFmtId="0" fontId="10" fillId="0" borderId="10" xfId="14" applyFont="1" applyBorder="1" applyAlignment="1" applyProtection="1">
      <protection hidden="1"/>
    </xf>
    <xf numFmtId="0" fontId="11" fillId="0" borderId="94" xfId="14" applyFont="1" applyBorder="1" applyAlignment="1" applyProtection="1">
      <alignment horizontal="left" vertical="top" indent="1"/>
      <protection hidden="1"/>
    </xf>
    <xf numFmtId="0" fontId="10" fillId="0" borderId="36" xfId="14" applyFont="1" applyBorder="1" applyAlignment="1" applyProtection="1">
      <protection hidden="1"/>
    </xf>
    <xf numFmtId="188" fontId="11" fillId="0" borderId="0" xfId="14" quotePrefix="1" applyNumberFormat="1" applyFont="1" applyBorder="1" applyAlignment="1" applyProtection="1">
      <alignment horizontal="center" vertical="center"/>
      <protection hidden="1"/>
    </xf>
    <xf numFmtId="188" fontId="11" fillId="0" borderId="96" xfId="8" quotePrefix="1" applyNumberFormat="1" applyFont="1" applyBorder="1" applyAlignment="1" applyProtection="1">
      <alignment horizontal="center" vertical="center"/>
      <protection hidden="1"/>
    </xf>
    <xf numFmtId="188" fontId="11" fillId="0" borderId="7" xfId="8" quotePrefix="1" applyNumberFormat="1" applyFont="1" applyBorder="1" applyAlignment="1" applyProtection="1">
      <alignment horizontal="center" vertical="center"/>
      <protection hidden="1"/>
    </xf>
    <xf numFmtId="188" fontId="11" fillId="0" borderId="102" xfId="14" quotePrefix="1" applyNumberFormat="1" applyFont="1" applyBorder="1" applyAlignment="1" applyProtection="1">
      <alignment horizontal="center" vertical="center"/>
      <protection hidden="1"/>
    </xf>
    <xf numFmtId="170" fontId="10" fillId="0" borderId="10" xfId="14" applyNumberFormat="1" applyFont="1" applyBorder="1" applyProtection="1">
      <protection hidden="1"/>
    </xf>
    <xf numFmtId="0" fontId="11" fillId="0" borderId="101" xfId="12" applyFont="1" applyFill="1" applyBorder="1" applyAlignment="1" applyProtection="1">
      <alignment horizontal="left" indent="1"/>
      <protection hidden="1"/>
    </xf>
    <xf numFmtId="175" fontId="10" fillId="0" borderId="113" xfId="12" applyNumberFormat="1" applyFont="1" applyFill="1" applyBorder="1" applyAlignment="1" applyProtection="1">
      <protection hidden="1"/>
    </xf>
    <xf numFmtId="175" fontId="11" fillId="0" borderId="113" xfId="12" applyNumberFormat="1" applyFont="1" applyFill="1" applyBorder="1" applyAlignment="1" applyProtection="1">
      <protection hidden="1"/>
    </xf>
    <xf numFmtId="175" fontId="11" fillId="0" borderId="112" xfId="12" applyNumberFormat="1" applyFont="1" applyFill="1" applyBorder="1" applyAlignment="1" applyProtection="1">
      <protection hidden="1"/>
    </xf>
    <xf numFmtId="175" fontId="10" fillId="0" borderId="108" xfId="12" applyNumberFormat="1" applyFont="1" applyFill="1" applyBorder="1" applyAlignment="1" applyProtection="1">
      <protection hidden="1"/>
    </xf>
    <xf numFmtId="175" fontId="10" fillId="0" borderId="112" xfId="12" applyNumberFormat="1" applyFont="1" applyFill="1" applyBorder="1" applyAlignment="1" applyProtection="1">
      <protection hidden="1"/>
    </xf>
    <xf numFmtId="184" fontId="10" fillId="0" borderId="94" xfId="12" applyNumberFormat="1" applyFont="1" applyFill="1" applyBorder="1" applyAlignment="1" applyProtection="1">
      <protection hidden="1"/>
    </xf>
    <xf numFmtId="189" fontId="10" fillId="0" borderId="113" xfId="14" applyNumberFormat="1" applyFont="1" applyBorder="1" applyAlignment="1" applyProtection="1">
      <alignment horizontal="right" vertical="center"/>
      <protection hidden="1"/>
    </xf>
    <xf numFmtId="184" fontId="10" fillId="0" borderId="107" xfId="12" applyNumberFormat="1" applyFont="1" applyFill="1" applyBorder="1" applyAlignment="1" applyProtection="1">
      <protection hidden="1"/>
    </xf>
    <xf numFmtId="0" fontId="11" fillId="0" borderId="94" xfId="12" applyFont="1" applyFill="1" applyBorder="1" applyAlignment="1" applyProtection="1">
      <alignment horizontal="left" vertical="center" indent="1"/>
      <protection hidden="1"/>
    </xf>
    <xf numFmtId="0" fontId="10" fillId="0" borderId="96" xfId="12" applyFont="1" applyFill="1" applyBorder="1" applyProtection="1">
      <protection hidden="1"/>
    </xf>
    <xf numFmtId="0" fontId="10" fillId="0" borderId="96" xfId="12" applyNumberFormat="1" applyFont="1" applyFill="1" applyBorder="1" applyAlignment="1" applyProtection="1">
      <protection hidden="1"/>
    </xf>
    <xf numFmtId="0" fontId="10" fillId="0" borderId="8" xfId="12" applyNumberFormat="1" applyFont="1" applyFill="1" applyBorder="1" applyAlignment="1" applyProtection="1">
      <protection hidden="1"/>
    </xf>
    <xf numFmtId="0" fontId="10" fillId="0" borderId="10" xfId="12" applyFont="1" applyFill="1" applyBorder="1" applyProtection="1">
      <protection hidden="1"/>
    </xf>
    <xf numFmtId="0" fontId="10" fillId="0" borderId="8" xfId="12" applyFont="1" applyFill="1" applyBorder="1" applyProtection="1">
      <protection hidden="1"/>
    </xf>
    <xf numFmtId="0" fontId="10" fillId="0" borderId="94" xfId="12" applyFont="1" applyFill="1" applyBorder="1" applyAlignment="1" applyProtection="1">
      <alignment vertical="center"/>
      <protection hidden="1"/>
    </xf>
    <xf numFmtId="0" fontId="10" fillId="0" borderId="96" xfId="14" applyFont="1" applyBorder="1" applyAlignment="1" applyProtection="1">
      <alignment horizontal="right" vertical="center"/>
      <protection hidden="1"/>
    </xf>
    <xf numFmtId="0" fontId="10" fillId="0" borderId="12" xfId="12" applyFont="1" applyFill="1" applyBorder="1" applyAlignment="1" applyProtection="1">
      <alignment vertical="center"/>
      <protection hidden="1"/>
    </xf>
    <xf numFmtId="0" fontId="11" fillId="0" borderId="94" xfId="12" applyFont="1" applyFill="1" applyBorder="1" applyAlignment="1" applyProtection="1">
      <alignment horizontal="left" vertical="center" indent="3"/>
      <protection hidden="1"/>
    </xf>
    <xf numFmtId="0" fontId="10" fillId="0" borderId="6" xfId="14" applyFont="1" applyBorder="1" applyProtection="1">
      <protection hidden="1"/>
    </xf>
    <xf numFmtId="0" fontId="10" fillId="0" borderId="8" xfId="14" applyFont="1" applyBorder="1" applyProtection="1">
      <protection hidden="1"/>
    </xf>
    <xf numFmtId="170" fontId="10" fillId="0" borderId="10" xfId="14" applyNumberFormat="1" applyFont="1" applyBorder="1" applyAlignment="1" applyProtection="1">
      <alignment vertical="center"/>
      <protection hidden="1"/>
    </xf>
    <xf numFmtId="0" fontId="10" fillId="0" borderId="94" xfId="12" applyFont="1" applyFill="1" applyBorder="1" applyAlignment="1" applyProtection="1">
      <alignment horizontal="left" vertical="center" indent="4"/>
      <protection hidden="1"/>
    </xf>
    <xf numFmtId="175" fontId="10" fillId="0" borderId="7" xfId="12" applyNumberFormat="1" applyFont="1" applyFill="1" applyBorder="1" applyAlignment="1" applyProtection="1">
      <alignment vertical="center"/>
      <protection hidden="1"/>
    </xf>
    <xf numFmtId="175" fontId="11" fillId="0" borderId="96" xfId="12" applyNumberFormat="1" applyFont="1" applyFill="1" applyBorder="1" applyAlignment="1" applyProtection="1">
      <alignment vertical="center"/>
      <protection hidden="1"/>
    </xf>
    <xf numFmtId="175" fontId="11" fillId="0" borderId="8" xfId="12" applyNumberFormat="1" applyFont="1" applyFill="1" applyBorder="1" applyAlignment="1" applyProtection="1">
      <alignment vertical="center"/>
      <protection hidden="1"/>
    </xf>
    <xf numFmtId="175" fontId="10" fillId="0" borderId="6" xfId="12" applyNumberFormat="1" applyFont="1" applyFill="1" applyBorder="1" applyAlignment="1" applyProtection="1">
      <alignment vertical="center"/>
      <protection hidden="1"/>
    </xf>
    <xf numFmtId="175" fontId="10" fillId="0" borderId="8" xfId="12" applyNumberFormat="1" applyFont="1" applyFill="1" applyBorder="1" applyAlignment="1" applyProtection="1">
      <alignment vertical="center"/>
      <protection hidden="1"/>
    </xf>
    <xf numFmtId="183" fontId="10" fillId="0" borderId="94" xfId="12" applyNumberFormat="1" applyFont="1" applyFill="1" applyBorder="1" applyAlignment="1" applyProtection="1">
      <alignment vertical="center"/>
      <protection hidden="1"/>
    </xf>
    <xf numFmtId="189" fontId="10" fillId="0" borderId="96" xfId="14" applyNumberFormat="1" applyFont="1" applyBorder="1" applyAlignment="1" applyProtection="1">
      <alignment horizontal="right" vertical="center"/>
      <protection hidden="1"/>
    </xf>
    <xf numFmtId="183" fontId="10" fillId="0" borderId="12" xfId="12" applyNumberFormat="1" applyFont="1" applyFill="1" applyBorder="1" applyAlignment="1" applyProtection="1">
      <alignment vertical="center"/>
      <protection hidden="1"/>
    </xf>
    <xf numFmtId="175" fontId="10" fillId="0" borderId="94" xfId="12" applyNumberFormat="1" applyFont="1" applyFill="1" applyBorder="1" applyAlignment="1" applyProtection="1">
      <alignment vertical="center"/>
      <protection hidden="1"/>
    </xf>
    <xf numFmtId="175" fontId="11" fillId="0" borderId="96" xfId="14" applyNumberFormat="1" applyFont="1" applyBorder="1" applyAlignment="1" applyProtection="1">
      <alignment horizontal="right" vertical="center"/>
      <protection hidden="1"/>
    </xf>
    <xf numFmtId="175" fontId="10" fillId="0" borderId="12" xfId="12" applyNumberFormat="1" applyFont="1" applyFill="1" applyBorder="1" applyAlignment="1" applyProtection="1">
      <alignment vertical="center"/>
      <protection hidden="1"/>
    </xf>
    <xf numFmtId="175" fontId="11" fillId="0" borderId="10" xfId="12" applyNumberFormat="1" applyFont="1" applyFill="1" applyBorder="1" applyAlignment="1" applyProtection="1">
      <alignment vertical="center"/>
      <protection hidden="1"/>
    </xf>
    <xf numFmtId="0" fontId="10" fillId="0" borderId="96" xfId="14" applyFont="1" applyBorder="1" applyProtection="1">
      <protection hidden="1"/>
    </xf>
    <xf numFmtId="183" fontId="10" fillId="0" borderId="94" xfId="14" applyNumberFormat="1" applyFont="1" applyBorder="1" applyAlignment="1" applyProtection="1">
      <alignment vertical="center"/>
      <protection hidden="1"/>
    </xf>
    <xf numFmtId="183" fontId="10" fillId="0" borderId="12" xfId="14" applyNumberFormat="1" applyFont="1" applyBorder="1" applyAlignment="1" applyProtection="1">
      <alignment vertical="center"/>
      <protection hidden="1"/>
    </xf>
    <xf numFmtId="0" fontId="10" fillId="0" borderId="94" xfId="12" applyFont="1" applyFill="1" applyBorder="1" applyAlignment="1" applyProtection="1">
      <alignment horizontal="left" vertical="center" indent="5"/>
      <protection hidden="1"/>
    </xf>
    <xf numFmtId="189" fontId="10" fillId="0" borderId="96" xfId="12" applyNumberFormat="1" applyFont="1" applyFill="1" applyBorder="1" applyProtection="1">
      <protection hidden="1"/>
    </xf>
    <xf numFmtId="189" fontId="10" fillId="0" borderId="10" xfId="12" applyNumberFormat="1" applyFont="1" applyFill="1" applyBorder="1" applyProtection="1">
      <protection hidden="1"/>
    </xf>
    <xf numFmtId="189" fontId="10" fillId="0" borderId="8" xfId="12" applyNumberFormat="1" applyFont="1" applyFill="1" applyBorder="1" applyProtection="1">
      <protection hidden="1"/>
    </xf>
    <xf numFmtId="0" fontId="10" fillId="0" borderId="96" xfId="14" applyNumberFormat="1" applyFont="1" applyBorder="1" applyAlignment="1" applyProtection="1">
      <alignment horizontal="right" vertical="center"/>
      <protection hidden="1"/>
    </xf>
    <xf numFmtId="189" fontId="10" fillId="0" borderId="7" xfId="14" applyNumberFormat="1" applyFont="1" applyBorder="1" applyProtection="1">
      <protection hidden="1"/>
    </xf>
    <xf numFmtId="189" fontId="10" fillId="0" borderId="6" xfId="14" applyNumberFormat="1" applyFont="1" applyBorder="1" applyProtection="1">
      <protection hidden="1"/>
    </xf>
    <xf numFmtId="189" fontId="10" fillId="0" borderId="8" xfId="14" applyNumberFormat="1" applyFont="1" applyBorder="1" applyProtection="1">
      <protection hidden="1"/>
    </xf>
    <xf numFmtId="0" fontId="1" fillId="0" borderId="0" xfId="14"/>
    <xf numFmtId="189" fontId="10" fillId="0" borderId="0" xfId="12" applyNumberFormat="1" applyFont="1" applyFill="1" applyBorder="1" applyAlignment="1" applyProtection="1">
      <alignment horizontal="right" vertical="center"/>
      <protection hidden="1"/>
    </xf>
    <xf numFmtId="182" fontId="10" fillId="0" borderId="34" xfId="14" applyNumberFormat="1" applyFont="1" applyBorder="1" applyAlignment="1" applyProtection="1">
      <alignment vertical="center"/>
      <protection hidden="1"/>
    </xf>
    <xf numFmtId="0" fontId="11" fillId="0" borderId="72" xfId="14" applyFont="1" applyBorder="1" applyAlignment="1" applyProtection="1">
      <alignment horizontal="left" vertical="center"/>
      <protection hidden="1"/>
    </xf>
    <xf numFmtId="175" fontId="11" fillId="0" borderId="14" xfId="12" applyNumberFormat="1" applyFont="1" applyFill="1" applyBorder="1" applyAlignment="1" applyProtection="1">
      <alignment vertical="center"/>
      <protection hidden="1"/>
    </xf>
    <xf numFmtId="175" fontId="11" fillId="0" borderId="16" xfId="12" applyNumberFormat="1" applyFont="1" applyFill="1" applyBorder="1" applyAlignment="1" applyProtection="1">
      <alignment vertical="center"/>
      <protection hidden="1"/>
    </xf>
    <xf numFmtId="175" fontId="11" fillId="0" borderId="34" xfId="12" applyNumberFormat="1" applyFont="1" applyFill="1" applyBorder="1" applyAlignment="1" applyProtection="1">
      <alignment vertical="center"/>
      <protection hidden="1"/>
    </xf>
    <xf numFmtId="183" fontId="11" fillId="0" borderId="72" xfId="12" applyNumberFormat="1" applyFont="1" applyFill="1" applyBorder="1" applyAlignment="1" applyProtection="1">
      <alignment vertical="center"/>
      <protection hidden="1"/>
    </xf>
    <xf numFmtId="175" fontId="11" fillId="0" borderId="64" xfId="12" applyNumberFormat="1" applyFont="1" applyFill="1" applyBorder="1" applyAlignment="1" applyProtection="1">
      <alignment horizontal="right" vertical="center"/>
      <protection hidden="1"/>
    </xf>
    <xf numFmtId="183" fontId="11" fillId="0" borderId="18" xfId="12" applyNumberFormat="1" applyFont="1" applyFill="1" applyBorder="1" applyAlignment="1" applyProtection="1">
      <alignment vertical="center"/>
      <protection hidden="1"/>
    </xf>
    <xf numFmtId="0" fontId="1" fillId="0" borderId="0" xfId="14" applyAlignment="1">
      <alignment vertical="center"/>
    </xf>
    <xf numFmtId="0" fontId="10" fillId="0" borderId="0" xfId="14" applyFont="1" applyAlignment="1" applyProtection="1">
      <alignment vertical="center"/>
      <protection hidden="1"/>
    </xf>
    <xf numFmtId="0" fontId="10" fillId="0" borderId="0" xfId="14" applyFont="1" applyAlignment="1" applyProtection="1">
      <alignment horizontal="left" indent="1"/>
      <protection hidden="1"/>
    </xf>
    <xf numFmtId="175" fontId="10" fillId="0" borderId="58" xfId="12" applyNumberFormat="1" applyFont="1" applyFill="1" applyBorder="1" applyAlignment="1" applyProtection="1">
      <protection hidden="1"/>
    </xf>
    <xf numFmtId="175" fontId="10" fillId="0" borderId="0" xfId="12" applyNumberFormat="1" applyFont="1" applyFill="1" applyBorder="1" applyAlignment="1" applyProtection="1">
      <protection hidden="1"/>
    </xf>
    <xf numFmtId="0" fontId="11" fillId="0" borderId="0" xfId="14" applyFont="1" applyAlignment="1" applyProtection="1">
      <alignment horizontal="center"/>
      <protection hidden="1"/>
    </xf>
    <xf numFmtId="0" fontId="11" fillId="0" borderId="113" xfId="14" applyFont="1" applyBorder="1" applyAlignment="1" applyProtection="1">
      <alignment horizontal="center" vertical="center"/>
      <protection hidden="1"/>
    </xf>
    <xf numFmtId="0" fontId="11" fillId="0" borderId="105" xfId="14" applyFont="1" applyBorder="1" applyAlignment="1" applyProtection="1">
      <alignment horizontal="center" vertical="center"/>
      <protection hidden="1"/>
    </xf>
    <xf numFmtId="0" fontId="10" fillId="0" borderId="0" xfId="14" applyFont="1" applyAlignment="1" applyProtection="1">
      <alignment horizontal="center" vertical="center"/>
      <protection hidden="1"/>
    </xf>
    <xf numFmtId="0" fontId="1" fillId="0" borderId="0" xfId="14" applyAlignment="1">
      <alignment horizontal="center" vertical="center"/>
    </xf>
    <xf numFmtId="0" fontId="11" fillId="0" borderId="64" xfId="14" applyFont="1" applyBorder="1" applyAlignment="1" applyProtection="1">
      <alignment horizontal="left" vertical="center" indent="1"/>
      <protection hidden="1"/>
    </xf>
    <xf numFmtId="0" fontId="9" fillId="0" borderId="0" xfId="14" applyFont="1" applyProtection="1">
      <protection hidden="1"/>
    </xf>
    <xf numFmtId="175" fontId="7" fillId="0" borderId="105" xfId="11" applyNumberFormat="1" applyFont="1" applyFill="1" applyBorder="1" applyAlignment="1" applyProtection="1">
      <protection hidden="1"/>
    </xf>
    <xf numFmtId="175" fontId="10" fillId="0" borderId="7" xfId="14" applyNumberFormat="1" applyFont="1" applyBorder="1" applyProtection="1">
      <protection hidden="1"/>
    </xf>
    <xf numFmtId="175" fontId="7" fillId="0" borderId="111" xfId="11" applyNumberFormat="1" applyFont="1" applyFill="1" applyBorder="1" applyAlignment="1" applyProtection="1">
      <protection hidden="1"/>
    </xf>
    <xf numFmtId="175" fontId="7" fillId="0" borderId="111" xfId="12" applyNumberFormat="1" applyFont="1" applyFill="1" applyBorder="1" applyProtection="1">
      <protection hidden="1"/>
    </xf>
    <xf numFmtId="175" fontId="7" fillId="0" borderId="7" xfId="12" applyNumberFormat="1" applyFont="1" applyFill="1" applyBorder="1" applyAlignment="1" applyProtection="1">
      <protection hidden="1"/>
    </xf>
    <xf numFmtId="175" fontId="7" fillId="0" borderId="0" xfId="12" applyNumberFormat="1" applyFont="1" applyFill="1" applyBorder="1" applyAlignment="1" applyProtection="1">
      <protection hidden="1"/>
    </xf>
    <xf numFmtId="175" fontId="10" fillId="0" borderId="0" xfId="14" applyNumberFormat="1" applyFont="1" applyBorder="1" applyProtection="1">
      <protection hidden="1"/>
    </xf>
    <xf numFmtId="0" fontId="7" fillId="9" borderId="0" xfId="0" applyFont="1" applyFill="1" applyAlignment="1" applyProtection="1">
      <alignment horizontal="center" vertical="center"/>
      <protection hidden="1"/>
    </xf>
    <xf numFmtId="188" fontId="11" fillId="0" borderId="42" xfId="8" quotePrefix="1" applyNumberFormat="1" applyFont="1" applyBorder="1" applyAlignment="1" applyProtection="1">
      <alignment horizontal="center" vertical="center"/>
      <protection hidden="1"/>
    </xf>
    <xf numFmtId="0" fontId="11" fillId="0" borderId="6" xfId="14" applyFont="1" applyBorder="1" applyAlignment="1" applyProtection="1">
      <alignment horizontal="center" vertical="center"/>
      <protection hidden="1"/>
    </xf>
    <xf numFmtId="188" fontId="11" fillId="0" borderId="10" xfId="14" quotePrefix="1" applyNumberFormat="1" applyFont="1" applyBorder="1" applyAlignment="1" applyProtection="1">
      <alignment horizontal="center" vertical="center"/>
      <protection hidden="1"/>
    </xf>
    <xf numFmtId="0" fontId="11" fillId="0" borderId="105" xfId="14" applyFont="1" applyFill="1" applyBorder="1" applyAlignment="1" applyProtection="1">
      <alignment horizontal="center" vertical="top" wrapText="1"/>
      <protection hidden="1"/>
    </xf>
    <xf numFmtId="0" fontId="10" fillId="0" borderId="11" xfId="12" applyNumberFormat="1" applyFont="1" applyFill="1" applyBorder="1" applyAlignment="1" applyProtection="1">
      <protection hidden="1"/>
    </xf>
    <xf numFmtId="0" fontId="10" fillId="0" borderId="11" xfId="14" applyNumberFormat="1" applyFont="1" applyBorder="1" applyAlignment="1" applyProtection="1">
      <protection hidden="1"/>
    </xf>
    <xf numFmtId="0" fontId="10" fillId="0" borderId="17" xfId="12" applyNumberFormat="1" applyFont="1" applyFill="1" applyBorder="1" applyAlignment="1" applyProtection="1">
      <protection hidden="1"/>
    </xf>
    <xf numFmtId="0" fontId="10" fillId="0" borderId="111" xfId="8" quotePrefix="1" applyNumberFormat="1" applyFont="1" applyBorder="1" applyAlignment="1" applyProtection="1">
      <protection hidden="1"/>
    </xf>
    <xf numFmtId="0" fontId="10" fillId="0" borderId="111" xfId="14" quotePrefix="1" applyNumberFormat="1" applyFont="1" applyBorder="1" applyAlignment="1" applyProtection="1">
      <protection hidden="1"/>
    </xf>
    <xf numFmtId="0" fontId="10" fillId="0" borderId="7" xfId="12" applyNumberFormat="1" applyFont="1" applyFill="1" applyBorder="1" applyAlignment="1" applyProtection="1">
      <protection hidden="1"/>
    </xf>
    <xf numFmtId="0" fontId="10" fillId="0" borderId="8" xfId="14" applyFont="1" applyBorder="1" applyAlignment="1" applyProtection="1">
      <alignment horizontal="right" vertical="center"/>
      <protection hidden="1"/>
    </xf>
    <xf numFmtId="189" fontId="10" fillId="0" borderId="8" xfId="14" applyNumberFormat="1" applyFont="1" applyBorder="1" applyAlignment="1" applyProtection="1">
      <alignment horizontal="right" vertical="center"/>
      <protection hidden="1"/>
    </xf>
    <xf numFmtId="175" fontId="11" fillId="0" borderId="8" xfId="14" applyNumberFormat="1" applyFont="1" applyBorder="1" applyAlignment="1" applyProtection="1">
      <alignment horizontal="right" vertical="center"/>
      <protection hidden="1"/>
    </xf>
    <xf numFmtId="0" fontId="10" fillId="0" borderId="7" xfId="14" applyNumberFormat="1" applyFont="1" applyBorder="1" applyAlignment="1" applyProtection="1">
      <protection hidden="1"/>
    </xf>
    <xf numFmtId="0" fontId="10" fillId="0" borderId="8" xfId="14" applyNumberFormat="1" applyFont="1" applyBorder="1" applyAlignment="1" applyProtection="1">
      <alignment horizontal="right" vertical="center"/>
      <protection hidden="1"/>
    </xf>
    <xf numFmtId="0" fontId="10" fillId="0" borderId="13" xfId="12" applyNumberFormat="1" applyFont="1" applyFill="1" applyBorder="1" applyAlignment="1" applyProtection="1">
      <protection hidden="1"/>
    </xf>
    <xf numFmtId="172" fontId="8" fillId="11" borderId="100" xfId="0" applyNumberFormat="1" applyFont="1" applyFill="1" applyBorder="1" applyAlignment="1" applyProtection="1">
      <alignment horizontal="right" vertical="center" indent="1"/>
      <protection hidden="1"/>
    </xf>
    <xf numFmtId="0" fontId="8" fillId="12" borderId="0" xfId="0" applyFont="1" applyFill="1" applyBorder="1" applyAlignment="1" applyProtection="1">
      <alignment horizontal="center" vertical="center" wrapText="1"/>
      <protection hidden="1"/>
    </xf>
    <xf numFmtId="0" fontId="7" fillId="12" borderId="58" xfId="4" applyFont="1" applyFill="1" applyBorder="1" applyProtection="1">
      <protection hidden="1"/>
    </xf>
    <xf numFmtId="0" fontId="7" fillId="12" borderId="102" xfId="4" applyFont="1" applyFill="1" applyBorder="1" applyProtection="1">
      <protection hidden="1"/>
    </xf>
    <xf numFmtId="188" fontId="8" fillId="7" borderId="15" xfId="0" quotePrefix="1" applyNumberFormat="1" applyFont="1" applyFill="1" applyBorder="1" applyAlignment="1" applyProtection="1">
      <alignment horizontal="center" vertical="center" wrapText="1"/>
      <protection hidden="1"/>
    </xf>
    <xf numFmtId="188" fontId="8" fillId="7" borderId="13" xfId="0" quotePrefix="1" applyNumberFormat="1" applyFont="1" applyFill="1" applyBorder="1" applyAlignment="1" applyProtection="1">
      <alignment horizontal="center" vertical="center" wrapText="1"/>
      <protection hidden="1"/>
    </xf>
    <xf numFmtId="188" fontId="8" fillId="7" borderId="64" xfId="0" quotePrefix="1" applyNumberFormat="1" applyFont="1" applyFill="1" applyBorder="1" applyAlignment="1" applyProtection="1">
      <alignment horizontal="center" vertical="center" wrapText="1"/>
      <protection hidden="1"/>
    </xf>
    <xf numFmtId="188" fontId="8" fillId="7" borderId="34" xfId="0" quotePrefix="1" applyNumberFormat="1" applyFont="1" applyFill="1" applyBorder="1" applyAlignment="1" applyProtection="1">
      <alignment horizontal="center" vertical="center" wrapText="1"/>
      <protection hidden="1"/>
    </xf>
    <xf numFmtId="188" fontId="8" fillId="7" borderId="17" xfId="0" quotePrefix="1" applyNumberFormat="1" applyFont="1" applyFill="1" applyBorder="1" applyAlignment="1" applyProtection="1">
      <alignment horizontal="center" vertical="center" wrapText="1"/>
      <protection hidden="1"/>
    </xf>
    <xf numFmtId="188" fontId="8" fillId="12" borderId="34" xfId="0" quotePrefix="1" applyNumberFormat="1" applyFont="1" applyFill="1" applyBorder="1" applyAlignment="1" applyProtection="1">
      <alignment horizontal="center" vertical="center" wrapText="1"/>
      <protection hidden="1"/>
    </xf>
    <xf numFmtId="188" fontId="8" fillId="12" borderId="13" xfId="0" quotePrefix="1" applyNumberFormat="1" applyFont="1" applyFill="1" applyBorder="1" applyAlignment="1" applyProtection="1">
      <alignment horizontal="center" vertical="center" wrapText="1"/>
      <protection hidden="1"/>
    </xf>
    <xf numFmtId="188" fontId="8" fillId="12" borderId="64" xfId="0" quotePrefix="1" applyNumberFormat="1" applyFont="1" applyFill="1" applyBorder="1" applyAlignment="1" applyProtection="1">
      <alignment horizontal="center" vertical="center" wrapText="1"/>
      <protection hidden="1"/>
    </xf>
    <xf numFmtId="0" fontId="7" fillId="9" borderId="113" xfId="4" applyFont="1" applyFill="1" applyBorder="1" applyAlignment="1" applyProtection="1">
      <alignment vertical="top"/>
      <protection hidden="1"/>
    </xf>
    <xf numFmtId="0" fontId="8" fillId="5" borderId="100" xfId="0" applyNumberFormat="1" applyFont="1" applyFill="1" applyBorder="1" applyAlignment="1" applyProtection="1">
      <protection hidden="1"/>
    </xf>
    <xf numFmtId="172" fontId="7" fillId="5" borderId="100" xfId="4" applyNumberFormat="1" applyFont="1" applyFill="1" applyBorder="1" applyAlignment="1" applyProtection="1">
      <protection hidden="1"/>
    </xf>
    <xf numFmtId="172" fontId="8" fillId="5" borderId="100" xfId="4" applyNumberFormat="1" applyFont="1" applyFill="1" applyBorder="1" applyAlignment="1" applyProtection="1">
      <alignment horizontal="left" indent="1"/>
      <protection hidden="1"/>
    </xf>
    <xf numFmtId="0" fontId="7" fillId="5" borderId="100" xfId="4" applyFont="1" applyFill="1" applyBorder="1" applyAlignment="1" applyProtection="1">
      <alignment vertical="top"/>
      <protection hidden="1"/>
    </xf>
    <xf numFmtId="0" fontId="8" fillId="5" borderId="100" xfId="0" applyNumberFormat="1" applyFont="1" applyFill="1" applyBorder="1" applyAlignment="1" applyProtection="1">
      <alignment horizontal="right" vertical="center" indent="1"/>
      <protection hidden="1"/>
    </xf>
    <xf numFmtId="0" fontId="7" fillId="5" borderId="100" xfId="4" applyFont="1" applyFill="1" applyBorder="1" applyAlignment="1" applyProtection="1">
      <protection hidden="1"/>
    </xf>
    <xf numFmtId="0" fontId="7" fillId="5" borderId="101" xfId="4" applyFont="1" applyFill="1" applyBorder="1" applyAlignment="1" applyProtection="1">
      <alignment vertical="top"/>
      <protection hidden="1"/>
    </xf>
    <xf numFmtId="0" fontId="8" fillId="6" borderId="113" xfId="0" applyFont="1" applyFill="1" applyBorder="1" applyAlignment="1" applyProtection="1">
      <alignment horizontal="centerContinuous"/>
      <protection hidden="1"/>
    </xf>
    <xf numFmtId="172" fontId="7" fillId="6" borderId="100" xfId="0" applyNumberFormat="1" applyFont="1" applyFill="1" applyBorder="1" applyAlignment="1" applyProtection="1">
      <protection hidden="1"/>
    </xf>
    <xf numFmtId="172" fontId="8" fillId="6" borderId="101" xfId="0" applyNumberFormat="1" applyFont="1" applyFill="1" applyBorder="1" applyAlignment="1" applyProtection="1">
      <alignment horizontal="right" vertical="center" indent="1"/>
      <protection hidden="1"/>
    </xf>
    <xf numFmtId="0" fontId="7" fillId="17" borderId="101" xfId="4" applyFont="1" applyFill="1" applyBorder="1" applyAlignment="1" applyProtection="1">
      <alignment vertical="top"/>
      <protection hidden="1"/>
    </xf>
    <xf numFmtId="0" fontId="7" fillId="9" borderId="96" xfId="4" applyFont="1" applyFill="1" applyBorder="1" applyAlignment="1" applyProtection="1">
      <alignment vertical="top"/>
      <protection hidden="1"/>
    </xf>
    <xf numFmtId="0" fontId="8" fillId="6" borderId="96" xfId="0" applyFont="1" applyFill="1" applyBorder="1" applyAlignment="1" applyProtection="1">
      <alignment horizontal="centerContinuous"/>
      <protection hidden="1"/>
    </xf>
    <xf numFmtId="0" fontId="7" fillId="17" borderId="94" xfId="4" applyFont="1" applyFill="1" applyBorder="1" applyAlignment="1" applyProtection="1">
      <alignment vertical="top"/>
      <protection hidden="1"/>
    </xf>
    <xf numFmtId="0" fontId="7" fillId="9" borderId="96" xfId="4" applyFont="1" applyFill="1" applyBorder="1" applyAlignment="1" applyProtection="1">
      <protection hidden="1"/>
    </xf>
    <xf numFmtId="0" fontId="18" fillId="6" borderId="96" xfId="0" applyFont="1" applyFill="1" applyBorder="1" applyAlignment="1" applyProtection="1">
      <protection hidden="1"/>
    </xf>
    <xf numFmtId="0" fontId="7" fillId="17" borderId="94" xfId="4" applyFont="1" applyFill="1" applyBorder="1" applyAlignment="1" applyProtection="1">
      <protection hidden="1"/>
    </xf>
    <xf numFmtId="0" fontId="12" fillId="6" borderId="96" xfId="0" applyFont="1" applyFill="1" applyBorder="1" applyAlignment="1" applyProtection="1">
      <alignment vertical="center"/>
      <protection hidden="1"/>
    </xf>
    <xf numFmtId="0" fontId="12" fillId="6" borderId="96" xfId="0" applyFont="1" applyFill="1" applyBorder="1" applyAlignment="1" applyProtection="1">
      <protection hidden="1"/>
    </xf>
    <xf numFmtId="172" fontId="20" fillId="6" borderId="113" xfId="0" applyNumberFormat="1" applyFont="1" applyFill="1" applyBorder="1" applyAlignment="1" applyProtection="1">
      <alignment horizontal="center" vertical="top" wrapText="1"/>
      <protection hidden="1"/>
    </xf>
    <xf numFmtId="0" fontId="7" fillId="17" borderId="94" xfId="4" applyFont="1" applyFill="1" applyBorder="1" applyProtection="1">
      <protection hidden="1"/>
    </xf>
    <xf numFmtId="0" fontId="8" fillId="5" borderId="112" xfId="0" applyNumberFormat="1" applyFont="1" applyFill="1" applyBorder="1" applyAlignment="1" applyProtection="1">
      <alignment horizontal="center" vertical="top"/>
      <protection hidden="1"/>
    </xf>
    <xf numFmtId="0" fontId="8" fillId="5" borderId="111" xfId="4" applyFont="1" applyFill="1" applyBorder="1" applyAlignment="1" applyProtection="1">
      <alignment horizontal="center" vertical="top"/>
      <protection hidden="1"/>
    </xf>
    <xf numFmtId="0" fontId="8" fillId="5" borderId="112" xfId="4" applyFont="1" applyFill="1" applyBorder="1" applyAlignment="1" applyProtection="1">
      <alignment horizontal="center" vertical="top"/>
      <protection hidden="1"/>
    </xf>
    <xf numFmtId="0" fontId="7" fillId="7" borderId="96" xfId="4" applyFont="1" applyFill="1" applyBorder="1" applyProtection="1">
      <protection hidden="1"/>
    </xf>
    <xf numFmtId="0" fontId="8" fillId="5" borderId="96" xfId="0" applyFont="1" applyFill="1" applyBorder="1" applyAlignment="1" applyProtection="1">
      <alignment horizontal="center" vertical="center" wrapText="1"/>
      <protection hidden="1"/>
    </xf>
    <xf numFmtId="0" fontId="8" fillId="5" borderId="96" xfId="0" applyFont="1" applyFill="1" applyBorder="1" applyAlignment="1" applyProtection="1">
      <alignment horizontal="center" vertical="top" wrapText="1"/>
      <protection hidden="1"/>
    </xf>
    <xf numFmtId="180" fontId="17" fillId="5" borderId="106" xfId="4" applyNumberFormat="1" applyFont="1" applyFill="1" applyBorder="1" applyAlignment="1" applyProtection="1">
      <alignment vertical="center"/>
      <protection hidden="1"/>
    </xf>
    <xf numFmtId="180" fontId="8" fillId="7" borderId="31" xfId="4" applyNumberFormat="1" applyFont="1" applyFill="1" applyBorder="1" applyAlignment="1" applyProtection="1">
      <alignment vertical="center"/>
      <protection hidden="1"/>
    </xf>
    <xf numFmtId="176" fontId="7" fillId="12" borderId="104" xfId="4" applyNumberFormat="1" applyFont="1" applyFill="1" applyBorder="1" applyAlignment="1" applyProtection="1">
      <alignment vertical="center"/>
      <protection hidden="1"/>
    </xf>
    <xf numFmtId="176" fontId="7" fillId="12" borderId="106" xfId="4" applyNumberFormat="1" applyFont="1" applyFill="1" applyBorder="1" applyAlignment="1" applyProtection="1">
      <alignment vertical="center"/>
      <protection hidden="1"/>
    </xf>
    <xf numFmtId="178" fontId="7" fillId="0" borderId="106" xfId="7" applyNumberFormat="1" applyFont="1" applyFill="1" applyBorder="1" applyAlignment="1" applyProtection="1">
      <alignment vertical="center"/>
      <protection locked="0"/>
    </xf>
    <xf numFmtId="0" fontId="7" fillId="7" borderId="112" xfId="4" applyNumberFormat="1" applyFont="1" applyFill="1" applyBorder="1" applyAlignment="1" applyProtection="1">
      <protection hidden="1"/>
    </xf>
    <xf numFmtId="0" fontId="7" fillId="9" borderId="96" xfId="4" applyFont="1" applyFill="1" applyBorder="1" applyProtection="1">
      <protection hidden="1"/>
    </xf>
    <xf numFmtId="0" fontId="7" fillId="5" borderId="102" xfId="4" applyFont="1" applyFill="1" applyBorder="1" applyProtection="1">
      <protection hidden="1"/>
    </xf>
    <xf numFmtId="0" fontId="7" fillId="17" borderId="42" xfId="4" applyFont="1" applyFill="1" applyBorder="1" applyProtection="1">
      <protection hidden="1"/>
    </xf>
    <xf numFmtId="172" fontId="21" fillId="11" borderId="113" xfId="0" applyNumberFormat="1" applyFont="1" applyFill="1" applyBorder="1" applyAlignment="1" applyProtection="1">
      <alignment horizontal="center" vertical="top" wrapText="1"/>
      <protection hidden="1"/>
    </xf>
    <xf numFmtId="0" fontId="22" fillId="12" borderId="96" xfId="0" applyFont="1" applyFill="1" applyBorder="1" applyAlignment="1" applyProtection="1">
      <alignment horizontal="center" vertical="top" wrapText="1"/>
      <protection hidden="1"/>
    </xf>
    <xf numFmtId="0" fontId="21" fillId="12" borderId="96" xfId="0" applyFont="1" applyFill="1" applyBorder="1" applyAlignment="1" applyProtection="1">
      <alignment horizontal="center" vertical="top" wrapText="1"/>
      <protection hidden="1"/>
    </xf>
    <xf numFmtId="176" fontId="7" fillId="12" borderId="40" xfId="4" applyNumberFormat="1" applyFont="1" applyFill="1" applyBorder="1" applyAlignment="1" applyProtection="1">
      <alignment vertical="center"/>
      <protection hidden="1"/>
    </xf>
    <xf numFmtId="176" fontId="8" fillId="12" borderId="0" xfId="4" applyNumberFormat="1" applyFont="1" applyFill="1" applyBorder="1" applyAlignment="1" applyProtection="1">
      <alignment vertical="center"/>
      <protection hidden="1"/>
    </xf>
    <xf numFmtId="0" fontId="7" fillId="12" borderId="16" xfId="4" applyFont="1" applyFill="1" applyBorder="1" applyProtection="1">
      <protection hidden="1"/>
    </xf>
    <xf numFmtId="188" fontId="8" fillId="12" borderId="16" xfId="0" quotePrefix="1" applyNumberFormat="1" applyFont="1" applyFill="1" applyBorder="1" applyAlignment="1" applyProtection="1">
      <alignment horizontal="center" vertical="center" wrapText="1"/>
      <protection hidden="1"/>
    </xf>
    <xf numFmtId="180" fontId="8" fillId="12" borderId="57" xfId="4" applyNumberFormat="1" applyFont="1" applyFill="1" applyBorder="1" applyAlignment="1" applyProtection="1">
      <alignment vertical="center"/>
      <protection hidden="1"/>
    </xf>
    <xf numFmtId="0" fontId="7" fillId="12" borderId="47" xfId="4" applyFont="1" applyFill="1" applyBorder="1" applyProtection="1">
      <protection hidden="1"/>
    </xf>
    <xf numFmtId="0" fontId="7" fillId="12" borderId="62" xfId="4" applyFont="1" applyFill="1" applyBorder="1" applyProtection="1">
      <protection hidden="1"/>
    </xf>
    <xf numFmtId="180" fontId="8" fillId="12" borderId="40" xfId="4" applyNumberFormat="1" applyFont="1" applyFill="1" applyBorder="1" applyAlignment="1" applyProtection="1">
      <alignment vertical="center"/>
      <protection hidden="1"/>
    </xf>
    <xf numFmtId="0" fontId="7" fillId="12" borderId="96" xfId="4" applyFont="1" applyFill="1" applyBorder="1" applyProtection="1">
      <protection hidden="1"/>
    </xf>
    <xf numFmtId="180" fontId="8" fillId="12" borderId="54" xfId="4" applyNumberFormat="1" applyFont="1" applyFill="1" applyBorder="1" applyAlignment="1" applyProtection="1">
      <alignment vertical="center"/>
      <protection hidden="1"/>
    </xf>
    <xf numFmtId="0" fontId="7" fillId="12" borderId="40" xfId="4" applyFont="1" applyFill="1" applyBorder="1" applyProtection="1">
      <protection hidden="1"/>
    </xf>
    <xf numFmtId="0" fontId="8" fillId="12" borderId="8" xfId="0" applyFont="1" applyFill="1" applyBorder="1" applyAlignment="1" applyProtection="1">
      <alignment horizontal="center" vertical="center" wrapText="1"/>
      <protection hidden="1"/>
    </xf>
    <xf numFmtId="180" fontId="8" fillId="12" borderId="8" xfId="4" applyNumberFormat="1" applyFont="1" applyFill="1" applyBorder="1" applyAlignment="1" applyProtection="1">
      <alignment vertical="center"/>
      <protection hidden="1"/>
    </xf>
    <xf numFmtId="172" fontId="7" fillId="11" borderId="100" xfId="0" applyNumberFormat="1" applyFont="1" applyFill="1" applyBorder="1" applyAlignment="1" applyProtection="1">
      <protection hidden="1"/>
    </xf>
    <xf numFmtId="176" fontId="7" fillId="12" borderId="46" xfId="4" applyNumberFormat="1" applyFont="1" applyFill="1" applyBorder="1" applyAlignment="1" applyProtection="1">
      <alignment vertical="center"/>
      <protection hidden="1"/>
    </xf>
    <xf numFmtId="176" fontId="7" fillId="12" borderId="20" xfId="4" applyNumberFormat="1" applyFont="1" applyFill="1" applyBorder="1" applyAlignment="1" applyProtection="1">
      <alignment vertical="center"/>
      <protection hidden="1"/>
    </xf>
    <xf numFmtId="176" fontId="7" fillId="12" borderId="80" xfId="4" applyNumberFormat="1" applyFont="1" applyFill="1" applyBorder="1" applyAlignment="1" applyProtection="1">
      <alignment vertical="center"/>
      <protection hidden="1"/>
    </xf>
    <xf numFmtId="0" fontId="7" fillId="12" borderId="48" xfId="4" applyFont="1" applyFill="1" applyBorder="1" applyProtection="1">
      <protection hidden="1"/>
    </xf>
    <xf numFmtId="0" fontId="7" fillId="12" borderId="25" xfId="4" applyNumberFormat="1" applyFont="1" applyFill="1" applyBorder="1" applyAlignment="1" applyProtection="1">
      <protection hidden="1"/>
    </xf>
    <xf numFmtId="0" fontId="7" fillId="12" borderId="8" xfId="4" applyNumberFormat="1" applyFont="1" applyFill="1" applyBorder="1" applyAlignment="1" applyProtection="1">
      <protection hidden="1"/>
    </xf>
    <xf numFmtId="180" fontId="7" fillId="12" borderId="33" xfId="4" applyNumberFormat="1" applyFont="1" applyFill="1" applyBorder="1" applyAlignment="1" applyProtection="1">
      <alignment vertical="center"/>
      <protection hidden="1"/>
    </xf>
    <xf numFmtId="176" fontId="7" fillId="7" borderId="33" xfId="4" applyNumberFormat="1" applyFont="1" applyFill="1" applyBorder="1" applyAlignment="1" applyProtection="1">
      <alignment vertical="center"/>
      <protection hidden="1"/>
    </xf>
    <xf numFmtId="0" fontId="18" fillId="9" borderId="0" xfId="0" applyFont="1" applyFill="1" applyBorder="1" applyAlignment="1" applyProtection="1">
      <protection hidden="1"/>
    </xf>
    <xf numFmtId="0" fontId="7" fillId="5" borderId="10" xfId="0" applyNumberFormat="1" applyFont="1" applyFill="1" applyBorder="1" applyAlignment="1" applyProtection="1">
      <protection hidden="1"/>
    </xf>
    <xf numFmtId="0" fontId="7" fillId="9" borderId="10" xfId="0" applyNumberFormat="1" applyFont="1" applyFill="1" applyBorder="1" applyAlignment="1" applyProtection="1">
      <protection hidden="1"/>
    </xf>
    <xf numFmtId="0" fontId="7" fillId="9" borderId="10" xfId="0" quotePrefix="1" applyNumberFormat="1" applyFont="1" applyFill="1" applyBorder="1" applyAlignment="1" applyProtection="1">
      <protection hidden="1"/>
    </xf>
    <xf numFmtId="178" fontId="7" fillId="0" borderId="53" xfId="0" applyNumberFormat="1" applyFont="1" applyFill="1" applyBorder="1" applyAlignment="1" applyProtection="1">
      <alignment vertical="center"/>
      <protection locked="0"/>
    </xf>
    <xf numFmtId="180" fontId="8" fillId="4" borderId="11" xfId="0" applyNumberFormat="1" applyFont="1" applyFill="1" applyBorder="1" applyAlignment="1" applyProtection="1">
      <alignment vertical="center"/>
      <protection hidden="1"/>
    </xf>
    <xf numFmtId="0" fontId="7" fillId="18" borderId="0" xfId="4" applyFont="1" applyFill="1" applyProtection="1">
      <protection hidden="1"/>
    </xf>
    <xf numFmtId="0" fontId="7" fillId="18" borderId="0" xfId="4" applyFont="1" applyFill="1" applyBorder="1" applyProtection="1">
      <protection hidden="1"/>
    </xf>
    <xf numFmtId="0" fontId="7" fillId="18" borderId="0" xfId="4" applyFont="1" applyFill="1" applyAlignment="1" applyProtection="1">
      <alignment vertical="top"/>
      <protection hidden="1"/>
    </xf>
    <xf numFmtId="0" fontId="7" fillId="18" borderId="0" xfId="4" applyFont="1" applyFill="1" applyAlignment="1" applyProtection="1">
      <protection hidden="1"/>
    </xf>
    <xf numFmtId="170" fontId="7" fillId="18" borderId="0" xfId="0" applyNumberFormat="1" applyFont="1" applyFill="1" applyBorder="1" applyAlignment="1" applyProtection="1">
      <alignment vertical="center"/>
      <protection hidden="1"/>
    </xf>
    <xf numFmtId="170" fontId="7" fillId="18" borderId="0" xfId="0" applyNumberFormat="1" applyFont="1" applyFill="1" applyBorder="1" applyProtection="1">
      <protection hidden="1"/>
    </xf>
    <xf numFmtId="0" fontId="7" fillId="18" borderId="0" xfId="0" applyFont="1" applyFill="1" applyBorder="1" applyProtection="1">
      <protection hidden="1"/>
    </xf>
    <xf numFmtId="182" fontId="7" fillId="18" borderId="0" xfId="0" applyNumberFormat="1" applyFont="1" applyFill="1" applyBorder="1" applyAlignment="1" applyProtection="1">
      <alignment vertical="center"/>
      <protection hidden="1"/>
    </xf>
    <xf numFmtId="0" fontId="7" fillId="18" borderId="0" xfId="0" applyFont="1" applyFill="1" applyProtection="1">
      <protection hidden="1"/>
    </xf>
    <xf numFmtId="0" fontId="8" fillId="18" borderId="0" xfId="0" applyFont="1" applyFill="1" applyAlignment="1" applyProtection="1">
      <alignment horizontal="center" vertical="top" wrapText="1"/>
      <protection hidden="1"/>
    </xf>
    <xf numFmtId="0" fontId="8" fillId="18" borderId="0" xfId="0" applyFont="1" applyFill="1" applyProtection="1">
      <protection hidden="1"/>
    </xf>
    <xf numFmtId="0" fontId="7" fillId="18" borderId="0" xfId="0" applyFont="1" applyFill="1" applyAlignment="1" applyProtection="1">
      <alignment horizontal="center" vertical="center"/>
      <protection hidden="1"/>
    </xf>
    <xf numFmtId="0" fontId="7" fillId="18" borderId="0" xfId="0" quotePrefix="1" applyFont="1" applyFill="1" applyAlignment="1" applyProtection="1">
      <alignment horizontal="center" vertical="center"/>
      <protection hidden="1"/>
    </xf>
    <xf numFmtId="0" fontId="8" fillId="18" borderId="0" xfId="0" applyFont="1" applyFill="1" applyAlignment="1" applyProtection="1">
      <alignment vertical="top" wrapText="1"/>
      <protection hidden="1"/>
    </xf>
    <xf numFmtId="0" fontId="7" fillId="18" borderId="0" xfId="0" applyFont="1" applyFill="1" applyAlignment="1" applyProtection="1">
      <protection hidden="1"/>
    </xf>
    <xf numFmtId="0" fontId="7" fillId="18" borderId="0" xfId="0" applyFont="1" applyFill="1" applyBorder="1" applyAlignment="1" applyProtection="1">
      <protection hidden="1"/>
    </xf>
    <xf numFmtId="187" fontId="7" fillId="18" borderId="0" xfId="0" applyNumberFormat="1" applyFont="1" applyFill="1" applyProtection="1">
      <protection hidden="1"/>
    </xf>
    <xf numFmtId="0" fontId="7" fillId="18" borderId="0" xfId="9" applyFont="1" applyFill="1" applyProtection="1">
      <protection hidden="1"/>
    </xf>
    <xf numFmtId="0" fontId="7" fillId="18" borderId="0" xfId="9" applyFont="1" applyFill="1" applyAlignment="1" applyProtection="1">
      <protection hidden="1"/>
    </xf>
    <xf numFmtId="0" fontId="7" fillId="18" borderId="0" xfId="9" applyFont="1" applyFill="1" applyAlignment="1" applyProtection="1">
      <alignment vertical="top"/>
      <protection hidden="1"/>
    </xf>
    <xf numFmtId="0" fontId="8" fillId="18" borderId="0" xfId="0" applyFont="1" applyFill="1" applyAlignment="1" applyProtection="1">
      <protection hidden="1"/>
    </xf>
    <xf numFmtId="2" fontId="7" fillId="18" borderId="0" xfId="0" applyNumberFormat="1" applyFont="1" applyFill="1" applyAlignment="1" applyProtection="1">
      <alignment horizontal="center" vertical="center"/>
      <protection hidden="1"/>
    </xf>
    <xf numFmtId="0" fontId="7" fillId="18" borderId="0" xfId="0" quotePrefix="1" applyNumberFormat="1" applyFont="1" applyFill="1" applyAlignment="1" applyProtection="1">
      <protection hidden="1"/>
    </xf>
    <xf numFmtId="0" fontId="7" fillId="18" borderId="0" xfId="9" applyFont="1" applyFill="1" applyAlignment="1" applyProtection="1">
      <alignment horizontal="center" vertical="center"/>
      <protection hidden="1"/>
    </xf>
    <xf numFmtId="0" fontId="7" fillId="18" borderId="0" xfId="9" applyFont="1" applyFill="1" applyAlignment="1" applyProtection="1">
      <alignment vertical="center"/>
      <protection hidden="1"/>
    </xf>
    <xf numFmtId="0" fontId="7" fillId="18" borderId="0" xfId="9" applyFont="1" applyFill="1" applyAlignment="1" applyProtection="1">
      <alignment horizontal="center"/>
      <protection hidden="1"/>
    </xf>
    <xf numFmtId="0" fontId="8" fillId="18" borderId="0" xfId="0" applyFont="1" applyFill="1" applyAlignment="1" applyProtection="1">
      <alignment vertical="top"/>
      <protection hidden="1"/>
    </xf>
    <xf numFmtId="0" fontId="7" fillId="18" borderId="0" xfId="0" applyFont="1" applyFill="1" applyAlignment="1" applyProtection="1">
      <alignment horizontal="center" wrapText="1"/>
      <protection hidden="1"/>
    </xf>
    <xf numFmtId="0" fontId="7" fillId="18" borderId="0" xfId="0" applyNumberFormat="1" applyFont="1" applyFill="1" applyAlignment="1" applyProtection="1">
      <protection hidden="1"/>
    </xf>
    <xf numFmtId="0" fontId="7" fillId="18" borderId="0" xfId="0" applyFont="1" applyFill="1" applyAlignment="1" applyProtection="1">
      <alignment vertical="center"/>
      <protection hidden="1"/>
    </xf>
    <xf numFmtId="0" fontId="7" fillId="18" borderId="0" xfId="0" applyNumberFormat="1" applyFont="1" applyFill="1" applyBorder="1" applyProtection="1">
      <protection hidden="1"/>
    </xf>
    <xf numFmtId="172" fontId="7" fillId="18" borderId="0" xfId="0" applyNumberFormat="1" applyFont="1" applyFill="1" applyProtection="1">
      <protection hidden="1"/>
    </xf>
    <xf numFmtId="0" fontId="7" fillId="18" borderId="0" xfId="0" applyFont="1" applyFill="1" applyAlignment="1" applyProtection="1">
      <alignment vertical="top"/>
      <protection hidden="1"/>
    </xf>
    <xf numFmtId="0" fontId="10" fillId="0" borderId="13" xfId="14" applyNumberFormat="1" applyFont="1" applyFill="1" applyBorder="1" applyAlignment="1" applyProtection="1">
      <protection hidden="1"/>
    </xf>
    <xf numFmtId="0" fontId="10" fillId="0" borderId="0" xfId="14" applyNumberFormat="1" applyFont="1" applyFill="1" applyAlignment="1" applyProtection="1">
      <protection hidden="1"/>
    </xf>
    <xf numFmtId="0" fontId="7" fillId="0" borderId="39" xfId="5" applyNumberFormat="1" applyFont="1" applyFill="1" applyBorder="1" applyAlignment="1" applyProtection="1">
      <alignment horizontal="left" vertical="center" wrapText="1" indent="1"/>
      <protection locked="0"/>
    </xf>
    <xf numFmtId="0" fontId="7" fillId="0" borderId="63" xfId="5" applyNumberFormat="1" applyFont="1" applyFill="1" applyBorder="1" applyAlignment="1" applyProtection="1">
      <alignment horizontal="left" vertical="center" wrapText="1" indent="1"/>
      <protection locked="0"/>
    </xf>
    <xf numFmtId="0" fontId="11" fillId="0" borderId="10" xfId="14" applyFont="1" applyBorder="1" applyAlignment="1" applyProtection="1">
      <alignment horizontal="center" vertical="top" wrapText="1"/>
      <protection hidden="1"/>
    </xf>
    <xf numFmtId="175" fontId="11" fillId="0" borderId="34" xfId="14" applyNumberFormat="1" applyFont="1" applyBorder="1" applyAlignment="1" applyProtection="1">
      <alignment vertical="center"/>
      <protection hidden="1"/>
    </xf>
    <xf numFmtId="175" fontId="10" fillId="0" borderId="10" xfId="14" applyNumberFormat="1" applyFont="1" applyBorder="1" applyProtection="1">
      <protection hidden="1"/>
    </xf>
    <xf numFmtId="175" fontId="10" fillId="0" borderId="111" xfId="14" applyNumberFormat="1" applyFont="1" applyBorder="1" applyProtection="1">
      <protection hidden="1"/>
    </xf>
    <xf numFmtId="175" fontId="10" fillId="0" borderId="112" xfId="14" applyNumberFormat="1" applyFont="1" applyBorder="1" applyProtection="1">
      <protection hidden="1"/>
    </xf>
    <xf numFmtId="175" fontId="10" fillId="0" borderId="8" xfId="14" applyNumberFormat="1" applyFont="1" applyBorder="1" applyProtection="1">
      <protection hidden="1"/>
    </xf>
    <xf numFmtId="178" fontId="6" fillId="0" borderId="115" xfId="0" applyNumberFormat="1" applyFont="1" applyFill="1" applyBorder="1" applyAlignment="1" applyProtection="1">
      <alignment vertical="center"/>
      <protection locked="0"/>
    </xf>
    <xf numFmtId="178" fontId="6" fillId="0" borderId="116" xfId="0" applyNumberFormat="1" applyFont="1" applyFill="1" applyBorder="1" applyAlignment="1" applyProtection="1">
      <alignment vertical="center"/>
      <protection locked="0"/>
    </xf>
    <xf numFmtId="180" fontId="17" fillId="5" borderId="83" xfId="0" applyNumberFormat="1" applyFont="1" applyFill="1" applyBorder="1" applyAlignment="1" applyProtection="1">
      <alignment vertical="center"/>
      <protection hidden="1"/>
    </xf>
    <xf numFmtId="178" fontId="8" fillId="5" borderId="50" xfId="0" applyNumberFormat="1" applyFont="1" applyFill="1" applyBorder="1" applyAlignment="1" applyProtection="1">
      <alignment vertical="center"/>
      <protection hidden="1"/>
    </xf>
    <xf numFmtId="180" fontId="8" fillId="9" borderId="64" xfId="0" applyNumberFormat="1" applyFont="1" applyFill="1" applyBorder="1" applyAlignment="1" applyProtection="1">
      <alignment vertical="center"/>
      <protection hidden="1"/>
    </xf>
    <xf numFmtId="180" fontId="17" fillId="5" borderId="78" xfId="0" applyNumberFormat="1" applyFont="1" applyFill="1" applyBorder="1" applyAlignment="1" applyProtection="1">
      <alignment vertical="center"/>
      <protection hidden="1"/>
    </xf>
    <xf numFmtId="0" fontId="7" fillId="5" borderId="10" xfId="0" applyFont="1" applyFill="1" applyBorder="1" applyAlignment="1" applyProtection="1">
      <protection hidden="1"/>
    </xf>
    <xf numFmtId="0" fontId="7" fillId="5" borderId="94" xfId="0" applyFont="1" applyFill="1" applyBorder="1" applyAlignment="1" applyProtection="1">
      <protection hidden="1"/>
    </xf>
    <xf numFmtId="177" fontId="10" fillId="0" borderId="8" xfId="14" applyNumberFormat="1" applyFont="1" applyBorder="1" applyAlignment="1" applyProtection="1">
      <alignment horizontal="center"/>
      <protection hidden="1"/>
    </xf>
    <xf numFmtId="177" fontId="10" fillId="0" borderId="16" xfId="14" applyNumberFormat="1" applyFont="1" applyBorder="1" applyAlignment="1" applyProtection="1">
      <alignment horizontal="center"/>
      <protection hidden="1"/>
    </xf>
    <xf numFmtId="0" fontId="8" fillId="9" borderId="75" xfId="5" applyFont="1" applyFill="1" applyBorder="1" applyAlignment="1" applyProtection="1">
      <alignment horizontal="left" vertical="center" indent="1"/>
      <protection hidden="1"/>
    </xf>
    <xf numFmtId="0" fontId="8" fillId="9" borderId="30" xfId="0" applyFont="1" applyFill="1" applyBorder="1" applyAlignment="1" applyProtection="1">
      <alignment horizontal="left" vertical="center" indent="1"/>
      <protection hidden="1"/>
    </xf>
    <xf numFmtId="0" fontId="8" fillId="9" borderId="15" xfId="0" applyFont="1" applyFill="1" applyBorder="1" applyAlignment="1" applyProtection="1">
      <alignment horizontal="left" vertical="center" indent="1"/>
      <protection hidden="1"/>
    </xf>
    <xf numFmtId="180" fontId="17" fillId="5" borderId="79" xfId="0" applyNumberFormat="1" applyFont="1" applyFill="1" applyBorder="1" applyAlignment="1" applyProtection="1">
      <alignment vertical="center"/>
      <protection hidden="1"/>
    </xf>
    <xf numFmtId="178" fontId="8" fillId="5" borderId="33" xfId="0" applyNumberFormat="1" applyFont="1" applyFill="1" applyBorder="1" applyAlignment="1" applyProtection="1">
      <alignment vertical="center"/>
      <protection hidden="1"/>
    </xf>
    <xf numFmtId="180" fontId="8" fillId="9" borderId="16" xfId="0" applyNumberFormat="1" applyFont="1" applyFill="1" applyBorder="1" applyAlignment="1" applyProtection="1">
      <alignment vertical="center"/>
      <protection hidden="1"/>
    </xf>
    <xf numFmtId="0" fontId="7" fillId="10" borderId="0" xfId="0" applyFont="1" applyFill="1" applyBorder="1" applyAlignment="1" applyProtection="1">
      <alignment horizontal="left" indent="2"/>
      <protection hidden="1"/>
    </xf>
    <xf numFmtId="0" fontId="8" fillId="5" borderId="118" xfId="0" applyNumberFormat="1" applyFont="1" applyFill="1" applyBorder="1" applyAlignment="1" applyProtection="1">
      <protection hidden="1"/>
    </xf>
    <xf numFmtId="0" fontId="7" fillId="9" borderId="102" xfId="0" applyFont="1" applyFill="1" applyBorder="1" applyProtection="1">
      <protection hidden="1"/>
    </xf>
    <xf numFmtId="0" fontId="8" fillId="9" borderId="46" xfId="5" applyNumberFormat="1" applyFont="1" applyFill="1" applyBorder="1" applyAlignment="1" applyProtection="1">
      <alignment horizontal="left" vertical="center" indent="1"/>
      <protection hidden="1"/>
    </xf>
    <xf numFmtId="0" fontId="8" fillId="9" borderId="80" xfId="5" applyNumberFormat="1" applyFont="1" applyFill="1" applyBorder="1" applyAlignment="1" applyProtection="1">
      <alignment horizontal="left" vertical="center" indent="1"/>
      <protection hidden="1"/>
    </xf>
    <xf numFmtId="0" fontId="27" fillId="0" borderId="105" xfId="0" applyFont="1" applyFill="1" applyBorder="1" applyAlignment="1" applyProtection="1">
      <alignment horizontal="left" vertical="center" indent="1"/>
      <protection hidden="1"/>
    </xf>
    <xf numFmtId="0" fontId="25" fillId="9" borderId="30" xfId="0" applyFont="1" applyFill="1" applyBorder="1" applyAlignment="1" applyProtection="1">
      <alignment horizontal="left" vertical="center" indent="1"/>
      <protection hidden="1"/>
    </xf>
    <xf numFmtId="0" fontId="25" fillId="9" borderId="105" xfId="0" applyFont="1" applyFill="1" applyBorder="1" applyAlignment="1" applyProtection="1">
      <alignment horizontal="left" vertical="center" indent="1"/>
      <protection hidden="1"/>
    </xf>
    <xf numFmtId="0" fontId="27" fillId="0" borderId="119" xfId="0" applyFont="1" applyFill="1" applyBorder="1" applyAlignment="1" applyProtection="1">
      <alignment horizontal="left" vertical="center" indent="1"/>
      <protection hidden="1"/>
    </xf>
    <xf numFmtId="0" fontId="27" fillId="0" borderId="120" xfId="0" applyFont="1" applyFill="1" applyBorder="1" applyAlignment="1" applyProtection="1">
      <alignment horizontal="left" vertical="center" indent="1"/>
      <protection hidden="1"/>
    </xf>
    <xf numFmtId="0" fontId="26" fillId="0" borderId="121" xfId="0" applyFont="1" applyFill="1" applyBorder="1" applyAlignment="1" applyProtection="1">
      <alignment horizontal="center" vertical="center"/>
      <protection hidden="1"/>
    </xf>
    <xf numFmtId="174" fontId="6" fillId="0" borderId="48" xfId="0" applyNumberFormat="1" applyFont="1" applyFill="1" applyBorder="1" applyAlignment="1" applyProtection="1">
      <alignment vertical="center"/>
      <protection locked="0"/>
    </xf>
    <xf numFmtId="0" fontId="7" fillId="4" borderId="118" xfId="0" applyFont="1" applyFill="1" applyBorder="1" applyAlignment="1" applyProtection="1">
      <alignment vertical="center"/>
      <protection hidden="1"/>
    </xf>
    <xf numFmtId="0" fontId="7" fillId="4" borderId="102" xfId="0" applyFont="1" applyFill="1" applyBorder="1" applyAlignment="1" applyProtection="1">
      <alignment vertical="center"/>
      <protection hidden="1"/>
    </xf>
    <xf numFmtId="0" fontId="7" fillId="4" borderId="94" xfId="0" applyFont="1" applyFill="1" applyBorder="1" applyAlignment="1" applyProtection="1">
      <protection hidden="1"/>
    </xf>
    <xf numFmtId="178" fontId="7" fillId="0" borderId="106" xfId="0" applyNumberFormat="1" applyFont="1" applyFill="1" applyBorder="1" applyAlignment="1" applyProtection="1">
      <alignment vertical="center"/>
      <protection locked="0"/>
    </xf>
    <xf numFmtId="180" fontId="8" fillId="4" borderId="106" xfId="0" applyNumberFormat="1" applyFont="1" applyFill="1" applyBorder="1" applyAlignment="1" applyProtection="1">
      <alignment vertical="center"/>
      <protection hidden="1"/>
    </xf>
    <xf numFmtId="169" fontId="7" fillId="4" borderId="94" xfId="0" applyNumberFormat="1" applyFont="1" applyFill="1" applyBorder="1" applyAlignment="1" applyProtection="1">
      <alignment vertical="center"/>
      <protection hidden="1"/>
    </xf>
    <xf numFmtId="169" fontId="7" fillId="4" borderId="103" xfId="0" applyNumberFormat="1" applyFont="1" applyFill="1" applyBorder="1" applyAlignment="1" applyProtection="1">
      <alignment vertical="center"/>
      <protection hidden="1"/>
    </xf>
    <xf numFmtId="0" fontId="7" fillId="10" borderId="25" xfId="0" applyFont="1" applyFill="1" applyBorder="1" applyProtection="1">
      <protection hidden="1"/>
    </xf>
    <xf numFmtId="0" fontId="7" fillId="10" borderId="8" xfId="0" applyFont="1" applyFill="1" applyBorder="1" applyProtection="1">
      <protection hidden="1"/>
    </xf>
    <xf numFmtId="0" fontId="7" fillId="9" borderId="8" xfId="0" applyFont="1" applyFill="1" applyBorder="1" applyProtection="1">
      <protection hidden="1"/>
    </xf>
    <xf numFmtId="0" fontId="8" fillId="4" borderId="11" xfId="0" applyFont="1" applyFill="1" applyBorder="1" applyAlignment="1" applyProtection="1">
      <alignment horizontal="center" vertical="center"/>
      <protection hidden="1"/>
    </xf>
    <xf numFmtId="0" fontId="8" fillId="3" borderId="11" xfId="0" applyFont="1" applyFill="1" applyBorder="1" applyAlignment="1" applyProtection="1">
      <alignment horizontal="center" vertical="center"/>
      <protection hidden="1"/>
    </xf>
    <xf numFmtId="188" fontId="8" fillId="3" borderId="17" xfId="0" quotePrefix="1" applyNumberFormat="1" applyFont="1" applyFill="1" applyBorder="1" applyAlignment="1" applyProtection="1">
      <alignment horizontal="center" vertical="center"/>
      <protection hidden="1"/>
    </xf>
    <xf numFmtId="0" fontId="7" fillId="10" borderId="11" xfId="0" applyFont="1" applyFill="1" applyBorder="1" applyProtection="1">
      <protection hidden="1"/>
    </xf>
    <xf numFmtId="0" fontId="7" fillId="4" borderId="24" xfId="0" applyFont="1" applyFill="1" applyBorder="1" applyAlignment="1" applyProtection="1">
      <protection hidden="1"/>
    </xf>
    <xf numFmtId="178" fontId="7" fillId="0" borderId="30" xfId="0" applyNumberFormat="1" applyFont="1" applyFill="1" applyBorder="1" applyAlignment="1" applyProtection="1">
      <alignment vertical="center"/>
      <protection locked="0"/>
    </xf>
    <xf numFmtId="180" fontId="8" fillId="4" borderId="30" xfId="0" applyNumberFormat="1" applyFont="1" applyFill="1" applyBorder="1" applyAlignment="1" applyProtection="1">
      <alignment vertical="center"/>
      <protection hidden="1"/>
    </xf>
    <xf numFmtId="169" fontId="7" fillId="4" borderId="6" xfId="0" applyNumberFormat="1" applyFont="1" applyFill="1" applyBorder="1" applyAlignment="1" applyProtection="1">
      <alignment vertical="center"/>
      <protection hidden="1"/>
    </xf>
    <xf numFmtId="178" fontId="7" fillId="0" borderId="55" xfId="0" applyNumberFormat="1" applyFont="1" applyFill="1" applyBorder="1" applyAlignment="1" applyProtection="1">
      <alignment vertical="center"/>
      <protection locked="0"/>
    </xf>
    <xf numFmtId="169" fontId="7" fillId="4" borderId="27" xfId="0" applyNumberFormat="1" applyFont="1" applyFill="1" applyBorder="1" applyAlignment="1" applyProtection="1">
      <alignment vertical="center"/>
      <protection hidden="1"/>
    </xf>
    <xf numFmtId="178" fontId="7" fillId="0" borderId="122" xfId="0" applyNumberFormat="1" applyFont="1" applyFill="1" applyBorder="1" applyAlignment="1" applyProtection="1">
      <alignment vertical="center"/>
      <protection locked="0"/>
    </xf>
    <xf numFmtId="180" fontId="8" fillId="4" borderId="122" xfId="0" applyNumberFormat="1" applyFont="1" applyFill="1" applyBorder="1" applyAlignment="1" applyProtection="1">
      <alignment vertical="center"/>
      <protection hidden="1"/>
    </xf>
    <xf numFmtId="169" fontId="7" fillId="4" borderId="110" xfId="0" applyNumberFormat="1" applyFont="1" applyFill="1" applyBorder="1" applyAlignment="1" applyProtection="1">
      <alignment vertical="center"/>
      <protection hidden="1"/>
    </xf>
    <xf numFmtId="189" fontId="10" fillId="0" borderId="7" xfId="14" applyNumberFormat="1" applyFont="1" applyBorder="1" applyProtection="1">
      <protection locked="0" hidden="1"/>
    </xf>
    <xf numFmtId="175" fontId="11" fillId="0" borderId="7" xfId="12" applyNumberFormat="1" applyFont="1" applyFill="1" applyBorder="1" applyAlignment="1" applyProtection="1">
      <alignment vertical="center"/>
      <protection locked="0" hidden="1"/>
    </xf>
    <xf numFmtId="0" fontId="10" fillId="0" borderId="7" xfId="12" applyFont="1" applyFill="1" applyBorder="1" applyProtection="1">
      <protection locked="0" hidden="1"/>
    </xf>
    <xf numFmtId="0" fontId="10" fillId="0" borderId="7" xfId="14" applyFont="1" applyBorder="1" applyProtection="1">
      <protection locked="0" hidden="1"/>
    </xf>
    <xf numFmtId="189" fontId="10" fillId="0" borderId="7" xfId="12" applyNumberFormat="1" applyFont="1" applyFill="1" applyBorder="1" applyProtection="1">
      <protection locked="0" hidden="1"/>
    </xf>
    <xf numFmtId="175" fontId="10" fillId="0" borderId="7" xfId="12" applyNumberFormat="1" applyFont="1" applyFill="1" applyBorder="1" applyAlignment="1" applyProtection="1">
      <alignment vertical="center"/>
      <protection locked="0" hidden="1"/>
    </xf>
    <xf numFmtId="0" fontId="10" fillId="0" borderId="0" xfId="14" applyNumberFormat="1" applyFont="1" applyAlignment="1" applyProtection="1">
      <protection hidden="1"/>
    </xf>
    <xf numFmtId="174" fontId="10" fillId="0" borderId="8" xfId="14" applyNumberFormat="1" applyFont="1" applyBorder="1" applyAlignment="1" applyProtection="1">
      <protection hidden="1"/>
    </xf>
    <xf numFmtId="174" fontId="10" fillId="0" borderId="16" xfId="14" applyNumberFormat="1" applyFont="1" applyBorder="1" applyAlignment="1" applyProtection="1">
      <alignment vertical="center"/>
      <protection hidden="1"/>
    </xf>
    <xf numFmtId="188" fontId="11" fillId="0" borderId="62" xfId="14" quotePrefix="1" applyNumberFormat="1" applyFont="1" applyBorder="1" applyAlignment="1" applyProtection="1">
      <alignment horizontal="center" vertical="center"/>
      <protection hidden="1"/>
    </xf>
    <xf numFmtId="175" fontId="7" fillId="0" borderId="113" xfId="12" applyNumberFormat="1" applyFont="1" applyFill="1" applyBorder="1" applyProtection="1">
      <protection hidden="1"/>
    </xf>
    <xf numFmtId="175" fontId="7" fillId="0" borderId="9" xfId="11" applyNumberFormat="1" applyFont="1" applyFill="1" applyBorder="1" applyAlignment="1" applyProtection="1">
      <protection hidden="1"/>
    </xf>
    <xf numFmtId="175" fontId="7" fillId="0" borderId="9" xfId="12" applyNumberFormat="1" applyFont="1" applyFill="1" applyBorder="1" applyProtection="1">
      <protection hidden="1"/>
    </xf>
    <xf numFmtId="175" fontId="7" fillId="0" borderId="9" xfId="12" applyNumberFormat="1" applyFont="1" applyFill="1" applyBorder="1" applyAlignment="1" applyProtection="1">
      <protection hidden="1"/>
    </xf>
    <xf numFmtId="175" fontId="11" fillId="0" borderId="14" xfId="14" applyNumberFormat="1" applyFont="1" applyBorder="1" applyAlignment="1" applyProtection="1">
      <alignment vertical="center"/>
      <protection hidden="1"/>
    </xf>
    <xf numFmtId="175" fontId="8" fillId="0" borderId="6" xfId="5" applyNumberFormat="1" applyFont="1" applyFill="1" applyBorder="1" applyAlignment="1" applyProtection="1">
      <alignment horizontal="center" vertical="top" wrapText="1"/>
      <protection hidden="1"/>
    </xf>
    <xf numFmtId="0" fontId="11" fillId="0" borderId="7" xfId="14" applyFont="1" applyBorder="1" applyAlignment="1" applyProtection="1">
      <alignment horizontal="center" vertical="top" wrapText="1"/>
      <protection hidden="1"/>
    </xf>
    <xf numFmtId="0" fontId="8" fillId="0" borderId="7" xfId="0" applyFont="1" applyBorder="1" applyAlignment="1">
      <alignment horizontal="center" vertical="top" wrapText="1"/>
    </xf>
    <xf numFmtId="0" fontId="8" fillId="0" borderId="0" xfId="12" applyFont="1" applyBorder="1" applyAlignment="1">
      <alignment vertical="top" wrapText="1"/>
    </xf>
    <xf numFmtId="0" fontId="7" fillId="0" borderId="0" xfId="12" applyFont="1" applyBorder="1"/>
    <xf numFmtId="0" fontId="7" fillId="0" borderId="0" xfId="12" applyFont="1" applyBorder="1" applyAlignment="1"/>
    <xf numFmtId="175" fontId="7" fillId="0" borderId="111" xfId="12" applyNumberFormat="1" applyFont="1" applyFill="1" applyBorder="1" applyAlignment="1" applyProtection="1">
      <protection hidden="1"/>
    </xf>
    <xf numFmtId="175" fontId="11" fillId="0" borderId="11" xfId="14" applyNumberFormat="1" applyFont="1" applyBorder="1" applyProtection="1">
      <protection hidden="1"/>
    </xf>
    <xf numFmtId="184" fontId="11" fillId="0" borderId="11" xfId="14" applyNumberFormat="1" applyFont="1" applyBorder="1" applyProtection="1">
      <protection hidden="1"/>
    </xf>
    <xf numFmtId="184" fontId="11" fillId="0" borderId="17" xfId="14" applyNumberFormat="1" applyFont="1" applyBorder="1" applyAlignment="1" applyProtection="1">
      <alignment vertical="center"/>
      <protection hidden="1"/>
    </xf>
    <xf numFmtId="174" fontId="10" fillId="0" borderId="94" xfId="12" applyNumberFormat="1" applyFont="1" applyFill="1" applyBorder="1" applyProtection="1">
      <protection hidden="1"/>
    </xf>
    <xf numFmtId="174" fontId="10" fillId="0" borderId="7" xfId="12" applyNumberFormat="1" applyFont="1" applyFill="1" applyBorder="1" applyProtection="1">
      <protection hidden="1"/>
    </xf>
    <xf numFmtId="174" fontId="10" fillId="0" borderId="7" xfId="14" applyNumberFormat="1" applyFont="1" applyBorder="1" applyProtection="1">
      <protection hidden="1"/>
    </xf>
    <xf numFmtId="174" fontId="10" fillId="0" borderId="0" xfId="12" applyNumberFormat="1" applyFont="1" applyFill="1" applyBorder="1" applyProtection="1">
      <protection hidden="1"/>
    </xf>
    <xf numFmtId="174" fontId="10" fillId="0" borderId="96" xfId="12" applyNumberFormat="1" applyFont="1" applyFill="1" applyBorder="1" applyProtection="1">
      <protection hidden="1"/>
    </xf>
    <xf numFmtId="174" fontId="10" fillId="0" borderId="8" xfId="14" applyNumberFormat="1" applyFont="1" applyBorder="1" applyProtection="1">
      <protection hidden="1"/>
    </xf>
    <xf numFmtId="174" fontId="11" fillId="0" borderId="72" xfId="14" applyNumberFormat="1" applyFont="1" applyBorder="1" applyAlignment="1" applyProtection="1">
      <alignment vertical="center"/>
      <protection hidden="1"/>
    </xf>
    <xf numFmtId="174" fontId="11" fillId="0" borderId="13" xfId="14" applyNumberFormat="1" applyFont="1" applyBorder="1" applyAlignment="1" applyProtection="1">
      <alignment vertical="center"/>
      <protection hidden="1"/>
    </xf>
    <xf numFmtId="174" fontId="11" fillId="0" borderId="16" xfId="12" applyNumberFormat="1" applyFont="1" applyFill="1" applyBorder="1" applyAlignment="1" applyProtection="1">
      <alignment vertical="center"/>
      <protection hidden="1"/>
    </xf>
    <xf numFmtId="190" fontId="10" fillId="0" borderId="58" xfId="12" applyNumberFormat="1" applyFont="1" applyFill="1" applyBorder="1" applyAlignment="1" applyProtection="1">
      <protection hidden="1"/>
    </xf>
    <xf numFmtId="190" fontId="10" fillId="0" borderId="58" xfId="12" applyNumberFormat="1" applyFont="1" applyBorder="1" applyAlignment="1" applyProtection="1">
      <protection hidden="1"/>
    </xf>
    <xf numFmtId="190" fontId="10" fillId="0" borderId="58" xfId="14" applyNumberFormat="1" applyFont="1" applyBorder="1" applyAlignment="1" applyProtection="1">
      <protection hidden="1"/>
    </xf>
    <xf numFmtId="190" fontId="10" fillId="0" borderId="0" xfId="14" applyNumberFormat="1" applyFont="1" applyBorder="1" applyProtection="1">
      <protection hidden="1"/>
    </xf>
    <xf numFmtId="175" fontId="7" fillId="0" borderId="105" xfId="11" applyNumberFormat="1" applyFont="1" applyFill="1" applyBorder="1" applyAlignment="1"/>
    <xf numFmtId="175" fontId="7" fillId="0" borderId="6" xfId="11" applyNumberFormat="1" applyFont="1" applyFill="1" applyBorder="1" applyAlignment="1"/>
    <xf numFmtId="0" fontId="8" fillId="3" borderId="11" xfId="9" applyFont="1" applyFill="1" applyBorder="1" applyAlignment="1" applyProtection="1">
      <alignment horizontal="center" vertical="top" wrapText="1"/>
      <protection hidden="1"/>
    </xf>
    <xf numFmtId="170" fontId="7" fillId="13" borderId="106" xfId="0" applyNumberFormat="1" applyFont="1" applyFill="1" applyBorder="1" applyAlignment="1" applyProtection="1">
      <alignment vertical="center"/>
      <protection hidden="1"/>
    </xf>
    <xf numFmtId="167" fontId="7" fillId="13" borderId="40" xfId="0" applyNumberFormat="1" applyFont="1" applyFill="1" applyBorder="1" applyAlignment="1" applyProtection="1">
      <alignment vertical="center"/>
      <protection hidden="1"/>
    </xf>
    <xf numFmtId="170" fontId="7" fillId="13" borderId="104" xfId="0" applyNumberFormat="1" applyFont="1" applyFill="1" applyBorder="1" applyAlignment="1" applyProtection="1">
      <alignment vertical="center"/>
      <protection hidden="1"/>
    </xf>
    <xf numFmtId="181" fontId="8" fillId="8" borderId="94" xfId="0" applyNumberFormat="1" applyFont="1" applyFill="1" applyBorder="1" applyAlignment="1" applyProtection="1">
      <alignment vertical="center"/>
      <protection hidden="1"/>
    </xf>
    <xf numFmtId="0" fontId="8" fillId="9" borderId="10" xfId="0" applyFont="1" applyFill="1" applyBorder="1" applyAlignment="1" applyProtection="1">
      <alignment horizontal="center" vertical="top" wrapText="1"/>
      <protection hidden="1"/>
    </xf>
    <xf numFmtId="0" fontId="8" fillId="9" borderId="11" xfId="0" applyFont="1" applyFill="1" applyBorder="1" applyAlignment="1" applyProtection="1">
      <alignment horizontal="center" vertical="top" wrapText="1"/>
      <protection hidden="1"/>
    </xf>
    <xf numFmtId="0" fontId="7" fillId="4" borderId="39" xfId="12" applyFont="1" applyFill="1" applyBorder="1" applyAlignment="1" applyProtection="1">
      <alignment horizontal="left" vertical="center" indent="1"/>
      <protection hidden="1"/>
    </xf>
    <xf numFmtId="0" fontId="8" fillId="4" borderId="123" xfId="0" applyFont="1" applyFill="1" applyBorder="1" applyAlignment="1" applyProtection="1">
      <alignment horizontal="right"/>
      <protection hidden="1"/>
    </xf>
    <xf numFmtId="0" fontId="7" fillId="4" borderId="123" xfId="0" applyFont="1" applyFill="1" applyBorder="1" applyProtection="1">
      <protection hidden="1"/>
    </xf>
    <xf numFmtId="0" fontId="8" fillId="4" borderId="111" xfId="0" applyFont="1" applyFill="1" applyBorder="1" applyAlignment="1" applyProtection="1">
      <alignment horizontal="center" vertical="top" wrapText="1"/>
      <protection hidden="1"/>
    </xf>
    <xf numFmtId="0" fontId="7" fillId="10" borderId="0" xfId="9" applyFont="1" applyFill="1" applyBorder="1" applyProtection="1">
      <protection hidden="1"/>
    </xf>
    <xf numFmtId="172" fontId="8" fillId="2" borderId="103" xfId="0" applyNumberFormat="1" applyFont="1" applyFill="1" applyBorder="1" applyAlignment="1" applyProtection="1">
      <alignment horizontal="center" vertical="top"/>
      <protection hidden="1"/>
    </xf>
    <xf numFmtId="180" fontId="7" fillId="0" borderId="106" xfId="9" applyNumberFormat="1" applyFont="1" applyFill="1" applyBorder="1" applyAlignment="1" applyProtection="1">
      <alignment vertical="center"/>
      <protection locked="0"/>
    </xf>
    <xf numFmtId="180" fontId="8" fillId="9" borderId="106" xfId="9" applyNumberFormat="1" applyFont="1" applyFill="1" applyBorder="1" applyAlignment="1" applyProtection="1">
      <alignment vertical="center"/>
      <protection hidden="1"/>
    </xf>
    <xf numFmtId="0" fontId="7" fillId="9" borderId="106" xfId="9" applyNumberFormat="1" applyFont="1" applyFill="1" applyBorder="1" applyAlignment="1" applyProtection="1">
      <protection hidden="1"/>
    </xf>
    <xf numFmtId="180" fontId="7" fillId="0" borderId="114" xfId="9" applyNumberFormat="1" applyFont="1" applyFill="1" applyBorder="1" applyAlignment="1" applyProtection="1">
      <alignment vertical="center"/>
      <protection locked="0"/>
    </xf>
    <xf numFmtId="180" fontId="8" fillId="9" borderId="114" xfId="9" applyNumberFormat="1" applyFont="1" applyFill="1" applyBorder="1" applyAlignment="1" applyProtection="1">
      <alignment vertical="center"/>
      <protection hidden="1"/>
    </xf>
    <xf numFmtId="0" fontId="8" fillId="3" borderId="26" xfId="9" applyFont="1" applyFill="1" applyBorder="1" applyAlignment="1" applyProtection="1">
      <alignment horizontal="center" vertical="top" wrapText="1"/>
      <protection hidden="1"/>
    </xf>
    <xf numFmtId="180" fontId="7" fillId="0" borderId="107" xfId="9" applyNumberFormat="1" applyFont="1" applyFill="1" applyBorder="1" applyAlignment="1" applyProtection="1">
      <alignment vertical="center"/>
      <protection locked="0"/>
    </xf>
    <xf numFmtId="180" fontId="8" fillId="9" borderId="107" xfId="9" applyNumberFormat="1" applyFont="1" applyFill="1" applyBorder="1" applyAlignment="1" applyProtection="1">
      <alignment vertical="center"/>
      <protection hidden="1"/>
    </xf>
    <xf numFmtId="0" fontId="7" fillId="9" borderId="0" xfId="9" applyFont="1" applyFill="1" applyBorder="1" applyAlignment="1" applyProtection="1">
      <protection hidden="1"/>
    </xf>
    <xf numFmtId="180" fontId="7" fillId="0" borderId="122" xfId="9" applyNumberFormat="1" applyFont="1" applyFill="1" applyBorder="1" applyAlignment="1" applyProtection="1">
      <alignment vertical="center"/>
      <protection locked="0"/>
    </xf>
    <xf numFmtId="180" fontId="7" fillId="0" borderId="37" xfId="9" applyNumberFormat="1" applyFont="1" applyFill="1" applyBorder="1" applyAlignment="1" applyProtection="1">
      <alignment vertical="center"/>
      <protection locked="0"/>
    </xf>
    <xf numFmtId="180" fontId="8" fillId="9" borderId="122" xfId="9" applyNumberFormat="1" applyFont="1" applyFill="1" applyBorder="1" applyAlignment="1" applyProtection="1">
      <alignment vertical="center"/>
      <protection hidden="1"/>
    </xf>
    <xf numFmtId="180" fontId="7" fillId="0" borderId="12" xfId="9" applyNumberFormat="1" applyFont="1" applyFill="1" applyBorder="1" applyAlignment="1" applyProtection="1">
      <alignment vertical="center"/>
      <protection locked="0"/>
    </xf>
    <xf numFmtId="0" fontId="7" fillId="3" borderId="10" xfId="0" applyFont="1" applyFill="1" applyBorder="1" applyAlignment="1" applyProtection="1">
      <protection hidden="1"/>
    </xf>
    <xf numFmtId="0" fontId="7" fillId="3" borderId="94" xfId="0" applyFont="1" applyFill="1" applyBorder="1" applyProtection="1">
      <protection hidden="1"/>
    </xf>
    <xf numFmtId="0" fontId="8" fillId="3" borderId="10" xfId="0" applyFont="1" applyFill="1" applyBorder="1" applyAlignment="1" applyProtection="1">
      <alignment horizontal="center" vertical="center"/>
      <protection hidden="1"/>
    </xf>
    <xf numFmtId="178" fontId="7" fillId="0" borderId="111" xfId="0" applyNumberFormat="1" applyFont="1" applyFill="1" applyBorder="1" applyAlignment="1" applyProtection="1">
      <alignment vertical="center"/>
      <protection locked="0"/>
    </xf>
    <xf numFmtId="170" fontId="7" fillId="2" borderId="111" xfId="0" applyNumberFormat="1" applyFont="1" applyFill="1" applyBorder="1" applyAlignment="1" applyProtection="1">
      <alignment vertical="center"/>
      <protection hidden="1"/>
    </xf>
    <xf numFmtId="0" fontId="8" fillId="3" borderId="8" xfId="0" applyFont="1" applyFill="1" applyBorder="1" applyAlignment="1" applyProtection="1">
      <alignment horizontal="center" vertical="center" wrapText="1"/>
      <protection hidden="1"/>
    </xf>
    <xf numFmtId="0" fontId="8" fillId="4" borderId="124" xfId="0" applyFont="1" applyFill="1" applyBorder="1" applyAlignment="1" applyProtection="1">
      <alignment horizontal="right"/>
      <protection hidden="1"/>
    </xf>
    <xf numFmtId="0" fontId="8" fillId="4" borderId="96" xfId="0" applyFont="1" applyFill="1" applyBorder="1" applyAlignment="1" applyProtection="1">
      <alignment horizontal="center" vertical="center" wrapText="1"/>
      <protection hidden="1"/>
    </xf>
    <xf numFmtId="188" fontId="8" fillId="4" borderId="14" xfId="0" quotePrefix="1" applyNumberFormat="1" applyFont="1" applyFill="1" applyBorder="1" applyAlignment="1" applyProtection="1">
      <alignment horizontal="center" vertical="center" wrapText="1"/>
      <protection hidden="1"/>
    </xf>
    <xf numFmtId="185" fontId="7" fillId="0" borderId="96" xfId="0" applyNumberFormat="1" applyFont="1" applyFill="1" applyBorder="1" applyAlignment="1" applyProtection="1">
      <alignment vertical="center"/>
      <protection locked="0"/>
    </xf>
    <xf numFmtId="182" fontId="7" fillId="9" borderId="47" xfId="0" applyNumberFormat="1" applyFont="1" applyFill="1" applyBorder="1" applyAlignment="1" applyProtection="1">
      <alignment vertical="center"/>
      <protection hidden="1"/>
    </xf>
    <xf numFmtId="185" fontId="7" fillId="0" borderId="40" xfId="0" applyNumberFormat="1" applyFont="1" applyFill="1" applyBorder="1" applyAlignment="1" applyProtection="1">
      <alignment vertical="center"/>
      <protection locked="0"/>
    </xf>
    <xf numFmtId="179" fontId="8" fillId="4" borderId="14" xfId="0" applyNumberFormat="1" applyFont="1" applyFill="1" applyBorder="1" applyAlignment="1" applyProtection="1">
      <alignment vertical="center"/>
      <protection hidden="1"/>
    </xf>
    <xf numFmtId="0" fontId="8" fillId="4" borderId="114" xfId="0" applyFont="1" applyFill="1" applyBorder="1" applyAlignment="1" applyProtection="1">
      <alignment horizontal="right"/>
      <protection hidden="1"/>
    </xf>
    <xf numFmtId="0" fontId="7" fillId="4" borderId="94" xfId="0" applyFont="1" applyFill="1" applyBorder="1" applyAlignment="1" applyProtection="1">
      <alignment vertical="top"/>
      <protection hidden="1"/>
    </xf>
    <xf numFmtId="0" fontId="7" fillId="4" borderId="94" xfId="0" applyFont="1" applyFill="1" applyBorder="1" applyAlignment="1" applyProtection="1">
      <alignment horizontal="right"/>
      <protection hidden="1"/>
    </xf>
    <xf numFmtId="0" fontId="8" fillId="4" borderId="94" xfId="0" applyFont="1" applyFill="1" applyBorder="1" applyAlignment="1" applyProtection="1">
      <alignment horizontal="center" vertical="center" wrapText="1"/>
      <protection hidden="1"/>
    </xf>
    <xf numFmtId="188" fontId="8" fillId="4" borderId="94" xfId="0" quotePrefix="1" applyNumberFormat="1" applyFont="1" applyFill="1" applyBorder="1" applyAlignment="1" applyProtection="1">
      <alignment horizontal="center" vertical="center" wrapText="1"/>
      <protection hidden="1"/>
    </xf>
    <xf numFmtId="182" fontId="7" fillId="9" borderId="94" xfId="0" applyNumberFormat="1" applyFont="1" applyFill="1" applyBorder="1" applyAlignment="1" applyProtection="1">
      <alignment vertical="center"/>
      <protection hidden="1"/>
    </xf>
    <xf numFmtId="179" fontId="8" fillId="4" borderId="94" xfId="0" applyNumberFormat="1" applyFont="1" applyFill="1" applyBorder="1" applyAlignment="1" applyProtection="1">
      <alignment vertical="center"/>
      <protection hidden="1"/>
    </xf>
    <xf numFmtId="0" fontId="8" fillId="4" borderId="47" xfId="0" applyFont="1" applyFill="1" applyBorder="1" applyAlignment="1" applyProtection="1">
      <alignment horizontal="center" vertical="top" wrapText="1"/>
      <protection hidden="1"/>
    </xf>
    <xf numFmtId="0" fontId="8" fillId="4" borderId="23" xfId="0" applyFont="1" applyFill="1" applyBorder="1" applyAlignment="1" applyProtection="1">
      <alignment horizontal="center" vertical="top"/>
      <protection hidden="1"/>
    </xf>
    <xf numFmtId="188" fontId="8" fillId="4" borderId="17" xfId="0" quotePrefix="1" applyNumberFormat="1" applyFont="1" applyFill="1" applyBorder="1" applyAlignment="1" applyProtection="1">
      <alignment horizontal="center" vertical="center" wrapText="1"/>
      <protection hidden="1"/>
    </xf>
    <xf numFmtId="182" fontId="7" fillId="9" borderId="23" xfId="0" applyNumberFormat="1" applyFont="1" applyFill="1" applyBorder="1" applyAlignment="1" applyProtection="1">
      <alignment vertical="center"/>
      <protection hidden="1"/>
    </xf>
    <xf numFmtId="179" fontId="8" fillId="4" borderId="17" xfId="0" applyNumberFormat="1" applyFont="1" applyFill="1" applyBorder="1" applyAlignment="1" applyProtection="1">
      <alignment vertical="center"/>
      <protection hidden="1"/>
    </xf>
    <xf numFmtId="0" fontId="8" fillId="4" borderId="22" xfId="0" applyFont="1" applyFill="1" applyBorder="1" applyAlignment="1" applyProtection="1">
      <alignment horizontal="center" vertical="top" wrapText="1"/>
      <protection hidden="1"/>
    </xf>
    <xf numFmtId="188" fontId="8" fillId="4" borderId="13" xfId="0" quotePrefix="1" applyNumberFormat="1" applyFont="1" applyFill="1" applyBorder="1" applyAlignment="1" applyProtection="1">
      <alignment horizontal="center" vertical="center" wrapText="1"/>
      <protection hidden="1"/>
    </xf>
    <xf numFmtId="185" fontId="7" fillId="0" borderId="7" xfId="0" applyNumberFormat="1" applyFont="1" applyFill="1" applyBorder="1" applyAlignment="1" applyProtection="1">
      <alignment vertical="center"/>
      <protection locked="0"/>
    </xf>
    <xf numFmtId="182" fontId="7" fillId="9" borderId="22" xfId="0" applyNumberFormat="1" applyFont="1" applyFill="1" applyBorder="1" applyAlignment="1" applyProtection="1">
      <alignment vertical="center"/>
      <protection hidden="1"/>
    </xf>
    <xf numFmtId="185" fontId="7" fillId="0" borderId="31" xfId="0" applyNumberFormat="1" applyFont="1" applyFill="1" applyBorder="1" applyAlignment="1" applyProtection="1">
      <alignment vertical="center"/>
      <protection locked="0"/>
    </xf>
    <xf numFmtId="179" fontId="8" fillId="4" borderId="13" xfId="0" applyNumberFormat="1" applyFont="1" applyFill="1" applyBorder="1" applyAlignment="1" applyProtection="1">
      <alignment vertical="center"/>
      <protection hidden="1"/>
    </xf>
    <xf numFmtId="185" fontId="7" fillId="9" borderId="94" xfId="0" applyNumberFormat="1" applyFont="1" applyFill="1" applyBorder="1" applyAlignment="1" applyProtection="1">
      <alignment vertical="center"/>
      <protection hidden="1"/>
    </xf>
    <xf numFmtId="179" fontId="8" fillId="9" borderId="11" xfId="0" applyNumberFormat="1" applyFont="1" applyFill="1" applyBorder="1" applyAlignment="1" applyProtection="1">
      <alignment vertical="center"/>
      <protection hidden="1"/>
    </xf>
    <xf numFmtId="179" fontId="8" fillId="9" borderId="122" xfId="0" applyNumberFormat="1" applyFont="1" applyFill="1" applyBorder="1" applyAlignment="1" applyProtection="1">
      <alignment vertical="center"/>
      <protection hidden="1"/>
    </xf>
    <xf numFmtId="169" fontId="7" fillId="9" borderId="0" xfId="0" applyNumberFormat="1" applyFont="1" applyFill="1" applyBorder="1" applyAlignment="1" applyProtection="1">
      <protection hidden="1"/>
    </xf>
    <xf numFmtId="0" fontId="7" fillId="9" borderId="0" xfId="0" applyFont="1" applyFill="1" applyBorder="1" applyAlignment="1" applyProtection="1">
      <alignment wrapText="1"/>
      <protection hidden="1"/>
    </xf>
    <xf numFmtId="0" fontId="8" fillId="9" borderId="55" xfId="0" applyFont="1" applyFill="1" applyBorder="1" applyAlignment="1" applyProtection="1">
      <alignment horizontal="left" vertical="center" indent="1"/>
      <protection hidden="1"/>
    </xf>
    <xf numFmtId="0" fontId="7" fillId="9" borderId="21" xfId="0" applyFont="1" applyFill="1" applyBorder="1" applyProtection="1">
      <protection hidden="1"/>
    </xf>
    <xf numFmtId="0" fontId="8" fillId="9" borderId="25" xfId="0" applyFont="1" applyFill="1" applyBorder="1" applyAlignment="1" applyProtection="1">
      <alignment horizontal="center" vertical="top" wrapText="1"/>
      <protection hidden="1"/>
    </xf>
    <xf numFmtId="169" fontId="8" fillId="9" borderId="41" xfId="0" applyNumberFormat="1" applyFont="1" applyFill="1" applyBorder="1" applyAlignment="1" applyProtection="1">
      <alignment horizontal="center" vertical="top"/>
      <protection hidden="1"/>
    </xf>
    <xf numFmtId="0" fontId="7" fillId="9" borderId="16" xfId="0" applyFont="1" applyFill="1" applyBorder="1" applyProtection="1">
      <protection hidden="1"/>
    </xf>
    <xf numFmtId="169" fontId="8" fillId="9" borderId="94" xfId="0" applyNumberFormat="1" applyFont="1" applyFill="1" applyBorder="1" applyAlignment="1" applyProtection="1">
      <alignment horizontal="center" vertical="center"/>
      <protection hidden="1"/>
    </xf>
    <xf numFmtId="0" fontId="8" fillId="9" borderId="8" xfId="0" applyFont="1" applyFill="1" applyBorder="1" applyAlignment="1" applyProtection="1">
      <alignment horizontal="center" vertical="center" wrapText="1"/>
      <protection hidden="1"/>
    </xf>
    <xf numFmtId="0" fontId="7" fillId="9" borderId="34" xfId="0" applyFont="1" applyFill="1" applyBorder="1" applyProtection="1">
      <protection hidden="1"/>
    </xf>
    <xf numFmtId="0" fontId="7" fillId="9" borderId="13" xfId="0" applyFont="1" applyFill="1" applyBorder="1" applyProtection="1">
      <protection hidden="1"/>
    </xf>
    <xf numFmtId="0" fontId="7" fillId="9" borderId="15" xfId="0" applyFont="1" applyFill="1" applyBorder="1" applyProtection="1">
      <protection hidden="1"/>
    </xf>
    <xf numFmtId="0" fontId="8" fillId="9" borderId="82" xfId="0" applyFont="1" applyFill="1" applyBorder="1" applyAlignment="1" applyProtection="1">
      <alignment horizontal="left" vertical="center" indent="1"/>
      <protection hidden="1"/>
    </xf>
    <xf numFmtId="0" fontId="7" fillId="9" borderId="78" xfId="0" applyFont="1" applyFill="1" applyBorder="1" applyAlignment="1" applyProtection="1">
      <alignment horizontal="center" vertical="center"/>
      <protection hidden="1"/>
    </xf>
    <xf numFmtId="0" fontId="7" fillId="9" borderId="79" xfId="0" applyFont="1" applyFill="1" applyBorder="1" applyAlignment="1" applyProtection="1">
      <alignment horizontal="center" vertical="center"/>
      <protection hidden="1"/>
    </xf>
    <xf numFmtId="180" fontId="7" fillId="9" borderId="76" xfId="0" applyNumberFormat="1" applyFont="1" applyFill="1" applyBorder="1" applyAlignment="1" applyProtection="1">
      <alignment vertical="center"/>
      <protection hidden="1"/>
    </xf>
    <xf numFmtId="186" fontId="7" fillId="9" borderId="78" xfId="0" applyNumberFormat="1" applyFont="1" applyFill="1" applyBorder="1" applyAlignment="1" applyProtection="1">
      <alignment vertical="center"/>
      <protection hidden="1"/>
    </xf>
    <xf numFmtId="183" fontId="7" fillId="9" borderId="79" xfId="0" applyNumberFormat="1" applyFont="1" applyFill="1" applyBorder="1" applyAlignment="1" applyProtection="1">
      <alignment horizontal="center" vertical="center"/>
      <protection hidden="1"/>
    </xf>
    <xf numFmtId="0" fontId="7" fillId="9" borderId="49" xfId="0" applyFont="1" applyFill="1" applyBorder="1" applyAlignment="1" applyProtection="1">
      <alignment horizontal="center" vertical="center"/>
      <protection hidden="1"/>
    </xf>
    <xf numFmtId="0" fontId="7" fillId="9" borderId="51" xfId="0" applyFont="1" applyFill="1" applyBorder="1" applyAlignment="1" applyProtection="1">
      <alignment horizontal="center" vertical="center"/>
      <protection hidden="1"/>
    </xf>
    <xf numFmtId="180" fontId="7" fillId="9" borderId="126" xfId="0" applyNumberFormat="1" applyFont="1" applyFill="1" applyBorder="1" applyAlignment="1" applyProtection="1">
      <alignment vertical="center"/>
      <protection hidden="1"/>
    </xf>
    <xf numFmtId="183" fontId="7" fillId="9" borderId="51" xfId="0" applyNumberFormat="1" applyFont="1" applyFill="1" applyBorder="1" applyAlignment="1" applyProtection="1">
      <alignment horizontal="center" vertical="center"/>
      <protection hidden="1"/>
    </xf>
    <xf numFmtId="169" fontId="7" fillId="3" borderId="94" xfId="0" applyNumberFormat="1" applyFont="1" applyFill="1" applyBorder="1" applyProtection="1">
      <protection hidden="1"/>
    </xf>
    <xf numFmtId="0" fontId="8" fillId="9" borderId="94" xfId="0" applyFont="1" applyFill="1" applyBorder="1" applyAlignment="1" applyProtection="1">
      <alignment vertical="top" wrapText="1"/>
      <protection hidden="1"/>
    </xf>
    <xf numFmtId="0" fontId="8" fillId="3" borderId="114" xfId="0" applyFont="1" applyFill="1" applyBorder="1" applyAlignment="1" applyProtection="1">
      <alignment horizontal="center" vertical="center"/>
      <protection hidden="1"/>
    </xf>
    <xf numFmtId="178" fontId="7" fillId="0" borderId="104" xfId="0" applyNumberFormat="1" applyFont="1" applyFill="1" applyBorder="1" applyAlignment="1" applyProtection="1">
      <alignment vertical="center"/>
      <protection locked="0"/>
    </xf>
    <xf numFmtId="178" fontId="7" fillId="0" borderId="125" xfId="0" applyNumberFormat="1" applyFont="1" applyFill="1" applyBorder="1" applyAlignment="1" applyProtection="1">
      <alignment vertical="center"/>
      <protection locked="0"/>
    </xf>
    <xf numFmtId="180" fontId="8" fillId="2" borderId="104" xfId="0" applyNumberFormat="1" applyFont="1" applyFill="1" applyBorder="1" applyAlignment="1" applyProtection="1">
      <alignment vertical="center"/>
      <protection hidden="1"/>
    </xf>
    <xf numFmtId="169" fontId="7" fillId="3" borderId="125" xfId="0" applyNumberFormat="1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/>
      <protection hidden="1"/>
    </xf>
    <xf numFmtId="188" fontId="8" fillId="3" borderId="18" xfId="0" quotePrefix="1" applyNumberFormat="1" applyFont="1" applyFill="1" applyBorder="1" applyAlignment="1" applyProtection="1">
      <alignment horizontal="center" vertical="center"/>
      <protection hidden="1"/>
    </xf>
    <xf numFmtId="0" fontId="8" fillId="3" borderId="26" xfId="0" applyFont="1" applyFill="1" applyBorder="1" applyAlignment="1" applyProtection="1">
      <alignment horizontal="center" vertical="top"/>
      <protection hidden="1"/>
    </xf>
    <xf numFmtId="0" fontId="7" fillId="3" borderId="12" xfId="0" applyFont="1" applyFill="1" applyBorder="1" applyProtection="1">
      <protection hidden="1"/>
    </xf>
    <xf numFmtId="178" fontId="7" fillId="0" borderId="107" xfId="0" applyNumberFormat="1" applyFont="1" applyFill="1" applyBorder="1" applyAlignment="1" applyProtection="1">
      <alignment vertical="center"/>
      <protection locked="0"/>
    </xf>
    <xf numFmtId="180" fontId="8" fillId="2" borderId="43" xfId="0" applyNumberFormat="1" applyFont="1" applyFill="1" applyBorder="1" applyAlignment="1" applyProtection="1">
      <alignment vertical="center"/>
      <protection hidden="1"/>
    </xf>
    <xf numFmtId="169" fontId="7" fillId="3" borderId="12" xfId="0" applyNumberFormat="1" applyFont="1" applyFill="1" applyBorder="1" applyAlignment="1" applyProtection="1">
      <alignment horizontal="center" vertical="center"/>
      <protection hidden="1"/>
    </xf>
    <xf numFmtId="170" fontId="7" fillId="2" borderId="12" xfId="0" applyNumberFormat="1" applyFont="1" applyFill="1" applyBorder="1" applyAlignment="1" applyProtection="1">
      <alignment vertical="center"/>
      <protection hidden="1"/>
    </xf>
    <xf numFmtId="170" fontId="7" fillId="2" borderId="107" xfId="0" applyNumberFormat="1" applyFont="1" applyFill="1" applyBorder="1" applyAlignment="1" applyProtection="1">
      <alignment vertical="center"/>
      <protection hidden="1"/>
    </xf>
    <xf numFmtId="180" fontId="8" fillId="2" borderId="87" xfId="0" applyNumberFormat="1" applyFont="1" applyFill="1" applyBorder="1" applyAlignment="1" applyProtection="1">
      <alignment vertical="center"/>
      <protection hidden="1"/>
    </xf>
    <xf numFmtId="170" fontId="7" fillId="9" borderId="26" xfId="0" applyNumberFormat="1" applyFont="1" applyFill="1" applyBorder="1" applyAlignment="1" applyProtection="1">
      <alignment horizontal="left" vertical="center"/>
      <protection hidden="1"/>
    </xf>
    <xf numFmtId="180" fontId="8" fillId="2" borderId="18" xfId="0" applyNumberFormat="1" applyFont="1" applyFill="1" applyBorder="1" applyAlignment="1" applyProtection="1">
      <alignment vertical="center"/>
      <protection hidden="1"/>
    </xf>
    <xf numFmtId="180" fontId="8" fillId="9" borderId="59" xfId="0" applyNumberFormat="1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protection hidden="1"/>
    </xf>
    <xf numFmtId="169" fontId="7" fillId="3" borderId="11" xfId="0" applyNumberFormat="1" applyFont="1" applyFill="1" applyBorder="1" applyProtection="1">
      <protection hidden="1"/>
    </xf>
    <xf numFmtId="0" fontId="8" fillId="9" borderId="11" xfId="0" applyFont="1" applyFill="1" applyBorder="1" applyAlignment="1" applyProtection="1">
      <alignment vertical="top" wrapText="1"/>
      <protection hidden="1"/>
    </xf>
    <xf numFmtId="0" fontId="7" fillId="10" borderId="0" xfId="0" applyFont="1" applyFill="1" applyBorder="1" applyAlignment="1" applyProtection="1">
      <alignment vertical="top"/>
      <protection hidden="1"/>
    </xf>
    <xf numFmtId="0" fontId="7" fillId="9" borderId="113" xfId="0" applyFont="1" applyFill="1" applyBorder="1" applyProtection="1">
      <protection hidden="1"/>
    </xf>
    <xf numFmtId="0" fontId="8" fillId="5" borderId="125" xfId="0" applyNumberFormat="1" applyFont="1" applyFill="1" applyBorder="1" applyAlignment="1" applyProtection="1">
      <protection hidden="1"/>
    </xf>
    <xf numFmtId="0" fontId="7" fillId="3" borderId="125" xfId="0" applyFont="1" applyFill="1" applyBorder="1" applyAlignment="1" applyProtection="1">
      <alignment vertical="center"/>
      <protection hidden="1"/>
    </xf>
    <xf numFmtId="0" fontId="8" fillId="3" borderId="125" xfId="0" applyFont="1" applyFill="1" applyBorder="1" applyAlignment="1" applyProtection="1">
      <alignment vertical="center"/>
      <protection hidden="1"/>
    </xf>
    <xf numFmtId="0" fontId="8" fillId="3" borderId="125" xfId="0" applyFont="1" applyFill="1" applyBorder="1" applyAlignment="1" applyProtection="1">
      <alignment horizontal="right" vertical="center" indent="1"/>
      <protection hidden="1"/>
    </xf>
    <xf numFmtId="0" fontId="8" fillId="3" borderId="114" xfId="0" applyFont="1" applyFill="1" applyBorder="1" applyAlignment="1" applyProtection="1">
      <alignment horizontal="right" vertical="center" indent="1"/>
      <protection hidden="1"/>
    </xf>
    <xf numFmtId="0" fontId="7" fillId="3" borderId="94" xfId="0" applyFont="1" applyFill="1" applyBorder="1" applyAlignment="1" applyProtection="1">
      <alignment horizontal="left" vertical="center"/>
      <protection hidden="1"/>
    </xf>
    <xf numFmtId="0" fontId="7" fillId="3" borderId="94" xfId="0" applyFont="1" applyFill="1" applyBorder="1" applyAlignment="1" applyProtection="1">
      <alignment vertical="top"/>
      <protection hidden="1"/>
    </xf>
    <xf numFmtId="0" fontId="8" fillId="3" borderId="111" xfId="0" applyFont="1" applyFill="1" applyBorder="1" applyAlignment="1" applyProtection="1">
      <alignment horizontal="center" vertical="center"/>
      <protection hidden="1"/>
    </xf>
    <xf numFmtId="0" fontId="8" fillId="3" borderId="112" xfId="0" applyFont="1" applyFill="1" applyBorder="1" applyAlignment="1" applyProtection="1">
      <alignment horizontal="center" vertical="center"/>
      <protection hidden="1"/>
    </xf>
    <xf numFmtId="180" fontId="17" fillId="2" borderId="122" xfId="0" applyNumberFormat="1" applyFont="1" applyFill="1" applyBorder="1" applyAlignment="1" applyProtection="1">
      <alignment vertical="center"/>
      <protection hidden="1"/>
    </xf>
    <xf numFmtId="180" fontId="17" fillId="2" borderId="110" xfId="0" applyNumberFormat="1" applyFont="1" applyFill="1" applyBorder="1" applyAlignment="1" applyProtection="1">
      <alignment vertical="center"/>
      <protection hidden="1"/>
    </xf>
    <xf numFmtId="169" fontId="7" fillId="3" borderId="111" xfId="0" applyNumberFormat="1" applyFont="1" applyFill="1" applyBorder="1" applyAlignment="1" applyProtection="1">
      <alignment horizontal="center" vertical="center"/>
      <protection hidden="1"/>
    </xf>
    <xf numFmtId="170" fontId="7" fillId="2" borderId="110" xfId="0" applyNumberFormat="1" applyFont="1" applyFill="1" applyBorder="1" applyAlignment="1" applyProtection="1">
      <alignment vertical="center"/>
      <protection hidden="1"/>
    </xf>
    <xf numFmtId="169" fontId="7" fillId="3" borderId="6" xfId="0" applyNumberFormat="1" applyFont="1" applyFill="1" applyBorder="1" applyProtection="1">
      <protection hidden="1"/>
    </xf>
    <xf numFmtId="0" fontId="7" fillId="3" borderId="94" xfId="0" applyFont="1" applyFill="1" applyBorder="1" applyAlignment="1" applyProtection="1">
      <alignment horizontal="centerContinuous" vertical="center"/>
      <protection hidden="1"/>
    </xf>
    <xf numFmtId="180" fontId="8" fillId="9" borderId="104" xfId="0" applyNumberFormat="1" applyFont="1" applyFill="1" applyBorder="1" applyAlignment="1" applyProtection="1">
      <alignment vertical="center"/>
      <protection hidden="1"/>
    </xf>
    <xf numFmtId="180" fontId="8" fillId="9" borderId="31" xfId="0" applyNumberFormat="1" applyFont="1" applyFill="1" applyBorder="1" applyAlignment="1" applyProtection="1">
      <alignment vertical="center"/>
      <protection hidden="1"/>
    </xf>
    <xf numFmtId="180" fontId="8" fillId="9" borderId="125" xfId="0" applyNumberFormat="1" applyFont="1" applyFill="1" applyBorder="1" applyAlignment="1" applyProtection="1">
      <alignment vertical="center"/>
      <protection hidden="1"/>
    </xf>
    <xf numFmtId="180" fontId="8" fillId="9" borderId="111" xfId="0" applyNumberFormat="1" applyFont="1" applyFill="1" applyBorder="1" applyAlignment="1" applyProtection="1">
      <alignment vertical="center"/>
      <protection hidden="1"/>
    </xf>
    <xf numFmtId="0" fontId="8" fillId="2" borderId="37" xfId="0" applyFont="1" applyFill="1" applyBorder="1" applyAlignment="1" applyProtection="1">
      <alignment horizontal="center" vertical="center" wrapText="1"/>
      <protection hidden="1"/>
    </xf>
    <xf numFmtId="0" fontId="29" fillId="18" borderId="0" xfId="0" applyFont="1" applyFill="1" applyAlignment="1"/>
    <xf numFmtId="0" fontId="29" fillId="18" borderId="0" xfId="0" applyFont="1" applyFill="1"/>
    <xf numFmtId="0" fontId="7" fillId="3" borderId="21" xfId="0" applyFont="1" applyFill="1" applyBorder="1" applyProtection="1">
      <protection hidden="1"/>
    </xf>
    <xf numFmtId="0" fontId="7" fillId="3" borderId="36" xfId="0" applyFont="1" applyFill="1" applyBorder="1" applyProtection="1">
      <protection hidden="1"/>
    </xf>
    <xf numFmtId="0" fontId="8" fillId="10" borderId="10" xfId="0" applyFont="1" applyFill="1" applyBorder="1" applyAlignment="1" applyProtection="1">
      <alignment horizontal="left" vertical="center" indent="2"/>
      <protection hidden="1"/>
    </xf>
    <xf numFmtId="0" fontId="8" fillId="9" borderId="108" xfId="0" applyFont="1" applyFill="1" applyBorder="1" applyAlignment="1" applyProtection="1">
      <alignment horizontal="left" vertical="center" indent="1"/>
      <protection hidden="1"/>
    </xf>
    <xf numFmtId="0" fontId="7" fillId="9" borderId="110" xfId="0" applyFont="1" applyFill="1" applyBorder="1" applyProtection="1">
      <protection hidden="1"/>
    </xf>
    <xf numFmtId="169" fontId="8" fillId="3" borderId="22" xfId="0" applyNumberFormat="1" applyFont="1" applyFill="1" applyBorder="1" applyAlignment="1" applyProtection="1">
      <alignment horizontal="center" vertical="top"/>
      <protection hidden="1"/>
    </xf>
    <xf numFmtId="169" fontId="8" fillId="3" borderId="28" xfId="0" applyNumberFormat="1" applyFont="1" applyFill="1" applyBorder="1" applyAlignment="1" applyProtection="1">
      <alignment horizontal="center" vertical="center"/>
      <protection hidden="1"/>
    </xf>
    <xf numFmtId="0" fontId="8" fillId="10" borderId="34" xfId="0" applyFont="1" applyFill="1" applyBorder="1" applyAlignment="1" applyProtection="1">
      <alignment horizontal="left" vertical="center" indent="2"/>
      <protection hidden="1"/>
    </xf>
    <xf numFmtId="183" fontId="7" fillId="3" borderId="11" xfId="0" applyNumberFormat="1" applyFont="1" applyFill="1" applyBorder="1" applyAlignment="1" applyProtection="1">
      <alignment horizontal="center" vertical="center"/>
      <protection hidden="1"/>
    </xf>
    <xf numFmtId="0" fontId="7" fillId="9" borderId="111" xfId="0" applyFont="1" applyFill="1" applyBorder="1" applyProtection="1">
      <protection hidden="1"/>
    </xf>
    <xf numFmtId="180" fontId="7" fillId="3" borderId="7" xfId="0" applyNumberFormat="1" applyFont="1" applyFill="1" applyBorder="1" applyAlignment="1" applyProtection="1">
      <alignment vertical="center"/>
      <protection hidden="1"/>
    </xf>
    <xf numFmtId="186" fontId="7" fillId="3" borderId="7" xfId="0" applyNumberFormat="1" applyFont="1" applyFill="1" applyBorder="1" applyAlignment="1" applyProtection="1">
      <alignment vertical="center"/>
      <protection hidden="1"/>
    </xf>
    <xf numFmtId="169" fontId="7" fillId="3" borderId="111" xfId="0" applyNumberFormat="1" applyFont="1" applyFill="1" applyBorder="1" applyProtection="1">
      <protection hidden="1"/>
    </xf>
    <xf numFmtId="169" fontId="7" fillId="3" borderId="110" xfId="0" applyNumberFormat="1" applyFont="1" applyFill="1" applyBorder="1" applyProtection="1">
      <protection hidden="1"/>
    </xf>
    <xf numFmtId="0" fontId="7" fillId="3" borderId="11" xfId="0" applyFont="1" applyFill="1" applyBorder="1" applyAlignment="1" applyProtection="1">
      <alignment horizontal="center" vertical="center"/>
      <protection hidden="1"/>
    </xf>
    <xf numFmtId="180" fontId="7" fillId="3" borderId="13" xfId="0" applyNumberFormat="1" applyFont="1" applyFill="1" applyBorder="1" applyAlignment="1" applyProtection="1">
      <alignment vertical="center"/>
      <protection hidden="1"/>
    </xf>
    <xf numFmtId="186" fontId="7" fillId="3" borderId="13" xfId="0" applyNumberFormat="1" applyFont="1" applyFill="1" applyBorder="1" applyAlignment="1" applyProtection="1">
      <alignment vertical="center"/>
      <protection hidden="1"/>
    </xf>
    <xf numFmtId="169" fontId="7" fillId="3" borderId="17" xfId="0" applyNumberFormat="1" applyFont="1" applyFill="1" applyBorder="1" applyAlignment="1" applyProtection="1">
      <alignment horizontal="center" vertical="center"/>
      <protection hidden="1"/>
    </xf>
    <xf numFmtId="0" fontId="8" fillId="2" borderId="23" xfId="0" applyFont="1" applyFill="1" applyBorder="1" applyAlignment="1" applyProtection="1">
      <alignment horizontal="center" vertical="top"/>
      <protection hidden="1"/>
    </xf>
    <xf numFmtId="0" fontId="11" fillId="0" borderId="105" xfId="14" applyFont="1" applyBorder="1" applyAlignment="1" applyProtection="1">
      <alignment horizontal="center" vertical="top" wrapText="1"/>
      <protection hidden="1"/>
    </xf>
    <xf numFmtId="172" fontId="11" fillId="0" borderId="7" xfId="14" applyNumberFormat="1" applyFont="1" applyFill="1" applyBorder="1" applyAlignment="1" applyProtection="1">
      <alignment horizontal="center" vertical="center"/>
      <protection hidden="1"/>
    </xf>
    <xf numFmtId="3" fontId="11" fillId="0" borderId="7" xfId="14" applyNumberFormat="1" applyFont="1" applyFill="1" applyBorder="1" applyAlignment="1" applyProtection="1">
      <alignment horizontal="center" vertical="center"/>
      <protection hidden="1"/>
    </xf>
    <xf numFmtId="3" fontId="11" fillId="0" borderId="94" xfId="14" applyNumberFormat="1" applyFont="1" applyFill="1" applyBorder="1" applyAlignment="1" applyProtection="1">
      <alignment horizontal="center" vertical="center"/>
      <protection hidden="1"/>
    </xf>
    <xf numFmtId="3" fontId="11" fillId="0" borderId="11" xfId="14" applyNumberFormat="1" applyFont="1" applyFill="1" applyBorder="1" applyAlignment="1" applyProtection="1">
      <alignment horizontal="center" vertical="center"/>
      <protection hidden="1"/>
    </xf>
    <xf numFmtId="0" fontId="11" fillId="0" borderId="112" xfId="14" applyFont="1" applyFill="1" applyBorder="1" applyAlignment="1" applyProtection="1">
      <alignment horizontal="center" vertical="center"/>
      <protection hidden="1"/>
    </xf>
    <xf numFmtId="0" fontId="11" fillId="0" borderId="111" xfId="14" applyFont="1" applyBorder="1" applyAlignment="1" applyProtection="1">
      <alignment horizontal="left" vertical="top" indent="1"/>
      <protection hidden="1"/>
    </xf>
    <xf numFmtId="0" fontId="11" fillId="0" borderId="101" xfId="14" applyNumberFormat="1" applyFont="1" applyFill="1" applyBorder="1" applyAlignment="1" applyProtection="1">
      <alignment horizontal="center" vertical="center" wrapText="1"/>
      <protection hidden="1"/>
    </xf>
    <xf numFmtId="0" fontId="11" fillId="0" borderId="117" xfId="14" applyNumberFormat="1" applyFont="1" applyFill="1" applyBorder="1" applyAlignment="1" applyProtection="1">
      <alignment horizontal="center" vertical="center" wrapText="1"/>
      <protection hidden="1"/>
    </xf>
    <xf numFmtId="0" fontId="11" fillId="0" borderId="36" xfId="14" applyFont="1" applyBorder="1" applyAlignment="1" applyProtection="1">
      <alignment horizontal="center" vertical="top" wrapText="1"/>
      <protection hidden="1"/>
    </xf>
    <xf numFmtId="0" fontId="11" fillId="0" borderId="102" xfId="14" applyFont="1" applyBorder="1" applyAlignment="1" applyProtection="1">
      <alignment horizontal="left" vertical="top" indent="1"/>
      <protection hidden="1"/>
    </xf>
    <xf numFmtId="0" fontId="11" fillId="0" borderId="103" xfId="14" applyNumberFormat="1" applyFont="1" applyFill="1" applyBorder="1" applyAlignment="1" applyProtection="1">
      <alignment horizontal="center" vertical="center" wrapText="1"/>
      <protection hidden="1"/>
    </xf>
    <xf numFmtId="0" fontId="11" fillId="0" borderId="62" xfId="14" applyNumberFormat="1" applyFont="1" applyFill="1" applyBorder="1" applyAlignment="1" applyProtection="1">
      <alignment horizontal="center" vertical="center" wrapText="1"/>
      <protection hidden="1"/>
    </xf>
    <xf numFmtId="0" fontId="11" fillId="0" borderId="29" xfId="14" applyFont="1" applyFill="1" applyBorder="1" applyAlignment="1" applyProtection="1">
      <alignment horizontal="center" vertical="center"/>
      <protection hidden="1"/>
    </xf>
    <xf numFmtId="172" fontId="11" fillId="0" borderId="28" xfId="14" applyNumberFormat="1" applyFont="1" applyFill="1" applyBorder="1" applyAlignment="1" applyProtection="1">
      <alignment horizontal="center" vertical="top"/>
      <protection hidden="1"/>
    </xf>
    <xf numFmtId="172" fontId="11" fillId="0" borderId="28" xfId="14" applyNumberFormat="1" applyFont="1" applyFill="1" applyBorder="1" applyAlignment="1" applyProtection="1">
      <alignment horizontal="center" vertical="top" wrapText="1"/>
      <protection hidden="1"/>
    </xf>
    <xf numFmtId="3" fontId="11" fillId="0" borderId="28" xfId="14" applyNumberFormat="1" applyFont="1" applyFill="1" applyBorder="1" applyAlignment="1" applyProtection="1">
      <alignment horizontal="center" vertical="top"/>
      <protection hidden="1"/>
    </xf>
    <xf numFmtId="3" fontId="11" fillId="0" borderId="28" xfId="14" applyNumberFormat="1" applyFont="1" applyFill="1" applyBorder="1" applyAlignment="1" applyProtection="1">
      <alignment horizontal="center" vertical="top" wrapText="1"/>
      <protection hidden="1"/>
    </xf>
    <xf numFmtId="3" fontId="11" fillId="0" borderId="103" xfId="14" applyNumberFormat="1" applyFont="1" applyFill="1" applyBorder="1" applyAlignment="1" applyProtection="1">
      <alignment horizontal="center" vertical="top"/>
      <protection hidden="1"/>
    </xf>
    <xf numFmtId="3" fontId="11" fillId="0" borderId="29" xfId="14" applyNumberFormat="1" applyFont="1" applyFill="1" applyBorder="1" applyAlignment="1" applyProtection="1">
      <alignment horizontal="center" vertical="top"/>
      <protection hidden="1"/>
    </xf>
    <xf numFmtId="0" fontId="8" fillId="9" borderId="12" xfId="5" applyFont="1" applyFill="1" applyBorder="1" applyAlignment="1" applyProtection="1">
      <alignment horizontal="left" vertical="center" indent="1"/>
      <protection hidden="1"/>
    </xf>
    <xf numFmtId="178" fontId="7" fillId="5" borderId="127" xfId="0" applyNumberFormat="1" applyFont="1" applyFill="1" applyBorder="1" applyAlignment="1" applyProtection="1">
      <alignment vertical="center"/>
      <protection hidden="1"/>
    </xf>
    <xf numFmtId="0" fontId="8" fillId="9" borderId="87" xfId="5" applyFont="1" applyFill="1" applyBorder="1" applyAlignment="1" applyProtection="1">
      <alignment horizontal="left" vertical="center" indent="1"/>
      <protection hidden="1"/>
    </xf>
    <xf numFmtId="178" fontId="7" fillId="5" borderId="128" xfId="0" applyNumberFormat="1" applyFont="1" applyFill="1" applyBorder="1" applyAlignment="1" applyProtection="1">
      <alignment vertical="center"/>
      <protection hidden="1"/>
    </xf>
    <xf numFmtId="0" fontId="7" fillId="9" borderId="0" xfId="12" applyFont="1" applyFill="1" applyProtection="1">
      <protection hidden="1"/>
    </xf>
    <xf numFmtId="0" fontId="7" fillId="18" borderId="0" xfId="12" applyFont="1" applyFill="1" applyProtection="1">
      <protection hidden="1"/>
    </xf>
    <xf numFmtId="0" fontId="7" fillId="9" borderId="113" xfId="12" applyFont="1" applyFill="1" applyBorder="1" applyAlignment="1" applyProtection="1">
      <alignment vertical="center"/>
      <protection hidden="1"/>
    </xf>
    <xf numFmtId="0" fontId="8" fillId="9" borderId="129" xfId="12" applyNumberFormat="1" applyFont="1" applyFill="1" applyBorder="1" applyAlignment="1" applyProtection="1">
      <protection hidden="1"/>
    </xf>
    <xf numFmtId="0" fontId="8" fillId="9" borderId="129" xfId="12" applyFont="1" applyFill="1" applyBorder="1" applyAlignment="1" applyProtection="1">
      <alignment horizontal="center" vertical="center" wrapText="1"/>
      <protection hidden="1"/>
    </xf>
    <xf numFmtId="0" fontId="8" fillId="9" borderId="114" xfId="12" applyFont="1" applyFill="1" applyBorder="1" applyAlignment="1" applyProtection="1">
      <alignment horizontal="center" vertical="center" wrapText="1"/>
      <protection hidden="1"/>
    </xf>
    <xf numFmtId="0" fontId="7" fillId="18" borderId="0" xfId="12" applyFont="1" applyFill="1" applyAlignment="1" applyProtection="1">
      <alignment vertical="center"/>
      <protection hidden="1"/>
    </xf>
    <xf numFmtId="0" fontId="7" fillId="9" borderId="130" xfId="12" applyFont="1" applyFill="1" applyBorder="1" applyAlignment="1" applyProtection="1">
      <alignment vertical="center"/>
      <protection hidden="1"/>
    </xf>
    <xf numFmtId="0" fontId="8" fillId="10" borderId="0" xfId="12" applyFont="1" applyFill="1" applyBorder="1" applyAlignment="1" applyProtection="1">
      <alignment horizontal="left"/>
      <protection hidden="1"/>
    </xf>
    <xf numFmtId="0" fontId="8" fillId="9" borderId="0" xfId="12" applyFont="1" applyFill="1" applyBorder="1" applyAlignment="1" applyProtection="1">
      <alignment horizontal="center" vertical="center" wrapText="1"/>
      <protection hidden="1"/>
    </xf>
    <xf numFmtId="0" fontId="8" fillId="9" borderId="94" xfId="12" applyFont="1" applyFill="1" applyBorder="1" applyAlignment="1" applyProtection="1">
      <alignment horizontal="center" vertical="center" wrapText="1"/>
      <protection hidden="1"/>
    </xf>
    <xf numFmtId="0" fontId="7" fillId="9" borderId="130" xfId="12" applyFont="1" applyFill="1" applyBorder="1" applyProtection="1">
      <protection hidden="1"/>
    </xf>
    <xf numFmtId="0" fontId="8" fillId="10" borderId="0" xfId="12" applyFont="1" applyFill="1" applyBorder="1" applyAlignment="1" applyProtection="1">
      <alignment horizontal="left" vertical="center"/>
      <protection hidden="1"/>
    </xf>
    <xf numFmtId="0" fontId="7" fillId="9" borderId="0" xfId="12" applyNumberFormat="1" applyFont="1" applyFill="1" applyBorder="1" applyAlignment="1" applyProtection="1">
      <alignment vertical="center"/>
      <protection hidden="1"/>
    </xf>
    <xf numFmtId="0" fontId="15" fillId="9" borderId="94" xfId="12" applyNumberFormat="1" applyFont="1" applyFill="1" applyBorder="1" applyAlignment="1" applyProtection="1">
      <alignment horizontal="center" vertical="center"/>
      <protection hidden="1"/>
    </xf>
    <xf numFmtId="0" fontId="7" fillId="9" borderId="0" xfId="12" applyFont="1" applyFill="1" applyBorder="1" applyProtection="1">
      <protection hidden="1"/>
    </xf>
    <xf numFmtId="0" fontId="7" fillId="9" borderId="94" xfId="12" applyFont="1" applyFill="1" applyBorder="1" applyProtection="1">
      <protection hidden="1"/>
    </xf>
    <xf numFmtId="0" fontId="8" fillId="9" borderId="24" xfId="12" applyFont="1" applyFill="1" applyBorder="1" applyAlignment="1" applyProtection="1">
      <alignment horizontal="left" vertical="center" indent="1"/>
      <protection hidden="1"/>
    </xf>
    <xf numFmtId="0" fontId="8" fillId="9" borderId="22" xfId="12" applyFont="1" applyFill="1" applyBorder="1" applyAlignment="1" applyProtection="1">
      <alignment horizontal="left" vertical="center" indent="1"/>
      <protection hidden="1"/>
    </xf>
    <xf numFmtId="0" fontId="8" fillId="9" borderId="25" xfId="12" applyFont="1" applyFill="1" applyBorder="1" applyAlignment="1" applyProtection="1">
      <alignment horizontal="center" vertical="top" wrapText="1"/>
      <protection hidden="1"/>
    </xf>
    <xf numFmtId="0" fontId="8" fillId="9" borderId="23" xfId="12" applyFont="1" applyFill="1" applyBorder="1" applyAlignment="1" applyProtection="1">
      <alignment horizontal="center" vertical="top" wrapText="1"/>
      <protection hidden="1"/>
    </xf>
    <xf numFmtId="0" fontId="8" fillId="9" borderId="6" xfId="12" applyFont="1" applyFill="1" applyBorder="1" applyAlignment="1" applyProtection="1">
      <alignment horizontal="left" vertical="center" indent="1"/>
      <protection hidden="1"/>
    </xf>
    <xf numFmtId="0" fontId="8" fillId="9" borderId="7" xfId="12" applyFont="1" applyFill="1" applyBorder="1" applyAlignment="1" applyProtection="1">
      <alignment horizontal="left" vertical="center" indent="1"/>
      <protection hidden="1"/>
    </xf>
    <xf numFmtId="0" fontId="8" fillId="9" borderId="8" xfId="12" applyFont="1" applyFill="1" applyBorder="1" applyAlignment="1" applyProtection="1">
      <alignment horizontal="center" vertical="center"/>
      <protection hidden="1"/>
    </xf>
    <xf numFmtId="0" fontId="8" fillId="9" borderId="11" xfId="12" applyFont="1" applyFill="1" applyBorder="1" applyAlignment="1" applyProtection="1">
      <alignment horizontal="center" vertical="center"/>
      <protection hidden="1"/>
    </xf>
    <xf numFmtId="0" fontId="7" fillId="9" borderId="15" xfId="12" applyFont="1" applyFill="1" applyBorder="1" applyProtection="1">
      <protection hidden="1"/>
    </xf>
    <xf numFmtId="0" fontId="7" fillId="9" borderId="13" xfId="12" applyFont="1" applyFill="1" applyBorder="1" applyProtection="1">
      <protection hidden="1"/>
    </xf>
    <xf numFmtId="0" fontId="7" fillId="9" borderId="16" xfId="12" applyFont="1" applyFill="1" applyBorder="1" applyProtection="1">
      <protection hidden="1"/>
    </xf>
    <xf numFmtId="188" fontId="8" fillId="9" borderId="17" xfId="12" applyNumberFormat="1" applyFont="1" applyFill="1" applyBorder="1" applyAlignment="1" applyProtection="1">
      <alignment horizontal="center" vertical="center"/>
      <protection hidden="1"/>
    </xf>
    <xf numFmtId="184" fontId="8" fillId="9" borderId="8" xfId="12" applyNumberFormat="1" applyFont="1" applyFill="1" applyBorder="1" applyAlignment="1" applyProtection="1">
      <alignment vertical="center"/>
      <protection hidden="1"/>
    </xf>
    <xf numFmtId="180" fontId="7" fillId="0" borderId="11" xfId="12" applyNumberFormat="1" applyFont="1" applyFill="1" applyBorder="1" applyAlignment="1" applyProtection="1">
      <alignment vertical="center"/>
      <protection locked="0"/>
    </xf>
    <xf numFmtId="0" fontId="8" fillId="9" borderId="30" xfId="12" applyFont="1" applyFill="1" applyBorder="1" applyAlignment="1" applyProtection="1">
      <alignment horizontal="left" vertical="center" indent="1"/>
      <protection hidden="1"/>
    </xf>
    <xf numFmtId="0" fontId="8" fillId="9" borderId="31" xfId="12" applyFont="1" applyFill="1" applyBorder="1" applyAlignment="1" applyProtection="1">
      <alignment horizontal="left" vertical="center" indent="1"/>
      <protection hidden="1"/>
    </xf>
    <xf numFmtId="184" fontId="8" fillId="9" borderId="33" xfId="12" applyNumberFormat="1" applyFont="1" applyFill="1" applyBorder="1" applyAlignment="1" applyProtection="1">
      <alignment vertical="center"/>
      <protection hidden="1"/>
    </xf>
    <xf numFmtId="180" fontId="7" fillId="0" borderId="122" xfId="12" applyNumberFormat="1" applyFont="1" applyFill="1" applyBorder="1" applyAlignment="1" applyProtection="1">
      <alignment vertical="center"/>
      <protection locked="0"/>
    </xf>
    <xf numFmtId="0" fontId="8" fillId="9" borderId="15" xfId="12" applyFont="1" applyFill="1" applyBorder="1" applyAlignment="1" applyProtection="1">
      <alignment horizontal="left" vertical="center" indent="1"/>
      <protection hidden="1"/>
    </xf>
    <xf numFmtId="0" fontId="8" fillId="9" borderId="13" xfId="12" applyFont="1" applyFill="1" applyBorder="1" applyAlignment="1" applyProtection="1">
      <alignment horizontal="left" vertical="center" indent="1"/>
      <protection hidden="1"/>
    </xf>
    <xf numFmtId="184" fontId="8" fillId="9" borderId="16" xfId="12" applyNumberFormat="1" applyFont="1" applyFill="1" applyBorder="1" applyAlignment="1" applyProtection="1">
      <alignment vertical="center"/>
      <protection hidden="1"/>
    </xf>
    <xf numFmtId="180" fontId="7" fillId="0" borderId="17" xfId="12" applyNumberFormat="1" applyFont="1" applyFill="1" applyBorder="1" applyAlignment="1" applyProtection="1">
      <alignment vertical="center"/>
      <protection locked="0"/>
    </xf>
    <xf numFmtId="0" fontId="8" fillId="9" borderId="46" xfId="12" applyFont="1" applyFill="1" applyBorder="1" applyAlignment="1" applyProtection="1">
      <alignment horizontal="left" vertical="center" indent="1"/>
      <protection hidden="1"/>
    </xf>
    <xf numFmtId="0" fontId="7" fillId="9" borderId="80" xfId="12" applyFont="1" applyFill="1" applyBorder="1" applyAlignment="1" applyProtection="1">
      <alignment horizontal="left" vertical="center" indent="1"/>
      <protection hidden="1"/>
    </xf>
    <xf numFmtId="184" fontId="7" fillId="9" borderId="81" xfId="12" applyNumberFormat="1" applyFont="1" applyFill="1" applyBorder="1" applyAlignment="1" applyProtection="1">
      <alignment vertical="center"/>
      <protection hidden="1"/>
    </xf>
    <xf numFmtId="180" fontId="8" fillId="9" borderId="81" xfId="12" applyNumberFormat="1" applyFont="1" applyFill="1" applyBorder="1" applyAlignment="1" applyProtection="1">
      <alignment vertical="center"/>
      <protection hidden="1"/>
    </xf>
    <xf numFmtId="0" fontId="7" fillId="9" borderId="0" xfId="12" applyFont="1" applyFill="1" applyBorder="1" applyAlignment="1" applyProtection="1">
      <protection hidden="1"/>
    </xf>
    <xf numFmtId="0" fontId="7" fillId="9" borderId="62" xfId="12" applyFont="1" applyFill="1" applyBorder="1" applyProtection="1">
      <protection hidden="1"/>
    </xf>
    <xf numFmtId="0" fontId="7" fillId="9" borderId="102" xfId="12" applyFont="1" applyFill="1" applyBorder="1" applyProtection="1">
      <protection hidden="1"/>
    </xf>
    <xf numFmtId="0" fontId="7" fillId="9" borderId="103" xfId="12" applyFont="1" applyFill="1" applyBorder="1" applyProtection="1">
      <protection hidden="1"/>
    </xf>
    <xf numFmtId="0" fontId="8" fillId="5" borderId="129" xfId="0" applyFont="1" applyFill="1" applyBorder="1" applyAlignment="1" applyProtection="1">
      <alignment horizontal="center" vertical="center" wrapText="1"/>
      <protection hidden="1"/>
    </xf>
    <xf numFmtId="178" fontId="6" fillId="0" borderId="130" xfId="0" applyNumberFormat="1" applyFont="1" applyFill="1" applyBorder="1" applyAlignment="1" applyProtection="1">
      <alignment vertical="center"/>
      <protection locked="0"/>
    </xf>
    <xf numFmtId="178" fontId="6" fillId="0" borderId="40" xfId="0" applyNumberFormat="1" applyFont="1" applyFill="1" applyBorder="1" applyAlignment="1" applyProtection="1">
      <alignment vertical="center"/>
      <protection locked="0"/>
    </xf>
    <xf numFmtId="178" fontId="8" fillId="5" borderId="40" xfId="0" applyNumberFormat="1" applyFont="1" applyFill="1" applyBorder="1" applyAlignment="1" applyProtection="1">
      <alignment vertical="center"/>
      <protection hidden="1"/>
    </xf>
    <xf numFmtId="180" fontId="8" fillId="9" borderId="14" xfId="0" applyNumberFormat="1" applyFont="1" applyFill="1" applyBorder="1" applyAlignment="1" applyProtection="1">
      <alignment vertical="center"/>
      <protection hidden="1"/>
    </xf>
    <xf numFmtId="172" fontId="7" fillId="9" borderId="102" xfId="0" applyNumberFormat="1" applyFont="1" applyFill="1" applyBorder="1" applyProtection="1">
      <protection hidden="1"/>
    </xf>
    <xf numFmtId="0" fontId="7" fillId="9" borderId="130" xfId="0" applyFont="1" applyFill="1" applyBorder="1" applyProtection="1">
      <protection hidden="1"/>
    </xf>
    <xf numFmtId="172" fontId="8" fillId="5" borderId="111" xfId="0" applyNumberFormat="1" applyFont="1" applyFill="1" applyBorder="1" applyAlignment="1" applyProtection="1">
      <alignment horizontal="center" vertical="center"/>
      <protection hidden="1"/>
    </xf>
    <xf numFmtId="172" fontId="8" fillId="5" borderId="112" xfId="0" applyNumberFormat="1" applyFont="1" applyFill="1" applyBorder="1" applyAlignment="1" applyProtection="1">
      <alignment horizontal="center" vertical="center"/>
      <protection hidden="1"/>
    </xf>
    <xf numFmtId="0" fontId="7" fillId="9" borderId="0" xfId="12" applyFont="1" applyFill="1" applyAlignment="1" applyProtection="1">
      <alignment vertical="center"/>
      <protection hidden="1"/>
    </xf>
    <xf numFmtId="0" fontId="11" fillId="0" borderId="11" xfId="14" applyFont="1" applyBorder="1" applyAlignment="1" applyProtection="1">
      <alignment horizontal="center" vertical="top" wrapText="1"/>
      <protection hidden="1"/>
    </xf>
    <xf numFmtId="172" fontId="8" fillId="5" borderId="130" xfId="0" applyNumberFormat="1" applyFont="1" applyFill="1" applyBorder="1" applyAlignment="1" applyProtection="1">
      <alignment horizontal="center" vertical="center"/>
      <protection hidden="1"/>
    </xf>
    <xf numFmtId="172" fontId="8" fillId="5" borderId="114" xfId="0" applyNumberFormat="1" applyFont="1" applyFill="1" applyBorder="1" applyAlignment="1" applyProtection="1">
      <alignment horizontal="center" vertical="center"/>
      <protection hidden="1"/>
    </xf>
    <xf numFmtId="172" fontId="8" fillId="5" borderId="131" xfId="0" applyNumberFormat="1" applyFont="1" applyFill="1" applyBorder="1" applyAlignment="1" applyProtection="1">
      <alignment horizontal="center" vertical="center"/>
      <protection hidden="1"/>
    </xf>
    <xf numFmtId="178" fontId="6" fillId="0" borderId="0" xfId="0" applyNumberFormat="1" applyFont="1" applyFill="1" applyBorder="1" applyAlignment="1" applyProtection="1">
      <alignment vertical="center"/>
      <protection locked="0"/>
    </xf>
    <xf numFmtId="178" fontId="6" fillId="0" borderId="104" xfId="0" applyNumberFormat="1" applyFont="1" applyFill="1" applyBorder="1" applyAlignment="1" applyProtection="1">
      <alignment vertical="center"/>
      <protection locked="0"/>
    </xf>
    <xf numFmtId="178" fontId="6" fillId="0" borderId="43" xfId="0" applyNumberFormat="1" applyFont="1" applyFill="1" applyBorder="1" applyAlignment="1" applyProtection="1">
      <alignment vertical="center"/>
      <protection locked="0"/>
    </xf>
    <xf numFmtId="178" fontId="6" fillId="0" borderId="12" xfId="0" applyNumberFormat="1" applyFont="1" applyFill="1" applyBorder="1" applyAlignment="1" applyProtection="1">
      <alignment vertical="center"/>
      <protection locked="0"/>
    </xf>
    <xf numFmtId="178" fontId="6" fillId="0" borderId="18" xfId="0" applyNumberFormat="1" applyFont="1" applyFill="1" applyBorder="1" applyAlignment="1" applyProtection="1">
      <alignment vertical="center"/>
      <protection locked="0"/>
    </xf>
    <xf numFmtId="0" fontId="7" fillId="0" borderId="36" xfId="5" applyNumberFormat="1" applyFont="1" applyFill="1" applyBorder="1" applyAlignment="1" applyProtection="1">
      <alignment horizontal="left" vertical="center" wrapText="1" indent="1"/>
      <protection locked="0"/>
    </xf>
    <xf numFmtId="165" fontId="19" fillId="5" borderId="34" xfId="0" applyNumberFormat="1" applyFont="1" applyFill="1" applyBorder="1" applyAlignment="1" applyProtection="1">
      <protection hidden="1"/>
    </xf>
    <xf numFmtId="188" fontId="8" fillId="5" borderId="14" xfId="0" quotePrefix="1" applyNumberFormat="1" applyFont="1" applyFill="1" applyBorder="1" applyAlignment="1" applyProtection="1">
      <alignment horizontal="center" vertical="center"/>
      <protection hidden="1"/>
    </xf>
    <xf numFmtId="188" fontId="8" fillId="5" borderId="64" xfId="0" quotePrefix="1" applyNumberFormat="1" applyFont="1" applyFill="1" applyBorder="1" applyAlignment="1" applyProtection="1">
      <alignment horizontal="center" vertical="center"/>
      <protection hidden="1"/>
    </xf>
    <xf numFmtId="188" fontId="8" fillId="5" borderId="13" xfId="0" quotePrefix="1" applyNumberFormat="1" applyFont="1" applyFill="1" applyBorder="1" applyAlignment="1" applyProtection="1">
      <alignment horizontal="center" vertical="center"/>
      <protection hidden="1"/>
    </xf>
    <xf numFmtId="180" fontId="17" fillId="5" borderId="76" xfId="0" applyNumberFormat="1" applyFont="1" applyFill="1" applyBorder="1" applyAlignment="1" applyProtection="1">
      <alignment vertical="center"/>
      <protection hidden="1"/>
    </xf>
    <xf numFmtId="178" fontId="8" fillId="5" borderId="104" xfId="0" applyNumberFormat="1" applyFont="1" applyFill="1" applyBorder="1" applyAlignment="1" applyProtection="1">
      <alignment vertical="center"/>
      <protection hidden="1"/>
    </xf>
    <xf numFmtId="180" fontId="17" fillId="5" borderId="93" xfId="0" applyNumberFormat="1" applyFont="1" applyFill="1" applyBorder="1" applyAlignment="1" applyProtection="1">
      <alignment vertical="center"/>
      <protection hidden="1"/>
    </xf>
    <xf numFmtId="0" fontId="8" fillId="0" borderId="59" xfId="0" applyNumberFormat="1" applyFont="1" applyFill="1" applyBorder="1" applyAlignment="1" applyProtection="1">
      <alignment horizontal="left" vertical="center" indent="1"/>
      <protection hidden="1"/>
    </xf>
    <xf numFmtId="0" fontId="8" fillId="0" borderId="59" xfId="12" applyNumberFormat="1" applyFont="1" applyFill="1" applyBorder="1" applyAlignment="1" applyProtection="1">
      <alignment horizontal="left" vertical="center" indent="1"/>
      <protection hidden="1"/>
    </xf>
    <xf numFmtId="0" fontId="15" fillId="5" borderId="131" xfId="0" applyFont="1" applyFill="1" applyBorder="1" applyAlignment="1" applyProtection="1">
      <alignment horizontal="center" vertical="center"/>
      <protection hidden="1"/>
    </xf>
    <xf numFmtId="0" fontId="15" fillId="9" borderId="0" xfId="0" quotePrefix="1" applyFont="1" applyFill="1" applyBorder="1" applyAlignment="1" applyProtection="1">
      <alignment horizontal="center" vertical="center"/>
      <protection hidden="1"/>
    </xf>
    <xf numFmtId="0" fontId="14" fillId="5" borderId="0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vertical="center"/>
      <protection hidden="1"/>
    </xf>
    <xf numFmtId="0" fontId="11" fillId="0" borderId="111" xfId="14" applyFont="1" applyFill="1" applyBorder="1" applyAlignment="1" applyProtection="1">
      <alignment horizontal="center" vertical="top" wrapText="1"/>
      <protection hidden="1"/>
    </xf>
    <xf numFmtId="0" fontId="11" fillId="0" borderId="7" xfId="14" applyFont="1" applyFill="1" applyBorder="1" applyAlignment="1" applyProtection="1">
      <alignment horizontal="center" vertical="top" wrapText="1"/>
      <protection hidden="1"/>
    </xf>
    <xf numFmtId="0" fontId="10" fillId="0" borderId="0" xfId="10" applyFont="1" applyFill="1" applyBorder="1" applyAlignment="1" applyProtection="1">
      <protection hidden="1"/>
    </xf>
    <xf numFmtId="0" fontId="10" fillId="0" borderId="10" xfId="14" applyNumberFormat="1" applyFont="1" applyFill="1" applyBorder="1" applyAlignment="1" applyProtection="1">
      <protection hidden="1"/>
    </xf>
    <xf numFmtId="0" fontId="10" fillId="0" borderId="10" xfId="14" applyNumberFormat="1" applyFont="1" applyBorder="1" applyAlignment="1" applyProtection="1">
      <protection hidden="1"/>
    </xf>
    <xf numFmtId="175" fontId="8" fillId="0" borderId="24" xfId="5" applyNumberFormat="1" applyFont="1" applyFill="1" applyBorder="1" applyAlignment="1" applyProtection="1">
      <alignment horizontal="center" vertical="top" wrapText="1"/>
      <protection hidden="1"/>
    </xf>
    <xf numFmtId="175" fontId="7" fillId="0" borderId="6" xfId="5" applyNumberFormat="1" applyFont="1" applyFill="1" applyBorder="1" applyAlignment="1" applyProtection="1">
      <protection hidden="1"/>
    </xf>
    <xf numFmtId="0" fontId="8" fillId="0" borderId="6" xfId="5" applyNumberFormat="1" applyFont="1" applyFill="1" applyBorder="1" applyAlignment="1" applyProtection="1">
      <alignment horizontal="center" vertical="top" wrapText="1"/>
      <protection hidden="1"/>
    </xf>
    <xf numFmtId="0" fontId="11" fillId="0" borderId="11" xfId="14" applyFont="1" applyBorder="1" applyAlignment="1" applyProtection="1">
      <alignment horizontal="center" vertical="top"/>
      <protection hidden="1"/>
    </xf>
    <xf numFmtId="0" fontId="11" fillId="0" borderId="131" xfId="14" applyFont="1" applyBorder="1" applyAlignment="1" applyProtection="1">
      <alignment horizontal="center" vertical="center"/>
      <protection hidden="1"/>
    </xf>
    <xf numFmtId="184" fontId="10" fillId="0" borderId="131" xfId="12" applyNumberFormat="1" applyFont="1" applyFill="1" applyBorder="1" applyAlignment="1" applyProtection="1">
      <protection hidden="1"/>
    </xf>
    <xf numFmtId="0" fontId="10" fillId="0" borderId="131" xfId="12" applyFont="1" applyFill="1" applyBorder="1" applyAlignment="1" applyProtection="1">
      <alignment vertical="center"/>
      <protection hidden="1"/>
    </xf>
    <xf numFmtId="183" fontId="10" fillId="0" borderId="131" xfId="12" applyNumberFormat="1" applyFont="1" applyFill="1" applyBorder="1" applyAlignment="1" applyProtection="1">
      <alignment vertical="center"/>
      <protection hidden="1"/>
    </xf>
    <xf numFmtId="175" fontId="10" fillId="0" borderId="131" xfId="12" applyNumberFormat="1" applyFont="1" applyFill="1" applyBorder="1" applyAlignment="1" applyProtection="1">
      <alignment vertical="center"/>
      <protection hidden="1"/>
    </xf>
    <xf numFmtId="183" fontId="10" fillId="0" borderId="131" xfId="14" applyNumberFormat="1" applyFont="1" applyBorder="1" applyAlignment="1" applyProtection="1">
      <alignment vertical="center"/>
      <protection hidden="1"/>
    </xf>
    <xf numFmtId="0" fontId="10" fillId="0" borderId="0" xfId="14" applyNumberFormat="1" applyFont="1" applyBorder="1" applyAlignment="1" applyProtection="1">
      <protection hidden="1"/>
    </xf>
    <xf numFmtId="0" fontId="10" fillId="0" borderId="0" xfId="8" quotePrefix="1" applyNumberFormat="1" applyFont="1" applyBorder="1" applyAlignment="1" applyProtection="1">
      <protection hidden="1"/>
    </xf>
    <xf numFmtId="0" fontId="10" fillId="0" borderId="112" xfId="8" quotePrefix="1" applyNumberFormat="1" applyFont="1" applyBorder="1" applyAlignment="1" applyProtection="1">
      <protection hidden="1"/>
    </xf>
    <xf numFmtId="175" fontId="10" fillId="0" borderId="11" xfId="12" applyNumberFormat="1" applyFont="1" applyFill="1" applyBorder="1" applyAlignment="1" applyProtection="1">
      <alignment vertical="center"/>
      <protection hidden="1"/>
    </xf>
    <xf numFmtId="183" fontId="10" fillId="0" borderId="11" xfId="12" applyNumberFormat="1" applyFont="1" applyFill="1" applyBorder="1" applyAlignment="1" applyProtection="1">
      <alignment vertical="center"/>
      <protection hidden="1"/>
    </xf>
    <xf numFmtId="183" fontId="10" fillId="0" borderId="11" xfId="14" applyNumberFormat="1" applyFont="1" applyBorder="1" applyAlignment="1" applyProtection="1">
      <alignment vertical="center"/>
      <protection hidden="1"/>
    </xf>
    <xf numFmtId="0" fontId="10" fillId="0" borderId="8" xfId="14" applyNumberFormat="1" applyFont="1" applyBorder="1" applyAlignment="1" applyProtection="1">
      <protection hidden="1"/>
    </xf>
    <xf numFmtId="0" fontId="10" fillId="0" borderId="16" xfId="12" applyNumberFormat="1" applyFont="1" applyFill="1" applyBorder="1" applyAlignment="1" applyProtection="1">
      <protection hidden="1"/>
    </xf>
    <xf numFmtId="0" fontId="10" fillId="0" borderId="132" xfId="8" quotePrefix="1" applyNumberFormat="1" applyFont="1" applyBorder="1" applyAlignment="1" applyProtection="1">
      <protection hidden="1"/>
    </xf>
    <xf numFmtId="183" fontId="10" fillId="0" borderId="8" xfId="12" applyNumberFormat="1" applyFont="1" applyFill="1" applyBorder="1" applyAlignment="1" applyProtection="1">
      <alignment vertical="center"/>
      <protection hidden="1"/>
    </xf>
    <xf numFmtId="175" fontId="10" fillId="0" borderId="117" xfId="12" applyNumberFormat="1" applyFont="1" applyFill="1" applyBorder="1" applyAlignment="1" applyProtection="1">
      <protection hidden="1"/>
    </xf>
    <xf numFmtId="0" fontId="10" fillId="0" borderId="130" xfId="12" applyFont="1" applyFill="1" applyBorder="1" applyProtection="1">
      <protection hidden="1"/>
    </xf>
    <xf numFmtId="0" fontId="10" fillId="0" borderId="130" xfId="14" applyFont="1" applyBorder="1" applyProtection="1">
      <protection hidden="1"/>
    </xf>
    <xf numFmtId="175" fontId="10" fillId="0" borderId="130" xfId="12" applyNumberFormat="1" applyFont="1" applyFill="1" applyBorder="1" applyAlignment="1" applyProtection="1">
      <alignment vertical="center"/>
      <protection hidden="1"/>
    </xf>
    <xf numFmtId="175" fontId="11" fillId="0" borderId="130" xfId="12" applyNumberFormat="1" applyFont="1" applyFill="1" applyBorder="1" applyAlignment="1" applyProtection="1">
      <alignment vertical="center"/>
      <protection hidden="1"/>
    </xf>
    <xf numFmtId="189" fontId="10" fillId="0" borderId="130" xfId="12" applyNumberFormat="1" applyFont="1" applyFill="1" applyBorder="1" applyProtection="1">
      <protection hidden="1"/>
    </xf>
    <xf numFmtId="189" fontId="10" fillId="0" borderId="130" xfId="14" applyNumberFormat="1" applyFont="1" applyBorder="1" applyProtection="1">
      <protection hidden="1"/>
    </xf>
    <xf numFmtId="183" fontId="10" fillId="0" borderId="7" xfId="12" applyNumberFormat="1" applyFont="1" applyFill="1" applyBorder="1" applyAlignment="1" applyProtection="1">
      <alignment vertical="center"/>
      <protection hidden="1"/>
    </xf>
    <xf numFmtId="183" fontId="10" fillId="0" borderId="7" xfId="14" applyNumberFormat="1" applyFont="1" applyBorder="1" applyAlignment="1" applyProtection="1">
      <alignment vertical="center"/>
      <protection hidden="1"/>
    </xf>
    <xf numFmtId="172" fontId="8" fillId="5" borderId="0" xfId="0" applyNumberFormat="1" applyFont="1" applyFill="1" applyBorder="1" applyAlignment="1" applyProtection="1">
      <alignment horizontal="center" vertical="center"/>
      <protection hidden="1"/>
    </xf>
    <xf numFmtId="0" fontId="7" fillId="5" borderId="131" xfId="4" applyFont="1" applyFill="1" applyBorder="1" applyProtection="1">
      <protection hidden="1"/>
    </xf>
    <xf numFmtId="0" fontId="7" fillId="7" borderId="130" xfId="4" applyFont="1" applyFill="1" applyBorder="1" applyProtection="1">
      <protection hidden="1"/>
    </xf>
    <xf numFmtId="0" fontId="7" fillId="7" borderId="36" xfId="4" applyFont="1" applyFill="1" applyBorder="1" applyProtection="1">
      <protection hidden="1"/>
    </xf>
    <xf numFmtId="0" fontId="7" fillId="7" borderId="131" xfId="4" applyFont="1" applyFill="1" applyBorder="1" applyProtection="1">
      <protection hidden="1"/>
    </xf>
    <xf numFmtId="0" fontId="7" fillId="12" borderId="36" xfId="4" applyFont="1" applyFill="1" applyBorder="1" applyProtection="1">
      <protection hidden="1"/>
    </xf>
    <xf numFmtId="0" fontId="7" fillId="17" borderId="131" xfId="4" applyFont="1" applyFill="1" applyBorder="1" applyProtection="1">
      <protection hidden="1"/>
    </xf>
    <xf numFmtId="0" fontId="8" fillId="5" borderId="111" xfId="0" applyNumberFormat="1" applyFont="1" applyFill="1" applyBorder="1" applyAlignment="1" applyProtection="1">
      <alignment horizontal="center" vertical="top"/>
      <protection hidden="1"/>
    </xf>
    <xf numFmtId="188" fontId="8" fillId="5" borderId="64" xfId="0" quotePrefix="1" applyNumberFormat="1" applyFont="1" applyFill="1" applyBorder="1" applyAlignment="1" applyProtection="1">
      <alignment horizontal="center" vertical="center" wrapText="1"/>
      <protection hidden="1"/>
    </xf>
    <xf numFmtId="180" fontId="17" fillId="5" borderId="104" xfId="4" applyNumberFormat="1" applyFont="1" applyFill="1" applyBorder="1" applyAlignment="1" applyProtection="1">
      <alignment vertical="center"/>
      <protection hidden="1"/>
    </xf>
    <xf numFmtId="180" fontId="8" fillId="5" borderId="81" xfId="4" applyNumberFormat="1" applyFont="1" applyFill="1" applyBorder="1" applyAlignment="1" applyProtection="1">
      <alignment vertical="center"/>
      <protection hidden="1"/>
    </xf>
    <xf numFmtId="0" fontId="8" fillId="5" borderId="105" xfId="0" applyFont="1" applyFill="1" applyBorder="1" applyAlignment="1" applyProtection="1">
      <alignment horizontal="center" vertical="top" wrapText="1"/>
      <protection hidden="1"/>
    </xf>
    <xf numFmtId="0" fontId="8" fillId="5" borderId="130" xfId="0" applyFont="1" applyFill="1" applyBorder="1" applyAlignment="1" applyProtection="1">
      <alignment horizontal="center" vertical="center" wrapText="1"/>
      <protection hidden="1"/>
    </xf>
    <xf numFmtId="0" fontId="8" fillId="5" borderId="130" xfId="0" applyFont="1" applyFill="1" applyBorder="1" applyAlignment="1" applyProtection="1">
      <alignment horizontal="center" vertical="top" wrapText="1"/>
      <protection hidden="1"/>
    </xf>
    <xf numFmtId="180" fontId="17" fillId="9" borderId="48" xfId="4" applyNumberFormat="1" applyFont="1" applyFill="1" applyBorder="1" applyAlignment="1" applyProtection="1">
      <alignment vertical="center"/>
      <protection hidden="1"/>
    </xf>
    <xf numFmtId="180" fontId="8" fillId="5" borderId="15" xfId="4" applyNumberFormat="1" applyFont="1" applyFill="1" applyBorder="1" applyAlignment="1" applyProtection="1">
      <alignment vertical="center"/>
      <protection hidden="1"/>
    </xf>
    <xf numFmtId="180" fontId="8" fillId="5" borderId="60" xfId="4" applyNumberFormat="1" applyFont="1" applyFill="1" applyBorder="1" applyAlignment="1" applyProtection="1">
      <alignment vertical="center"/>
      <protection hidden="1"/>
    </xf>
    <xf numFmtId="180" fontId="8" fillId="5" borderId="16" xfId="4" applyNumberFormat="1" applyFont="1" applyFill="1" applyBorder="1" applyAlignment="1" applyProtection="1">
      <alignment vertical="center"/>
      <protection hidden="1"/>
    </xf>
    <xf numFmtId="180" fontId="17" fillId="9" borderId="33" xfId="4" applyNumberFormat="1" applyFont="1" applyFill="1" applyBorder="1" applyAlignment="1" applyProtection="1">
      <alignment vertical="center"/>
      <protection hidden="1"/>
    </xf>
    <xf numFmtId="180" fontId="17" fillId="5" borderId="43" xfId="4" applyNumberFormat="1" applyFont="1" applyFill="1" applyBorder="1" applyAlignment="1" applyProtection="1">
      <alignment vertical="center"/>
      <protection hidden="1"/>
    </xf>
    <xf numFmtId="0" fontId="7" fillId="5" borderId="46" xfId="7" applyNumberFormat="1" applyFont="1" applyFill="1" applyBorder="1" applyAlignment="1" applyProtection="1">
      <alignment vertical="center"/>
      <protection hidden="1"/>
    </xf>
    <xf numFmtId="0" fontId="7" fillId="5" borderId="21" xfId="7" applyNumberFormat="1" applyFont="1" applyFill="1" applyBorder="1" applyAlignment="1" applyProtection="1">
      <alignment vertical="center"/>
      <protection hidden="1"/>
    </xf>
    <xf numFmtId="0" fontId="7" fillId="5" borderId="10" xfId="7" applyNumberFormat="1" applyFont="1" applyFill="1" applyBorder="1" applyAlignment="1" applyProtection="1">
      <alignment vertical="center"/>
      <protection hidden="1"/>
    </xf>
    <xf numFmtId="0" fontId="7" fillId="9" borderId="36" xfId="7" applyNumberFormat="1" applyFont="1" applyFill="1" applyBorder="1" applyAlignment="1" applyProtection="1">
      <alignment vertical="center"/>
      <protection hidden="1"/>
    </xf>
    <xf numFmtId="0" fontId="7" fillId="5" borderId="24" xfId="7" applyNumberFormat="1" applyFont="1" applyFill="1" applyBorder="1" applyAlignment="1" applyProtection="1">
      <protection hidden="1"/>
    </xf>
    <xf numFmtId="0" fontId="6" fillId="5" borderId="47" xfId="4" applyNumberFormat="1" applyFont="1" applyFill="1" applyBorder="1" applyAlignment="1" applyProtection="1">
      <protection hidden="1"/>
    </xf>
    <xf numFmtId="0" fontId="7" fillId="5" borderId="25" xfId="7" applyNumberFormat="1" applyFont="1" applyFill="1" applyBorder="1" applyAlignment="1" applyProtection="1">
      <protection hidden="1"/>
    </xf>
    <xf numFmtId="0" fontId="7" fillId="5" borderId="23" xfId="4" applyNumberFormat="1" applyFont="1" applyFill="1" applyBorder="1" applyAlignment="1" applyProtection="1">
      <protection hidden="1"/>
    </xf>
    <xf numFmtId="0" fontId="7" fillId="5" borderId="22" xfId="7" applyNumberFormat="1" applyFont="1" applyFill="1" applyBorder="1" applyAlignment="1" applyProtection="1">
      <protection hidden="1"/>
    </xf>
    <xf numFmtId="0" fontId="7" fillId="5" borderId="25" xfId="4" applyNumberFormat="1" applyFont="1" applyFill="1" applyBorder="1" applyAlignment="1" applyProtection="1">
      <protection hidden="1"/>
    </xf>
    <xf numFmtId="0" fontId="7" fillId="5" borderId="22" xfId="4" applyNumberFormat="1" applyFont="1" applyFill="1" applyBorder="1" applyAlignment="1" applyProtection="1">
      <protection hidden="1"/>
    </xf>
    <xf numFmtId="0" fontId="7" fillId="5" borderId="6" xfId="7" applyNumberFormat="1" applyFont="1" applyFill="1" applyBorder="1" applyAlignment="1" applyProtection="1">
      <protection hidden="1"/>
    </xf>
    <xf numFmtId="0" fontId="6" fillId="5" borderId="130" xfId="4" applyNumberFormat="1" applyFont="1" applyFill="1" applyBorder="1" applyAlignment="1" applyProtection="1">
      <protection hidden="1"/>
    </xf>
    <xf numFmtId="0" fontId="7" fillId="5" borderId="8" xfId="7" applyNumberFormat="1" applyFont="1" applyFill="1" applyBorder="1" applyAlignment="1" applyProtection="1">
      <protection hidden="1"/>
    </xf>
    <xf numFmtId="0" fontId="7" fillId="5" borderId="37" xfId="4" applyNumberFormat="1" applyFont="1" applyFill="1" applyBorder="1" applyAlignment="1" applyProtection="1">
      <protection hidden="1"/>
    </xf>
    <xf numFmtId="0" fontId="7" fillId="5" borderId="27" xfId="7" applyNumberFormat="1" applyFont="1" applyFill="1" applyBorder="1" applyAlignment="1" applyProtection="1">
      <protection hidden="1"/>
    </xf>
    <xf numFmtId="0" fontId="7" fillId="5" borderId="28" xfId="7" applyNumberFormat="1" applyFont="1" applyFill="1" applyBorder="1" applyAlignment="1" applyProtection="1">
      <protection hidden="1"/>
    </xf>
    <xf numFmtId="0" fontId="7" fillId="5" borderId="29" xfId="4" applyNumberFormat="1" applyFont="1" applyFill="1" applyBorder="1" applyAlignment="1" applyProtection="1">
      <protection hidden="1"/>
    </xf>
    <xf numFmtId="0" fontId="7" fillId="5" borderId="28" xfId="4" applyNumberFormat="1" applyFont="1" applyFill="1" applyBorder="1" applyAlignment="1" applyProtection="1">
      <protection hidden="1"/>
    </xf>
    <xf numFmtId="180" fontId="8" fillId="5" borderId="17" xfId="4" applyNumberFormat="1" applyFont="1" applyFill="1" applyBorder="1" applyAlignment="1" applyProtection="1">
      <alignment vertical="center"/>
      <protection hidden="1"/>
    </xf>
    <xf numFmtId="0" fontId="8" fillId="5" borderId="130" xfId="0" applyNumberFormat="1" applyFont="1" applyFill="1" applyBorder="1" applyAlignment="1" applyProtection="1">
      <alignment horizontal="center" vertical="top"/>
      <protection hidden="1"/>
    </xf>
    <xf numFmtId="0" fontId="8" fillId="5" borderId="8" xfId="0" applyNumberFormat="1" applyFont="1" applyFill="1" applyBorder="1" applyAlignment="1" applyProtection="1">
      <alignment horizontal="center" vertical="top"/>
      <protection hidden="1"/>
    </xf>
    <xf numFmtId="0" fontId="7" fillId="9" borderId="10" xfId="7" applyNumberFormat="1" applyFont="1" applyFill="1" applyBorder="1" applyAlignment="1" applyProtection="1">
      <alignment vertical="center"/>
      <protection hidden="1"/>
    </xf>
    <xf numFmtId="0" fontId="7" fillId="5" borderId="24" xfId="7" applyNumberFormat="1" applyFont="1" applyFill="1" applyBorder="1" applyAlignment="1" applyProtection="1">
      <alignment vertical="center"/>
      <protection hidden="1"/>
    </xf>
    <xf numFmtId="0" fontId="6" fillId="5" borderId="47" xfId="4" applyNumberFormat="1" applyFont="1" applyFill="1" applyBorder="1" applyAlignment="1" applyProtection="1">
      <alignment horizontal="right" vertical="center" indent="1"/>
      <protection hidden="1"/>
    </xf>
    <xf numFmtId="0" fontId="7" fillId="5" borderId="25" xfId="7" applyNumberFormat="1" applyFont="1" applyFill="1" applyBorder="1" applyAlignment="1" applyProtection="1">
      <alignment vertical="center"/>
      <protection hidden="1"/>
    </xf>
    <xf numFmtId="0" fontId="7" fillId="5" borderId="23" xfId="4" applyNumberFormat="1" applyFont="1" applyFill="1" applyBorder="1" applyProtection="1">
      <protection hidden="1"/>
    </xf>
    <xf numFmtId="0" fontId="7" fillId="5" borderId="22" xfId="7" applyNumberFormat="1" applyFont="1" applyFill="1" applyBorder="1" applyAlignment="1" applyProtection="1">
      <alignment vertical="center"/>
      <protection hidden="1"/>
    </xf>
    <xf numFmtId="0" fontId="7" fillId="5" borderId="25" xfId="4" applyNumberFormat="1" applyFont="1" applyFill="1" applyBorder="1" applyProtection="1">
      <protection hidden="1"/>
    </xf>
    <xf numFmtId="0" fontId="7" fillId="5" borderId="7" xfId="4" applyNumberFormat="1" applyFont="1" applyFill="1" applyBorder="1" applyProtection="1">
      <protection hidden="1"/>
    </xf>
    <xf numFmtId="0" fontId="7" fillId="5" borderId="8" xfId="4" applyNumberFormat="1" applyFont="1" applyFill="1" applyBorder="1" applyProtection="1">
      <protection hidden="1"/>
    </xf>
    <xf numFmtId="0" fontId="7" fillId="5" borderId="27" xfId="7" applyNumberFormat="1" applyFont="1" applyFill="1" applyBorder="1" applyAlignment="1" applyProtection="1">
      <alignment vertical="center"/>
      <protection hidden="1"/>
    </xf>
    <xf numFmtId="0" fontId="6" fillId="5" borderId="62" xfId="4" applyNumberFormat="1" applyFont="1" applyFill="1" applyBorder="1" applyAlignment="1" applyProtection="1">
      <alignment horizontal="right" vertical="center" indent="1"/>
      <protection hidden="1"/>
    </xf>
    <xf numFmtId="0" fontId="7" fillId="5" borderId="29" xfId="7" applyNumberFormat="1" applyFont="1" applyFill="1" applyBorder="1" applyAlignment="1" applyProtection="1">
      <alignment vertical="center"/>
      <protection hidden="1"/>
    </xf>
    <xf numFmtId="0" fontId="7" fillId="5" borderId="37" xfId="4" applyNumberFormat="1" applyFont="1" applyFill="1" applyBorder="1" applyProtection="1">
      <protection hidden="1"/>
    </xf>
    <xf numFmtId="0" fontId="7" fillId="5" borderId="28" xfId="7" applyNumberFormat="1" applyFont="1" applyFill="1" applyBorder="1" applyAlignment="1" applyProtection="1">
      <alignment vertical="center"/>
      <protection hidden="1"/>
    </xf>
    <xf numFmtId="0" fontId="7" fillId="5" borderId="29" xfId="4" applyNumberFormat="1" applyFont="1" applyFill="1" applyBorder="1" applyProtection="1">
      <protection hidden="1"/>
    </xf>
    <xf numFmtId="0" fontId="7" fillId="5" borderId="28" xfId="4" applyNumberFormat="1" applyFont="1" applyFill="1" applyBorder="1" applyProtection="1">
      <protection hidden="1"/>
    </xf>
    <xf numFmtId="0" fontId="7" fillId="5" borderId="22" xfId="4" applyNumberFormat="1" applyFont="1" applyFill="1" applyBorder="1" applyProtection="1">
      <protection hidden="1"/>
    </xf>
    <xf numFmtId="0" fontId="7" fillId="5" borderId="6" xfId="7" applyNumberFormat="1" applyFont="1" applyFill="1" applyBorder="1" applyAlignment="1" applyProtection="1">
      <alignment vertical="center"/>
      <protection hidden="1"/>
    </xf>
    <xf numFmtId="0" fontId="6" fillId="5" borderId="130" xfId="4" applyNumberFormat="1" applyFont="1" applyFill="1" applyBorder="1" applyAlignment="1" applyProtection="1">
      <alignment horizontal="right" vertical="center" indent="1"/>
      <protection hidden="1"/>
    </xf>
    <xf numFmtId="0" fontId="7" fillId="5" borderId="8" xfId="7" applyNumberFormat="1" applyFont="1" applyFill="1" applyBorder="1" applyAlignment="1" applyProtection="1">
      <alignment vertical="center"/>
      <protection hidden="1"/>
    </xf>
    <xf numFmtId="0" fontId="7" fillId="5" borderId="11" xfId="4" applyNumberFormat="1" applyFont="1" applyFill="1" applyBorder="1" applyProtection="1">
      <protection hidden="1"/>
    </xf>
    <xf numFmtId="0" fontId="7" fillId="5" borderId="7" xfId="7" applyNumberFormat="1" applyFont="1" applyFill="1" applyBorder="1" applyAlignment="1" applyProtection="1">
      <alignment vertical="center"/>
      <protection hidden="1"/>
    </xf>
    <xf numFmtId="0" fontId="7" fillId="5" borderId="36" xfId="7" applyNumberFormat="1" applyFont="1" applyFill="1" applyBorder="1" applyAlignment="1" applyProtection="1">
      <alignment vertical="center"/>
      <protection hidden="1"/>
    </xf>
    <xf numFmtId="0" fontId="7" fillId="5" borderId="30" xfId="7" applyNumberFormat="1" applyFont="1" applyFill="1" applyBorder="1" applyAlignment="1" applyProtection="1">
      <alignment vertical="center"/>
      <protection hidden="1"/>
    </xf>
    <xf numFmtId="0" fontId="6" fillId="5" borderId="40" xfId="4" applyNumberFormat="1" applyFont="1" applyFill="1" applyBorder="1" applyAlignment="1" applyProtection="1">
      <alignment horizontal="right" vertical="center" indent="1"/>
      <protection hidden="1"/>
    </xf>
    <xf numFmtId="0" fontId="7" fillId="5" borderId="33" xfId="7" applyNumberFormat="1" applyFont="1" applyFill="1" applyBorder="1" applyAlignment="1" applyProtection="1">
      <alignment vertical="center"/>
      <protection hidden="1"/>
    </xf>
    <xf numFmtId="0" fontId="7" fillId="5" borderId="122" xfId="4" applyNumberFormat="1" applyFont="1" applyFill="1" applyBorder="1" applyProtection="1">
      <protection hidden="1"/>
    </xf>
    <xf numFmtId="0" fontId="7" fillId="5" borderId="106" xfId="7" applyNumberFormat="1" applyFont="1" applyFill="1" applyBorder="1" applyAlignment="1" applyProtection="1">
      <alignment vertical="center"/>
      <protection hidden="1"/>
    </xf>
    <xf numFmtId="0" fontId="7" fillId="5" borderId="31" xfId="7" applyNumberFormat="1" applyFont="1" applyFill="1" applyBorder="1" applyAlignment="1" applyProtection="1">
      <alignment vertical="center"/>
      <protection hidden="1"/>
    </xf>
    <xf numFmtId="0" fontId="7" fillId="5" borderId="33" xfId="4" applyNumberFormat="1" applyFont="1" applyFill="1" applyBorder="1" applyProtection="1">
      <protection hidden="1"/>
    </xf>
    <xf numFmtId="0" fontId="7" fillId="5" borderId="31" xfId="4" applyNumberFormat="1" applyFont="1" applyFill="1" applyBorder="1" applyProtection="1">
      <protection hidden="1"/>
    </xf>
    <xf numFmtId="0" fontId="7" fillId="9" borderId="108" xfId="7" applyNumberFormat="1" applyFont="1" applyFill="1" applyBorder="1" applyAlignment="1" applyProtection="1">
      <alignment vertical="center"/>
      <protection hidden="1"/>
    </xf>
    <xf numFmtId="0" fontId="8" fillId="5" borderId="12" xfId="0" applyNumberFormat="1" applyFont="1" applyFill="1" applyBorder="1" applyAlignment="1" applyProtection="1">
      <alignment horizontal="center" vertical="top" wrapText="1"/>
      <protection hidden="1"/>
    </xf>
    <xf numFmtId="0" fontId="8" fillId="5" borderId="26" xfId="0" applyNumberFormat="1" applyFont="1" applyFill="1" applyBorder="1" applyAlignment="1" applyProtection="1">
      <alignment horizontal="center" vertical="center" wrapText="1"/>
      <protection hidden="1"/>
    </xf>
    <xf numFmtId="180" fontId="8" fillId="5" borderId="59" xfId="4" applyNumberFormat="1" applyFont="1" applyFill="1" applyBorder="1" applyAlignment="1" applyProtection="1">
      <alignment vertical="center"/>
      <protection hidden="1"/>
    </xf>
    <xf numFmtId="0" fontId="7" fillId="5" borderId="10" xfId="4" applyNumberFormat="1" applyFont="1" applyFill="1" applyBorder="1" applyProtection="1">
      <protection hidden="1"/>
    </xf>
    <xf numFmtId="0" fontId="7" fillId="5" borderId="0" xfId="4" applyNumberFormat="1" applyFont="1" applyFill="1" applyBorder="1" applyProtection="1">
      <protection hidden="1"/>
    </xf>
    <xf numFmtId="0" fontId="7" fillId="5" borderId="12" xfId="4" applyNumberFormat="1" applyFont="1" applyFill="1" applyBorder="1" applyProtection="1">
      <protection hidden="1"/>
    </xf>
    <xf numFmtId="0" fontId="7" fillId="5" borderId="21" xfId="4" applyNumberFormat="1" applyFont="1" applyFill="1" applyBorder="1" applyProtection="1">
      <protection hidden="1"/>
    </xf>
    <xf numFmtId="0" fontId="7" fillId="5" borderId="26" xfId="4" applyNumberFormat="1" applyFont="1" applyFill="1" applyBorder="1" applyProtection="1">
      <protection hidden="1"/>
    </xf>
    <xf numFmtId="0" fontId="7" fillId="5" borderId="38" xfId="4" applyNumberFormat="1" applyFont="1" applyFill="1" applyBorder="1" applyProtection="1">
      <protection hidden="1"/>
    </xf>
    <xf numFmtId="0" fontId="7" fillId="5" borderId="39" xfId="7" applyNumberFormat="1" applyFont="1" applyFill="1" applyBorder="1" applyAlignment="1" applyProtection="1">
      <alignment vertical="center"/>
      <protection hidden="1"/>
    </xf>
    <xf numFmtId="0" fontId="7" fillId="5" borderId="35" xfId="4" applyNumberFormat="1" applyFont="1" applyFill="1" applyBorder="1" applyProtection="1">
      <protection hidden="1"/>
    </xf>
    <xf numFmtId="0" fontId="7" fillId="5" borderId="108" xfId="7" applyNumberFormat="1" applyFont="1" applyFill="1" applyBorder="1" applyAlignment="1" applyProtection="1">
      <alignment vertical="center"/>
      <protection hidden="1"/>
    </xf>
    <xf numFmtId="0" fontId="7" fillId="5" borderId="111" xfId="7" applyNumberFormat="1" applyFont="1" applyFill="1" applyBorder="1" applyAlignment="1" applyProtection="1">
      <alignment vertical="center"/>
      <protection hidden="1"/>
    </xf>
    <xf numFmtId="0" fontId="7" fillId="5" borderId="110" xfId="4" applyNumberFormat="1" applyFont="1" applyFill="1" applyBorder="1" applyProtection="1">
      <protection hidden="1"/>
    </xf>
    <xf numFmtId="0" fontId="7" fillId="7" borderId="105" xfId="4" applyFont="1" applyFill="1" applyBorder="1" applyProtection="1">
      <protection hidden="1"/>
    </xf>
    <xf numFmtId="0" fontId="7" fillId="7" borderId="111" xfId="4" applyFont="1" applyFill="1" applyBorder="1" applyProtection="1">
      <protection hidden="1"/>
    </xf>
    <xf numFmtId="0" fontId="7" fillId="12" borderId="105" xfId="4" applyFont="1" applyFill="1" applyBorder="1" applyProtection="1">
      <protection hidden="1"/>
    </xf>
    <xf numFmtId="0" fontId="7" fillId="12" borderId="111" xfId="4" applyFont="1" applyFill="1" applyBorder="1" applyProtection="1">
      <protection hidden="1"/>
    </xf>
    <xf numFmtId="180" fontId="8" fillId="12" borderId="6" xfId="4" applyNumberFormat="1" applyFont="1" applyFill="1" applyBorder="1" applyAlignment="1" applyProtection="1">
      <alignment vertical="center"/>
      <protection hidden="1"/>
    </xf>
    <xf numFmtId="180" fontId="8" fillId="12" borderId="7" xfId="4" applyNumberFormat="1" applyFont="1" applyFill="1" applyBorder="1" applyAlignment="1" applyProtection="1">
      <alignment vertical="center"/>
      <protection hidden="1"/>
    </xf>
    <xf numFmtId="180" fontId="8" fillId="12" borderId="130" xfId="4" applyNumberFormat="1" applyFont="1" applyFill="1" applyBorder="1" applyAlignment="1" applyProtection="1">
      <alignment vertical="center"/>
      <protection hidden="1"/>
    </xf>
    <xf numFmtId="0" fontId="7" fillId="12" borderId="130" xfId="4" applyFont="1" applyFill="1" applyBorder="1" applyProtection="1">
      <protection hidden="1"/>
    </xf>
    <xf numFmtId="180" fontId="7" fillId="12" borderId="16" xfId="4" applyNumberFormat="1" applyFont="1" applyFill="1" applyBorder="1" applyAlignment="1" applyProtection="1">
      <alignment vertical="center"/>
      <protection hidden="1"/>
    </xf>
    <xf numFmtId="180" fontId="8" fillId="12" borderId="10" xfId="4" applyNumberFormat="1" applyFont="1" applyFill="1" applyBorder="1" applyAlignment="1" applyProtection="1">
      <alignment vertical="center"/>
      <protection hidden="1"/>
    </xf>
    <xf numFmtId="180" fontId="8" fillId="12" borderId="111" xfId="4" applyNumberFormat="1" applyFont="1" applyFill="1" applyBorder="1" applyAlignment="1" applyProtection="1">
      <alignment vertical="center"/>
      <protection hidden="1"/>
    </xf>
    <xf numFmtId="176" fontId="8" fillId="12" borderId="80" xfId="4" applyNumberFormat="1" applyFont="1" applyFill="1" applyBorder="1" applyAlignment="1" applyProtection="1">
      <alignment vertical="center"/>
      <protection hidden="1"/>
    </xf>
    <xf numFmtId="176" fontId="8" fillId="12" borderId="20" xfId="4" applyNumberFormat="1" applyFont="1" applyFill="1" applyBorder="1" applyAlignment="1" applyProtection="1">
      <alignment vertical="center"/>
      <protection hidden="1"/>
    </xf>
    <xf numFmtId="0" fontId="8" fillId="3" borderId="12" xfId="9" applyFont="1" applyFill="1" applyBorder="1" applyAlignment="1" applyProtection="1">
      <alignment vertical="top" wrapText="1"/>
      <protection hidden="1"/>
    </xf>
    <xf numFmtId="180" fontId="8" fillId="9" borderId="43" xfId="0" applyNumberFormat="1" applyFont="1" applyFill="1" applyBorder="1" applyAlignment="1" applyProtection="1">
      <alignment vertical="center"/>
      <protection hidden="1"/>
    </xf>
    <xf numFmtId="180" fontId="8" fillId="9" borderId="12" xfId="0" applyNumberFormat="1" applyFont="1" applyFill="1" applyBorder="1" applyAlignment="1" applyProtection="1">
      <alignment vertical="center"/>
      <protection hidden="1"/>
    </xf>
    <xf numFmtId="180" fontId="8" fillId="9" borderId="107" xfId="0" applyNumberFormat="1" applyFont="1" applyFill="1" applyBorder="1" applyAlignment="1" applyProtection="1">
      <alignment vertical="center"/>
      <protection hidden="1"/>
    </xf>
    <xf numFmtId="180" fontId="17" fillId="9" borderId="8" xfId="0" applyNumberFormat="1" applyFont="1" applyFill="1" applyBorder="1" applyAlignment="1" applyProtection="1">
      <alignment vertical="center"/>
      <protection hidden="1"/>
    </xf>
    <xf numFmtId="180" fontId="17" fillId="9" borderId="112" xfId="0" applyNumberFormat="1" applyFont="1" applyFill="1" applyBorder="1" applyAlignment="1" applyProtection="1">
      <alignment vertical="center"/>
      <protection hidden="1"/>
    </xf>
    <xf numFmtId="188" fontId="8" fillId="5" borderId="7" xfId="0" quotePrefix="1" applyNumberFormat="1" applyFont="1" applyFill="1" applyBorder="1" applyAlignment="1" applyProtection="1">
      <alignment horizontal="center" vertical="center"/>
      <protection hidden="1"/>
    </xf>
    <xf numFmtId="0" fontId="8" fillId="5" borderId="34" xfId="0" applyFont="1" applyFill="1" applyBorder="1" applyAlignment="1" applyProtection="1">
      <alignment horizontal="left" vertical="center" wrapText="1" indent="1"/>
      <protection hidden="1"/>
    </xf>
    <xf numFmtId="175" fontId="8" fillId="5" borderId="13" xfId="0" applyNumberFormat="1" applyFont="1" applyFill="1" applyBorder="1" applyAlignment="1" applyProtection="1">
      <alignment vertical="center"/>
      <protection hidden="1"/>
    </xf>
    <xf numFmtId="176" fontId="8" fillId="5" borderId="13" xfId="0" applyNumberFormat="1" applyFont="1" applyFill="1" applyBorder="1" applyAlignment="1" applyProtection="1">
      <alignment vertical="center"/>
      <protection hidden="1"/>
    </xf>
    <xf numFmtId="0" fontId="8" fillId="5" borderId="16" xfId="0" applyFont="1" applyFill="1" applyBorder="1" applyAlignment="1" applyProtection="1">
      <alignment horizontal="center" vertical="center"/>
      <protection hidden="1"/>
    </xf>
    <xf numFmtId="0" fontId="8" fillId="5" borderId="21" xfId="0" applyFont="1" applyFill="1" applyBorder="1" applyAlignment="1" applyProtection="1">
      <alignment horizontal="left" vertical="center" wrapText="1" indent="1"/>
      <protection hidden="1"/>
    </xf>
    <xf numFmtId="175" fontId="8" fillId="5" borderId="22" xfId="0" applyNumberFormat="1" applyFont="1" applyFill="1" applyBorder="1" applyAlignment="1" applyProtection="1">
      <alignment vertical="center"/>
      <protection hidden="1"/>
    </xf>
    <xf numFmtId="176" fontId="8" fillId="5" borderId="22" xfId="0" applyNumberFormat="1" applyFont="1" applyFill="1" applyBorder="1" applyAlignment="1" applyProtection="1">
      <alignment vertical="center"/>
      <protection hidden="1"/>
    </xf>
    <xf numFmtId="0" fontId="8" fillId="5" borderId="25" xfId="0" applyFont="1" applyFill="1" applyBorder="1" applyAlignment="1" applyProtection="1">
      <alignment horizontal="center" vertical="center"/>
      <protection hidden="1"/>
    </xf>
    <xf numFmtId="172" fontId="7" fillId="5" borderId="0" xfId="0" quotePrefix="1" applyNumberFormat="1" applyFont="1" applyFill="1" applyBorder="1" applyAlignment="1" applyProtection="1">
      <alignment horizontal="left"/>
      <protection hidden="1"/>
    </xf>
    <xf numFmtId="0" fontId="26" fillId="9" borderId="37" xfId="0" applyFont="1" applyFill="1" applyBorder="1" applyAlignment="1" applyProtection="1">
      <alignment horizontal="center" vertical="center"/>
      <protection hidden="1"/>
    </xf>
    <xf numFmtId="0" fontId="26" fillId="0" borderId="33" xfId="0" applyFont="1" applyFill="1" applyBorder="1" applyAlignment="1" applyProtection="1">
      <alignment horizontal="center" vertical="center"/>
      <protection hidden="1"/>
    </xf>
    <xf numFmtId="0" fontId="7" fillId="9" borderId="130" xfId="0" applyNumberFormat="1" applyFont="1" applyFill="1" applyBorder="1" applyProtection="1">
      <protection hidden="1"/>
    </xf>
    <xf numFmtId="0" fontId="7" fillId="9" borderId="131" xfId="0" applyFont="1" applyFill="1" applyBorder="1" applyProtection="1">
      <protection hidden="1"/>
    </xf>
    <xf numFmtId="0" fontId="27" fillId="0" borderId="30" xfId="0" applyFont="1" applyFill="1" applyBorder="1" applyAlignment="1" applyProtection="1">
      <alignment horizontal="left" vertical="center" indent="1"/>
      <protection hidden="1"/>
    </xf>
    <xf numFmtId="0" fontId="27" fillId="0" borderId="32" xfId="0" applyFont="1" applyFill="1" applyBorder="1" applyAlignment="1" applyProtection="1">
      <alignment horizontal="left" vertical="center" indent="1"/>
      <protection hidden="1"/>
    </xf>
    <xf numFmtId="0" fontId="11" fillId="0" borderId="111" xfId="8" applyNumberFormat="1" applyFont="1" applyFill="1" applyBorder="1" applyAlignment="1" applyProtection="1">
      <alignment horizontal="center" vertical="top" wrapText="1"/>
      <protection hidden="1"/>
    </xf>
    <xf numFmtId="172" fontId="8" fillId="5" borderId="11" xfId="0" applyNumberFormat="1" applyFont="1" applyFill="1" applyBorder="1" applyAlignment="1" applyProtection="1">
      <alignment horizontal="center" vertical="center"/>
      <protection hidden="1"/>
    </xf>
    <xf numFmtId="172" fontId="8" fillId="5" borderId="23" xfId="0" applyNumberFormat="1" applyFont="1" applyFill="1" applyBorder="1" applyAlignment="1" applyProtection="1">
      <alignment horizontal="center" vertical="top" wrapText="1"/>
      <protection hidden="1"/>
    </xf>
    <xf numFmtId="178" fontId="7" fillId="5" borderId="11" xfId="0" applyNumberFormat="1" applyFont="1" applyFill="1" applyBorder="1" applyAlignment="1" applyProtection="1">
      <alignment vertical="center"/>
      <protection locked="0"/>
    </xf>
    <xf numFmtId="178" fontId="7" fillId="5" borderId="53" xfId="0" applyNumberFormat="1" applyFont="1" applyFill="1" applyBorder="1" applyAlignment="1" applyProtection="1">
      <alignment vertical="center"/>
      <protection locked="0"/>
    </xf>
    <xf numFmtId="0" fontId="7" fillId="3" borderId="0" xfId="0" applyNumberFormat="1" applyFont="1" applyFill="1" applyBorder="1" applyAlignment="1" applyProtection="1">
      <protection hidden="1"/>
    </xf>
    <xf numFmtId="0" fontId="8" fillId="5" borderId="114" xfId="0" applyFont="1" applyFill="1" applyBorder="1" applyAlignment="1" applyProtection="1">
      <alignment horizontal="center" vertical="center" wrapText="1"/>
      <protection hidden="1"/>
    </xf>
    <xf numFmtId="0" fontId="8" fillId="5" borderId="94" xfId="0" applyFont="1" applyFill="1" applyBorder="1" applyAlignment="1" applyProtection="1">
      <alignment horizontal="center" vertical="center" wrapText="1"/>
      <protection hidden="1"/>
    </xf>
    <xf numFmtId="0" fontId="14" fillId="4" borderId="94" xfId="0" applyFont="1" applyFill="1" applyBorder="1" applyAlignment="1" applyProtection="1">
      <alignment horizontal="center" vertical="center"/>
      <protection hidden="1"/>
    </xf>
    <xf numFmtId="0" fontId="7" fillId="5" borderId="94" xfId="0" applyFont="1" applyFill="1" applyBorder="1" applyAlignment="1" applyProtection="1">
      <alignment horizontal="center" vertical="center" wrapText="1"/>
      <protection hidden="1"/>
    </xf>
    <xf numFmtId="172" fontId="8" fillId="5" borderId="94" xfId="0" applyNumberFormat="1" applyFont="1" applyFill="1" applyBorder="1" applyAlignment="1" applyProtection="1">
      <alignment horizontal="center" vertical="top" wrapText="1"/>
      <protection hidden="1"/>
    </xf>
    <xf numFmtId="172" fontId="8" fillId="5" borderId="94" xfId="0" quotePrefix="1" applyNumberFormat="1" applyFont="1" applyFill="1" applyBorder="1" applyAlignment="1" applyProtection="1">
      <alignment horizontal="center" vertical="center"/>
      <protection hidden="1"/>
    </xf>
    <xf numFmtId="180" fontId="17" fillId="5" borderId="94" xfId="0" applyNumberFormat="1" applyFont="1" applyFill="1" applyBorder="1" applyAlignment="1" applyProtection="1">
      <alignment vertical="center"/>
      <protection hidden="1"/>
    </xf>
    <xf numFmtId="172" fontId="7" fillId="9" borderId="42" xfId="0" applyNumberFormat="1" applyFont="1" applyFill="1" applyBorder="1" applyProtection="1">
      <protection hidden="1"/>
    </xf>
    <xf numFmtId="183" fontId="10" fillId="0" borderId="94" xfId="14" applyNumberFormat="1" applyFont="1" applyFill="1" applyBorder="1" applyAlignment="1" applyProtection="1">
      <alignment vertical="center"/>
      <protection hidden="1"/>
    </xf>
    <xf numFmtId="0" fontId="10" fillId="0" borderId="7" xfId="14" applyNumberFormat="1" applyFont="1" applyFill="1" applyBorder="1" applyAlignment="1" applyProtection="1">
      <protection hidden="1"/>
    </xf>
    <xf numFmtId="178" fontId="6" fillId="0" borderId="46" xfId="4" applyNumberFormat="1" applyFont="1" applyFill="1" applyBorder="1" applyAlignment="1" applyProtection="1">
      <alignment vertical="center"/>
      <protection locked="0"/>
    </xf>
    <xf numFmtId="178" fontId="6" fillId="0" borderId="57" xfId="4" applyNumberFormat="1" applyFont="1" applyFill="1" applyBorder="1" applyAlignment="1" applyProtection="1">
      <alignment vertical="center"/>
      <protection locked="0"/>
    </xf>
    <xf numFmtId="180" fontId="8" fillId="8" borderId="54" xfId="0" applyNumberFormat="1" applyFont="1" applyFill="1" applyBorder="1" applyAlignment="1" applyProtection="1">
      <alignment vertical="center"/>
      <protection hidden="1"/>
    </xf>
    <xf numFmtId="181" fontId="8" fillId="8" borderId="133" xfId="0" applyNumberFormat="1" applyFont="1" applyFill="1" applyBorder="1" applyAlignment="1" applyProtection="1">
      <alignment vertical="center"/>
      <protection hidden="1"/>
    </xf>
    <xf numFmtId="178" fontId="7" fillId="0" borderId="12" xfId="0" applyNumberFormat="1" applyFont="1" applyFill="1" applyBorder="1" applyAlignment="1" applyProtection="1">
      <alignment vertical="center"/>
      <protection locked="0"/>
    </xf>
    <xf numFmtId="0" fontId="8" fillId="9" borderId="21" xfId="0" applyFont="1" applyFill="1" applyBorder="1" applyAlignment="1" applyProtection="1">
      <alignment horizontal="center" vertical="center"/>
      <protection hidden="1"/>
    </xf>
    <xf numFmtId="0" fontId="8" fillId="9" borderId="58" xfId="0" applyFont="1" applyFill="1" applyBorder="1" applyAlignment="1" applyProtection="1">
      <alignment horizontal="center" vertical="center"/>
      <protection hidden="1"/>
    </xf>
    <xf numFmtId="0" fontId="8" fillId="9" borderId="25" xfId="0" applyFont="1" applyFill="1" applyBorder="1" applyAlignment="1" applyProtection="1">
      <alignment horizontal="center" vertical="center" wrapText="1"/>
      <protection hidden="1"/>
    </xf>
    <xf numFmtId="0" fontId="8" fillId="9" borderId="29" xfId="0" applyFont="1" applyFill="1" applyBorder="1" applyAlignment="1" applyProtection="1">
      <alignment horizontal="center" vertical="center" wrapText="1"/>
      <protection hidden="1"/>
    </xf>
    <xf numFmtId="172" fontId="8" fillId="0" borderId="95" xfId="4" applyNumberFormat="1" applyFont="1" applyFill="1" applyBorder="1" applyAlignment="1" applyProtection="1">
      <alignment horizontal="left" vertical="center" indent="1"/>
      <protection hidden="1"/>
    </xf>
    <xf numFmtId="172" fontId="8" fillId="0" borderId="32" xfId="4" applyNumberFormat="1" applyFont="1" applyFill="1" applyBorder="1" applyAlignment="1" applyProtection="1">
      <alignment horizontal="left" vertical="center" indent="1"/>
      <protection hidden="1"/>
    </xf>
    <xf numFmtId="172" fontId="8" fillId="0" borderId="46" xfId="4" applyNumberFormat="1" applyFont="1" applyFill="1" applyBorder="1" applyAlignment="1" applyProtection="1">
      <alignment horizontal="left" vertical="center" indent="1"/>
      <protection hidden="1"/>
    </xf>
    <xf numFmtId="172" fontId="8" fillId="0" borderId="80" xfId="4" applyNumberFormat="1" applyFont="1" applyFill="1" applyBorder="1" applyAlignment="1" applyProtection="1">
      <alignment horizontal="left" vertical="center" indent="1"/>
      <protection hidden="1"/>
    </xf>
    <xf numFmtId="172" fontId="8" fillId="0" borderId="81" xfId="4" applyNumberFormat="1" applyFont="1" applyFill="1" applyBorder="1" applyAlignment="1" applyProtection="1">
      <alignment horizontal="left" vertical="center" indent="1"/>
      <protection hidden="1"/>
    </xf>
    <xf numFmtId="172" fontId="20" fillId="6" borderId="105" xfId="0" applyNumberFormat="1" applyFont="1" applyFill="1" applyBorder="1" applyAlignment="1" applyProtection="1">
      <alignment horizontal="center" vertical="top" wrapText="1"/>
      <protection hidden="1"/>
    </xf>
    <xf numFmtId="172" fontId="20" fillId="6" borderId="6" xfId="0" applyNumberFormat="1" applyFont="1" applyFill="1" applyBorder="1" applyAlignment="1" applyProtection="1">
      <alignment horizontal="center" vertical="top" wrapText="1"/>
      <protection hidden="1"/>
    </xf>
    <xf numFmtId="172" fontId="20" fillId="6" borderId="111" xfId="0" applyNumberFormat="1" applyFont="1" applyFill="1" applyBorder="1" applyAlignment="1" applyProtection="1">
      <alignment horizontal="center" vertical="top" wrapText="1"/>
      <protection hidden="1"/>
    </xf>
    <xf numFmtId="172" fontId="20" fillId="6" borderId="7" xfId="0" applyNumberFormat="1" applyFont="1" applyFill="1" applyBorder="1" applyAlignment="1" applyProtection="1">
      <alignment horizontal="center" vertical="top" wrapText="1"/>
      <protection hidden="1"/>
    </xf>
    <xf numFmtId="172" fontId="20" fillId="6" borderId="21" xfId="0" applyNumberFormat="1" applyFont="1" applyFill="1" applyBorder="1" applyAlignment="1" applyProtection="1">
      <alignment horizontal="center" vertical="center"/>
      <protection hidden="1"/>
    </xf>
    <xf numFmtId="172" fontId="20" fillId="6" borderId="58" xfId="0" applyNumberFormat="1" applyFont="1" applyFill="1" applyBorder="1" applyAlignment="1" applyProtection="1">
      <alignment horizontal="center" vertical="center"/>
      <protection hidden="1"/>
    </xf>
    <xf numFmtId="0" fontId="8" fillId="5" borderId="26" xfId="4" applyFont="1" applyFill="1" applyBorder="1" applyAlignment="1" applyProtection="1">
      <alignment horizontal="center" vertical="top" wrapText="1"/>
      <protection hidden="1"/>
    </xf>
    <xf numFmtId="0" fontId="8" fillId="5" borderId="12" xfId="4" applyFont="1" applyFill="1" applyBorder="1" applyAlignment="1" applyProtection="1">
      <alignment horizontal="center" vertical="top" wrapText="1"/>
      <protection hidden="1"/>
    </xf>
    <xf numFmtId="0" fontId="8" fillId="5" borderId="46" xfId="0" applyFont="1" applyFill="1" applyBorder="1" applyAlignment="1" applyProtection="1">
      <alignment horizontal="center" vertical="center"/>
      <protection hidden="1"/>
    </xf>
    <xf numFmtId="0" fontId="8" fillId="5" borderId="80" xfId="0" applyFont="1" applyFill="1" applyBorder="1" applyAlignment="1" applyProtection="1">
      <alignment horizontal="center" vertical="center"/>
      <protection hidden="1"/>
    </xf>
    <xf numFmtId="0" fontId="8" fillId="5" borderId="81" xfId="0" applyFont="1" applyFill="1" applyBorder="1" applyAlignment="1" applyProtection="1">
      <alignment horizontal="center" vertical="center"/>
      <protection hidden="1"/>
    </xf>
    <xf numFmtId="0" fontId="8" fillId="5" borderId="46" xfId="4" applyFont="1" applyFill="1" applyBorder="1" applyAlignment="1" applyProtection="1">
      <alignment horizontal="center" vertical="center" wrapText="1"/>
      <protection hidden="1"/>
    </xf>
    <xf numFmtId="0" fontId="8" fillId="5" borderId="80" xfId="4" applyFont="1" applyFill="1" applyBorder="1" applyAlignment="1" applyProtection="1">
      <alignment horizontal="center" vertical="center"/>
      <protection hidden="1"/>
    </xf>
    <xf numFmtId="0" fontId="8" fillId="5" borderId="81" xfId="4" applyFont="1" applyFill="1" applyBorder="1" applyAlignment="1" applyProtection="1">
      <alignment horizontal="center" vertical="center"/>
      <protection hidden="1"/>
    </xf>
    <xf numFmtId="0" fontId="8" fillId="5" borderId="6" xfId="4" applyFont="1" applyFill="1" applyBorder="1" applyAlignment="1" applyProtection="1">
      <alignment horizontal="center" vertical="top" wrapText="1"/>
      <protection hidden="1"/>
    </xf>
    <xf numFmtId="0" fontId="8" fillId="5" borderId="105" xfId="4" applyFont="1" applyFill="1" applyBorder="1" applyAlignment="1" applyProtection="1">
      <alignment horizontal="center" vertical="top" wrapText="1"/>
      <protection hidden="1"/>
    </xf>
    <xf numFmtId="0" fontId="8" fillId="5" borderId="36" xfId="0" applyFont="1" applyFill="1" applyBorder="1" applyAlignment="1" applyProtection="1">
      <alignment horizontal="center" vertical="center" wrapText="1"/>
      <protection hidden="1"/>
    </xf>
    <xf numFmtId="0" fontId="8" fillId="5" borderId="60" xfId="0" applyFont="1" applyFill="1" applyBorder="1" applyAlignment="1" applyProtection="1">
      <alignment horizontal="center" vertical="center" wrapText="1"/>
      <protection hidden="1"/>
    </xf>
    <xf numFmtId="0" fontId="8" fillId="5" borderId="37" xfId="0" applyFont="1" applyFill="1" applyBorder="1" applyAlignment="1" applyProtection="1">
      <alignment horizontal="center" vertical="center" wrapText="1"/>
      <protection hidden="1"/>
    </xf>
    <xf numFmtId="0" fontId="8" fillId="18" borderId="0" xfId="4" applyFont="1" applyFill="1" applyAlignment="1" applyProtection="1">
      <alignment horizontal="center" vertical="top" wrapText="1"/>
      <protection hidden="1"/>
    </xf>
    <xf numFmtId="172" fontId="8" fillId="5" borderId="6" xfId="0" applyNumberFormat="1" applyFont="1" applyFill="1" applyBorder="1" applyAlignment="1" applyProtection="1">
      <alignment horizontal="center" vertical="top" wrapText="1"/>
      <protection hidden="1"/>
    </xf>
    <xf numFmtId="172" fontId="21" fillId="11" borderId="21" xfId="0" applyNumberFormat="1" applyFont="1" applyFill="1" applyBorder="1" applyAlignment="1" applyProtection="1">
      <alignment horizontal="center" vertical="center"/>
      <protection hidden="1"/>
    </xf>
    <xf numFmtId="172" fontId="21" fillId="11" borderId="58" xfId="0" applyNumberFormat="1" applyFont="1" applyFill="1" applyBorder="1" applyAlignment="1" applyProtection="1">
      <alignment horizontal="center" vertical="center"/>
      <protection hidden="1"/>
    </xf>
    <xf numFmtId="172" fontId="21" fillId="11" borderId="105" xfId="0" applyNumberFormat="1" applyFont="1" applyFill="1" applyBorder="1" applyAlignment="1" applyProtection="1">
      <alignment horizontal="center" vertical="top" wrapText="1"/>
      <protection hidden="1"/>
    </xf>
    <xf numFmtId="172" fontId="21" fillId="11" borderId="6" xfId="0" applyNumberFormat="1" applyFont="1" applyFill="1" applyBorder="1" applyAlignment="1" applyProtection="1">
      <alignment horizontal="center" vertical="top" wrapText="1"/>
      <protection hidden="1"/>
    </xf>
    <xf numFmtId="172" fontId="21" fillId="11" borderId="111" xfId="0" applyNumberFormat="1" applyFont="1" applyFill="1" applyBorder="1" applyAlignment="1" applyProtection="1">
      <alignment horizontal="center" vertical="top" wrapText="1"/>
      <protection hidden="1"/>
    </xf>
    <xf numFmtId="172" fontId="21" fillId="11" borderId="7" xfId="0" applyNumberFormat="1" applyFont="1" applyFill="1" applyBorder="1" applyAlignment="1" applyProtection="1">
      <alignment horizontal="center" vertical="top" wrapText="1"/>
      <protection hidden="1"/>
    </xf>
    <xf numFmtId="172" fontId="21" fillId="11" borderId="25" xfId="0" applyNumberFormat="1" applyFont="1" applyFill="1" applyBorder="1" applyAlignment="1" applyProtection="1">
      <alignment horizontal="center" vertical="top" wrapText="1"/>
      <protection hidden="1"/>
    </xf>
    <xf numFmtId="172" fontId="21" fillId="11" borderId="8" xfId="0" applyNumberFormat="1" applyFont="1" applyFill="1" applyBorder="1" applyAlignment="1" applyProtection="1">
      <alignment horizontal="center" vertical="top" wrapText="1"/>
      <protection hidden="1"/>
    </xf>
    <xf numFmtId="172" fontId="21" fillId="11" borderId="112" xfId="0" applyNumberFormat="1" applyFont="1" applyFill="1" applyBorder="1" applyAlignment="1" applyProtection="1">
      <alignment horizontal="center" vertical="top" wrapText="1"/>
      <protection hidden="1"/>
    </xf>
    <xf numFmtId="172" fontId="21" fillId="11" borderId="82" xfId="0" applyNumberFormat="1" applyFont="1" applyFill="1" applyBorder="1" applyAlignment="1" applyProtection="1">
      <alignment horizontal="center" vertical="center"/>
      <protection hidden="1"/>
    </xf>
    <xf numFmtId="172" fontId="21" fillId="11" borderId="83" xfId="0" applyNumberFormat="1" applyFont="1" applyFill="1" applyBorder="1" applyAlignment="1" applyProtection="1">
      <alignment horizontal="center" vertical="center"/>
      <protection hidden="1"/>
    </xf>
    <xf numFmtId="172" fontId="21" fillId="11" borderId="77" xfId="0" applyNumberFormat="1" applyFont="1" applyFill="1" applyBorder="1" applyAlignment="1" applyProtection="1">
      <alignment horizontal="center" vertical="center"/>
      <protection hidden="1"/>
    </xf>
    <xf numFmtId="172" fontId="8" fillId="11" borderId="0" xfId="0" applyNumberFormat="1" applyFont="1" applyFill="1" applyBorder="1" applyAlignment="1" applyProtection="1">
      <alignment horizontal="center" vertical="center"/>
      <protection hidden="1"/>
    </xf>
    <xf numFmtId="0" fontId="8" fillId="5" borderId="46" xfId="4" applyFont="1" applyFill="1" applyBorder="1" applyAlignment="1" applyProtection="1">
      <alignment horizontal="center" vertical="center"/>
      <protection hidden="1"/>
    </xf>
    <xf numFmtId="0" fontId="8" fillId="5" borderId="21" xfId="4" applyFont="1" applyFill="1" applyBorder="1" applyAlignment="1" applyProtection="1">
      <alignment horizontal="center" vertical="center" wrapText="1"/>
      <protection hidden="1"/>
    </xf>
    <xf numFmtId="0" fontId="8" fillId="5" borderId="58" xfId="4" applyFont="1" applyFill="1" applyBorder="1" applyAlignment="1" applyProtection="1">
      <alignment horizontal="center" vertical="center" wrapText="1"/>
      <protection hidden="1"/>
    </xf>
    <xf numFmtId="0" fontId="8" fillId="5" borderId="23" xfId="4" applyFont="1" applyFill="1" applyBorder="1" applyAlignment="1" applyProtection="1">
      <alignment horizontal="center" vertical="center" wrapText="1"/>
      <protection hidden="1"/>
    </xf>
    <xf numFmtId="0" fontId="8" fillId="5" borderId="10" xfId="4" applyFont="1" applyFill="1" applyBorder="1" applyAlignment="1" applyProtection="1">
      <alignment horizontal="center" vertical="center" wrapText="1"/>
      <protection hidden="1"/>
    </xf>
    <xf numFmtId="0" fontId="8" fillId="5" borderId="0" xfId="4" applyFont="1" applyFill="1" applyBorder="1" applyAlignment="1" applyProtection="1">
      <alignment horizontal="center" vertical="center" wrapText="1"/>
      <protection hidden="1"/>
    </xf>
    <xf numFmtId="0" fontId="8" fillId="5" borderId="11" xfId="4" applyFont="1" applyFill="1" applyBorder="1" applyAlignment="1" applyProtection="1">
      <alignment horizontal="center" vertical="center" wrapText="1"/>
      <protection hidden="1"/>
    </xf>
    <xf numFmtId="172" fontId="20" fillId="6" borderId="25" xfId="0" applyNumberFormat="1" applyFont="1" applyFill="1" applyBorder="1" applyAlignment="1" applyProtection="1">
      <alignment horizontal="center" vertical="top" wrapText="1"/>
      <protection hidden="1"/>
    </xf>
    <xf numFmtId="172" fontId="20" fillId="6" borderId="8" xfId="0" applyNumberFormat="1" applyFont="1" applyFill="1" applyBorder="1" applyAlignment="1" applyProtection="1">
      <alignment horizontal="center" vertical="top" wrapText="1"/>
      <protection hidden="1"/>
    </xf>
    <xf numFmtId="172" fontId="20" fillId="6" borderId="82" xfId="0" applyNumberFormat="1" applyFont="1" applyFill="1" applyBorder="1" applyAlignment="1" applyProtection="1">
      <alignment horizontal="center" vertical="center"/>
      <protection hidden="1"/>
    </xf>
    <xf numFmtId="172" fontId="20" fillId="6" borderId="83" xfId="0" applyNumberFormat="1" applyFont="1" applyFill="1" applyBorder="1" applyAlignment="1" applyProtection="1">
      <alignment horizontal="center" vertical="center"/>
      <protection hidden="1"/>
    </xf>
    <xf numFmtId="172" fontId="20" fillId="6" borderId="77" xfId="0" applyNumberFormat="1" applyFont="1" applyFill="1" applyBorder="1" applyAlignment="1" applyProtection="1">
      <alignment horizontal="center" vertical="center"/>
      <protection hidden="1"/>
    </xf>
    <xf numFmtId="172" fontId="8" fillId="6" borderId="0" xfId="0" applyNumberFormat="1" applyFont="1" applyFill="1" applyBorder="1" applyAlignment="1" applyProtection="1">
      <alignment horizontal="center" vertical="center"/>
      <protection hidden="1"/>
    </xf>
    <xf numFmtId="172" fontId="20" fillId="6" borderId="39" xfId="0" applyNumberFormat="1" applyFont="1" applyFill="1" applyBorder="1" applyAlignment="1" applyProtection="1">
      <alignment horizontal="center" vertical="center"/>
      <protection hidden="1"/>
    </xf>
    <xf numFmtId="172" fontId="20" fillId="6" borderId="104" xfId="0" applyNumberFormat="1" applyFont="1" applyFill="1" applyBorder="1" applyAlignment="1" applyProtection="1">
      <alignment horizontal="center" vertical="center"/>
      <protection hidden="1"/>
    </xf>
    <xf numFmtId="172" fontId="20" fillId="6" borderId="106" xfId="0" applyNumberFormat="1" applyFont="1" applyFill="1" applyBorder="1" applyAlignment="1" applyProtection="1">
      <alignment horizontal="center" vertical="center"/>
      <protection hidden="1"/>
    </xf>
    <xf numFmtId="172" fontId="20" fillId="6" borderId="112" xfId="0" applyNumberFormat="1" applyFont="1" applyFill="1" applyBorder="1" applyAlignment="1" applyProtection="1">
      <alignment horizontal="center" vertical="top" wrapText="1"/>
      <protection hidden="1"/>
    </xf>
    <xf numFmtId="0" fontId="7" fillId="4" borderId="12" xfId="0" applyFont="1" applyFill="1" applyBorder="1" applyAlignment="1" applyProtection="1">
      <alignment horizontal="center" vertical="top" wrapText="1"/>
      <protection hidden="1"/>
    </xf>
    <xf numFmtId="0" fontId="8" fillId="18" borderId="0" xfId="0" applyFont="1" applyFill="1" applyAlignment="1" applyProtection="1">
      <alignment horizontal="center" vertical="top" wrapText="1"/>
      <protection hidden="1"/>
    </xf>
    <xf numFmtId="0" fontId="8" fillId="2" borderId="105" xfId="0" applyFont="1" applyFill="1" applyBorder="1" applyAlignment="1" applyProtection="1">
      <alignment horizontal="center" vertical="top" wrapText="1"/>
      <protection hidden="1"/>
    </xf>
    <xf numFmtId="0" fontId="8" fillId="2" borderId="6" xfId="0" applyFont="1" applyFill="1" applyBorder="1" applyAlignment="1" applyProtection="1">
      <alignment horizontal="center" vertical="top" wrapText="1"/>
      <protection hidden="1"/>
    </xf>
    <xf numFmtId="0" fontId="8" fillId="2" borderId="7" xfId="0" applyFont="1" applyFill="1" applyBorder="1" applyAlignment="1" applyProtection="1">
      <alignment horizontal="center" vertical="top" wrapText="1"/>
      <protection hidden="1"/>
    </xf>
    <xf numFmtId="0" fontId="8" fillId="4" borderId="112" xfId="0" applyFont="1" applyFill="1" applyBorder="1" applyAlignment="1" applyProtection="1">
      <alignment horizontal="center" vertical="top" wrapText="1"/>
      <protection hidden="1"/>
    </xf>
    <xf numFmtId="0" fontId="8" fillId="4" borderId="8" xfId="0" applyFont="1" applyFill="1" applyBorder="1" applyAlignment="1" applyProtection="1">
      <alignment horizontal="center" vertical="top" wrapText="1"/>
      <protection hidden="1"/>
    </xf>
    <xf numFmtId="0" fontId="8" fillId="4" borderId="23" xfId="0" applyFont="1" applyFill="1" applyBorder="1" applyAlignment="1" applyProtection="1">
      <alignment horizontal="center" vertical="top" wrapText="1"/>
      <protection hidden="1"/>
    </xf>
    <xf numFmtId="0" fontId="8" fillId="4" borderId="11" xfId="0" applyFont="1" applyFill="1" applyBorder="1" applyAlignment="1" applyProtection="1">
      <alignment horizontal="center" vertical="top" wrapText="1"/>
      <protection hidden="1"/>
    </xf>
    <xf numFmtId="0" fontId="8" fillId="4" borderId="82" xfId="0" applyFont="1" applyFill="1" applyBorder="1" applyAlignment="1" applyProtection="1">
      <alignment horizontal="center" vertical="center"/>
      <protection hidden="1"/>
    </xf>
    <xf numFmtId="0" fontId="8" fillId="4" borderId="83" xfId="0" applyFont="1" applyFill="1" applyBorder="1" applyAlignment="1" applyProtection="1">
      <alignment horizontal="center" vertical="center"/>
      <protection hidden="1"/>
    </xf>
    <xf numFmtId="0" fontId="8" fillId="4" borderId="77" xfId="0" applyFont="1" applyFill="1" applyBorder="1" applyAlignment="1" applyProtection="1">
      <alignment horizontal="center" vertical="center"/>
      <protection hidden="1"/>
    </xf>
    <xf numFmtId="0" fontId="8" fillId="2" borderId="5" xfId="0" applyFont="1" applyFill="1" applyBorder="1" applyAlignment="1" applyProtection="1">
      <alignment horizontal="center" vertical="top" wrapText="1"/>
      <protection hidden="1"/>
    </xf>
    <xf numFmtId="0" fontId="8" fillId="2" borderId="13" xfId="0" applyFont="1" applyFill="1" applyBorder="1" applyAlignment="1" applyProtection="1">
      <alignment horizontal="center" vertical="top" wrapText="1"/>
      <protection hidden="1"/>
    </xf>
    <xf numFmtId="0" fontId="8" fillId="2" borderId="24" xfId="0" applyFont="1" applyFill="1" applyBorder="1" applyAlignment="1" applyProtection="1">
      <alignment horizontal="center" vertical="top" wrapText="1"/>
      <protection hidden="1"/>
    </xf>
    <xf numFmtId="0" fontId="8" fillId="2" borderId="22" xfId="0" applyFont="1" applyFill="1" applyBorder="1" applyAlignment="1" applyProtection="1">
      <alignment horizontal="center" vertical="top" wrapText="1"/>
      <protection hidden="1"/>
    </xf>
    <xf numFmtId="0" fontId="8" fillId="2" borderId="47" xfId="0" applyFont="1" applyFill="1" applyBorder="1" applyAlignment="1" applyProtection="1">
      <alignment horizontal="center" vertical="center" wrapText="1"/>
      <protection hidden="1"/>
    </xf>
    <xf numFmtId="0" fontId="8" fillId="2" borderId="58" xfId="0" applyFont="1" applyFill="1" applyBorder="1" applyAlignment="1" applyProtection="1">
      <alignment horizontal="center" vertical="center" wrapText="1"/>
      <protection hidden="1"/>
    </xf>
    <xf numFmtId="0" fontId="8" fillId="2" borderId="23" xfId="0" applyFont="1" applyFill="1" applyBorder="1" applyAlignment="1" applyProtection="1">
      <alignment horizontal="center" vertical="center" wrapText="1"/>
      <protection hidden="1"/>
    </xf>
    <xf numFmtId="0" fontId="8" fillId="0" borderId="46" xfId="0" applyFont="1" applyFill="1" applyBorder="1" applyAlignment="1" applyProtection="1">
      <alignment horizontal="left" vertical="center" indent="1"/>
      <protection hidden="1"/>
    </xf>
    <xf numFmtId="0" fontId="8" fillId="0" borderId="80" xfId="0" applyFont="1" applyFill="1" applyBorder="1" applyAlignment="1" applyProtection="1">
      <alignment horizontal="left" vertical="center" indent="1"/>
      <protection hidden="1"/>
    </xf>
    <xf numFmtId="0" fontId="8" fillId="0" borderId="81" xfId="0" applyFont="1" applyFill="1" applyBorder="1" applyAlignment="1" applyProtection="1">
      <alignment horizontal="left" vertical="center" indent="1"/>
      <protection hidden="1"/>
    </xf>
    <xf numFmtId="0" fontId="8" fillId="4" borderId="39" xfId="0" applyFont="1" applyFill="1" applyBorder="1" applyAlignment="1" applyProtection="1">
      <alignment horizontal="center" vertical="center" wrapText="1"/>
      <protection hidden="1"/>
    </xf>
    <xf numFmtId="0" fontId="8" fillId="4" borderId="104" xfId="0" applyFont="1" applyFill="1" applyBorder="1" applyAlignment="1" applyProtection="1">
      <alignment horizontal="center" vertical="center" wrapText="1"/>
      <protection hidden="1"/>
    </xf>
    <xf numFmtId="0" fontId="8" fillId="4" borderId="122" xfId="0" applyFont="1" applyFill="1" applyBorder="1" applyAlignment="1" applyProtection="1">
      <alignment horizontal="center" vertical="center" wrapText="1"/>
      <protection hidden="1"/>
    </xf>
    <xf numFmtId="0" fontId="8" fillId="10" borderId="82" xfId="0" applyFont="1" applyFill="1" applyBorder="1" applyAlignment="1" applyProtection="1">
      <alignment horizontal="center" vertical="center"/>
      <protection hidden="1"/>
    </xf>
    <xf numFmtId="0" fontId="8" fillId="10" borderId="83" xfId="0" applyFont="1" applyFill="1" applyBorder="1" applyAlignment="1" applyProtection="1">
      <alignment horizontal="center" vertical="center"/>
      <protection hidden="1"/>
    </xf>
    <xf numFmtId="0" fontId="8" fillId="10" borderId="77" xfId="0" applyFont="1" applyFill="1" applyBorder="1" applyAlignment="1" applyProtection="1">
      <alignment horizontal="center" vertical="center"/>
      <protection hidden="1"/>
    </xf>
    <xf numFmtId="0" fontId="8" fillId="4" borderId="40" xfId="0" applyFont="1" applyFill="1" applyBorder="1" applyAlignment="1" applyProtection="1">
      <alignment horizontal="center" vertical="center"/>
      <protection hidden="1"/>
    </xf>
    <xf numFmtId="0" fontId="8" fillId="4" borderId="35" xfId="0" applyFont="1" applyFill="1" applyBorder="1" applyAlignment="1" applyProtection="1">
      <alignment horizontal="center" vertical="center"/>
      <protection hidden="1"/>
    </xf>
    <xf numFmtId="0" fontId="8" fillId="4" borderId="84" xfId="0" applyFont="1" applyFill="1" applyBorder="1" applyAlignment="1" applyProtection="1">
      <alignment horizontal="center" vertical="center"/>
      <protection hidden="1"/>
    </xf>
    <xf numFmtId="0" fontId="8" fillId="4" borderId="83" xfId="0" applyFont="1" applyFill="1" applyBorder="1" applyAlignment="1" applyProtection="1">
      <alignment horizontal="center" vertical="center" wrapText="1"/>
      <protection hidden="1"/>
    </xf>
    <xf numFmtId="0" fontId="8" fillId="4" borderId="77" xfId="0" applyFont="1" applyFill="1" applyBorder="1" applyAlignment="1" applyProtection="1">
      <alignment horizontal="center" vertical="center" wrapText="1"/>
      <protection hidden="1"/>
    </xf>
    <xf numFmtId="0" fontId="8" fillId="4" borderId="26" xfId="0" applyFont="1" applyFill="1" applyBorder="1" applyAlignment="1" applyProtection="1">
      <alignment horizontal="center" vertical="center" wrapText="1"/>
      <protection hidden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8" fillId="2" borderId="82" xfId="0" applyFont="1" applyFill="1" applyBorder="1" applyAlignment="1" applyProtection="1">
      <alignment horizontal="center" vertical="center" wrapText="1"/>
      <protection hidden="1"/>
    </xf>
    <xf numFmtId="0" fontId="8" fillId="2" borderId="83" xfId="0" applyFont="1" applyFill="1" applyBorder="1" applyAlignment="1" applyProtection="1">
      <alignment horizontal="center" vertical="center" wrapText="1"/>
      <protection hidden="1"/>
    </xf>
    <xf numFmtId="0" fontId="8" fillId="2" borderId="77" xfId="0" applyFont="1" applyFill="1" applyBorder="1" applyAlignment="1" applyProtection="1">
      <alignment horizontal="center" vertical="center" wrapText="1"/>
      <protection hidden="1"/>
    </xf>
    <xf numFmtId="0" fontId="8" fillId="9" borderId="5" xfId="0" applyFont="1" applyFill="1" applyBorder="1" applyAlignment="1" applyProtection="1">
      <alignment horizontal="center" vertical="top" wrapText="1"/>
      <protection hidden="1"/>
    </xf>
    <xf numFmtId="0" fontId="8" fillId="9" borderId="7" xfId="0" applyFont="1" applyFill="1" applyBorder="1" applyAlignment="1" applyProtection="1">
      <alignment horizontal="center" vertical="top" wrapText="1"/>
      <protection hidden="1"/>
    </xf>
    <xf numFmtId="0" fontId="8" fillId="2" borderId="44" xfId="0" applyFont="1" applyFill="1" applyBorder="1" applyAlignment="1" applyProtection="1">
      <alignment horizontal="center" vertical="center" wrapText="1"/>
      <protection hidden="1"/>
    </xf>
    <xf numFmtId="0" fontId="8" fillId="2" borderId="65" xfId="0" applyFont="1" applyFill="1" applyBorder="1" applyAlignment="1" applyProtection="1">
      <alignment horizontal="center" vertical="center" wrapText="1"/>
      <protection hidden="1"/>
    </xf>
    <xf numFmtId="0" fontId="8" fillId="2" borderId="45" xfId="0" applyFont="1" applyFill="1" applyBorder="1" applyAlignment="1" applyProtection="1">
      <alignment horizontal="center" vertical="center" wrapText="1"/>
      <protection hidden="1"/>
    </xf>
    <xf numFmtId="0" fontId="8" fillId="18" borderId="82" xfId="0" applyFont="1" applyFill="1" applyBorder="1" applyAlignment="1" applyProtection="1">
      <alignment horizontal="center" vertical="center"/>
      <protection hidden="1"/>
    </xf>
    <xf numFmtId="0" fontId="8" fillId="18" borderId="83" xfId="0" applyFont="1" applyFill="1" applyBorder="1" applyAlignment="1" applyProtection="1">
      <alignment horizontal="center" vertical="center"/>
      <protection hidden="1"/>
    </xf>
    <xf numFmtId="0" fontId="8" fillId="18" borderId="77" xfId="0" applyFont="1" applyFill="1" applyBorder="1" applyAlignment="1" applyProtection="1">
      <alignment horizontal="center" vertical="center"/>
      <protection hidden="1"/>
    </xf>
    <xf numFmtId="0" fontId="8" fillId="18" borderId="71" xfId="0" applyFont="1" applyFill="1" applyBorder="1" applyAlignment="1" applyProtection="1">
      <alignment horizontal="center" vertical="top" wrapText="1"/>
      <protection hidden="1"/>
    </xf>
    <xf numFmtId="0" fontId="8" fillId="18" borderId="6" xfId="0" applyFont="1" applyFill="1" applyBorder="1" applyAlignment="1" applyProtection="1">
      <alignment horizontal="center" vertical="top" wrapText="1"/>
      <protection hidden="1"/>
    </xf>
    <xf numFmtId="0" fontId="8" fillId="18" borderId="15" xfId="0" applyFont="1" applyFill="1" applyBorder="1" applyAlignment="1" applyProtection="1">
      <alignment horizontal="center" vertical="top" wrapText="1"/>
      <protection hidden="1"/>
    </xf>
    <xf numFmtId="0" fontId="8" fillId="18" borderId="5" xfId="0" applyFont="1" applyFill="1" applyBorder="1" applyAlignment="1" applyProtection="1">
      <alignment horizontal="center" vertical="top" wrapText="1"/>
      <protection hidden="1"/>
    </xf>
    <xf numFmtId="0" fontId="8" fillId="18" borderId="7" xfId="0" applyFont="1" applyFill="1" applyBorder="1" applyAlignment="1" applyProtection="1">
      <alignment horizontal="center" vertical="top" wrapText="1"/>
      <protection hidden="1"/>
    </xf>
    <xf numFmtId="0" fontId="8" fillId="18" borderId="13" xfId="0" applyFont="1" applyFill="1" applyBorder="1" applyAlignment="1" applyProtection="1">
      <alignment horizontal="center" vertical="top" wrapText="1"/>
      <protection hidden="1"/>
    </xf>
    <xf numFmtId="0" fontId="8" fillId="18" borderId="4" xfId="0" applyFont="1" applyFill="1" applyBorder="1" applyAlignment="1" applyProtection="1">
      <alignment horizontal="center" vertical="top" wrapText="1"/>
      <protection hidden="1"/>
    </xf>
    <xf numFmtId="0" fontId="8" fillId="18" borderId="8" xfId="0" applyFont="1" applyFill="1" applyBorder="1" applyAlignment="1" applyProtection="1">
      <alignment horizontal="center" vertical="top" wrapText="1"/>
      <protection hidden="1"/>
    </xf>
    <xf numFmtId="0" fontId="8" fillId="18" borderId="16" xfId="0" applyFont="1" applyFill="1" applyBorder="1" applyAlignment="1" applyProtection="1">
      <alignment horizontal="center" vertical="top" wrapText="1"/>
      <protection hidden="1"/>
    </xf>
    <xf numFmtId="0" fontId="8" fillId="2" borderId="21" xfId="0" applyFont="1" applyFill="1" applyBorder="1" applyAlignment="1" applyProtection="1">
      <alignment horizontal="center" vertical="center"/>
      <protection hidden="1"/>
    </xf>
    <xf numFmtId="0" fontId="8" fillId="2" borderId="58" xfId="0" applyFont="1" applyFill="1" applyBorder="1" applyAlignment="1" applyProtection="1">
      <alignment horizontal="center" vertical="center"/>
      <protection hidden="1"/>
    </xf>
    <xf numFmtId="0" fontId="8" fillId="2" borderId="23" xfId="0" applyFont="1" applyFill="1" applyBorder="1" applyAlignment="1" applyProtection="1">
      <alignment horizontal="center" vertical="center"/>
      <protection hidden="1"/>
    </xf>
    <xf numFmtId="0" fontId="8" fillId="2" borderId="71" xfId="0" applyFont="1" applyFill="1" applyBorder="1" applyAlignment="1" applyProtection="1">
      <alignment horizontal="center" vertical="top" wrapText="1"/>
      <protection hidden="1"/>
    </xf>
    <xf numFmtId="0" fontId="8" fillId="3" borderId="11" xfId="9" applyFont="1" applyFill="1" applyBorder="1" applyAlignment="1" applyProtection="1">
      <alignment horizontal="center" vertical="top" wrapText="1"/>
      <protection hidden="1"/>
    </xf>
    <xf numFmtId="0" fontId="8" fillId="3" borderId="34" xfId="9" applyFont="1" applyFill="1" applyBorder="1" applyAlignment="1" applyProtection="1">
      <alignment horizontal="center" vertical="center"/>
      <protection hidden="1"/>
    </xf>
    <xf numFmtId="0" fontId="8" fillId="3" borderId="64" xfId="9" applyFont="1" applyFill="1" applyBorder="1" applyAlignment="1" applyProtection="1">
      <alignment horizontal="center" vertical="center"/>
      <protection hidden="1"/>
    </xf>
    <xf numFmtId="0" fontId="8" fillId="3" borderId="17" xfId="9" applyFont="1" applyFill="1" applyBorder="1" applyAlignment="1" applyProtection="1">
      <alignment horizontal="center" vertical="center"/>
      <protection hidden="1"/>
    </xf>
    <xf numFmtId="0" fontId="8" fillId="3" borderId="46" xfId="9" applyFont="1" applyFill="1" applyBorder="1" applyAlignment="1" applyProtection="1">
      <alignment horizontal="center" vertical="center"/>
      <protection hidden="1"/>
    </xf>
    <xf numFmtId="0" fontId="8" fillId="3" borderId="80" xfId="9" applyFont="1" applyFill="1" applyBorder="1" applyAlignment="1" applyProtection="1">
      <alignment horizontal="center" vertical="center"/>
      <protection hidden="1"/>
    </xf>
    <xf numFmtId="0" fontId="8" fillId="3" borderId="81" xfId="9" applyFont="1" applyFill="1" applyBorder="1" applyAlignment="1" applyProtection="1">
      <alignment horizontal="center" vertical="center"/>
      <protection hidden="1"/>
    </xf>
    <xf numFmtId="0" fontId="8" fillId="3" borderId="26" xfId="9" applyFont="1" applyFill="1" applyBorder="1" applyAlignment="1" applyProtection="1">
      <alignment horizontal="center" vertical="top" wrapText="1"/>
      <protection hidden="1"/>
    </xf>
    <xf numFmtId="0" fontId="8" fillId="3" borderId="12" xfId="9" applyFont="1" applyFill="1" applyBorder="1" applyAlignment="1" applyProtection="1">
      <alignment horizontal="center" vertical="top" wrapText="1"/>
      <protection hidden="1"/>
    </xf>
    <xf numFmtId="0" fontId="8" fillId="0" borderId="46" xfId="0" quotePrefix="1" applyFont="1" applyFill="1" applyBorder="1" applyAlignment="1" applyProtection="1">
      <alignment horizontal="left" vertical="center" indent="1"/>
      <protection hidden="1"/>
    </xf>
    <xf numFmtId="0" fontId="8" fillId="0" borderId="80" xfId="0" quotePrefix="1" applyFont="1" applyFill="1" applyBorder="1" applyAlignment="1" applyProtection="1">
      <alignment horizontal="left" vertical="center" indent="1"/>
      <protection hidden="1"/>
    </xf>
    <xf numFmtId="0" fontId="8" fillId="0" borderId="81" xfId="0" quotePrefix="1" applyFont="1" applyFill="1" applyBorder="1" applyAlignment="1" applyProtection="1">
      <alignment horizontal="left" vertical="center" indent="1"/>
      <protection hidden="1"/>
    </xf>
    <xf numFmtId="0" fontId="8" fillId="2" borderId="46" xfId="0" applyFont="1" applyFill="1" applyBorder="1" applyAlignment="1" applyProtection="1">
      <alignment horizontal="center" vertical="center"/>
      <protection hidden="1"/>
    </xf>
    <xf numFmtId="0" fontId="8" fillId="2" borderId="80" xfId="0" applyFont="1" applyFill="1" applyBorder="1" applyAlignment="1" applyProtection="1">
      <alignment horizontal="center" vertical="center"/>
      <protection hidden="1"/>
    </xf>
    <xf numFmtId="0" fontId="8" fillId="2" borderId="81" xfId="0" applyFont="1" applyFill="1" applyBorder="1" applyAlignment="1" applyProtection="1">
      <alignment horizontal="center" vertical="center"/>
      <protection hidden="1"/>
    </xf>
    <xf numFmtId="0" fontId="8" fillId="3" borderId="46" xfId="0" applyFont="1" applyFill="1" applyBorder="1" applyAlignment="1" applyProtection="1">
      <alignment horizontal="center" vertical="center"/>
      <protection hidden="1"/>
    </xf>
    <xf numFmtId="0" fontId="8" fillId="3" borderId="80" xfId="0" applyFont="1" applyFill="1" applyBorder="1" applyAlignment="1" applyProtection="1">
      <alignment horizontal="center" vertical="center"/>
      <protection hidden="1"/>
    </xf>
    <xf numFmtId="0" fontId="8" fillId="3" borderId="81" xfId="0" applyFont="1" applyFill="1" applyBorder="1" applyAlignment="1" applyProtection="1">
      <alignment horizontal="center" vertical="center"/>
      <protection hidden="1"/>
    </xf>
    <xf numFmtId="0" fontId="8" fillId="18" borderId="112" xfId="0" applyFont="1" applyFill="1" applyBorder="1" applyAlignment="1" applyProtection="1">
      <alignment horizontal="center" vertical="top" wrapText="1"/>
      <protection hidden="1"/>
    </xf>
    <xf numFmtId="0" fontId="8" fillId="18" borderId="105" xfId="0" applyFont="1" applyFill="1" applyBorder="1" applyAlignment="1" applyProtection="1">
      <alignment horizontal="center" vertical="top" wrapText="1"/>
      <protection hidden="1"/>
    </xf>
    <xf numFmtId="0" fontId="8" fillId="18" borderId="111" xfId="0" applyFont="1" applyFill="1" applyBorder="1" applyAlignment="1" applyProtection="1">
      <alignment horizontal="center" vertical="top" wrapText="1"/>
      <protection hidden="1"/>
    </xf>
    <xf numFmtId="0" fontId="8" fillId="2" borderId="36" xfId="0" applyFont="1" applyFill="1" applyBorder="1" applyAlignment="1" applyProtection="1">
      <alignment horizontal="center" vertical="center"/>
      <protection hidden="1"/>
    </xf>
    <xf numFmtId="0" fontId="8" fillId="2" borderId="60" xfId="0" applyFont="1" applyFill="1" applyBorder="1" applyAlignment="1" applyProtection="1">
      <alignment horizontal="center" vertical="center"/>
      <protection hidden="1"/>
    </xf>
    <xf numFmtId="0" fontId="8" fillId="2" borderId="37" xfId="0" applyFont="1" applyFill="1" applyBorder="1" applyAlignment="1" applyProtection="1">
      <alignment horizontal="center" vertical="center"/>
      <protection hidden="1"/>
    </xf>
    <xf numFmtId="0" fontId="8" fillId="2" borderId="24" xfId="0" applyFont="1" applyFill="1" applyBorder="1" applyAlignment="1" applyProtection="1">
      <alignment horizontal="center" vertical="center" wrapText="1"/>
      <protection hidden="1"/>
    </xf>
    <xf numFmtId="0" fontId="8" fillId="2" borderId="27" xfId="0" applyFont="1" applyFill="1" applyBorder="1" applyAlignment="1" applyProtection="1">
      <alignment horizontal="center" vertical="center" wrapText="1"/>
      <protection hidden="1"/>
    </xf>
    <xf numFmtId="0" fontId="8" fillId="2" borderId="25" xfId="0" applyFont="1" applyFill="1" applyBorder="1" applyAlignment="1" applyProtection="1">
      <alignment horizontal="center" vertical="center" wrapText="1"/>
      <protection hidden="1"/>
    </xf>
    <xf numFmtId="0" fontId="8" fillId="2" borderId="29" xfId="0" applyFont="1" applyFill="1" applyBorder="1" applyAlignment="1" applyProtection="1">
      <alignment horizontal="center" vertical="center" wrapText="1"/>
      <protection hidden="1"/>
    </xf>
    <xf numFmtId="0" fontId="8" fillId="2" borderId="78" xfId="0" applyFont="1" applyFill="1" applyBorder="1" applyAlignment="1" applyProtection="1">
      <alignment horizontal="center" vertical="top" wrapText="1"/>
      <protection hidden="1"/>
    </xf>
    <xf numFmtId="0" fontId="8" fillId="2" borderId="31" xfId="0" applyFont="1" applyFill="1" applyBorder="1" applyAlignment="1" applyProtection="1">
      <alignment horizontal="center" vertical="top" wrapText="1"/>
      <protection hidden="1"/>
    </xf>
    <xf numFmtId="0" fontId="8" fillId="9" borderId="22" xfId="0" applyFont="1" applyFill="1" applyBorder="1" applyAlignment="1" applyProtection="1">
      <alignment horizontal="center" vertical="top" wrapText="1"/>
      <protection hidden="1"/>
    </xf>
    <xf numFmtId="0" fontId="8" fillId="9" borderId="8" xfId="0" applyFont="1" applyFill="1" applyBorder="1" applyAlignment="1" applyProtection="1">
      <alignment horizontal="center" vertical="center" wrapText="1"/>
      <protection hidden="1"/>
    </xf>
    <xf numFmtId="0" fontId="8" fillId="5" borderId="6" xfId="0" applyFont="1" applyFill="1" applyBorder="1" applyAlignment="1" applyProtection="1">
      <alignment horizontal="left" vertical="center" wrapText="1" indent="1"/>
      <protection hidden="1"/>
    </xf>
    <xf numFmtId="0" fontId="8" fillId="0" borderId="46" xfId="0" applyNumberFormat="1" applyFont="1" applyFill="1" applyBorder="1" applyAlignment="1" applyProtection="1">
      <alignment horizontal="center" vertical="center"/>
      <protection hidden="1"/>
    </xf>
    <xf numFmtId="0" fontId="8" fillId="0" borderId="81" xfId="0" applyNumberFormat="1" applyFont="1" applyFill="1" applyBorder="1" applyAlignment="1" applyProtection="1">
      <alignment horizontal="center" vertical="center"/>
      <protection hidden="1"/>
    </xf>
    <xf numFmtId="172" fontId="8" fillId="5" borderId="57" xfId="0" applyNumberFormat="1" applyFont="1" applyFill="1" applyBorder="1" applyAlignment="1" applyProtection="1">
      <alignment horizontal="center" vertical="center"/>
      <protection hidden="1"/>
    </xf>
    <xf numFmtId="172" fontId="8" fillId="5" borderId="80" xfId="0" applyNumberFormat="1" applyFont="1" applyFill="1" applyBorder="1" applyAlignment="1" applyProtection="1">
      <alignment horizontal="center" vertical="center"/>
      <protection hidden="1"/>
    </xf>
    <xf numFmtId="172" fontId="8" fillId="5" borderId="81" xfId="0" applyNumberFormat="1" applyFont="1" applyFill="1" applyBorder="1" applyAlignment="1" applyProtection="1">
      <alignment horizontal="center" vertical="center"/>
      <protection hidden="1"/>
    </xf>
    <xf numFmtId="172" fontId="8" fillId="5" borderId="0" xfId="0" applyNumberFormat="1" applyFont="1" applyFill="1" applyBorder="1" applyAlignment="1" applyProtection="1">
      <alignment horizontal="center" vertical="center"/>
      <protection hidden="1"/>
    </xf>
    <xf numFmtId="172" fontId="8" fillId="5" borderId="11" xfId="0" applyNumberFormat="1" applyFont="1" applyFill="1" applyBorder="1" applyAlignment="1" applyProtection="1">
      <alignment horizontal="center" vertical="center"/>
      <protection hidden="1"/>
    </xf>
    <xf numFmtId="172" fontId="8" fillId="5" borderId="130" xfId="0" applyNumberFormat="1" applyFont="1" applyFill="1" applyBorder="1" applyAlignment="1" applyProtection="1">
      <alignment horizontal="center" vertical="top" wrapText="1"/>
      <protection hidden="1"/>
    </xf>
    <xf numFmtId="172" fontId="8" fillId="5" borderId="12" xfId="0" applyNumberFormat="1" applyFont="1" applyFill="1" applyBorder="1" applyAlignment="1" applyProtection="1">
      <alignment horizontal="center" vertical="top" wrapText="1"/>
      <protection hidden="1"/>
    </xf>
    <xf numFmtId="0" fontId="8" fillId="0" borderId="46" xfId="0" applyNumberFormat="1" applyFont="1" applyFill="1" applyBorder="1" applyAlignment="1" applyProtection="1">
      <alignment horizontal="left" vertical="center" indent="1"/>
      <protection hidden="1"/>
    </xf>
    <xf numFmtId="0" fontId="8" fillId="0" borderId="80" xfId="0" applyNumberFormat="1" applyFont="1" applyFill="1" applyBorder="1" applyAlignment="1" applyProtection="1">
      <alignment horizontal="left" vertical="center" indent="1"/>
      <protection hidden="1"/>
    </xf>
    <xf numFmtId="0" fontId="8" fillId="0" borderId="81" xfId="0" applyNumberFormat="1" applyFont="1" applyFill="1" applyBorder="1" applyAlignment="1" applyProtection="1">
      <alignment horizontal="left" vertical="center" indent="1"/>
      <protection hidden="1"/>
    </xf>
    <xf numFmtId="172" fontId="8" fillId="5" borderId="84" xfId="0" applyNumberFormat="1" applyFont="1" applyFill="1" applyBorder="1" applyAlignment="1" applyProtection="1">
      <alignment horizontal="center" vertical="top" wrapText="1"/>
      <protection hidden="1"/>
    </xf>
    <xf numFmtId="0" fontId="7" fillId="5" borderId="76" xfId="0" applyFont="1" applyFill="1" applyBorder="1" applyAlignment="1" applyProtection="1">
      <alignment horizontal="center" vertical="top" wrapText="1"/>
      <protection hidden="1"/>
    </xf>
    <xf numFmtId="0" fontId="19" fillId="5" borderId="21" xfId="0" applyFont="1" applyFill="1" applyBorder="1" applyAlignment="1" applyProtection="1">
      <alignment horizontal="left" vertical="center" wrapText="1" indent="2"/>
      <protection hidden="1"/>
    </xf>
    <xf numFmtId="0" fontId="7" fillId="0" borderId="10" xfId="0" applyFont="1" applyBorder="1" applyAlignment="1" applyProtection="1">
      <alignment horizontal="left" vertical="center" wrapText="1" indent="2"/>
      <protection hidden="1"/>
    </xf>
    <xf numFmtId="0" fontId="7" fillId="0" borderId="76" xfId="0" applyFont="1" applyBorder="1" applyAlignment="1" applyProtection="1">
      <alignment horizontal="center" vertical="top" wrapText="1"/>
      <protection hidden="1"/>
    </xf>
    <xf numFmtId="0" fontId="19" fillId="5" borderId="10" xfId="0" applyFont="1" applyFill="1" applyBorder="1" applyAlignment="1" applyProtection="1">
      <alignment horizontal="left" vertical="center" wrapText="1" indent="2"/>
      <protection hidden="1"/>
    </xf>
    <xf numFmtId="172" fontId="8" fillId="5" borderId="40" xfId="0" applyNumberFormat="1" applyFont="1" applyFill="1" applyBorder="1" applyAlignment="1" applyProtection="1">
      <alignment horizontal="center" vertical="top" wrapText="1"/>
      <protection hidden="1"/>
    </xf>
    <xf numFmtId="0" fontId="7" fillId="0" borderId="106" xfId="0" applyFont="1" applyBorder="1" applyAlignment="1" applyProtection="1">
      <alignment horizontal="center" vertical="top" wrapText="1"/>
      <protection hidden="1"/>
    </xf>
    <xf numFmtId="0" fontId="8" fillId="5" borderId="84" xfId="0" applyFont="1" applyFill="1" applyBorder="1" applyAlignment="1" applyProtection="1">
      <alignment horizontal="center" vertical="center" wrapText="1"/>
      <protection hidden="1"/>
    </xf>
    <xf numFmtId="0" fontId="8" fillId="5" borderId="83" xfId="0" applyFont="1" applyFill="1" applyBorder="1" applyAlignment="1" applyProtection="1">
      <alignment horizontal="center" vertical="center" wrapText="1"/>
      <protection hidden="1"/>
    </xf>
    <xf numFmtId="0" fontId="8" fillId="5" borderId="77" xfId="0" applyFont="1" applyFill="1" applyBorder="1" applyAlignment="1" applyProtection="1">
      <alignment horizontal="center" vertical="center" wrapText="1"/>
      <protection hidden="1"/>
    </xf>
    <xf numFmtId="0" fontId="11" fillId="0" borderId="40" xfId="14" applyFont="1" applyFill="1" applyBorder="1" applyAlignment="1" applyProtection="1">
      <alignment horizontal="center" vertical="top" wrapText="1"/>
      <protection hidden="1"/>
    </xf>
    <xf numFmtId="0" fontId="11" fillId="0" borderId="106" xfId="14" applyFont="1" applyFill="1" applyBorder="1" applyAlignment="1" applyProtection="1">
      <alignment horizontal="center" vertical="top" wrapText="1"/>
      <protection hidden="1"/>
    </xf>
    <xf numFmtId="0" fontId="11" fillId="0" borderId="82" xfId="14" applyFont="1" applyBorder="1" applyAlignment="1" applyProtection="1">
      <alignment horizontal="center" vertical="center"/>
      <protection hidden="1"/>
    </xf>
    <xf numFmtId="0" fontId="11" fillId="0" borderId="83" xfId="14" applyFont="1" applyBorder="1" applyAlignment="1" applyProtection="1">
      <alignment horizontal="center" vertical="center"/>
      <protection hidden="1"/>
    </xf>
    <xf numFmtId="0" fontId="11" fillId="0" borderId="77" xfId="14" applyFont="1" applyBorder="1" applyAlignment="1" applyProtection="1">
      <alignment horizontal="center" vertical="center"/>
      <protection hidden="1"/>
    </xf>
    <xf numFmtId="0" fontId="11" fillId="0" borderId="84" xfId="14" applyFont="1" applyBorder="1" applyAlignment="1" applyProtection="1">
      <alignment horizontal="center" vertical="center"/>
      <protection hidden="1"/>
    </xf>
    <xf numFmtId="0" fontId="11" fillId="0" borderId="36" xfId="14" applyFont="1" applyBorder="1" applyAlignment="1" applyProtection="1">
      <alignment horizontal="center" vertical="center"/>
      <protection hidden="1"/>
    </xf>
    <xf numFmtId="0" fontId="11" fillId="0" borderId="37" xfId="14" applyFont="1" applyBorder="1" applyAlignment="1" applyProtection="1">
      <alignment horizontal="center" vertical="center"/>
      <protection hidden="1"/>
    </xf>
    <xf numFmtId="0" fontId="11" fillId="0" borderId="25" xfId="14" applyNumberFormat="1" applyFont="1" applyFill="1" applyBorder="1" applyAlignment="1" applyProtection="1">
      <alignment horizontal="center" vertical="top" wrapText="1"/>
      <protection hidden="1"/>
    </xf>
    <xf numFmtId="0" fontId="11" fillId="0" borderId="8" xfId="14" applyNumberFormat="1" applyFont="1" applyFill="1" applyBorder="1" applyAlignment="1" applyProtection="1">
      <alignment horizontal="center" vertical="top" wrapText="1"/>
      <protection hidden="1"/>
    </xf>
    <xf numFmtId="0" fontId="11" fillId="0" borderId="62" xfId="14" applyFont="1" applyFill="1" applyBorder="1" applyAlignment="1" applyProtection="1">
      <alignment horizontal="center" vertical="top" wrapText="1"/>
      <protection hidden="1"/>
    </xf>
    <xf numFmtId="0" fontId="11" fillId="0" borderId="103" xfId="14" applyFont="1" applyFill="1" applyBorder="1" applyAlignment="1" applyProtection="1">
      <alignment horizontal="center" vertical="top"/>
      <protection hidden="1"/>
    </xf>
    <xf numFmtId="0" fontId="11" fillId="0" borderId="82" xfId="14" applyNumberFormat="1" applyFont="1" applyFill="1" applyBorder="1" applyAlignment="1" applyProtection="1">
      <alignment horizontal="center" vertical="center"/>
      <protection hidden="1"/>
    </xf>
    <xf numFmtId="0" fontId="11" fillId="0" borderId="83" xfId="14" applyNumberFormat="1" applyFont="1" applyFill="1" applyBorder="1" applyAlignment="1" applyProtection="1">
      <alignment horizontal="center" vertical="center"/>
      <protection hidden="1"/>
    </xf>
    <xf numFmtId="0" fontId="11" fillId="0" borderId="76" xfId="14" applyNumberFormat="1" applyFont="1" applyFill="1" applyBorder="1" applyAlignment="1" applyProtection="1">
      <alignment horizontal="center" vertical="center"/>
      <protection hidden="1"/>
    </xf>
    <xf numFmtId="0" fontId="11" fillId="0" borderId="104" xfId="14" applyFont="1" applyFill="1" applyBorder="1" applyAlignment="1" applyProtection="1">
      <alignment horizontal="center" vertical="top" wrapText="1"/>
      <protection hidden="1"/>
    </xf>
    <xf numFmtId="0" fontId="11" fillId="0" borderId="102" xfId="14" applyFont="1" applyFill="1" applyBorder="1" applyAlignment="1" applyProtection="1">
      <alignment horizontal="center" vertical="top" wrapText="1"/>
      <protection hidden="1"/>
    </xf>
    <xf numFmtId="0" fontId="11" fillId="0" borderId="102" xfId="14" applyFont="1" applyFill="1" applyBorder="1" applyAlignment="1" applyProtection="1">
      <alignment horizontal="center" vertical="top"/>
      <protection hidden="1"/>
    </xf>
    <xf numFmtId="0" fontId="11" fillId="0" borderId="103" xfId="14" applyFont="1" applyFill="1" applyBorder="1" applyAlignment="1" applyProtection="1">
      <alignment horizontal="center" vertical="top" wrapText="1"/>
      <protection hidden="1"/>
    </xf>
    <xf numFmtId="0" fontId="11" fillId="0" borderId="21" xfId="14" applyFont="1" applyBorder="1" applyAlignment="1" applyProtection="1">
      <alignment horizontal="center" vertical="center"/>
      <protection hidden="1"/>
    </xf>
    <xf numFmtId="0" fontId="11" fillId="0" borderId="41" xfId="14" applyFont="1" applyBorder="1" applyAlignment="1" applyProtection="1">
      <alignment horizontal="center" vertical="center"/>
      <protection hidden="1"/>
    </xf>
    <xf numFmtId="0" fontId="11" fillId="0" borderId="83" xfId="14" applyNumberFormat="1" applyFont="1" applyFill="1" applyBorder="1" applyAlignment="1" applyProtection="1">
      <alignment horizontal="center" vertical="center" wrapText="1"/>
      <protection hidden="1"/>
    </xf>
    <xf numFmtId="0" fontId="11" fillId="0" borderId="77" xfId="14" applyNumberFormat="1" applyFont="1" applyFill="1" applyBorder="1" applyAlignment="1" applyProtection="1">
      <alignment horizontal="center" vertical="center" wrapText="1"/>
      <protection hidden="1"/>
    </xf>
    <xf numFmtId="172" fontId="11" fillId="0" borderId="84" xfId="14" applyNumberFormat="1" applyFont="1" applyFill="1" applyBorder="1" applyAlignment="1" applyProtection="1">
      <alignment horizontal="center" vertical="center"/>
      <protection hidden="1"/>
    </xf>
    <xf numFmtId="172" fontId="11" fillId="0" borderId="83" xfId="14" applyNumberFormat="1" applyFont="1" applyFill="1" applyBorder="1" applyAlignment="1" applyProtection="1">
      <alignment horizontal="center" vertical="center"/>
      <protection hidden="1"/>
    </xf>
    <xf numFmtId="172" fontId="11" fillId="0" borderId="77" xfId="14" applyNumberFormat="1" applyFont="1" applyFill="1" applyBorder="1" applyAlignment="1" applyProtection="1">
      <alignment horizontal="center" vertical="center"/>
      <protection hidden="1"/>
    </xf>
    <xf numFmtId="0" fontId="11" fillId="0" borderId="82" xfId="14" applyFont="1" applyBorder="1" applyAlignment="1" applyProtection="1">
      <alignment horizontal="center" vertical="center" wrapText="1"/>
      <protection hidden="1"/>
    </xf>
    <xf numFmtId="0" fontId="11" fillId="0" borderId="83" xfId="14" applyFont="1" applyBorder="1" applyAlignment="1" applyProtection="1">
      <alignment horizontal="center" vertical="center" wrapText="1"/>
      <protection hidden="1"/>
    </xf>
    <xf numFmtId="0" fontId="11" fillId="0" borderId="77" xfId="14" applyFont="1" applyBorder="1" applyAlignment="1" applyProtection="1">
      <alignment horizontal="center" vertical="center" wrapText="1"/>
      <protection hidden="1"/>
    </xf>
    <xf numFmtId="0" fontId="11" fillId="0" borderId="82" xfId="14" applyNumberFormat="1" applyFont="1" applyFill="1" applyBorder="1" applyAlignment="1" applyProtection="1">
      <alignment horizontal="center" vertical="center" wrapText="1"/>
      <protection hidden="1"/>
    </xf>
    <xf numFmtId="0" fontId="11" fillId="0" borderId="29" xfId="14" applyFont="1" applyFill="1" applyBorder="1" applyAlignment="1" applyProtection="1">
      <alignment horizontal="center" vertical="top" wrapText="1"/>
      <protection hidden="1"/>
    </xf>
    <xf numFmtId="0" fontId="11" fillId="0" borderId="105" xfId="14" applyFont="1" applyBorder="1" applyAlignment="1" applyProtection="1">
      <alignment horizontal="center" vertical="top" wrapText="1"/>
      <protection hidden="1"/>
    </xf>
    <xf numFmtId="0" fontId="11" fillId="0" borderId="27" xfId="14" applyFont="1" applyBorder="1" applyAlignment="1" applyProtection="1">
      <alignment horizontal="center" vertical="top" wrapText="1"/>
      <protection hidden="1"/>
    </xf>
    <xf numFmtId="0" fontId="11" fillId="0" borderId="40" xfId="14" applyFont="1" applyFill="1" applyBorder="1" applyAlignment="1" applyProtection="1">
      <alignment horizontal="center" vertical="top"/>
      <protection hidden="1"/>
    </xf>
    <xf numFmtId="0" fontId="11" fillId="0" borderId="122" xfId="14" applyFont="1" applyFill="1" applyBorder="1" applyAlignment="1" applyProtection="1">
      <alignment horizontal="center" vertical="top"/>
      <protection hidden="1"/>
    </xf>
    <xf numFmtId="0" fontId="11" fillId="0" borderId="39" xfId="14" applyFont="1" applyFill="1" applyBorder="1" applyAlignment="1" applyProtection="1">
      <alignment horizontal="center" vertical="top" wrapText="1"/>
      <protection hidden="1"/>
    </xf>
    <xf numFmtId="0" fontId="11" fillId="0" borderId="122" xfId="14" applyFont="1" applyFill="1" applyBorder="1" applyAlignment="1" applyProtection="1">
      <alignment horizontal="center" vertical="top" wrapText="1"/>
      <protection hidden="1"/>
    </xf>
    <xf numFmtId="0" fontId="11" fillId="0" borderId="62" xfId="8" applyNumberFormat="1" applyFont="1" applyBorder="1" applyAlignment="1" applyProtection="1">
      <alignment horizontal="center" vertical="top" wrapText="1"/>
      <protection hidden="1"/>
    </xf>
    <xf numFmtId="0" fontId="11" fillId="0" borderId="103" xfId="8" applyNumberFormat="1" applyFont="1" applyBorder="1" applyAlignment="1" applyProtection="1">
      <alignment horizontal="center" vertical="top" wrapText="1"/>
      <protection hidden="1"/>
    </xf>
    <xf numFmtId="0" fontId="11" fillId="0" borderId="62" xfId="8" applyNumberFormat="1" applyFont="1" applyFill="1" applyBorder="1" applyAlignment="1" applyProtection="1">
      <alignment horizontal="center" vertical="top" wrapText="1"/>
      <protection hidden="1"/>
    </xf>
    <xf numFmtId="0" fontId="11" fillId="0" borderId="103" xfId="8" applyNumberFormat="1" applyFont="1" applyFill="1" applyBorder="1" applyAlignment="1" applyProtection="1">
      <alignment horizontal="center" vertical="top" wrapText="1"/>
      <protection hidden="1"/>
    </xf>
    <xf numFmtId="0" fontId="11" fillId="0" borderId="62" xfId="14" applyFont="1" applyFill="1" applyBorder="1" applyAlignment="1" applyProtection="1">
      <alignment horizontal="center" vertical="top"/>
      <protection hidden="1"/>
    </xf>
  </cellXfs>
  <cellStyles count="15">
    <cellStyle name="Comma 2" xfId="1"/>
    <cellStyle name="Comma 2 2" xfId="2"/>
    <cellStyle name="Comma 3" xfId="3"/>
    <cellStyle name="Comma 3 3" xfId="13"/>
    <cellStyle name="Normal" xfId="0" builtinId="0"/>
    <cellStyle name="Normal 2" xfId="4"/>
    <cellStyle name="Normal 2 2" xfId="5"/>
    <cellStyle name="Normal 2 3" xfId="12"/>
    <cellStyle name="Normal 2_RUK by FSG, 08-09 to 10-11" xfId="11"/>
    <cellStyle name="Normal 3" xfId="6"/>
    <cellStyle name="Normal 4" xfId="14"/>
    <cellStyle name="Normal_ABDN" xfId="7"/>
    <cellStyle name="Normal_GFU and SSI Teaching Grants for 2012-13, Additional Science inc STEM" xfId="8"/>
    <cellStyle name="Normal_Linked Table3 2004-05" xfId="9"/>
    <cellStyle name="Normal_Table1 ABER first cut" xfId="10"/>
  </cellStyles>
  <dxfs count="86">
    <dxf>
      <font>
        <b/>
        <i val="0"/>
        <color rgb="FFFF0000"/>
      </font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ill>
        <patternFill patternType="none">
          <bgColor indexed="65"/>
        </patternFill>
      </fill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</dxf>
    <dxf>
      <font>
        <color rgb="FFFF0000"/>
      </font>
    </dxf>
    <dxf>
      <fill>
        <patternFill>
          <bgColor rgb="FFCCFFFF"/>
        </patternFill>
      </fill>
    </dxf>
    <dxf>
      <fill>
        <patternFill patternType="none">
          <bgColor indexed="65"/>
        </patternFill>
      </fill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 patternType="none">
          <bgColor indexed="65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 patternType="none">
          <bgColor indexed="65"/>
        </patternFill>
      </fill>
    </dxf>
    <dxf>
      <font>
        <color rgb="FFCCFFFF"/>
      </font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ill>
        <patternFill>
          <bgColor rgb="FFCCFFFF"/>
        </patternFill>
      </fill>
    </dxf>
    <dxf>
      <font>
        <color rgb="FFCCFFFF"/>
      </font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 patternType="none">
          <bgColor indexed="65"/>
        </patternFill>
      </fill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ill>
        <patternFill>
          <bgColor rgb="FFFFFFFF"/>
        </patternFill>
      </fill>
    </dxf>
    <dxf>
      <font>
        <color rgb="FFCCFFFF"/>
      </font>
    </dxf>
    <dxf>
      <fill>
        <patternFill>
          <bgColor rgb="FFCCFFFF"/>
        </patternFill>
      </fill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10"/>
      </font>
      <fill>
        <patternFill>
          <bgColor indexed="9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</dxf>
    <dxf>
      <font>
        <color rgb="FFCCFFFF"/>
      </font>
    </dxf>
    <dxf>
      <fill>
        <patternFill>
          <bgColor rgb="FFCCFFFF"/>
        </patternFill>
      </fill>
    </dxf>
    <dxf>
      <font>
        <b/>
        <i val="0"/>
      </font>
      <fill>
        <patternFill patternType="solid">
          <bgColor auto="1"/>
        </patternFill>
      </fill>
    </dxf>
  </dxfs>
  <tableStyles count="0" defaultTableStyle="TableStyleMedium2" defaultPivotStyle="PivotStyleLight16"/>
  <colors>
    <mruColors>
      <color rgb="FFCCFFFF"/>
      <color rgb="FFCCC0DA"/>
      <color rgb="FFCCECFF"/>
      <color rgb="FF66CCFF"/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zoomScale="80" zoomScaleNormal="80" workbookViewId="0"/>
  </sheetViews>
  <sheetFormatPr defaultColWidth="9.140625" defaultRowHeight="15"/>
  <cols>
    <col min="1" max="1" width="3.7109375" style="1242" customWidth="1"/>
    <col min="2" max="2" width="7.7109375" style="1242" customWidth="1"/>
    <col min="3" max="3" width="145.7109375" style="1242" customWidth="1"/>
    <col min="4" max="4" width="14.28515625" style="1242" customWidth="1"/>
    <col min="5" max="16384" width="9.140625" style="1242"/>
  </cols>
  <sheetData>
    <row r="1" spans="1:5" ht="24.95" customHeight="1">
      <c r="A1" s="813"/>
      <c r="B1" s="814" t="s">
        <v>308</v>
      </c>
      <c r="C1" s="815"/>
      <c r="D1" s="815"/>
      <c r="E1" s="816"/>
    </row>
    <row r="2" spans="1:5" ht="24.95" customHeight="1">
      <c r="A2" s="817"/>
      <c r="B2" s="670" t="s">
        <v>0</v>
      </c>
      <c r="C2" s="809"/>
      <c r="D2" s="809"/>
      <c r="E2" s="818"/>
    </row>
    <row r="3" spans="1:5" ht="24.95" customHeight="1">
      <c r="A3" s="817"/>
      <c r="B3" s="1802" t="str">
        <f>VLOOKUP('Background Data'!$C$2,Inst_Tables,2,FALSE)</f>
        <v>Glasgow, University of</v>
      </c>
      <c r="C3" s="1803"/>
      <c r="D3" s="812"/>
      <c r="E3" s="819"/>
    </row>
    <row r="4" spans="1:5" ht="24.95" customHeight="1">
      <c r="A4" s="817"/>
      <c r="B4" s="737" t="s">
        <v>253</v>
      </c>
      <c r="C4" s="334"/>
      <c r="D4" s="334"/>
      <c r="E4" s="667"/>
    </row>
    <row r="5" spans="1:5" ht="9.9499999999999993" customHeight="1" thickBot="1">
      <c r="A5" s="817"/>
      <c r="B5" s="334"/>
      <c r="C5" s="334"/>
      <c r="D5" s="334"/>
      <c r="E5" s="667"/>
    </row>
    <row r="6" spans="1:5" ht="30" customHeight="1">
      <c r="A6" s="817"/>
      <c r="B6" s="1798" t="s">
        <v>254</v>
      </c>
      <c r="C6" s="1799"/>
      <c r="D6" s="1800" t="s">
        <v>255</v>
      </c>
      <c r="E6" s="667"/>
    </row>
    <row r="7" spans="1:5" ht="39.950000000000003" customHeight="1">
      <c r="A7" s="817"/>
      <c r="B7" s="810" t="s">
        <v>173</v>
      </c>
      <c r="C7" s="811" t="s">
        <v>126</v>
      </c>
      <c r="D7" s="1801"/>
      <c r="E7" s="667"/>
    </row>
    <row r="8" spans="1:5" ht="30" customHeight="1">
      <c r="A8" s="817"/>
      <c r="B8" s="1298">
        <v>1</v>
      </c>
      <c r="C8" s="823" t="s">
        <v>408</v>
      </c>
      <c r="D8" s="830" t="s">
        <v>256</v>
      </c>
      <c r="E8" s="820"/>
    </row>
    <row r="9" spans="1:5" ht="30" customHeight="1">
      <c r="A9" s="817"/>
      <c r="B9" s="1299" t="s">
        <v>143</v>
      </c>
      <c r="C9" s="822" t="s">
        <v>309</v>
      </c>
      <c r="D9" s="821" t="str">
        <f>IF(E9&gt;0,"YES","")</f>
        <v>YES</v>
      </c>
      <c r="E9" s="829">
        <f>VLOOKUP('Background Data'!$C$2,Inst_Tables,3,FALSE)</f>
        <v>1</v>
      </c>
    </row>
    <row r="10" spans="1:5" ht="30" customHeight="1">
      <c r="A10" s="817"/>
      <c r="B10" s="1299" t="s">
        <v>144</v>
      </c>
      <c r="C10" s="822" t="s">
        <v>310</v>
      </c>
      <c r="D10" s="821" t="str">
        <f t="shared" ref="D10:D17" si="0">IF(E10&gt;0,"YES","")</f>
        <v/>
      </c>
      <c r="E10" s="829">
        <f>VLOOKUP('Background Data'!$C$2,Inst_Tables,4,FALSE)</f>
        <v>0</v>
      </c>
    </row>
    <row r="11" spans="1:5" ht="30" customHeight="1">
      <c r="A11" s="817"/>
      <c r="B11" s="1299" t="s">
        <v>145</v>
      </c>
      <c r="C11" s="822" t="s">
        <v>311</v>
      </c>
      <c r="D11" s="821" t="str">
        <f t="shared" si="0"/>
        <v>YES</v>
      </c>
      <c r="E11" s="829">
        <f>VLOOKUP('Background Data'!$C$2,Inst_Tables,5,FALSE)</f>
        <v>1</v>
      </c>
    </row>
    <row r="12" spans="1:5" ht="30" customHeight="1">
      <c r="A12" s="817"/>
      <c r="B12" s="1299" t="s">
        <v>219</v>
      </c>
      <c r="C12" s="822" t="s">
        <v>312</v>
      </c>
      <c r="D12" s="821" t="str">
        <f t="shared" si="0"/>
        <v>YES</v>
      </c>
      <c r="E12" s="829">
        <f>VLOOKUP('Background Data'!$C$2,Inst_Tables,6,FALSE)</f>
        <v>1</v>
      </c>
    </row>
    <row r="13" spans="1:5" ht="30" customHeight="1">
      <c r="A13" s="817"/>
      <c r="B13" s="1299">
        <v>3</v>
      </c>
      <c r="C13" s="822" t="s">
        <v>313</v>
      </c>
      <c r="D13" s="821" t="str">
        <f t="shared" si="0"/>
        <v>YES</v>
      </c>
      <c r="E13" s="829">
        <f>VLOOKUP('Background Data'!$C$2,Inst_Tables,7,FALSE)</f>
        <v>1</v>
      </c>
    </row>
    <row r="14" spans="1:5" ht="30" customHeight="1">
      <c r="A14" s="817"/>
      <c r="B14" s="1299" t="s">
        <v>207</v>
      </c>
      <c r="C14" s="822" t="s">
        <v>314</v>
      </c>
      <c r="D14" s="821" t="str">
        <f t="shared" si="0"/>
        <v/>
      </c>
      <c r="E14" s="829">
        <f>VLOOKUP('Background Data'!$C$2,Inst_Tables,8,FALSE)</f>
        <v>0</v>
      </c>
    </row>
    <row r="15" spans="1:5" ht="30" customHeight="1">
      <c r="A15" s="817"/>
      <c r="B15" s="1299" t="s">
        <v>208</v>
      </c>
      <c r="C15" s="822" t="s">
        <v>315</v>
      </c>
      <c r="D15" s="821" t="str">
        <f t="shared" si="0"/>
        <v>YES</v>
      </c>
      <c r="E15" s="829">
        <f>VLOOKUP('Background Data'!$C$2,Inst_Tables,9,FALSE)</f>
        <v>1</v>
      </c>
    </row>
    <row r="16" spans="1:5" ht="30" customHeight="1">
      <c r="A16" s="817"/>
      <c r="B16" s="1775" t="s">
        <v>174</v>
      </c>
      <c r="C16" s="1776" t="s">
        <v>406</v>
      </c>
      <c r="D16" s="1772" t="s">
        <v>405</v>
      </c>
      <c r="E16" s="829"/>
    </row>
    <row r="17" spans="1:5" ht="30" customHeight="1">
      <c r="A17" s="817"/>
      <c r="B17" s="1299" t="s">
        <v>175</v>
      </c>
      <c r="C17" s="822" t="s">
        <v>416</v>
      </c>
      <c r="D17" s="1771" t="str">
        <f t="shared" si="0"/>
        <v>YES</v>
      </c>
      <c r="E17" s="829">
        <f>VLOOKUP('Background Data'!$C$2,Inst_Tables,10,FALSE)</f>
        <v>1</v>
      </c>
    </row>
    <row r="18" spans="1:5" ht="30" customHeight="1">
      <c r="A18" s="817"/>
      <c r="B18" s="1300" t="s">
        <v>176</v>
      </c>
      <c r="C18" s="824" t="s">
        <v>316</v>
      </c>
      <c r="D18" s="825" t="str">
        <f t="shared" ref="D18" si="1">IF(E18&gt;0,"YES","")</f>
        <v/>
      </c>
      <c r="E18" s="829">
        <f>VLOOKUP('Background Data'!$C$2,Inst_Tables,11,FALSE)</f>
        <v>0</v>
      </c>
    </row>
    <row r="19" spans="1:5" ht="30" customHeight="1" thickBot="1">
      <c r="A19" s="817"/>
      <c r="B19" s="1301">
        <v>6</v>
      </c>
      <c r="C19" s="1302" t="s">
        <v>317</v>
      </c>
      <c r="D19" s="1303" t="s">
        <v>256</v>
      </c>
      <c r="E19" s="820"/>
    </row>
    <row r="20" spans="1:5" ht="30" customHeight="1" thickTop="1" thickBot="1">
      <c r="A20" s="817"/>
      <c r="B20" s="826"/>
      <c r="C20" s="827" t="s">
        <v>318</v>
      </c>
      <c r="D20" s="828" t="s">
        <v>257</v>
      </c>
      <c r="E20" s="667"/>
    </row>
    <row r="21" spans="1:5" ht="30" customHeight="1">
      <c r="A21" s="1773"/>
      <c r="B21" s="656" t="s">
        <v>392</v>
      </c>
      <c r="C21" s="334"/>
      <c r="D21" s="334"/>
      <c r="E21" s="1774"/>
    </row>
    <row r="22" spans="1:5">
      <c r="A22" s="649"/>
      <c r="B22" s="646"/>
      <c r="C22" s="646"/>
      <c r="D22" s="646"/>
      <c r="E22" s="648"/>
    </row>
  </sheetData>
  <sheetProtection password="E23E" sheet="1" objects="1" scenarios="1"/>
  <mergeCells count="3">
    <mergeCell ref="B6:C6"/>
    <mergeCell ref="D6:D7"/>
    <mergeCell ref="B3:C3"/>
  </mergeCells>
  <conditionalFormatting sqref="B9:D15 B17:D18">
    <cfRule type="expression" dxfId="85" priority="1">
      <formula>$E9&gt;0</formula>
    </cfRule>
  </conditionalFormatting>
  <pageMargins left="0.19685039370078741" right="0.19685039370078741" top="0.19685039370078741" bottom="0.39370078740157483" header="0" footer="0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zoomScaleNormal="100" workbookViewId="0"/>
  </sheetViews>
  <sheetFormatPr defaultColWidth="9.140625" defaultRowHeight="15"/>
  <cols>
    <col min="1" max="1" width="5.7109375" style="1541" customWidth="1"/>
    <col min="2" max="2" width="53.7109375" style="1541" customWidth="1"/>
    <col min="3" max="3" width="40" style="1541" customWidth="1"/>
    <col min="4" max="4" width="12.7109375" style="1541" customWidth="1"/>
    <col min="5" max="5" width="15.7109375" style="1541" customWidth="1"/>
    <col min="6" max="6" width="37.28515625" style="1541" customWidth="1"/>
    <col min="7" max="16384" width="9.140625" style="1541"/>
  </cols>
  <sheetData>
    <row r="1" spans="1:7">
      <c r="A1" s="1540"/>
      <c r="B1" s="1540"/>
      <c r="C1" s="1540"/>
      <c r="D1" s="1540"/>
      <c r="E1" s="1540"/>
      <c r="F1" s="1540"/>
      <c r="G1" s="1540"/>
    </row>
    <row r="2" spans="1:7" s="1546" customFormat="1" ht="30" customHeight="1">
      <c r="A2" s="1542"/>
      <c r="B2" s="1543" t="s">
        <v>337</v>
      </c>
      <c r="C2" s="1544"/>
      <c r="D2" s="1544"/>
      <c r="E2" s="1544"/>
      <c r="F2" s="1545"/>
      <c r="G2" s="1596"/>
    </row>
    <row r="3" spans="1:7" s="1546" customFormat="1" ht="15" customHeight="1" thickBot="1">
      <c r="A3" s="1547"/>
      <c r="B3" s="1548"/>
      <c r="C3" s="1549"/>
      <c r="D3" s="1549"/>
      <c r="E3" s="1549"/>
      <c r="F3" s="1550"/>
      <c r="G3" s="1596"/>
    </row>
    <row r="4" spans="1:7" ht="35.1" customHeight="1" thickBot="1">
      <c r="A4" s="1551"/>
      <c r="B4" s="1552" t="s">
        <v>0</v>
      </c>
      <c r="C4" s="1615" t="str">
        <f>VLOOKUP('Background Data'!$C$2,Inst_Tables,2,FALSE)</f>
        <v>Glasgow, University of</v>
      </c>
      <c r="D4" s="1553"/>
      <c r="E4" s="1553"/>
      <c r="F4" s="1554"/>
      <c r="G4" s="1540"/>
    </row>
    <row r="5" spans="1:7" ht="30" customHeight="1">
      <c r="A5" s="1551"/>
      <c r="B5" s="1548" t="s">
        <v>406</v>
      </c>
      <c r="C5" s="1555"/>
      <c r="D5" s="1555"/>
      <c r="E5" s="1555"/>
      <c r="F5" s="1556"/>
      <c r="G5" s="1540"/>
    </row>
    <row r="6" spans="1:7" ht="30" customHeight="1">
      <c r="A6" s="1551"/>
      <c r="B6" s="19" t="s">
        <v>426</v>
      </c>
      <c r="C6" s="1555"/>
      <c r="D6" s="1555"/>
      <c r="E6" s="1555"/>
      <c r="F6" s="1556"/>
      <c r="G6" s="1540"/>
    </row>
    <row r="7" spans="1:7" ht="9.9499999999999993" customHeight="1" thickBot="1">
      <c r="A7" s="1551"/>
      <c r="B7" s="1555"/>
      <c r="C7" s="1555"/>
      <c r="D7" s="1555"/>
      <c r="E7" s="1555"/>
      <c r="F7" s="1556"/>
      <c r="G7" s="1540"/>
    </row>
    <row r="8" spans="1:7" ht="84.95" customHeight="1">
      <c r="A8" s="1551"/>
      <c r="B8" s="1557" t="s">
        <v>379</v>
      </c>
      <c r="C8" s="1558" t="s">
        <v>380</v>
      </c>
      <c r="D8" s="1559" t="s">
        <v>381</v>
      </c>
      <c r="E8" s="1560" t="s">
        <v>382</v>
      </c>
      <c r="F8" s="1556"/>
      <c r="G8" s="1540"/>
    </row>
    <row r="9" spans="1:7" ht="21.95" customHeight="1">
      <c r="A9" s="1551"/>
      <c r="B9" s="1561"/>
      <c r="C9" s="1562"/>
      <c r="D9" s="1563" t="s">
        <v>17</v>
      </c>
      <c r="E9" s="1564" t="s">
        <v>17</v>
      </c>
      <c r="F9" s="1556"/>
      <c r="G9" s="1540"/>
    </row>
    <row r="10" spans="1:7" ht="21.95" customHeight="1" thickBot="1">
      <c r="A10" s="1551"/>
      <c r="B10" s="1565"/>
      <c r="C10" s="1566"/>
      <c r="D10" s="1567"/>
      <c r="E10" s="1568">
        <v>1</v>
      </c>
      <c r="F10" s="1556"/>
      <c r="G10" s="1540"/>
    </row>
    <row r="11" spans="1:7" ht="30" customHeight="1">
      <c r="A11" s="1551"/>
      <c r="B11" s="1561" t="s">
        <v>383</v>
      </c>
      <c r="C11" s="1562" t="s">
        <v>62</v>
      </c>
      <c r="D11" s="1569">
        <v>15</v>
      </c>
      <c r="E11" s="1570"/>
      <c r="F11" s="1556"/>
      <c r="G11" s="1540"/>
    </row>
    <row r="12" spans="1:7" ht="30" customHeight="1">
      <c r="A12" s="1551"/>
      <c r="B12" s="1571" t="s">
        <v>384</v>
      </c>
      <c r="C12" s="1572" t="s">
        <v>46</v>
      </c>
      <c r="D12" s="1573">
        <v>50</v>
      </c>
      <c r="E12" s="1574">
        <v>24</v>
      </c>
      <c r="F12" s="1556"/>
      <c r="G12" s="1540"/>
    </row>
    <row r="13" spans="1:7" ht="30" customHeight="1">
      <c r="A13" s="1551"/>
      <c r="B13" s="1571" t="s">
        <v>385</v>
      </c>
      <c r="C13" s="1572" t="s">
        <v>54</v>
      </c>
      <c r="D13" s="1573">
        <v>15</v>
      </c>
      <c r="E13" s="1574"/>
      <c r="F13" s="1556"/>
      <c r="G13" s="1540"/>
    </row>
    <row r="14" spans="1:7" ht="30" customHeight="1">
      <c r="A14" s="1551"/>
      <c r="B14" s="1571" t="s">
        <v>386</v>
      </c>
      <c r="C14" s="1572" t="s">
        <v>49</v>
      </c>
      <c r="D14" s="1573">
        <v>20</v>
      </c>
      <c r="E14" s="1574">
        <v>7</v>
      </c>
      <c r="F14" s="1556"/>
      <c r="G14" s="1540"/>
    </row>
    <row r="15" spans="1:7" ht="30" customHeight="1">
      <c r="A15" s="1551"/>
      <c r="B15" s="1571" t="s">
        <v>387</v>
      </c>
      <c r="C15" s="1572" t="s">
        <v>49</v>
      </c>
      <c r="D15" s="1573">
        <v>30</v>
      </c>
      <c r="E15" s="1574">
        <v>30</v>
      </c>
      <c r="F15" s="1556"/>
      <c r="G15" s="1540"/>
    </row>
    <row r="16" spans="1:7" ht="30" customHeight="1">
      <c r="A16" s="1551"/>
      <c r="B16" s="1571" t="s">
        <v>388</v>
      </c>
      <c r="C16" s="1572" t="s">
        <v>389</v>
      </c>
      <c r="D16" s="1573">
        <v>30</v>
      </c>
      <c r="E16" s="1574"/>
      <c r="F16" s="1556"/>
      <c r="G16" s="1540"/>
    </row>
    <row r="17" spans="1:7" ht="30" customHeight="1">
      <c r="A17" s="1551"/>
      <c r="B17" s="1571" t="s">
        <v>390</v>
      </c>
      <c r="C17" s="1572" t="s">
        <v>53</v>
      </c>
      <c r="D17" s="1573">
        <v>25</v>
      </c>
      <c r="E17" s="1574"/>
      <c r="F17" s="1556"/>
      <c r="G17" s="1540"/>
    </row>
    <row r="18" spans="1:7" ht="30" customHeight="1" thickBot="1">
      <c r="A18" s="1551"/>
      <c r="B18" s="1575" t="s">
        <v>391</v>
      </c>
      <c r="C18" s="1576" t="s">
        <v>54</v>
      </c>
      <c r="D18" s="1577">
        <v>30</v>
      </c>
      <c r="E18" s="1578"/>
      <c r="F18" s="1556"/>
      <c r="G18" s="1540"/>
    </row>
    <row r="19" spans="1:7" ht="27" customHeight="1" thickBot="1">
      <c r="A19" s="1551"/>
      <c r="B19" s="1579" t="s">
        <v>2</v>
      </c>
      <c r="C19" s="1580"/>
      <c r="D19" s="1581"/>
      <c r="E19" s="1582">
        <f>SUM(E11:E18)</f>
        <v>61</v>
      </c>
      <c r="F19" s="1556"/>
      <c r="G19" s="1540"/>
    </row>
    <row r="20" spans="1:7" ht="30" customHeight="1">
      <c r="A20" s="1551"/>
      <c r="B20" s="1583" t="s">
        <v>392</v>
      </c>
      <c r="C20" s="1555"/>
      <c r="D20" s="1555"/>
      <c r="E20" s="1555"/>
      <c r="F20" s="1556"/>
      <c r="G20" s="1540"/>
    </row>
    <row r="21" spans="1:7">
      <c r="A21" s="1584"/>
      <c r="B21" s="1585"/>
      <c r="C21" s="1585"/>
      <c r="D21" s="1585"/>
      <c r="E21" s="1585"/>
      <c r="F21" s="1586"/>
      <c r="G21" s="1540"/>
    </row>
  </sheetData>
  <sheetProtection password="E23E" sheet="1" objects="1" scenarios="1"/>
  <dataValidations count="2">
    <dataValidation allowBlank="1" sqref="C4 C2:F3 G2:IP4"/>
    <dataValidation type="decimal" operator="greaterThanOrEqual" allowBlank="1" showInputMessage="1" showErrorMessage="1" errorTitle="ERROR!" error="Invalid Entry" sqref="E11:E18">
      <formula1>0</formula1>
    </dataValidation>
  </dataValidations>
  <pageMargins left="0.19685039370078741" right="0.19685039370078741" top="0.19685039370078741" bottom="0.39370078740157483" header="0" footer="0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6799067-58E3-475E-8F8B-B4B75C1F5CBC}">
            <xm:f>$C11='Background Data'!$D$2</xm:f>
            <x14:dxf>
              <font>
                <color rgb="FFFF0000"/>
              </font>
            </x14:dxf>
          </x14:cfRule>
          <xm:sqref>B11:C18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zoomScaleNormal="100" workbookViewId="0"/>
  </sheetViews>
  <sheetFormatPr defaultColWidth="9.140625" defaultRowHeight="15"/>
  <cols>
    <col min="1" max="1" width="2.7109375" style="1242" customWidth="1"/>
    <col min="2" max="2" width="26.85546875" style="1242" customWidth="1"/>
    <col min="3" max="3" width="18.7109375" style="1242" customWidth="1"/>
    <col min="4" max="4" width="18.7109375" style="1265" customWidth="1"/>
    <col min="5" max="5" width="37.7109375" style="1265" customWidth="1"/>
    <col min="6" max="16384" width="9.140625" style="1242"/>
  </cols>
  <sheetData>
    <row r="1" spans="1:5" ht="39.950000000000003" customHeight="1">
      <c r="A1" s="688"/>
      <c r="B1" s="366" t="str">
        <f>IF(E4=0,"Your Institution Does Not Complete This Table","")</f>
        <v/>
      </c>
      <c r="C1" s="8"/>
      <c r="D1" s="8"/>
      <c r="E1" s="8"/>
    </row>
    <row r="2" spans="1:5" s="1263" customFormat="1" ht="30" customHeight="1">
      <c r="A2" s="740"/>
      <c r="B2" s="629" t="s">
        <v>338</v>
      </c>
      <c r="C2" s="629"/>
      <c r="D2" s="630"/>
      <c r="E2" s="1783"/>
    </row>
    <row r="3" spans="1:5" s="1263" customFormat="1" ht="15" customHeight="1" thickBot="1">
      <c r="A3" s="742"/>
      <c r="B3" s="702"/>
      <c r="C3" s="632"/>
      <c r="D3" s="207"/>
      <c r="E3" s="1784"/>
    </row>
    <row r="4" spans="1:5" ht="35.1" customHeight="1" thickBot="1">
      <c r="A4" s="743"/>
      <c r="B4" s="736" t="s">
        <v>0</v>
      </c>
      <c r="C4" s="1950" t="str">
        <f>VLOOKUP('Background Data'!$C$2,Inst_Tables,2,FALSE)</f>
        <v>Glasgow, University of</v>
      </c>
      <c r="D4" s="1951"/>
      <c r="E4" s="1785">
        <f>VLOOKUP('Background Data'!$C$2,Inst_Tables,10,FALSE)</f>
        <v>1</v>
      </c>
    </row>
    <row r="5" spans="1:5" s="1248" customFormat="1" ht="35.1" customHeight="1">
      <c r="A5" s="744"/>
      <c r="B5" s="737" t="s">
        <v>416</v>
      </c>
      <c r="C5" s="370"/>
      <c r="D5" s="370"/>
      <c r="E5" s="1786"/>
    </row>
    <row r="6" spans="1:5" s="1248" customFormat="1" ht="30" customHeight="1">
      <c r="A6" s="744"/>
      <c r="B6" s="19" t="s">
        <v>427</v>
      </c>
      <c r="C6" s="370"/>
      <c r="D6" s="370"/>
      <c r="E6" s="1786"/>
    </row>
    <row r="7" spans="1:5" s="1248" customFormat="1" ht="15" customHeight="1" thickBot="1">
      <c r="A7" s="744"/>
      <c r="B7" s="374"/>
      <c r="C7" s="370"/>
      <c r="D7" s="370"/>
      <c r="E7" s="1785"/>
    </row>
    <row r="8" spans="1:5" ht="99.95" customHeight="1">
      <c r="A8" s="743"/>
      <c r="B8" s="658"/>
      <c r="C8" s="403" t="s">
        <v>167</v>
      </c>
      <c r="D8" s="1779" t="s">
        <v>413</v>
      </c>
      <c r="E8" s="1787"/>
    </row>
    <row r="9" spans="1:5" ht="24.95" customHeight="1">
      <c r="A9" s="743"/>
      <c r="B9" s="659" t="s">
        <v>168</v>
      </c>
      <c r="C9" s="832" t="s">
        <v>17</v>
      </c>
      <c r="D9" s="379" t="s">
        <v>17</v>
      </c>
      <c r="E9" s="832"/>
    </row>
    <row r="10" spans="1:5" ht="24.95" customHeight="1">
      <c r="A10" s="743"/>
      <c r="B10" s="660"/>
      <c r="C10" s="832" t="s">
        <v>56</v>
      </c>
      <c r="D10" s="1778" t="s">
        <v>30</v>
      </c>
      <c r="E10" s="832"/>
    </row>
    <row r="11" spans="1:5" ht="24.95" customHeight="1" thickBot="1">
      <c r="A11" s="743"/>
      <c r="B11" s="661"/>
      <c r="C11" s="962">
        <v>1</v>
      </c>
      <c r="D11" s="964">
        <v>2</v>
      </c>
      <c r="E11" s="1788"/>
    </row>
    <row r="12" spans="1:5" ht="35.1" customHeight="1">
      <c r="A12" s="743"/>
      <c r="B12" s="1536" t="s">
        <v>377</v>
      </c>
      <c r="C12" s="1537">
        <f>VLOOKUP('Background Data'!$C$2,Inst_FPs,30,FALSE)</f>
        <v>16.5</v>
      </c>
      <c r="D12" s="1780">
        <v>79.5</v>
      </c>
      <c r="E12" s="1789"/>
    </row>
    <row r="13" spans="1:5" ht="35.1" customHeight="1" thickBot="1">
      <c r="A13" s="743"/>
      <c r="B13" s="1538" t="s">
        <v>378</v>
      </c>
      <c r="C13" s="1539">
        <f>VLOOKUP('Background Data'!$C$2,Inst_FPs,31,FALSE)</f>
        <v>0</v>
      </c>
      <c r="D13" s="1781"/>
      <c r="E13" s="1789"/>
    </row>
    <row r="14" spans="1:5" ht="30" customHeight="1">
      <c r="A14" s="743"/>
      <c r="B14" s="738" t="s">
        <v>414</v>
      </c>
      <c r="C14" s="635"/>
      <c r="D14" s="635"/>
      <c r="E14" s="1789"/>
    </row>
    <row r="15" spans="1:5" ht="20.100000000000001" customHeight="1">
      <c r="A15" s="636"/>
      <c r="B15" s="738" t="s">
        <v>415</v>
      </c>
      <c r="C15" s="635"/>
      <c r="D15" s="635"/>
      <c r="E15" s="1789"/>
    </row>
    <row r="16" spans="1:5" ht="20.100000000000001" customHeight="1">
      <c r="A16" s="1593"/>
      <c r="B16" s="1293" t="s">
        <v>417</v>
      </c>
      <c r="C16" s="635"/>
      <c r="D16" s="635"/>
      <c r="E16" s="1789"/>
    </row>
    <row r="17" spans="1:5" ht="15" customHeight="1">
      <c r="A17" s="649"/>
      <c r="B17" s="739"/>
      <c r="C17" s="646"/>
      <c r="D17" s="647"/>
      <c r="E17" s="1790"/>
    </row>
    <row r="18" spans="1:5" s="1264" customFormat="1" ht="15.75" customHeight="1"/>
    <row r="19" spans="1:5" ht="15.75" customHeight="1"/>
    <row r="20" spans="1:5" ht="15.75" customHeight="1"/>
    <row r="21" spans="1:5" ht="15.75" customHeight="1"/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sheetProtection password="E23E" sheet="1" objects="1" scenarios="1"/>
  <mergeCells count="1">
    <mergeCell ref="C4:D4"/>
  </mergeCells>
  <conditionalFormatting sqref="D12">
    <cfRule type="expression" dxfId="19" priority="3" stopIfTrue="1">
      <formula>C12&gt;0</formula>
    </cfRule>
  </conditionalFormatting>
  <conditionalFormatting sqref="B2">
    <cfRule type="expression" dxfId="18" priority="2" stopIfTrue="1">
      <formula>#REF!=0</formula>
    </cfRule>
  </conditionalFormatting>
  <conditionalFormatting sqref="D13">
    <cfRule type="expression" dxfId="17" priority="1" stopIfTrue="1">
      <formula>C13&gt;0</formula>
    </cfRule>
  </conditionalFormatting>
  <conditionalFormatting sqref="A1:E1">
    <cfRule type="expression" dxfId="16" priority="299" stopIfTrue="1">
      <formula>$E$4=0</formula>
    </cfRule>
  </conditionalFormatting>
  <dataValidations count="4">
    <dataValidation type="custom" allowBlank="1" showErrorMessage="1" errorTitle="No HFU funded places" error="You cannot enter HFU funded student FTE where no HFU funded places exist " sqref="D14:D16">
      <formula1>AND($C14&gt;0,$D14&gt;=0)</formula1>
    </dataValidation>
    <dataValidation allowBlank="1" sqref="C2:C4 B18:B65484 C12:C16 B8:B13 F1:IO1048576 E12:E16 C17:E65484 C8:E11 D2:E3"/>
    <dataValidation type="custom" allowBlank="1" showErrorMessage="1" errorTitle="ERROR!" error="Either_x000a_No Allocation of Funded Places_x000a_Or_x000a_Invalid Entry" sqref="D13">
      <formula1>AND($C13&gt;0,$D13&gt;=0)</formula1>
    </dataValidation>
    <dataValidation type="custom" allowBlank="1" showErrorMessage="1" errorTitle="ERROR!" error="Either_x000a_No Allocation of Funded Places_x000a_Or_x000a_Invalid Entry" sqref="D12">
      <formula1>AND($C12&gt;0,$D12&gt;=0)</formula1>
    </dataValidation>
  </dataValidations>
  <printOptions horizontalCentered="1"/>
  <pageMargins left="0.19685039370078741" right="0.19685039370078741" top="0.19685039370078741" bottom="0.19685039370078741" header="0" footer="0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zoomScaleNormal="100" workbookViewId="0"/>
  </sheetViews>
  <sheetFormatPr defaultColWidth="9.140625" defaultRowHeight="15"/>
  <cols>
    <col min="1" max="1" width="2.7109375" style="1242" customWidth="1"/>
    <col min="2" max="2" width="72.42578125" style="1242" customWidth="1"/>
    <col min="3" max="7" width="18.7109375" style="1265" customWidth="1"/>
    <col min="8" max="8" width="5.7109375" style="1242" customWidth="1"/>
    <col min="9" max="16384" width="9.140625" style="1242"/>
  </cols>
  <sheetData>
    <row r="1" spans="1:8" ht="39.950000000000003" customHeight="1">
      <c r="A1" s="688"/>
      <c r="B1" s="366" t="str">
        <f>IF(E4=0,"Your Institution Does Not Complete This Table","")</f>
        <v>Your Institution Does Not Complete This Table</v>
      </c>
      <c r="C1" s="8"/>
      <c r="D1" s="8"/>
      <c r="E1" s="8"/>
      <c r="F1" s="8"/>
      <c r="G1" s="8"/>
      <c r="H1" s="8"/>
    </row>
    <row r="2" spans="1:8" s="1263" customFormat="1" ht="30" customHeight="1">
      <c r="A2" s="740"/>
      <c r="B2" s="629" t="s">
        <v>412</v>
      </c>
      <c r="C2" s="630"/>
      <c r="D2" s="630"/>
      <c r="E2" s="1587"/>
      <c r="F2" s="1587"/>
      <c r="G2" s="630"/>
      <c r="H2" s="631"/>
    </row>
    <row r="3" spans="1:8" s="1263" customFormat="1" ht="15" customHeight="1" thickBot="1">
      <c r="A3" s="742"/>
      <c r="B3" s="702"/>
      <c r="C3" s="207"/>
      <c r="D3" s="207"/>
      <c r="E3" s="207"/>
      <c r="F3" s="207"/>
      <c r="G3" s="207"/>
      <c r="H3" s="633"/>
    </row>
    <row r="4" spans="1:8" ht="35.1" customHeight="1" thickBot="1">
      <c r="A4" s="743"/>
      <c r="B4" s="736" t="s">
        <v>0</v>
      </c>
      <c r="C4" s="1950" t="str">
        <f>VLOOKUP('Background Data'!$C$2,Inst_Tables,2,FALSE)</f>
        <v>Glasgow, University of</v>
      </c>
      <c r="D4" s="1951"/>
      <c r="E4" s="835">
        <f>VLOOKUP('Background Data'!$C$2,Inst_Tables,11,FALSE)</f>
        <v>0</v>
      </c>
      <c r="F4" s="370"/>
      <c r="G4" s="370"/>
      <c r="H4" s="667"/>
    </row>
    <row r="5" spans="1:8" s="1248" customFormat="1" ht="35.1" customHeight="1">
      <c r="A5" s="744"/>
      <c r="B5" s="702" t="s">
        <v>316</v>
      </c>
      <c r="C5" s="370"/>
      <c r="D5" s="370"/>
      <c r="E5" s="370"/>
      <c r="F5" s="370"/>
      <c r="G5" s="370"/>
      <c r="H5" s="634"/>
    </row>
    <row r="6" spans="1:8" s="1248" customFormat="1" ht="30" customHeight="1">
      <c r="A6" s="744"/>
      <c r="B6" s="19" t="s">
        <v>429</v>
      </c>
      <c r="C6" s="370"/>
      <c r="D6" s="370"/>
      <c r="E6" s="370"/>
      <c r="F6" s="370"/>
      <c r="G6" s="370"/>
      <c r="H6" s="634"/>
    </row>
    <row r="7" spans="1:8" s="1248" customFormat="1" ht="24.95" customHeight="1">
      <c r="A7" s="744"/>
      <c r="B7" s="19" t="s">
        <v>428</v>
      </c>
      <c r="C7" s="370"/>
      <c r="D7" s="370"/>
      <c r="E7" s="370"/>
      <c r="F7" s="370"/>
      <c r="G7" s="370"/>
      <c r="H7" s="634"/>
    </row>
    <row r="8" spans="1:8" ht="15" customHeight="1" thickBot="1">
      <c r="A8" s="743"/>
      <c r="B8" s="745"/>
      <c r="C8" s="143"/>
      <c r="D8" s="143"/>
      <c r="E8" s="143"/>
      <c r="F8" s="143"/>
      <c r="G8" s="143"/>
      <c r="H8" s="637"/>
    </row>
    <row r="9" spans="1:8" ht="30" customHeight="1" thickBot="1">
      <c r="A9" s="743"/>
      <c r="B9" s="638"/>
      <c r="C9" s="1952" t="s">
        <v>201</v>
      </c>
      <c r="D9" s="1953"/>
      <c r="E9" s="1953"/>
      <c r="F9" s="1953"/>
      <c r="G9" s="1954"/>
      <c r="H9" s="634"/>
    </row>
    <row r="10" spans="1:8" ht="30" customHeight="1">
      <c r="A10" s="743"/>
      <c r="B10" s="1283"/>
      <c r="C10" s="1957" t="s">
        <v>298</v>
      </c>
      <c r="D10" s="1958" t="s">
        <v>299</v>
      </c>
      <c r="E10" s="1955" t="s">
        <v>393</v>
      </c>
      <c r="F10" s="1955"/>
      <c r="G10" s="1956"/>
      <c r="H10" s="1284"/>
    </row>
    <row r="11" spans="1:8" ht="30" customHeight="1">
      <c r="A11" s="1593"/>
      <c r="B11" s="1283"/>
      <c r="C11" s="1957"/>
      <c r="D11" s="1958"/>
      <c r="E11" s="1599" t="s">
        <v>394</v>
      </c>
      <c r="F11" s="1594" t="s">
        <v>297</v>
      </c>
      <c r="G11" s="1595" t="s">
        <v>2</v>
      </c>
      <c r="H11" s="1284"/>
    </row>
    <row r="12" spans="1:8" ht="24.95" customHeight="1">
      <c r="A12" s="743"/>
      <c r="B12" s="836" t="s">
        <v>168</v>
      </c>
      <c r="C12" s="1598" t="s">
        <v>17</v>
      </c>
      <c r="D12" s="833" t="s">
        <v>17</v>
      </c>
      <c r="E12" s="1600" t="s">
        <v>17</v>
      </c>
      <c r="F12" s="378" t="s">
        <v>17</v>
      </c>
      <c r="G12" s="665" t="s">
        <v>17</v>
      </c>
      <c r="H12" s="645"/>
    </row>
    <row r="13" spans="1:8" ht="24.95" customHeight="1">
      <c r="A13" s="743"/>
      <c r="B13" s="640"/>
      <c r="C13" s="1598" t="s">
        <v>30</v>
      </c>
      <c r="D13" s="833" t="s">
        <v>30</v>
      </c>
      <c r="E13" s="657" t="s">
        <v>30</v>
      </c>
      <c r="F13" s="378" t="s">
        <v>30</v>
      </c>
      <c r="G13" s="379" t="s">
        <v>55</v>
      </c>
      <c r="H13" s="639"/>
    </row>
    <row r="14" spans="1:8" ht="24.95" customHeight="1" thickBot="1">
      <c r="A14" s="743"/>
      <c r="B14" s="1607"/>
      <c r="C14" s="1608">
        <v>1</v>
      </c>
      <c r="D14" s="963">
        <v>2</v>
      </c>
      <c r="E14" s="1609">
        <v>3</v>
      </c>
      <c r="F14" s="1610">
        <v>4</v>
      </c>
      <c r="G14" s="964">
        <v>5</v>
      </c>
      <c r="H14" s="454"/>
    </row>
    <row r="15" spans="1:8" ht="35.1" customHeight="1">
      <c r="A15" s="743"/>
      <c r="B15" s="1606" t="s">
        <v>433</v>
      </c>
      <c r="C15" s="1278"/>
      <c r="D15" s="1604"/>
      <c r="E15" s="1601"/>
      <c r="F15" s="1588"/>
      <c r="G15" s="1759">
        <f>SUM(E15:F15)</f>
        <v>0</v>
      </c>
      <c r="H15" s="454"/>
    </row>
    <row r="16" spans="1:8" ht="35.1" customHeight="1">
      <c r="A16" s="743"/>
      <c r="B16" s="1269" t="s">
        <v>432</v>
      </c>
      <c r="C16" s="1277"/>
      <c r="D16" s="1603"/>
      <c r="E16" s="1602"/>
      <c r="F16" s="1589"/>
      <c r="G16" s="1760">
        <f t="shared" ref="G16:G29" si="0">SUM(E16:F16)</f>
        <v>0</v>
      </c>
      <c r="H16" s="641"/>
    </row>
    <row r="17" spans="1:8" ht="35.1" customHeight="1">
      <c r="A17" s="743"/>
      <c r="B17" s="1269" t="s">
        <v>434</v>
      </c>
      <c r="C17" s="1277"/>
      <c r="D17" s="1603"/>
      <c r="E17" s="1602"/>
      <c r="F17" s="1589"/>
      <c r="G17" s="1760">
        <f t="shared" si="0"/>
        <v>0</v>
      </c>
      <c r="H17" s="641"/>
    </row>
    <row r="18" spans="1:8" ht="35.1" customHeight="1">
      <c r="A18" s="743"/>
      <c r="B18" s="1269" t="s">
        <v>435</v>
      </c>
      <c r="C18" s="1277"/>
      <c r="D18" s="1603"/>
      <c r="E18" s="1602"/>
      <c r="F18" s="1589"/>
      <c r="G18" s="1760">
        <f t="shared" si="0"/>
        <v>0</v>
      </c>
      <c r="H18" s="641"/>
    </row>
    <row r="19" spans="1:8" ht="35.1" customHeight="1">
      <c r="A19" s="743"/>
      <c r="B19" s="1269" t="s">
        <v>436</v>
      </c>
      <c r="C19" s="1278"/>
      <c r="D19" s="1604"/>
      <c r="E19" s="1601"/>
      <c r="F19" s="1588"/>
      <c r="G19" s="1760">
        <f t="shared" si="0"/>
        <v>0</v>
      </c>
      <c r="H19" s="641"/>
    </row>
    <row r="20" spans="1:8" ht="35.1" customHeight="1">
      <c r="A20" s="743"/>
      <c r="B20" s="1269" t="s">
        <v>437</v>
      </c>
      <c r="C20" s="1277"/>
      <c r="D20" s="1603"/>
      <c r="E20" s="1602"/>
      <c r="F20" s="1589"/>
      <c r="G20" s="1760">
        <f t="shared" si="0"/>
        <v>0</v>
      </c>
      <c r="H20" s="641"/>
    </row>
    <row r="21" spans="1:8" ht="35.1" customHeight="1">
      <c r="A21" s="743"/>
      <c r="B21" s="1269" t="s">
        <v>438</v>
      </c>
      <c r="C21" s="1277"/>
      <c r="D21" s="1603"/>
      <c r="E21" s="1602"/>
      <c r="F21" s="1589"/>
      <c r="G21" s="1760">
        <f t="shared" si="0"/>
        <v>0</v>
      </c>
      <c r="H21" s="641"/>
    </row>
    <row r="22" spans="1:8" ht="35.1" customHeight="1">
      <c r="A22" s="743"/>
      <c r="B22" s="1269" t="s">
        <v>439</v>
      </c>
      <c r="C22" s="1277"/>
      <c r="D22" s="1603"/>
      <c r="E22" s="1602"/>
      <c r="F22" s="1589"/>
      <c r="G22" s="1760">
        <f t="shared" si="0"/>
        <v>0</v>
      </c>
      <c r="H22" s="641"/>
    </row>
    <row r="23" spans="1:8" ht="35.1" customHeight="1">
      <c r="A23" s="743"/>
      <c r="B23" s="1269" t="s">
        <v>440</v>
      </c>
      <c r="C23" s="1277"/>
      <c r="D23" s="1603"/>
      <c r="E23" s="1602"/>
      <c r="F23" s="1589"/>
      <c r="G23" s="1760">
        <f t="shared" si="0"/>
        <v>0</v>
      </c>
      <c r="H23" s="641"/>
    </row>
    <row r="24" spans="1:8" ht="35.1" customHeight="1">
      <c r="A24" s="743"/>
      <c r="B24" s="1269" t="s">
        <v>441</v>
      </c>
      <c r="C24" s="1277"/>
      <c r="D24" s="1603"/>
      <c r="E24" s="1602"/>
      <c r="F24" s="1589"/>
      <c r="G24" s="1760">
        <f t="shared" si="0"/>
        <v>0</v>
      </c>
      <c r="H24" s="641"/>
    </row>
    <row r="25" spans="1:8" ht="35.1" customHeight="1">
      <c r="A25" s="743"/>
      <c r="B25" s="1269" t="s">
        <v>442</v>
      </c>
      <c r="C25" s="1278"/>
      <c r="D25" s="1604"/>
      <c r="E25" s="1601"/>
      <c r="F25" s="1588"/>
      <c r="G25" s="1760">
        <f t="shared" si="0"/>
        <v>0</v>
      </c>
      <c r="H25" s="641"/>
    </row>
    <row r="26" spans="1:8" ht="35.1" customHeight="1">
      <c r="A26" s="743"/>
      <c r="B26" s="1269" t="s">
        <v>443</v>
      </c>
      <c r="C26" s="1277"/>
      <c r="D26" s="1603"/>
      <c r="E26" s="1602"/>
      <c r="F26" s="1589"/>
      <c r="G26" s="1760">
        <f t="shared" si="0"/>
        <v>0</v>
      </c>
      <c r="H26" s="641"/>
    </row>
    <row r="27" spans="1:8" ht="35.1" customHeight="1">
      <c r="A27" s="743"/>
      <c r="B27" s="1269" t="s">
        <v>444</v>
      </c>
      <c r="C27" s="1277"/>
      <c r="D27" s="1603"/>
      <c r="E27" s="1602"/>
      <c r="F27" s="1589"/>
      <c r="G27" s="1760">
        <f t="shared" si="0"/>
        <v>0</v>
      </c>
      <c r="H27" s="641"/>
    </row>
    <row r="28" spans="1:8" ht="35.1" customHeight="1">
      <c r="A28" s="743"/>
      <c r="B28" s="1269" t="s">
        <v>445</v>
      </c>
      <c r="C28" s="1277"/>
      <c r="D28" s="1603"/>
      <c r="E28" s="1602"/>
      <c r="F28" s="1589"/>
      <c r="G28" s="1760">
        <f t="shared" si="0"/>
        <v>0</v>
      </c>
      <c r="H28" s="641"/>
    </row>
    <row r="29" spans="1:8" ht="35.1" customHeight="1" thickBot="1">
      <c r="A29" s="743"/>
      <c r="B29" s="1270" t="s">
        <v>446</v>
      </c>
      <c r="C29" s="1278"/>
      <c r="D29" s="1605"/>
      <c r="E29" s="1601"/>
      <c r="F29" s="1588"/>
      <c r="G29" s="1760">
        <f t="shared" si="0"/>
        <v>0</v>
      </c>
      <c r="H29" s="641"/>
    </row>
    <row r="30" spans="1:8" ht="35.1" customHeight="1">
      <c r="A30" s="743"/>
      <c r="B30" s="1287" t="s">
        <v>2</v>
      </c>
      <c r="C30" s="1279">
        <f>SUM(C15:C29)</f>
        <v>0</v>
      </c>
      <c r="D30" s="1613">
        <f t="shared" ref="D30:G30" si="1">SUM(D15:D29)</f>
        <v>0</v>
      </c>
      <c r="E30" s="1611">
        <f t="shared" si="1"/>
        <v>0</v>
      </c>
      <c r="F30" s="1282">
        <f t="shared" si="1"/>
        <v>0</v>
      </c>
      <c r="G30" s="1290">
        <f t="shared" si="1"/>
        <v>0</v>
      </c>
      <c r="H30" s="641"/>
    </row>
    <row r="31" spans="1:8" ht="35.1" customHeight="1">
      <c r="A31" s="743"/>
      <c r="B31" s="1288" t="s">
        <v>300</v>
      </c>
      <c r="C31" s="1280">
        <f>VLOOKUP('Background Data'!$C$2,Inst_FPs,4,FALSE)</f>
        <v>0</v>
      </c>
      <c r="D31" s="834">
        <f>VLOOKUP('Background Data'!$C$2,Inst_FPs,5,FALSE)</f>
        <v>0</v>
      </c>
      <c r="E31" s="1612"/>
      <c r="F31" s="1590"/>
      <c r="G31" s="1291">
        <f>VLOOKUP('Background Data'!$C$2,Inst_FPs,6,FALSE)</f>
        <v>0</v>
      </c>
      <c r="H31" s="641"/>
    </row>
    <row r="32" spans="1:8" ht="35.1" customHeight="1" thickBot="1">
      <c r="A32" s="743"/>
      <c r="B32" s="1289" t="s">
        <v>259</v>
      </c>
      <c r="C32" s="1281" t="str">
        <f>IF(C31&gt;0,C30-C31,"")</f>
        <v/>
      </c>
      <c r="D32" s="774" t="str">
        <f t="shared" ref="D32:G32" si="2">IF(D31&gt;0,D30-D31,"")</f>
        <v/>
      </c>
      <c r="E32" s="1281"/>
      <c r="F32" s="1591"/>
      <c r="G32" s="1292" t="str">
        <f t="shared" si="2"/>
        <v/>
      </c>
      <c r="H32" s="641"/>
    </row>
    <row r="33" spans="1:8" ht="15" customHeight="1">
      <c r="A33" s="649"/>
      <c r="B33" s="739"/>
      <c r="C33" s="647"/>
      <c r="D33" s="647"/>
      <c r="E33" s="1592"/>
      <c r="F33" s="1592"/>
      <c r="G33" s="647"/>
      <c r="H33" s="648"/>
    </row>
    <row r="34" spans="1:8" s="1264" customFormat="1" ht="15.75" customHeight="1"/>
    <row r="35" spans="1:8" ht="15.75" customHeight="1"/>
    <row r="36" spans="1:8" ht="15.75" customHeight="1"/>
    <row r="37" spans="1:8" ht="15.75" customHeight="1"/>
    <row r="38" spans="1:8" ht="15.75" customHeight="1"/>
    <row r="39" spans="1:8" ht="15.75" customHeight="1"/>
    <row r="40" spans="1:8" ht="15.75" customHeight="1"/>
    <row r="41" spans="1:8" ht="15.75" customHeight="1"/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</sheetData>
  <sheetProtection password="E23E" sheet="1" objects="1" scenarios="1"/>
  <mergeCells count="5">
    <mergeCell ref="C9:G9"/>
    <mergeCell ref="C4:D4"/>
    <mergeCell ref="E10:G10"/>
    <mergeCell ref="C10:C11"/>
    <mergeCell ref="D10:D11"/>
  </mergeCells>
  <conditionalFormatting sqref="B2">
    <cfRule type="expression" dxfId="15" priority="10" stopIfTrue="1">
      <formula>#REF!=0</formula>
    </cfRule>
  </conditionalFormatting>
  <conditionalFormatting sqref="B8">
    <cfRule type="expression" dxfId="14" priority="8" stopIfTrue="1">
      <formula>#REF!=0</formula>
    </cfRule>
  </conditionalFormatting>
  <conditionalFormatting sqref="A1:H1">
    <cfRule type="expression" dxfId="13" priority="259" stopIfTrue="1">
      <formula>$E$4=0</formula>
    </cfRule>
  </conditionalFormatting>
  <conditionalFormatting sqref="B15:B29">
    <cfRule type="expression" dxfId="12" priority="4">
      <formula>$E$4=0</formula>
    </cfRule>
  </conditionalFormatting>
  <conditionalFormatting sqref="C15:C29">
    <cfRule type="expression" dxfId="11" priority="3">
      <formula>$C$31=0</formula>
    </cfRule>
  </conditionalFormatting>
  <conditionalFormatting sqref="D15:D29">
    <cfRule type="expression" dxfId="10" priority="2">
      <formula>$D$31=0</formula>
    </cfRule>
  </conditionalFormatting>
  <conditionalFormatting sqref="E15:F29">
    <cfRule type="expression" dxfId="9" priority="1">
      <formula>$G$31=0</formula>
    </cfRule>
  </conditionalFormatting>
  <dataValidations count="4">
    <dataValidation allowBlank="1" sqref="B34:B65500 H5:H8 H19:H65500 C4 C2:G3 I1:IR1048576 B9:B32 C9:C10 C30:C65500 C12:C14 D30:D65500 D12:D14 G12:G65500 E12:F14 E30:F65500"/>
    <dataValidation type="custom" allowBlank="1" showErrorMessage="1" errorTitle="ERROR!" error="Either_x000a_No Allocation of Funded Places_x000a_Or_x000a_Invalid Entry" sqref="C15:C29">
      <formula1>AND($C$31&gt;0,C15&gt;=0)</formula1>
    </dataValidation>
    <dataValidation type="custom" allowBlank="1" showErrorMessage="1" errorTitle="ERROR!" error="Either_x000a_No Allocation of Funded Places_x000a_Or_x000a_Invalid Entry" sqref="D15:D29">
      <formula1>AND($D$31&gt;0,D15&gt;=0)</formula1>
    </dataValidation>
    <dataValidation type="custom" allowBlank="1" showErrorMessage="1" errorTitle="ERROR!" error="Either_x000a_No Allocation of Funded Places_x000a_Or_x000a_Invalid Entry" sqref="E15:F29">
      <formula1>AND($G$31&gt;0,E15&gt;=0)</formula1>
    </dataValidation>
  </dataValidations>
  <printOptions horizontalCentered="1"/>
  <pageMargins left="0.19685039370078741" right="0.19685039370078741" top="0.19685039370078741" bottom="0.19685039370078741" header="0" footer="0"/>
  <pageSetup paperSize="9" scale="70" fitToHeight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zoomScaleNormal="100" workbookViewId="0"/>
  </sheetViews>
  <sheetFormatPr defaultColWidth="9.140625" defaultRowHeight="15"/>
  <cols>
    <col min="1" max="1" width="2.7109375" style="1242" customWidth="1"/>
    <col min="2" max="2" width="85.7109375" style="1242" customWidth="1"/>
    <col min="3" max="3" width="16.5703125" style="1242" customWidth="1"/>
    <col min="4" max="4" width="12.140625" style="1242" customWidth="1"/>
    <col min="5" max="5" width="10.7109375" style="1265" customWidth="1"/>
    <col min="6" max="6" width="5.7109375" style="1242" customWidth="1"/>
    <col min="7" max="16384" width="9.140625" style="1242"/>
  </cols>
  <sheetData>
    <row r="1" spans="1:6" s="1263" customFormat="1" ht="30" customHeight="1">
      <c r="A1" s="740"/>
      <c r="B1" s="629" t="s">
        <v>339</v>
      </c>
      <c r="C1" s="1294"/>
      <c r="D1" s="1294"/>
      <c r="E1" s="630"/>
      <c r="F1" s="631"/>
    </row>
    <row r="2" spans="1:6" ht="35.1" customHeight="1" thickBot="1">
      <c r="A2" s="636"/>
      <c r="B2" s="736" t="s">
        <v>0</v>
      </c>
      <c r="C2" s="736"/>
      <c r="D2" s="736"/>
      <c r="E2" s="334"/>
      <c r="F2" s="663"/>
    </row>
    <row r="3" spans="1:6" ht="30" customHeight="1" thickBot="1">
      <c r="A3" s="636"/>
      <c r="B3" s="1614" t="str">
        <f>VLOOKUP('Background Data'!$C$2,Inst_Tables,2,FALSE)</f>
        <v>Glasgow, University of</v>
      </c>
      <c r="C3" s="702"/>
      <c r="D3" s="702"/>
      <c r="E3" s="664"/>
      <c r="F3" s="663"/>
    </row>
    <row r="4" spans="1:6" s="1248" customFormat="1" ht="30" customHeight="1">
      <c r="A4" s="666"/>
      <c r="B4" s="702" t="s">
        <v>317</v>
      </c>
      <c r="C4" s="702"/>
      <c r="D4" s="702"/>
      <c r="E4" s="370"/>
      <c r="F4" s="634"/>
    </row>
    <row r="5" spans="1:6" s="1248" customFormat="1" ht="30" customHeight="1">
      <c r="A5" s="666"/>
      <c r="B5" s="19" t="s">
        <v>430</v>
      </c>
      <c r="C5" s="19"/>
      <c r="D5" s="19"/>
      <c r="E5" s="370"/>
      <c r="F5" s="634"/>
    </row>
    <row r="6" spans="1:6" ht="15" customHeight="1" thickBot="1">
      <c r="A6" s="636"/>
      <c r="B6" s="741"/>
      <c r="C6" s="741"/>
      <c r="D6" s="741"/>
      <c r="E6" s="662"/>
      <c r="F6" s="642"/>
    </row>
    <row r="7" spans="1:6" ht="35.1" customHeight="1" thickBot="1">
      <c r="A7" s="636"/>
      <c r="B7" s="1296" t="s">
        <v>317</v>
      </c>
      <c r="C7" s="1297" t="s">
        <v>26</v>
      </c>
      <c r="D7" s="1297" t="s">
        <v>30</v>
      </c>
      <c r="E7" s="1304">
        <v>18</v>
      </c>
      <c r="F7" s="454"/>
    </row>
    <row r="8" spans="1:6" ht="20.100000000000001" customHeight="1">
      <c r="A8" s="649"/>
      <c r="B8" s="646"/>
      <c r="C8" s="1295"/>
      <c r="D8" s="1295"/>
      <c r="E8" s="647"/>
      <c r="F8" s="648"/>
    </row>
  </sheetData>
  <sheetProtection password="E23E" sheet="1" objects="1" scenarios="1"/>
  <conditionalFormatting sqref="B1:D1">
    <cfRule type="expression" dxfId="8" priority="2" stopIfTrue="1">
      <formula>#REF!=0</formula>
    </cfRule>
  </conditionalFormatting>
  <conditionalFormatting sqref="B6:D6">
    <cfRule type="expression" dxfId="7" priority="1" stopIfTrue="1">
      <formula>#REF!=0</formula>
    </cfRule>
  </conditionalFormatting>
  <dataValidations count="2">
    <dataValidation allowBlank="1" sqref="B9:F65382 E1 F4:F6 F8 B3 G1:IN1048576 B7:D8 E8"/>
    <dataValidation type="whole" operator="greaterThanOrEqual" allowBlank="1" showErrorMessage="1" errorTitle="ERROR!" error="Invalid Entry" sqref="E7">
      <formula1>0</formula1>
    </dataValidation>
  </dataValidations>
  <pageMargins left="0.19685039370078741" right="0.19685039370078741" top="0.19685039370078741" bottom="0.19685039370078741" header="0" footer="0"/>
  <pageSetup paperSize="9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zoomScale="90" zoomScaleNormal="90" workbookViewId="0"/>
  </sheetViews>
  <sheetFormatPr defaultColWidth="10.7109375" defaultRowHeight="18.95" customHeight="1"/>
  <cols>
    <col min="1" max="1" width="2.7109375" style="1242" customWidth="1"/>
    <col min="2" max="2" width="50.7109375" style="1242" customWidth="1"/>
    <col min="3" max="7" width="12.7109375" style="1265" customWidth="1"/>
    <col min="8" max="9" width="12.7109375" style="1242" customWidth="1"/>
    <col min="10" max="10" width="10.7109375" style="1242" customWidth="1"/>
    <col min="11" max="16384" width="10.7109375" style="1242"/>
  </cols>
  <sheetData>
    <row r="1" spans="1:10" ht="30" customHeight="1">
      <c r="A1" s="688"/>
      <c r="B1" s="629" t="s">
        <v>340</v>
      </c>
      <c r="C1" s="839"/>
      <c r="D1" s="839"/>
      <c r="E1" s="839"/>
      <c r="F1" s="839"/>
      <c r="G1" s="839"/>
      <c r="H1" s="840"/>
      <c r="I1" s="840"/>
      <c r="J1" s="841"/>
    </row>
    <row r="2" spans="1:10" ht="9.9499999999999993" customHeight="1" thickBot="1">
      <c r="A2" s="743"/>
      <c r="B2" s="632"/>
      <c r="C2" s="842"/>
      <c r="D2" s="842"/>
      <c r="E2" s="842"/>
      <c r="F2" s="842"/>
      <c r="G2" s="842"/>
      <c r="H2" s="339"/>
      <c r="I2" s="339"/>
      <c r="J2" s="837"/>
    </row>
    <row r="3" spans="1:10" ht="35.1" customHeight="1" thickBot="1">
      <c r="A3" s="743"/>
      <c r="B3" s="736" t="s">
        <v>0</v>
      </c>
      <c r="C3" s="1959" t="str">
        <f>VLOOKUP('Background Data'!$C$2,Inst_Tables,2,FALSE)</f>
        <v>Glasgow, University of</v>
      </c>
      <c r="D3" s="1960"/>
      <c r="E3" s="1961"/>
      <c r="F3" s="441"/>
      <c r="G3" s="842"/>
      <c r="H3" s="339"/>
      <c r="I3" s="339"/>
      <c r="J3" s="837"/>
    </row>
    <row r="4" spans="1:10" ht="35.1" customHeight="1">
      <c r="A4" s="743"/>
      <c r="B4" s="372" t="s">
        <v>318</v>
      </c>
      <c r="C4" s="370"/>
      <c r="D4" s="370"/>
      <c r="E4" s="370"/>
      <c r="F4" s="370"/>
      <c r="G4" s="370"/>
      <c r="H4" s="371"/>
      <c r="I4" s="371"/>
      <c r="J4" s="843"/>
    </row>
    <row r="5" spans="1:10" s="1266" customFormat="1" ht="30" customHeight="1">
      <c r="A5" s="844"/>
      <c r="B5" s="19" t="s">
        <v>431</v>
      </c>
      <c r="C5" s="370"/>
      <c r="D5" s="370"/>
      <c r="E5" s="370"/>
      <c r="F5" s="370"/>
      <c r="G5" s="370"/>
      <c r="H5" s="371"/>
      <c r="I5" s="371"/>
      <c r="J5" s="843"/>
    </row>
    <row r="6" spans="1:10" s="1248" customFormat="1" ht="30" customHeight="1">
      <c r="A6" s="744"/>
      <c r="B6" s="372" t="s">
        <v>341</v>
      </c>
      <c r="C6" s="373"/>
      <c r="D6" s="373"/>
      <c r="E6" s="373"/>
      <c r="F6" s="373"/>
      <c r="G6" s="373"/>
      <c r="H6" s="373"/>
      <c r="I6" s="373"/>
      <c r="J6" s="843"/>
    </row>
    <row r="7" spans="1:10" s="1248" customFormat="1" ht="30" customHeight="1">
      <c r="A7" s="744"/>
      <c r="B7" s="372" t="s">
        <v>260</v>
      </c>
      <c r="C7" s="373"/>
      <c r="D7" s="373"/>
      <c r="E7" s="373"/>
      <c r="F7" s="373"/>
      <c r="G7" s="373"/>
      <c r="H7" s="373"/>
      <c r="I7" s="373"/>
      <c r="J7" s="843"/>
    </row>
    <row r="8" spans="1:10" s="1248" customFormat="1" ht="15" customHeight="1" thickBot="1">
      <c r="A8" s="744"/>
      <c r="B8" s="374"/>
      <c r="C8" s="374"/>
      <c r="D8" s="374"/>
      <c r="E8" s="374"/>
      <c r="F8" s="374"/>
      <c r="G8" s="374"/>
      <c r="H8" s="374"/>
      <c r="I8" s="374"/>
      <c r="J8" s="843"/>
    </row>
    <row r="9" spans="1:10" ht="120" customHeight="1">
      <c r="A9" s="743"/>
      <c r="B9" s="1964" t="s">
        <v>121</v>
      </c>
      <c r="C9" s="375" t="s">
        <v>161</v>
      </c>
      <c r="D9" s="375" t="s">
        <v>92</v>
      </c>
      <c r="E9" s="375" t="s">
        <v>64</v>
      </c>
      <c r="F9" s="375" t="s">
        <v>396</v>
      </c>
      <c r="G9" s="1962" t="s">
        <v>93</v>
      </c>
      <c r="H9" s="1966"/>
      <c r="I9" s="376" t="s">
        <v>120</v>
      </c>
      <c r="J9" s="843"/>
    </row>
    <row r="10" spans="1:10" ht="30" customHeight="1">
      <c r="A10" s="743"/>
      <c r="B10" s="1965"/>
      <c r="C10" s="377" t="s">
        <v>17</v>
      </c>
      <c r="D10" s="377" t="s">
        <v>17</v>
      </c>
      <c r="E10" s="377" t="s">
        <v>17</v>
      </c>
      <c r="F10" s="377" t="s">
        <v>17</v>
      </c>
      <c r="G10" s="377" t="s">
        <v>17</v>
      </c>
      <c r="H10" s="205" t="s">
        <v>94</v>
      </c>
      <c r="I10" s="199"/>
      <c r="J10" s="843"/>
    </row>
    <row r="11" spans="1:10" ht="30" customHeight="1">
      <c r="A11" s="743"/>
      <c r="B11" s="1965"/>
      <c r="C11" s="378" t="s">
        <v>56</v>
      </c>
      <c r="D11" s="832" t="s">
        <v>56</v>
      </c>
      <c r="E11" s="832" t="s">
        <v>56</v>
      </c>
      <c r="F11" s="832" t="s">
        <v>56</v>
      </c>
      <c r="G11" s="832" t="s">
        <v>55</v>
      </c>
      <c r="H11" s="832" t="s">
        <v>55</v>
      </c>
      <c r="I11" s="379" t="s">
        <v>55</v>
      </c>
      <c r="J11" s="843"/>
    </row>
    <row r="12" spans="1:10" ht="30" customHeight="1">
      <c r="A12" s="743"/>
      <c r="B12" s="380"/>
      <c r="C12" s="946">
        <v>1</v>
      </c>
      <c r="D12" s="946">
        <v>2</v>
      </c>
      <c r="E12" s="946">
        <v>3</v>
      </c>
      <c r="F12" s="946">
        <v>4</v>
      </c>
      <c r="G12" s="946">
        <v>5</v>
      </c>
      <c r="H12" s="946">
        <v>6</v>
      </c>
      <c r="I12" s="947">
        <v>7</v>
      </c>
      <c r="J12" s="843"/>
    </row>
    <row r="13" spans="1:10" ht="35.1" customHeight="1">
      <c r="A13" s="743"/>
      <c r="B13" s="381" t="s">
        <v>86</v>
      </c>
      <c r="C13" s="382"/>
      <c r="D13" s="845"/>
      <c r="E13" s="383"/>
      <c r="F13" s="383"/>
      <c r="G13" s="382"/>
      <c r="H13" s="383"/>
      <c r="I13" s="384"/>
      <c r="J13" s="843"/>
    </row>
    <row r="14" spans="1:10" ht="24.95" customHeight="1">
      <c r="A14" s="743"/>
      <c r="B14" s="385" t="s">
        <v>32</v>
      </c>
      <c r="C14" s="434">
        <f>VLOOKUP('Background Data'!$C$2,Inst_FPs,10,FALSE)</f>
        <v>494.1</v>
      </c>
      <c r="D14" s="434">
        <f>VLOOKUP('Background Data'!$C$2,Inst_FPs,22,FALSE)</f>
        <v>81</v>
      </c>
      <c r="E14" s="434">
        <f>SUM(C14:D14)</f>
        <v>575.1</v>
      </c>
      <c r="F14" s="434">
        <f>'Table 1 (Main)'!$M28</f>
        <v>530</v>
      </c>
      <c r="G14" s="436">
        <f>F14-E14</f>
        <v>-45.100000000000023</v>
      </c>
      <c r="H14" s="386">
        <f>IF(E14&gt;0,G14/E14,"")</f>
        <v>-7.8421144148843713E-2</v>
      </c>
      <c r="I14" s="387" t="str">
        <f>IF(H14&lt;-Controlled_Tol,"YES","NO")</f>
        <v>YES</v>
      </c>
      <c r="J14" s="843"/>
    </row>
    <row r="15" spans="1:10" ht="24.95" customHeight="1">
      <c r="A15" s="743"/>
      <c r="B15" s="385" t="s">
        <v>33</v>
      </c>
      <c r="C15" s="434">
        <f>VLOOKUP('Background Data'!$C$2,Inst_FPs,11,FALSE)</f>
        <v>220.4</v>
      </c>
      <c r="D15" s="434">
        <f>VLOOKUP('Background Data'!$C$2,Inst_FPs,25,FALSE)</f>
        <v>0</v>
      </c>
      <c r="E15" s="434">
        <f>SUM(C15:D15)</f>
        <v>220.4</v>
      </c>
      <c r="F15" s="434">
        <f>'Table 1 (Main)'!$M29</f>
        <v>227</v>
      </c>
      <c r="G15" s="436">
        <f>F15-E15</f>
        <v>6.5999999999999943</v>
      </c>
      <c r="H15" s="386">
        <f>IF(E15&gt;0,G15/E15,"")</f>
        <v>2.9945553539019936E-2</v>
      </c>
      <c r="I15" s="387" t="str">
        <f>IF(H15&lt;-Controlled_Tol,"YES","NO")</f>
        <v>NO</v>
      </c>
      <c r="J15" s="843"/>
    </row>
    <row r="16" spans="1:10" ht="24.95" customHeight="1">
      <c r="A16" s="743"/>
      <c r="B16" s="385" t="s">
        <v>5</v>
      </c>
      <c r="C16" s="434">
        <f>VLOOKUP('Background Data'!$C$2,Inst_FPs,12,FALSE)</f>
        <v>301</v>
      </c>
      <c r="D16" s="434">
        <f>VLOOKUP('Background Data'!$C$2,Inst_FPs,23,FALSE)</f>
        <v>20</v>
      </c>
      <c r="E16" s="434">
        <f>SUM(C16:D16)</f>
        <v>321</v>
      </c>
      <c r="F16" s="434">
        <f>'Table 1 (Main)'!$M30</f>
        <v>330</v>
      </c>
      <c r="G16" s="436">
        <f>F16-E16</f>
        <v>9</v>
      </c>
      <c r="H16" s="386">
        <f>IF(E16&gt;0,G16/E16,"")</f>
        <v>2.8037383177570093E-2</v>
      </c>
      <c r="I16" s="387" t="str">
        <f>IF(H16&lt;-Controlled_Tol,"YES","NO")</f>
        <v>NO</v>
      </c>
      <c r="J16" s="843"/>
    </row>
    <row r="17" spans="1:10" ht="24.95" customHeight="1">
      <c r="A17" s="743"/>
      <c r="B17" s="388" t="s">
        <v>6</v>
      </c>
      <c r="C17" s="434">
        <f>VLOOKUP('Background Data'!$C$2,Inst_FPs,13,FALSE)</f>
        <v>53.3</v>
      </c>
      <c r="D17" s="434">
        <v>0</v>
      </c>
      <c r="E17" s="437">
        <f>SUM(C17:D17)</f>
        <v>53.3</v>
      </c>
      <c r="F17" s="434">
        <f>'Table 1 (Main)'!$M31</f>
        <v>53</v>
      </c>
      <c r="G17" s="438">
        <f>F17-E17</f>
        <v>-0.29999999999999716</v>
      </c>
      <c r="H17" s="386">
        <f>IF(E17&gt;0,G17/E17,"")</f>
        <v>-5.6285178236397219E-3</v>
      </c>
      <c r="I17" s="387" t="str">
        <f>IF(H17&lt;-Controlled_Tol,"YES","NO")</f>
        <v>NO</v>
      </c>
      <c r="J17" s="843"/>
    </row>
    <row r="18" spans="1:10" ht="35.1" customHeight="1">
      <c r="A18" s="743"/>
      <c r="B18" s="389" t="s">
        <v>7</v>
      </c>
      <c r="C18" s="390"/>
      <c r="D18" s="391"/>
      <c r="E18" s="392"/>
      <c r="F18" s="392"/>
      <c r="G18" s="393"/>
      <c r="H18" s="394"/>
      <c r="I18" s="384"/>
      <c r="J18" s="843"/>
    </row>
    <row r="19" spans="1:10" ht="24.95" customHeight="1">
      <c r="A19" s="743"/>
      <c r="B19" s="385" t="s">
        <v>90</v>
      </c>
      <c r="C19" s="434">
        <f>VLOOKUP('Background Data'!$C$2,Inst_FPs,14,FALSE)</f>
        <v>495</v>
      </c>
      <c r="D19" s="434">
        <f>VLOOKUP('Background Data'!$C$2,Inst_FPs,27,FALSE)</f>
        <v>0</v>
      </c>
      <c r="E19" s="434">
        <f t="shared" ref="E19:E26" si="0">SUM(C19:D19)</f>
        <v>495</v>
      </c>
      <c r="F19" s="434">
        <f>'Table 1 (Main)'!$M33</f>
        <v>513.24299999999994</v>
      </c>
      <c r="G19" s="436">
        <f t="shared" ref="G19:G24" si="1">F19-E19</f>
        <v>18.242999999999938</v>
      </c>
      <c r="H19" s="386">
        <f t="shared" ref="H19:H24" si="2">IF(E19&gt;0,G19/E19,"")</f>
        <v>3.6854545454545327E-2</v>
      </c>
      <c r="I19" s="387" t="str">
        <f t="shared" ref="I19:I24" si="3">IF(H19&lt;-Controlled_Tol,"YES","NO")</f>
        <v>NO</v>
      </c>
      <c r="J19" s="843"/>
    </row>
    <row r="20" spans="1:10" ht="24.95" customHeight="1">
      <c r="A20" s="743"/>
      <c r="B20" s="385" t="s">
        <v>20</v>
      </c>
      <c r="C20" s="434">
        <f>VLOOKUP('Background Data'!$C$2,Inst_FPs,15,FALSE)</f>
        <v>0</v>
      </c>
      <c r="D20" s="435">
        <v>0</v>
      </c>
      <c r="E20" s="434">
        <f t="shared" si="0"/>
        <v>0</v>
      </c>
      <c r="F20" s="434">
        <f>'Table 1 (Main)'!$M34</f>
        <v>0</v>
      </c>
      <c r="G20" s="436">
        <f t="shared" si="1"/>
        <v>0</v>
      </c>
      <c r="H20" s="386" t="str">
        <f t="shared" si="2"/>
        <v/>
      </c>
      <c r="I20" s="387" t="str">
        <f t="shared" si="3"/>
        <v>NO</v>
      </c>
      <c r="J20" s="843"/>
    </row>
    <row r="21" spans="1:10" ht="24.95" customHeight="1">
      <c r="A21" s="743"/>
      <c r="B21" s="385" t="s">
        <v>8</v>
      </c>
      <c r="C21" s="434">
        <f>VLOOKUP('Background Data'!$C$2,Inst_FPs,16,FALSE)</f>
        <v>0</v>
      </c>
      <c r="D21" s="435">
        <v>0</v>
      </c>
      <c r="E21" s="434">
        <f t="shared" si="0"/>
        <v>0</v>
      </c>
      <c r="F21" s="434">
        <f>'Table 1 (Main)'!$M35</f>
        <v>0</v>
      </c>
      <c r="G21" s="436">
        <f t="shared" si="1"/>
        <v>0</v>
      </c>
      <c r="H21" s="386" t="str">
        <f t="shared" si="2"/>
        <v/>
      </c>
      <c r="I21" s="387" t="str">
        <f t="shared" si="3"/>
        <v>NO</v>
      </c>
      <c r="J21" s="843"/>
    </row>
    <row r="22" spans="1:10" ht="24.95" customHeight="1">
      <c r="A22" s="743"/>
      <c r="B22" s="385" t="s">
        <v>22</v>
      </c>
      <c r="C22" s="434">
        <f>VLOOKUP('Background Data'!$C$2,Inst_FPs,17,FALSE)</f>
        <v>99.2</v>
      </c>
      <c r="D22" s="435">
        <v>0</v>
      </c>
      <c r="E22" s="434">
        <f t="shared" si="0"/>
        <v>99.2</v>
      </c>
      <c r="F22" s="434">
        <f>'Table 1 (Main)'!$M36</f>
        <v>89.4</v>
      </c>
      <c r="G22" s="436">
        <f t="shared" si="1"/>
        <v>-9.7999999999999972</v>
      </c>
      <c r="H22" s="386">
        <f t="shared" si="2"/>
        <v>-9.8790322580645129E-2</v>
      </c>
      <c r="I22" s="387" t="str">
        <f t="shared" si="3"/>
        <v>YES</v>
      </c>
      <c r="J22" s="843"/>
    </row>
    <row r="23" spans="1:10" ht="24.95" customHeight="1">
      <c r="A23" s="743"/>
      <c r="B23" s="385" t="s">
        <v>108</v>
      </c>
      <c r="C23" s="434">
        <f>VLOOKUP('Background Data'!$C$2,Inst_FPs,18,FALSE)</f>
        <v>69.7</v>
      </c>
      <c r="D23" s="434">
        <f>VLOOKUP('Background Data'!$C$2,Inst_FPs,28,FALSE)</f>
        <v>96</v>
      </c>
      <c r="E23" s="434">
        <f t="shared" si="0"/>
        <v>165.7</v>
      </c>
      <c r="F23" s="434">
        <f>'Table 1 (Main)'!$M21</f>
        <v>211</v>
      </c>
      <c r="G23" s="436">
        <f t="shared" si="1"/>
        <v>45.300000000000011</v>
      </c>
      <c r="H23" s="386">
        <f t="shared" si="2"/>
        <v>0.27338563669281846</v>
      </c>
      <c r="I23" s="387" t="str">
        <f t="shared" si="3"/>
        <v>NO</v>
      </c>
      <c r="J23" s="843"/>
    </row>
    <row r="24" spans="1:10" ht="24.95" customHeight="1">
      <c r="A24" s="743"/>
      <c r="B24" s="388" t="s">
        <v>109</v>
      </c>
      <c r="C24" s="434">
        <f>VLOOKUP('Background Data'!$C$2,Inst_FPs,19,FALSE)</f>
        <v>126.1</v>
      </c>
      <c r="D24" s="434">
        <f>VLOOKUP('Background Data'!$C$2,Inst_FPs,29,FALSE)</f>
        <v>145</v>
      </c>
      <c r="E24" s="437">
        <f t="shared" si="0"/>
        <v>271.10000000000002</v>
      </c>
      <c r="F24" s="434">
        <f>'Table 1 (Main)'!$M22</f>
        <v>204.5</v>
      </c>
      <c r="G24" s="438">
        <f t="shared" si="1"/>
        <v>-66.600000000000023</v>
      </c>
      <c r="H24" s="386">
        <f t="shared" si="2"/>
        <v>-0.24566580597565479</v>
      </c>
      <c r="I24" s="387" t="str">
        <f t="shared" si="3"/>
        <v>YES</v>
      </c>
      <c r="J24" s="843"/>
    </row>
    <row r="25" spans="1:10" ht="35.1" customHeight="1">
      <c r="A25" s="743"/>
      <c r="B25" s="389" t="s">
        <v>81</v>
      </c>
      <c r="C25" s="392"/>
      <c r="D25" s="846"/>
      <c r="E25" s="392"/>
      <c r="F25" s="392"/>
      <c r="G25" s="433"/>
      <c r="H25" s="394"/>
      <c r="I25" s="384"/>
      <c r="J25" s="843"/>
    </row>
    <row r="26" spans="1:10" ht="24.95" customHeight="1">
      <c r="A26" s="743"/>
      <c r="B26" s="385" t="s">
        <v>292</v>
      </c>
      <c r="C26" s="410">
        <v>0</v>
      </c>
      <c r="D26" s="434">
        <f>VLOOKUP('Background Data'!$C$2,Inst_FPs,26,FALSE)</f>
        <v>0</v>
      </c>
      <c r="E26" s="437">
        <f t="shared" si="0"/>
        <v>0</v>
      </c>
      <c r="F26" s="410">
        <f>'Table 1 (Main)'!$M16+'Table 1 (Main)'!$M38</f>
        <v>0</v>
      </c>
      <c r="G26" s="440">
        <f>F26-E26</f>
        <v>0</v>
      </c>
      <c r="H26" s="431" t="str">
        <f>IF(E26&gt;0,G26/E26,"")</f>
        <v/>
      </c>
      <c r="I26" s="432" t="str">
        <f>IF(H26&lt;-Controlled_Tol,"YES","NO")</f>
        <v>NO</v>
      </c>
      <c r="J26" s="843"/>
    </row>
    <row r="27" spans="1:10" ht="24.95" customHeight="1" thickBot="1">
      <c r="A27" s="743"/>
      <c r="B27" s="439" t="s">
        <v>262</v>
      </c>
      <c r="C27" s="945">
        <f>VLOOKUP('Background Data'!$C$2,Inst_FPs,20,FALSE)</f>
        <v>146</v>
      </c>
      <c r="D27" s="945">
        <v>0</v>
      </c>
      <c r="E27" s="442">
        <f t="shared" ref="E27" si="4">SUM(C27:D27)</f>
        <v>146</v>
      </c>
      <c r="F27" s="443">
        <f>'Table 1 (Main)'!$M39</f>
        <v>162.75</v>
      </c>
      <c r="G27" s="444">
        <f>F27-E27</f>
        <v>16.75</v>
      </c>
      <c r="H27" s="395">
        <f>IF(E27&gt;0,G27/E27,"")</f>
        <v>0.11472602739726027</v>
      </c>
      <c r="I27" s="396" t="str">
        <f>IF(H27&lt;-Controlled_Tol,"YES","NO")</f>
        <v>NO</v>
      </c>
      <c r="J27" s="847"/>
    </row>
    <row r="28" spans="1:10" ht="24" customHeight="1">
      <c r="A28" s="743"/>
      <c r="B28" s="853"/>
      <c r="C28" s="339"/>
      <c r="D28" s="397"/>
      <c r="E28" s="397"/>
      <c r="F28" s="397"/>
      <c r="G28" s="397"/>
      <c r="H28" s="339"/>
      <c r="I28" s="371"/>
      <c r="J28" s="843"/>
    </row>
    <row r="29" spans="1:10" ht="20.100000000000001" customHeight="1">
      <c r="A29" s="743"/>
      <c r="B29" s="372" t="s">
        <v>342</v>
      </c>
      <c r="C29" s="373"/>
      <c r="D29" s="373"/>
      <c r="E29" s="373"/>
      <c r="F29" s="373"/>
      <c r="G29" s="373"/>
      <c r="H29" s="373"/>
      <c r="I29" s="371"/>
      <c r="J29" s="843"/>
    </row>
    <row r="30" spans="1:10" ht="24.95" customHeight="1">
      <c r="A30" s="743"/>
      <c r="B30" s="372" t="s">
        <v>260</v>
      </c>
      <c r="C30" s="373"/>
      <c r="D30" s="373"/>
      <c r="E30" s="373"/>
      <c r="F30" s="373"/>
      <c r="G30" s="373"/>
      <c r="H30" s="373"/>
      <c r="I30" s="371"/>
      <c r="J30" s="843"/>
    </row>
    <row r="31" spans="1:10" ht="9.9499999999999993" customHeight="1" thickBot="1">
      <c r="A31" s="743"/>
      <c r="B31" s="374"/>
      <c r="C31" s="374"/>
      <c r="D31" s="374"/>
      <c r="E31" s="374"/>
      <c r="F31" s="374"/>
      <c r="G31" s="374"/>
      <c r="H31" s="373"/>
      <c r="I31" s="371"/>
      <c r="J31" s="843"/>
    </row>
    <row r="32" spans="1:10" ht="45" customHeight="1">
      <c r="A32" s="743"/>
      <c r="B32" s="838"/>
      <c r="C32" s="1970" t="s">
        <v>122</v>
      </c>
      <c r="D32" s="1971"/>
      <c r="E32" s="1971"/>
      <c r="F32" s="1971"/>
      <c r="G32" s="1972"/>
      <c r="H32" s="1229"/>
      <c r="I32" s="135"/>
      <c r="J32" s="843"/>
    </row>
    <row r="33" spans="1:10" ht="120" customHeight="1">
      <c r="A33" s="743"/>
      <c r="B33" s="1967" t="s">
        <v>122</v>
      </c>
      <c r="C33" s="643" t="s">
        <v>381</v>
      </c>
      <c r="D33" s="643" t="s">
        <v>403</v>
      </c>
      <c r="E33" s="1968" t="s">
        <v>93</v>
      </c>
      <c r="F33" s="1969"/>
      <c r="G33" s="644" t="s">
        <v>120</v>
      </c>
      <c r="H33" s="1230"/>
      <c r="I33" s="338"/>
      <c r="J33" s="843"/>
    </row>
    <row r="34" spans="1:10" ht="30" customHeight="1">
      <c r="A34" s="743"/>
      <c r="B34" s="1965"/>
      <c r="C34" s="377" t="s">
        <v>17</v>
      </c>
      <c r="D34" s="377" t="s">
        <v>17</v>
      </c>
      <c r="E34" s="377" t="s">
        <v>17</v>
      </c>
      <c r="F34" s="205" t="s">
        <v>94</v>
      </c>
      <c r="G34" s="199"/>
      <c r="H34" s="1230"/>
      <c r="I34" s="338"/>
      <c r="J34" s="843"/>
    </row>
    <row r="35" spans="1:10" ht="30" customHeight="1">
      <c r="A35" s="743"/>
      <c r="B35" s="399"/>
      <c r="C35" s="378" t="s">
        <v>56</v>
      </c>
      <c r="D35" s="832" t="s">
        <v>56</v>
      </c>
      <c r="E35" s="832" t="s">
        <v>55</v>
      </c>
      <c r="F35" s="832" t="s">
        <v>55</v>
      </c>
      <c r="G35" s="379" t="s">
        <v>55</v>
      </c>
      <c r="H35" s="1230"/>
      <c r="I35" s="338"/>
      <c r="J35" s="843"/>
    </row>
    <row r="36" spans="1:10" ht="30" customHeight="1" thickBot="1">
      <c r="A36" s="743"/>
      <c r="B36" s="399"/>
      <c r="C36" s="1761">
        <v>1</v>
      </c>
      <c r="D36" s="1761">
        <v>2</v>
      </c>
      <c r="E36" s="1761">
        <v>3</v>
      </c>
      <c r="F36" s="1761">
        <v>4</v>
      </c>
      <c r="G36" s="1761">
        <v>5</v>
      </c>
      <c r="H36" s="1231"/>
      <c r="I36" s="338"/>
      <c r="J36" s="843"/>
    </row>
    <row r="37" spans="1:10" ht="35.1" customHeight="1">
      <c r="A37" s="743"/>
      <c r="B37" s="1766" t="s">
        <v>397</v>
      </c>
      <c r="C37" s="1767">
        <f>VLOOKUP('Background Data'!$C$2,Inst_FPs,24,FALSE)</f>
        <v>20</v>
      </c>
      <c r="D37" s="1767">
        <f>'Table 1 (Main)'!M41</f>
        <v>21</v>
      </c>
      <c r="E37" s="1767">
        <f>D37-C37</f>
        <v>1</v>
      </c>
      <c r="F37" s="1768">
        <f>IF(C37&gt;0,E37/C37,"")</f>
        <v>0.05</v>
      </c>
      <c r="G37" s="1769" t="s">
        <v>401</v>
      </c>
      <c r="H37" s="1230"/>
      <c r="I37" s="338"/>
      <c r="J37" s="843"/>
    </row>
    <row r="38" spans="1:10" ht="35.1" customHeight="1" thickBot="1">
      <c r="A38" s="743"/>
      <c r="B38" s="1762" t="s">
        <v>400</v>
      </c>
      <c r="C38" s="1763">
        <f>VLOOKUP('Background Data'!$C$2,Inst_FPs,9,FALSE)</f>
        <v>12202.699999999997</v>
      </c>
      <c r="D38" s="1763">
        <f>SUM('Table 1 (Main)'!$M$17,'Table 1 (Main)'!$M$23,'Table 1 (Main)'!$M$42,'Table 1 (Main)'!$M$43)</f>
        <v>13024.281000000001</v>
      </c>
      <c r="E38" s="1763">
        <f>D38-C38</f>
        <v>821.58100000000377</v>
      </c>
      <c r="F38" s="1764">
        <f>IF(C38&gt;0,E38/C38,"")</f>
        <v>6.7327804502282609E-2</v>
      </c>
      <c r="G38" s="1765" t="str">
        <f>IF(F38&lt;-Non_controlled_Tol,"YES","NO")</f>
        <v>NO</v>
      </c>
      <c r="H38" s="1230"/>
      <c r="I38" s="338"/>
      <c r="J38" s="843"/>
    </row>
    <row r="39" spans="1:10" ht="24.95" customHeight="1">
      <c r="A39" s="743"/>
      <c r="B39" s="1770" t="s">
        <v>404</v>
      </c>
      <c r="C39" s="397"/>
      <c r="D39" s="397"/>
      <c r="E39" s="397"/>
      <c r="F39" s="397"/>
      <c r="G39" s="397"/>
      <c r="H39" s="397"/>
      <c r="I39" s="371"/>
      <c r="J39" s="843"/>
    </row>
    <row r="40" spans="1:10" ht="24.95" customHeight="1">
      <c r="A40" s="743"/>
      <c r="B40" s="372" t="s">
        <v>343</v>
      </c>
      <c r="C40" s="397"/>
      <c r="D40" s="397"/>
      <c r="E40" s="397"/>
      <c r="F40" s="397"/>
      <c r="G40" s="397"/>
      <c r="H40" s="397"/>
      <c r="I40" s="371"/>
      <c r="J40" s="843"/>
    </row>
    <row r="41" spans="1:10" ht="24.95" customHeight="1">
      <c r="A41" s="743"/>
      <c r="B41" s="372" t="s">
        <v>304</v>
      </c>
      <c r="C41" s="373"/>
      <c r="D41" s="373"/>
      <c r="E41" s="373"/>
      <c r="F41" s="135"/>
      <c r="G41" s="135"/>
      <c r="H41" s="135"/>
      <c r="I41" s="371"/>
      <c r="J41" s="843"/>
    </row>
    <row r="42" spans="1:10" ht="24.95" customHeight="1">
      <c r="A42" s="743"/>
      <c r="B42" s="372" t="s">
        <v>305</v>
      </c>
      <c r="C42" s="373"/>
      <c r="D42" s="373"/>
      <c r="E42" s="373"/>
      <c r="F42" s="135"/>
      <c r="G42" s="135"/>
      <c r="H42" s="135"/>
      <c r="I42" s="371"/>
      <c r="J42" s="843"/>
    </row>
    <row r="43" spans="1:10" ht="9.9499999999999993" customHeight="1" thickBot="1">
      <c r="A43" s="743"/>
      <c r="B43" s="374"/>
      <c r="C43" s="374"/>
      <c r="D43" s="374"/>
      <c r="E43" s="374"/>
      <c r="F43" s="401"/>
      <c r="G43" s="401"/>
      <c r="H43" s="135"/>
      <c r="I43" s="371"/>
      <c r="J43" s="843"/>
    </row>
    <row r="44" spans="1:10" ht="99.95" customHeight="1">
      <c r="A44" s="743"/>
      <c r="B44" s="402" t="s">
        <v>123</v>
      </c>
      <c r="C44" s="403" t="s">
        <v>307</v>
      </c>
      <c r="D44" s="375" t="s">
        <v>261</v>
      </c>
      <c r="E44" s="1962" t="s">
        <v>306</v>
      </c>
      <c r="F44" s="1963"/>
      <c r="G44" s="376" t="s">
        <v>125</v>
      </c>
      <c r="H44" s="398"/>
      <c r="I44" s="1228"/>
      <c r="J44" s="843"/>
    </row>
    <row r="45" spans="1:10" ht="30" customHeight="1">
      <c r="A45" s="743"/>
      <c r="B45" s="404"/>
      <c r="C45" s="848" t="s">
        <v>17</v>
      </c>
      <c r="D45" s="377" t="s">
        <v>17</v>
      </c>
      <c r="E45" s="377" t="s">
        <v>17</v>
      </c>
      <c r="F45" s="377" t="s">
        <v>94</v>
      </c>
      <c r="G45" s="199"/>
      <c r="H45" s="339"/>
      <c r="I45" s="1228"/>
      <c r="J45" s="843"/>
    </row>
    <row r="46" spans="1:10" ht="30" customHeight="1">
      <c r="A46" s="743"/>
      <c r="B46" s="404"/>
      <c r="C46" s="849" t="s">
        <v>56</v>
      </c>
      <c r="D46" s="378" t="s">
        <v>56</v>
      </c>
      <c r="E46" s="378" t="s">
        <v>55</v>
      </c>
      <c r="F46" s="378" t="s">
        <v>55</v>
      </c>
      <c r="G46" s="379" t="s">
        <v>55</v>
      </c>
      <c r="H46" s="339"/>
      <c r="I46" s="1228"/>
      <c r="J46" s="843"/>
    </row>
    <row r="47" spans="1:10" ht="30" customHeight="1">
      <c r="A47" s="743"/>
      <c r="B47" s="405"/>
      <c r="C47" s="946">
        <v>1</v>
      </c>
      <c r="D47" s="946">
        <v>2</v>
      </c>
      <c r="E47" s="946">
        <v>3</v>
      </c>
      <c r="F47" s="946">
        <v>4</v>
      </c>
      <c r="G47" s="947">
        <v>5</v>
      </c>
      <c r="H47" s="339"/>
      <c r="I47" s="371"/>
      <c r="J47" s="843"/>
    </row>
    <row r="48" spans="1:10" ht="35.1" customHeight="1">
      <c r="A48" s="743"/>
      <c r="B48" s="406" t="s">
        <v>80</v>
      </c>
      <c r="C48" s="445"/>
      <c r="D48" s="407"/>
      <c r="E48" s="407"/>
      <c r="F48" s="408"/>
      <c r="G48" s="379"/>
      <c r="H48" s="339"/>
      <c r="I48" s="371"/>
      <c r="J48" s="843"/>
    </row>
    <row r="49" spans="1:10" ht="35.1" customHeight="1">
      <c r="A49" s="743"/>
      <c r="B49" s="409" t="s">
        <v>147</v>
      </c>
      <c r="C49" s="446"/>
      <c r="D49" s="447"/>
      <c r="E49" s="447"/>
      <c r="F49" s="448"/>
      <c r="G49" s="449"/>
      <c r="H49" s="339"/>
      <c r="I49" s="371"/>
      <c r="J49" s="843"/>
    </row>
    <row r="50" spans="1:10" ht="30" customHeight="1">
      <c r="A50" s="743"/>
      <c r="B50" s="411" t="s">
        <v>146</v>
      </c>
      <c r="C50" s="450">
        <f>VLOOKUP('Background Data'!$C$2,Inst_FPs,33,FALSE)</f>
        <v>1188</v>
      </c>
      <c r="D50" s="450">
        <f>SUM('Table 1 (Main)'!$S$28,'Table 1 (Main)'!$S$30)</f>
        <v>1153</v>
      </c>
      <c r="E50" s="450">
        <f>D50-C50</f>
        <v>-35</v>
      </c>
      <c r="F50" s="412">
        <f>IF(C50&gt;0,E50/C50,"")</f>
        <v>-2.9461279461279462E-2</v>
      </c>
      <c r="G50" s="413" t="str">
        <f>IF(C50&gt;=100,IF(F50&gt;Consol_Tol_Per,"Yes","No"),IF(C50&gt;0,IF(E50&gt;Consol_Tol_FTE,"Yes","No"),"No"))</f>
        <v>No</v>
      </c>
      <c r="H50" s="339"/>
      <c r="I50" s="371"/>
      <c r="J50" s="843"/>
    </row>
    <row r="51" spans="1:10" ht="35.1" customHeight="1">
      <c r="A51" s="743"/>
      <c r="B51" s="409" t="s">
        <v>188</v>
      </c>
      <c r="C51" s="414"/>
      <c r="D51" s="415"/>
      <c r="E51" s="415"/>
      <c r="F51" s="415"/>
      <c r="G51" s="416"/>
      <c r="H51" s="339"/>
      <c r="I51" s="371"/>
      <c r="J51" s="843"/>
    </row>
    <row r="52" spans="1:10" ht="30" customHeight="1">
      <c r="A52" s="743"/>
      <c r="B52" s="411" t="s">
        <v>146</v>
      </c>
      <c r="C52" s="450">
        <f>VLOOKUP('Background Data'!$C$2,Inst_FPs,34,FALSE)</f>
        <v>341</v>
      </c>
      <c r="D52" s="450">
        <f>SUM('Table 1 (Main)'!$S$29,'Table 1 (Main)'!$S$31)</f>
        <v>352</v>
      </c>
      <c r="E52" s="450">
        <f>D52-C52</f>
        <v>11</v>
      </c>
      <c r="F52" s="412">
        <f>IF(C52&gt;0,E52/C52,"")</f>
        <v>3.2258064516129031E-2</v>
      </c>
      <c r="G52" s="413" t="str">
        <f>IF(C52&gt;=100,IF(F52&gt;Consol_Tol_Per,"Yes","No"),IF(C52&gt;0,IF(E52&gt;Consol_Tol_FTE,"Yes","No"),"No"))</f>
        <v>No</v>
      </c>
      <c r="H52" s="339"/>
      <c r="I52" s="371"/>
      <c r="J52" s="843"/>
    </row>
    <row r="53" spans="1:10" ht="50.1" customHeight="1">
      <c r="A53" s="743"/>
      <c r="B53" s="417" t="s">
        <v>155</v>
      </c>
      <c r="C53" s="339"/>
      <c r="D53" s="418"/>
      <c r="E53" s="418"/>
      <c r="F53" s="418"/>
      <c r="G53" s="419"/>
      <c r="H53" s="339"/>
      <c r="I53" s="373"/>
      <c r="J53" s="843"/>
    </row>
    <row r="54" spans="1:10" ht="30" customHeight="1">
      <c r="A54" s="743"/>
      <c r="B54" s="411" t="s">
        <v>18</v>
      </c>
      <c r="C54" s="450">
        <f>VLOOKUP('Background Data'!$C$2,Inst_FPs,35,FALSE)</f>
        <v>666</v>
      </c>
      <c r="D54" s="450">
        <f>SUM('Table 1 (Main)'!$S$21,'Table 1 (Main)'!$S$33)</f>
        <v>734.24299999999994</v>
      </c>
      <c r="E54" s="450">
        <f>D54-C54</f>
        <v>68.242999999999938</v>
      </c>
      <c r="F54" s="412">
        <f>IF(C54&gt;0,E54/C54,"")</f>
        <v>0.10246696696696687</v>
      </c>
      <c r="G54" s="413" t="str">
        <f>IF(C54&gt;=100,IF(F54&gt;Consol_Tol_Per,"Yes","No"),IF(C54&gt;0,IF(E54&gt;Consol_Tol_FTE,"Yes","No"),"No"))</f>
        <v>Yes</v>
      </c>
      <c r="H54" s="339"/>
      <c r="I54" s="373"/>
      <c r="J54" s="843"/>
    </row>
    <row r="55" spans="1:10" ht="30" customHeight="1">
      <c r="A55" s="743"/>
      <c r="B55" s="411" t="s">
        <v>19</v>
      </c>
      <c r="C55" s="450">
        <f>VLOOKUP('Background Data'!$C$2,Inst_FPs,36,FALSE)</f>
        <v>375</v>
      </c>
      <c r="D55" s="450">
        <f>SUM('Table 1 (Main)'!$S$22,'Table 1 (Main)'!$S$34,'Table 1 (Main)'!$S$35,'Table 1 (Main)'!$S$36)</f>
        <v>299.89999999999998</v>
      </c>
      <c r="E55" s="450">
        <f>D55-C55</f>
        <v>-75.100000000000023</v>
      </c>
      <c r="F55" s="412">
        <f>IF(C55&gt;0,E55/C55,"")</f>
        <v>-0.20026666666666673</v>
      </c>
      <c r="G55" s="413" t="str">
        <f>IF(C55&gt;=100,IF(F55&gt;Consol_Tol_Per,"Yes","No"),IF(C55&gt;0,IF(E55&gt;Consol_Tol_FTE,"Yes","No"),"No"))</f>
        <v>No</v>
      </c>
      <c r="H55" s="339"/>
      <c r="I55" s="373"/>
      <c r="J55" s="843"/>
    </row>
    <row r="56" spans="1:10" ht="35.1" customHeight="1">
      <c r="A56" s="743"/>
      <c r="B56" s="417" t="s">
        <v>148</v>
      </c>
      <c r="C56" s="420"/>
      <c r="D56" s="421"/>
      <c r="E56" s="421"/>
      <c r="F56" s="421"/>
      <c r="G56" s="422"/>
      <c r="H56" s="339"/>
      <c r="I56" s="373"/>
      <c r="J56" s="843"/>
    </row>
    <row r="57" spans="1:10" ht="30" customHeight="1">
      <c r="A57" s="743"/>
      <c r="B57" s="423" t="s">
        <v>146</v>
      </c>
      <c r="C57" s="450">
        <f>VLOOKUP('Background Data'!$C$2,Inst_FPs,37,FALSE)</f>
        <v>151</v>
      </c>
      <c r="D57" s="410">
        <f>SUM('Table 1 (Main)'!$S$16,'Table 1 (Main)'!$S$38,'Table 1 (Main)'!$S$39)</f>
        <v>165.75</v>
      </c>
      <c r="E57" s="450">
        <f>D57-C57</f>
        <v>14.75</v>
      </c>
      <c r="F57" s="412">
        <f>IF(C57&gt;0,E57/C57,"")</f>
        <v>9.7682119205298013E-2</v>
      </c>
      <c r="G57" s="413" t="str">
        <f>IF(C57&gt;=100,IF(F57&gt;Consol_Tol_Per,"Yes","No"),IF(C57&gt;0,IF(E57&gt;Consol_Tol_FTE,"Yes","No"),"No"))</f>
        <v>No</v>
      </c>
      <c r="H57" s="339"/>
      <c r="I57" s="373"/>
      <c r="J57" s="843"/>
    </row>
    <row r="58" spans="1:10" ht="35.1" customHeight="1">
      <c r="A58" s="743"/>
      <c r="B58" s="424" t="s">
        <v>124</v>
      </c>
      <c r="C58" s="418"/>
      <c r="D58" s="418"/>
      <c r="E58" s="418"/>
      <c r="F58" s="418"/>
      <c r="G58" s="419"/>
      <c r="H58" s="339"/>
      <c r="I58" s="373"/>
      <c r="J58" s="843"/>
    </row>
    <row r="59" spans="1:10" ht="30" customHeight="1" thickBot="1">
      <c r="A59" s="743"/>
      <c r="B59" s="425" t="s">
        <v>149</v>
      </c>
      <c r="C59" s="443">
        <f>VLOOKUP('Background Data'!$C$2,Inst_FPs,38,FALSE)</f>
        <v>11100</v>
      </c>
      <c r="D59" s="443">
        <f>SUM('Table 1 (Main)'!$F$42,'Table 1 (Main)'!$F$43)</f>
        <v>11231.900000000001</v>
      </c>
      <c r="E59" s="443">
        <f>D59-C59</f>
        <v>131.90000000000146</v>
      </c>
      <c r="F59" s="400">
        <f>IF(C59&gt;0,E59/C59,"")</f>
        <v>1.1882882882883014E-2</v>
      </c>
      <c r="G59" s="426" t="str">
        <f>IF(C59&gt;=100,IF(F59&gt;Consol_Tol_Per,"Yes","No"),IF(C59&gt;0,IF(E59&gt;Consol_Tol_FTE,"Yes","No"),"No"))</f>
        <v>No</v>
      </c>
      <c r="H59" s="339"/>
      <c r="I59" s="373"/>
      <c r="J59" s="843"/>
    </row>
    <row r="60" spans="1:10" ht="18.95" customHeight="1">
      <c r="A60" s="649"/>
      <c r="B60" s="850"/>
      <c r="C60" s="851"/>
      <c r="D60" s="851"/>
      <c r="E60" s="851"/>
      <c r="F60" s="851"/>
      <c r="G60" s="851"/>
      <c r="H60" s="851"/>
      <c r="I60" s="851"/>
      <c r="J60" s="852"/>
    </row>
    <row r="61" spans="1:10" ht="24.95" hidden="1" customHeight="1">
      <c r="A61" s="75"/>
      <c r="B61" s="427" t="s">
        <v>117</v>
      </c>
      <c r="C61" s="428"/>
      <c r="D61" s="428"/>
      <c r="E61" s="428"/>
      <c r="F61" s="428"/>
      <c r="G61" s="428"/>
      <c r="H61" s="75"/>
      <c r="I61" s="75"/>
      <c r="J61" s="75"/>
    </row>
    <row r="62" spans="1:10" ht="24.95" hidden="1" customHeight="1">
      <c r="A62" s="75"/>
      <c r="B62" s="75" t="s">
        <v>118</v>
      </c>
      <c r="C62" s="429">
        <v>0.03</v>
      </c>
      <c r="D62" s="428"/>
      <c r="E62" s="428"/>
      <c r="F62" s="428"/>
      <c r="G62" s="428"/>
      <c r="H62" s="75"/>
      <c r="I62" s="75"/>
      <c r="J62" s="75"/>
    </row>
    <row r="63" spans="1:10" ht="24.95" hidden="1" customHeight="1">
      <c r="A63" s="75"/>
      <c r="B63" s="75" t="s">
        <v>119</v>
      </c>
      <c r="C63" s="429">
        <v>0.02</v>
      </c>
      <c r="D63" s="428"/>
      <c r="E63" s="428"/>
      <c r="F63" s="428"/>
      <c r="G63" s="428"/>
      <c r="H63" s="75"/>
      <c r="I63" s="75"/>
      <c r="J63" s="75"/>
    </row>
    <row r="64" spans="1:10" ht="24.95" hidden="1" customHeight="1">
      <c r="A64" s="75"/>
      <c r="B64" s="75" t="s">
        <v>150</v>
      </c>
      <c r="C64" s="429">
        <v>0.1</v>
      </c>
      <c r="D64" s="428"/>
      <c r="E64" s="428"/>
      <c r="F64" s="428"/>
      <c r="G64" s="428"/>
      <c r="H64" s="75"/>
      <c r="I64" s="75"/>
      <c r="J64" s="75"/>
    </row>
    <row r="65" spans="1:10" ht="24.95" hidden="1" customHeight="1">
      <c r="A65" s="75"/>
      <c r="B65" s="75" t="s">
        <v>151</v>
      </c>
      <c r="C65" s="430">
        <v>10</v>
      </c>
      <c r="D65" s="428"/>
      <c r="E65" s="428"/>
      <c r="F65" s="428"/>
      <c r="G65" s="428"/>
      <c r="H65" s="75"/>
      <c r="I65" s="75"/>
      <c r="J65" s="75"/>
    </row>
  </sheetData>
  <sheetProtection password="E23E" sheet="1" objects="1" scenarios="1"/>
  <mergeCells count="7">
    <mergeCell ref="C3:E3"/>
    <mergeCell ref="E44:F44"/>
    <mergeCell ref="B9:B11"/>
    <mergeCell ref="G9:H9"/>
    <mergeCell ref="B33:B34"/>
    <mergeCell ref="E33:F33"/>
    <mergeCell ref="C32:G32"/>
  </mergeCells>
  <conditionalFormatting sqref="G48:G50">
    <cfRule type="cellIs" dxfId="6" priority="18" operator="equal">
      <formula>"YES"</formula>
    </cfRule>
  </conditionalFormatting>
  <conditionalFormatting sqref="G48:G50 I14:I17 I19:I24 I26">
    <cfRule type="cellIs" dxfId="5" priority="16" operator="equal">
      <formula>"YES"</formula>
    </cfRule>
  </conditionalFormatting>
  <conditionalFormatting sqref="G38">
    <cfRule type="cellIs" dxfId="4" priority="14" operator="equal">
      <formula>"YES"</formula>
    </cfRule>
  </conditionalFormatting>
  <conditionalFormatting sqref="G59 G57 G54:G55 G52">
    <cfRule type="cellIs" dxfId="3" priority="11" operator="equal">
      <formula>"YES"</formula>
    </cfRule>
  </conditionalFormatting>
  <conditionalFormatting sqref="G59 G57 G54:G55 G52">
    <cfRule type="cellIs" dxfId="2" priority="10" operator="equal">
      <formula>"YES"</formula>
    </cfRule>
  </conditionalFormatting>
  <conditionalFormatting sqref="B1:B2">
    <cfRule type="expression" dxfId="1" priority="5" stopIfTrue="1">
      <formula>#REF!=0</formula>
    </cfRule>
  </conditionalFormatting>
  <conditionalFormatting sqref="I27">
    <cfRule type="cellIs" dxfId="0" priority="4" operator="equal">
      <formula>"YES"</formula>
    </cfRule>
  </conditionalFormatting>
  <dataValidations count="1">
    <dataValidation allowBlank="1" sqref="G46:G47 C44:E46 B44 I9 B9 G33 J28:J60 H4:I5 C34:C37 B38:C38 G44 D47:F47 E57:G57 F45:F46 B48:B49 C47:C48 C59:G59 B50:C50 C52 D34:F38 D54:G55 D48:G52 J4:J8 C3 K28:FL28 K4:FL5 K6:FI8 B51:B60 C54:C57 B33:E33 C39:H40 B39 H34:H38 I39:I52 G35:G38 H10:H28 I11:I31 C9:G28 B13:B28 J9:FJ27"/>
  </dataValidations>
  <printOptions horizontalCentered="1"/>
  <pageMargins left="0.15748031496062992" right="0.15748031496062992" top="0.15748031496062992" bottom="0.15748031496062992" header="0.15748031496062992" footer="0.15748031496062992"/>
  <pageSetup paperSize="9" scale="63" fitToHeight="2" orientation="portrait" r:id="rId1"/>
  <headerFooter alignWithMargins="0"/>
  <rowBreaks count="1" manualBreakCount="1">
    <brk id="39" min="1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53"/>
  <sheetViews>
    <sheetView zoomScale="80" zoomScaleNormal="80" workbookViewId="0">
      <pane xSplit="2" topLeftCell="C1" activePane="topRight" state="frozen"/>
      <selection activeCell="A57" sqref="A57"/>
      <selection pane="topRight" activeCell="A154" sqref="A154"/>
    </sheetView>
  </sheetViews>
  <sheetFormatPr defaultColWidth="9.140625" defaultRowHeight="15"/>
  <cols>
    <col min="1" max="1" width="7.7109375" style="966" customWidth="1"/>
    <col min="2" max="2" width="55.85546875" style="966" customWidth="1"/>
    <col min="3" max="67" width="11.7109375" style="966" customWidth="1"/>
    <col min="68" max="70" width="9.140625" style="1108"/>
    <col min="71" max="16384" width="9.140625" style="966"/>
  </cols>
  <sheetData>
    <row r="1" spans="1:70" hidden="1"/>
    <row r="2" spans="1:70" ht="30" hidden="1" customHeight="1">
      <c r="A2" s="965" t="s">
        <v>111</v>
      </c>
      <c r="C2" s="967">
        <v>8</v>
      </c>
      <c r="D2" s="877" t="str">
        <f>VLOOKUP(C2,Inst_Tables,2,FALSE)</f>
        <v>Glasgow, University of</v>
      </c>
      <c r="BP2" s="966"/>
      <c r="BQ2" s="966"/>
      <c r="BR2" s="966"/>
    </row>
    <row r="3" spans="1:70" ht="18" hidden="1" customHeight="1">
      <c r="BP3" s="966"/>
      <c r="BQ3" s="966"/>
      <c r="BR3" s="966"/>
    </row>
    <row r="4" spans="1:70" ht="20.100000000000001" hidden="1" customHeight="1">
      <c r="A4" s="968" t="s">
        <v>110</v>
      </c>
      <c r="C4" s="969"/>
      <c r="D4" s="970"/>
      <c r="E4" s="891"/>
      <c r="F4" s="891"/>
      <c r="G4" s="891"/>
      <c r="H4" s="891"/>
      <c r="I4" s="891"/>
      <c r="J4" s="891"/>
      <c r="K4" s="891"/>
      <c r="L4" s="891"/>
      <c r="M4" s="891"/>
      <c r="N4" s="891"/>
      <c r="O4" s="892"/>
      <c r="P4" s="971"/>
      <c r="Q4" s="971"/>
      <c r="R4" s="971"/>
      <c r="S4" s="943"/>
      <c r="T4" s="943"/>
      <c r="U4" s="943"/>
      <c r="V4" s="943"/>
      <c r="W4" s="972"/>
      <c r="X4" s="973"/>
      <c r="Y4" s="973"/>
      <c r="Z4" s="973"/>
      <c r="AA4" s="973"/>
      <c r="AB4" s="973"/>
      <c r="AC4" s="973"/>
      <c r="AD4" s="973"/>
      <c r="AE4" s="973"/>
      <c r="AF4" s="973"/>
      <c r="AX4" s="1035"/>
      <c r="BP4" s="966"/>
      <c r="BQ4" s="966"/>
      <c r="BR4" s="966"/>
    </row>
    <row r="5" spans="1:70" hidden="1">
      <c r="B5" s="1"/>
      <c r="C5" s="971"/>
      <c r="D5" s="974"/>
      <c r="E5" s="974"/>
      <c r="F5" s="974"/>
      <c r="G5" s="971"/>
      <c r="H5" s="971"/>
      <c r="I5" s="974"/>
      <c r="J5" s="974"/>
      <c r="K5" s="974"/>
      <c r="L5" s="975"/>
      <c r="M5" s="971"/>
      <c r="N5" s="971"/>
      <c r="O5" s="892"/>
      <c r="P5" s="971"/>
      <c r="Q5" s="971"/>
      <c r="R5" s="971"/>
      <c r="S5" s="971"/>
      <c r="T5" s="971"/>
      <c r="U5" s="893"/>
      <c r="V5" s="893"/>
      <c r="W5" s="893"/>
      <c r="X5" s="893"/>
      <c r="Y5" s="893"/>
      <c r="Z5" s="893"/>
      <c r="AA5" s="893"/>
      <c r="AB5" s="893"/>
      <c r="AC5" s="893"/>
      <c r="AD5" s="893"/>
      <c r="AE5" s="893"/>
      <c r="AF5" s="893"/>
      <c r="AX5" s="1035"/>
      <c r="BP5" s="966"/>
      <c r="BQ5" s="966"/>
      <c r="BR5" s="966"/>
    </row>
    <row r="6" spans="1:70" ht="20.100000000000001" hidden="1" customHeight="1">
      <c r="A6" s="976" t="s">
        <v>281</v>
      </c>
      <c r="B6" s="1"/>
      <c r="C6" s="971"/>
      <c r="E6" s="974"/>
      <c r="F6" s="974"/>
      <c r="G6" s="971"/>
      <c r="H6" s="971"/>
      <c r="I6" s="974"/>
      <c r="J6" s="974"/>
      <c r="K6" s="974"/>
      <c r="L6" s="975"/>
      <c r="M6" s="971"/>
      <c r="N6" s="971"/>
      <c r="O6" s="892"/>
      <c r="P6" s="971"/>
      <c r="Q6" s="971"/>
      <c r="R6" s="971"/>
      <c r="S6" s="971"/>
      <c r="T6" s="971"/>
      <c r="U6" s="974"/>
      <c r="V6" s="974"/>
      <c r="W6" s="974"/>
      <c r="BP6" s="966"/>
      <c r="BQ6" s="966"/>
      <c r="BR6" s="966"/>
    </row>
    <row r="7" spans="1:70" ht="20.100000000000001" hidden="1" customHeight="1">
      <c r="A7" s="977">
        <v>1</v>
      </c>
      <c r="B7" s="2">
        <v>2</v>
      </c>
      <c r="C7" s="977">
        <v>3</v>
      </c>
      <c r="D7" s="977">
        <v>4</v>
      </c>
      <c r="E7" s="2">
        <v>5</v>
      </c>
      <c r="F7" s="977">
        <v>6</v>
      </c>
      <c r="G7" s="977">
        <v>7</v>
      </c>
      <c r="H7" s="2">
        <v>8</v>
      </c>
      <c r="I7" s="977">
        <v>9</v>
      </c>
      <c r="J7" s="977">
        <v>10</v>
      </c>
      <c r="K7" s="2">
        <v>11</v>
      </c>
      <c r="L7" s="977">
        <v>12</v>
      </c>
      <c r="M7" s="977">
        <v>13</v>
      </c>
      <c r="N7" s="2">
        <v>14</v>
      </c>
      <c r="O7" s="985"/>
      <c r="P7" s="985"/>
      <c r="Q7" s="1622"/>
      <c r="R7" s="985"/>
      <c r="S7" s="985"/>
      <c r="T7" s="971"/>
      <c r="U7" s="974"/>
      <c r="V7" s="974"/>
      <c r="W7" s="974"/>
      <c r="BP7" s="966"/>
      <c r="BQ7" s="966"/>
      <c r="BR7" s="966"/>
    </row>
    <row r="8" spans="1:70" ht="15.75" hidden="1" thickBot="1">
      <c r="B8" s="1"/>
      <c r="C8" s="971"/>
      <c r="D8" s="974"/>
      <c r="E8" s="974"/>
      <c r="F8" s="974"/>
      <c r="G8" s="971"/>
      <c r="H8" s="971"/>
      <c r="K8" s="974"/>
      <c r="L8" s="975"/>
      <c r="M8" s="971"/>
      <c r="N8" s="971"/>
      <c r="P8" s="974"/>
      <c r="Q8" s="974"/>
      <c r="R8" s="971"/>
      <c r="S8" s="971"/>
      <c r="T8" s="971"/>
      <c r="U8" s="974"/>
      <c r="V8" s="974"/>
      <c r="W8" s="974"/>
      <c r="BP8" s="966"/>
      <c r="BQ8" s="966"/>
      <c r="BR8" s="966"/>
    </row>
    <row r="9" spans="1:70" ht="60" hidden="1" customHeight="1">
      <c r="A9" s="1992" t="s">
        <v>99</v>
      </c>
      <c r="B9" s="1993"/>
      <c r="C9" s="1996" t="s">
        <v>142</v>
      </c>
      <c r="D9" s="1997"/>
      <c r="E9" s="1997"/>
      <c r="F9" s="1997"/>
      <c r="G9" s="1997"/>
      <c r="H9" s="1997"/>
      <c r="I9" s="1997"/>
      <c r="J9" s="1997"/>
      <c r="K9" s="1998"/>
      <c r="L9" s="1994" t="s">
        <v>186</v>
      </c>
      <c r="M9" s="1994"/>
      <c r="N9" s="1995"/>
      <c r="O9" s="1623"/>
      <c r="T9" s="971"/>
      <c r="U9" s="974"/>
      <c r="V9" s="974"/>
      <c r="W9" s="974"/>
      <c r="BP9" s="966"/>
      <c r="BQ9" s="966"/>
      <c r="BR9" s="966"/>
    </row>
    <row r="10" spans="1:70" ht="35.1" hidden="1" customHeight="1">
      <c r="A10" s="1516" t="s">
        <v>173</v>
      </c>
      <c r="B10" s="1522" t="s">
        <v>126</v>
      </c>
      <c r="C10" s="1517" t="s">
        <v>143</v>
      </c>
      <c r="D10" s="1517" t="s">
        <v>144</v>
      </c>
      <c r="E10" s="1517" t="s">
        <v>145</v>
      </c>
      <c r="F10" s="1517" t="s">
        <v>219</v>
      </c>
      <c r="G10" s="1518">
        <v>3</v>
      </c>
      <c r="H10" s="1518" t="s">
        <v>207</v>
      </c>
      <c r="I10" s="1518" t="s">
        <v>208</v>
      </c>
      <c r="J10" s="1519" t="s">
        <v>175</v>
      </c>
      <c r="K10" s="1520" t="s">
        <v>176</v>
      </c>
      <c r="L10" s="1523" t="s">
        <v>42</v>
      </c>
      <c r="M10" s="1524" t="s">
        <v>31</v>
      </c>
      <c r="N10" s="1521" t="s">
        <v>277</v>
      </c>
      <c r="O10" s="1624"/>
      <c r="T10" s="971"/>
      <c r="U10" s="974"/>
      <c r="V10" s="974"/>
      <c r="W10" s="974"/>
      <c r="BP10" s="966"/>
      <c r="BQ10" s="966"/>
      <c r="BR10" s="966"/>
    </row>
    <row r="11" spans="1:70" ht="35.1" hidden="1" customHeight="1">
      <c r="A11" s="1525"/>
      <c r="B11" s="1526"/>
      <c r="C11" s="1530" t="s">
        <v>368</v>
      </c>
      <c r="D11" s="1530" t="s">
        <v>369</v>
      </c>
      <c r="E11" s="1530" t="s">
        <v>370</v>
      </c>
      <c r="F11" s="1531" t="s">
        <v>371</v>
      </c>
      <c r="G11" s="1532" t="s">
        <v>372</v>
      </c>
      <c r="H11" s="1533" t="s">
        <v>373</v>
      </c>
      <c r="I11" s="1533" t="s">
        <v>374</v>
      </c>
      <c r="J11" s="1534" t="s">
        <v>376</v>
      </c>
      <c r="K11" s="1535" t="s">
        <v>375</v>
      </c>
      <c r="L11" s="1527"/>
      <c r="M11" s="1528"/>
      <c r="N11" s="1529"/>
      <c r="O11" s="1624"/>
      <c r="T11" s="971"/>
      <c r="U11" s="974"/>
      <c r="V11" s="974"/>
      <c r="W11" s="974"/>
      <c r="BP11" s="966"/>
      <c r="BQ11" s="966"/>
      <c r="BR11" s="966"/>
    </row>
    <row r="12" spans="1:70" ht="20.100000000000001" hidden="1" customHeight="1">
      <c r="A12" s="980">
        <v>1</v>
      </c>
      <c r="B12" s="981" t="s">
        <v>43</v>
      </c>
      <c r="C12" s="982">
        <f t="shared" ref="C12:C30" si="0">IF(SUM(N42:S42,AA42:AC42)&gt;0,1,0)</f>
        <v>1</v>
      </c>
      <c r="D12" s="982">
        <v>1</v>
      </c>
      <c r="E12" s="982">
        <v>0</v>
      </c>
      <c r="F12" s="986">
        <f t="shared" ref="F12:F30" si="1">IF(SUM(S42,AC42)&gt;0,1,0)</f>
        <v>1</v>
      </c>
      <c r="G12" s="982">
        <v>2</v>
      </c>
      <c r="H12" s="982">
        <f t="shared" ref="H12:H30" si="2">IF(Z42&gt;0,1,0)</f>
        <v>0</v>
      </c>
      <c r="I12" s="982">
        <f t="shared" ref="I12:I30" si="3">IF(T42&gt;0,1,0)</f>
        <v>0</v>
      </c>
      <c r="J12" s="986">
        <f t="shared" ref="J12:J30" si="4">IF(SUM(AD42:AE42)&gt;0,1,0)</f>
        <v>1</v>
      </c>
      <c r="K12" s="1285">
        <f t="shared" ref="K12:K30" si="5">IF(SUM(D42:F42)&gt;0,1,0)</f>
        <v>0</v>
      </c>
      <c r="L12" s="983">
        <v>3</v>
      </c>
      <c r="M12" s="984">
        <v>4</v>
      </c>
      <c r="N12" s="1335">
        <v>45</v>
      </c>
      <c r="O12" s="1624"/>
      <c r="T12" s="997"/>
      <c r="U12" s="997"/>
      <c r="V12" s="1268"/>
      <c r="W12" s="1268"/>
      <c r="X12" s="1334"/>
      <c r="Y12" s="1334"/>
      <c r="Z12" s="1334"/>
      <c r="AA12" s="1334"/>
      <c r="AB12" s="1334"/>
      <c r="BP12" s="966"/>
      <c r="BQ12" s="966"/>
      <c r="BR12" s="966"/>
    </row>
    <row r="13" spans="1:70" ht="20.100000000000001" hidden="1" customHeight="1">
      <c r="A13" s="980">
        <v>2</v>
      </c>
      <c r="B13" s="981" t="s">
        <v>44</v>
      </c>
      <c r="C13" s="982">
        <f t="shared" si="0"/>
        <v>0</v>
      </c>
      <c r="D13" s="982">
        <v>0</v>
      </c>
      <c r="E13" s="982">
        <v>0</v>
      </c>
      <c r="F13" s="986">
        <f t="shared" si="1"/>
        <v>0</v>
      </c>
      <c r="G13" s="982">
        <v>0</v>
      </c>
      <c r="H13" s="982">
        <f t="shared" si="2"/>
        <v>0</v>
      </c>
      <c r="I13" s="982">
        <f t="shared" si="3"/>
        <v>1</v>
      </c>
      <c r="J13" s="986">
        <f t="shared" si="4"/>
        <v>0</v>
      </c>
      <c r="K13" s="1285">
        <f t="shared" si="5"/>
        <v>0</v>
      </c>
      <c r="L13" s="983">
        <f>L12+2</f>
        <v>5</v>
      </c>
      <c r="M13" s="984">
        <f>M12+2</f>
        <v>6</v>
      </c>
      <c r="N13" s="1335">
        <v>46</v>
      </c>
      <c r="O13" s="1624"/>
      <c r="T13" s="997"/>
      <c r="U13" s="997"/>
      <c r="V13" s="1268"/>
      <c r="W13" s="974"/>
      <c r="BP13" s="966"/>
      <c r="BQ13" s="966"/>
      <c r="BR13" s="966"/>
    </row>
    <row r="14" spans="1:70" ht="20.100000000000001" hidden="1" customHeight="1">
      <c r="A14" s="980">
        <v>3</v>
      </c>
      <c r="B14" s="981" t="s">
        <v>45</v>
      </c>
      <c r="C14" s="982">
        <f t="shared" si="0"/>
        <v>1</v>
      </c>
      <c r="D14" s="982">
        <v>1</v>
      </c>
      <c r="E14" s="982">
        <v>0</v>
      </c>
      <c r="F14" s="986">
        <f t="shared" si="1"/>
        <v>1</v>
      </c>
      <c r="G14" s="982">
        <v>1</v>
      </c>
      <c r="H14" s="982">
        <f t="shared" si="2"/>
        <v>1</v>
      </c>
      <c r="I14" s="982">
        <f t="shared" si="3"/>
        <v>0</v>
      </c>
      <c r="J14" s="986">
        <f t="shared" si="4"/>
        <v>1</v>
      </c>
      <c r="K14" s="1285">
        <f t="shared" si="5"/>
        <v>0</v>
      </c>
      <c r="L14" s="983">
        <f t="shared" ref="L14:L30" si="6">L13+2</f>
        <v>7</v>
      </c>
      <c r="M14" s="984">
        <f t="shared" ref="M14:M30" si="7">M13+2</f>
        <v>8</v>
      </c>
      <c r="N14" s="1335">
        <v>47</v>
      </c>
      <c r="O14" s="1624"/>
      <c r="T14" s="997"/>
      <c r="U14" s="997"/>
      <c r="V14" s="1268"/>
      <c r="W14" s="974"/>
      <c r="BP14" s="966"/>
      <c r="BQ14" s="966"/>
      <c r="BR14" s="966"/>
    </row>
    <row r="15" spans="1:70" ht="20.100000000000001" hidden="1" customHeight="1">
      <c r="A15" s="980">
        <v>4</v>
      </c>
      <c r="B15" s="981" t="s">
        <v>62</v>
      </c>
      <c r="C15" s="982">
        <f t="shared" si="0"/>
        <v>0</v>
      </c>
      <c r="D15" s="982">
        <v>0</v>
      </c>
      <c r="E15" s="982">
        <v>0</v>
      </c>
      <c r="F15" s="986">
        <f t="shared" si="1"/>
        <v>0</v>
      </c>
      <c r="G15" s="982">
        <v>0</v>
      </c>
      <c r="H15" s="982">
        <f t="shared" si="2"/>
        <v>1</v>
      </c>
      <c r="I15" s="982">
        <f t="shared" si="3"/>
        <v>0</v>
      </c>
      <c r="J15" s="986">
        <f t="shared" si="4"/>
        <v>0</v>
      </c>
      <c r="K15" s="1285">
        <f t="shared" si="5"/>
        <v>0</v>
      </c>
      <c r="L15" s="983">
        <f t="shared" si="6"/>
        <v>9</v>
      </c>
      <c r="M15" s="984">
        <f t="shared" si="7"/>
        <v>10</v>
      </c>
      <c r="N15" s="1335">
        <v>48</v>
      </c>
      <c r="O15" s="1624"/>
      <c r="T15" s="997"/>
      <c r="U15" s="997"/>
      <c r="V15" s="1268"/>
      <c r="W15" s="974"/>
      <c r="BP15" s="966"/>
      <c r="BQ15" s="966"/>
      <c r="BR15" s="966"/>
    </row>
    <row r="16" spans="1:70" ht="20.100000000000001" hidden="1" customHeight="1">
      <c r="A16" s="980">
        <v>5</v>
      </c>
      <c r="B16" s="981" t="s">
        <v>46</v>
      </c>
      <c r="C16" s="982">
        <f t="shared" si="0"/>
        <v>1</v>
      </c>
      <c r="D16" s="982">
        <v>0</v>
      </c>
      <c r="E16" s="982">
        <v>0</v>
      </c>
      <c r="F16" s="986">
        <f t="shared" si="1"/>
        <v>1</v>
      </c>
      <c r="G16" s="982">
        <v>3</v>
      </c>
      <c r="H16" s="982">
        <f t="shared" si="2"/>
        <v>0</v>
      </c>
      <c r="I16" s="982">
        <f t="shared" si="3"/>
        <v>1</v>
      </c>
      <c r="J16" s="986">
        <f t="shared" si="4"/>
        <v>1</v>
      </c>
      <c r="K16" s="1285">
        <f t="shared" si="5"/>
        <v>1</v>
      </c>
      <c r="L16" s="983">
        <f t="shared" si="6"/>
        <v>11</v>
      </c>
      <c r="M16" s="984">
        <f t="shared" si="7"/>
        <v>12</v>
      </c>
      <c r="N16" s="1335">
        <v>49</v>
      </c>
      <c r="O16" s="1624"/>
      <c r="T16" s="997"/>
      <c r="U16" s="997"/>
      <c r="V16" s="1268"/>
      <c r="W16" s="974"/>
      <c r="BP16" s="966"/>
      <c r="BQ16" s="966"/>
      <c r="BR16" s="966"/>
    </row>
    <row r="17" spans="1:70" ht="20.100000000000001" hidden="1" customHeight="1">
      <c r="A17" s="980">
        <v>6</v>
      </c>
      <c r="B17" s="981" t="s">
        <v>47</v>
      </c>
      <c r="C17" s="982">
        <f t="shared" si="0"/>
        <v>0</v>
      </c>
      <c r="D17" s="982">
        <v>0</v>
      </c>
      <c r="E17" s="982">
        <v>0</v>
      </c>
      <c r="F17" s="986">
        <f t="shared" si="1"/>
        <v>0</v>
      </c>
      <c r="G17" s="982">
        <v>0</v>
      </c>
      <c r="H17" s="982">
        <f t="shared" si="2"/>
        <v>1</v>
      </c>
      <c r="I17" s="982">
        <f t="shared" si="3"/>
        <v>1</v>
      </c>
      <c r="J17" s="986">
        <f t="shared" si="4"/>
        <v>0</v>
      </c>
      <c r="K17" s="1285">
        <f t="shared" si="5"/>
        <v>0</v>
      </c>
      <c r="L17" s="983">
        <f t="shared" si="6"/>
        <v>13</v>
      </c>
      <c r="M17" s="984">
        <f t="shared" si="7"/>
        <v>14</v>
      </c>
      <c r="N17" s="1335">
        <v>50</v>
      </c>
      <c r="O17" s="1624"/>
      <c r="T17" s="997"/>
      <c r="U17" s="997"/>
      <c r="V17" s="1268"/>
      <c r="W17" s="974"/>
      <c r="BP17" s="966"/>
      <c r="BQ17" s="966"/>
      <c r="BR17" s="966"/>
    </row>
    <row r="18" spans="1:70" ht="20.100000000000001" hidden="1" customHeight="1">
      <c r="A18" s="980">
        <v>7</v>
      </c>
      <c r="B18" s="981" t="s">
        <v>48</v>
      </c>
      <c r="C18" s="982">
        <f t="shared" si="0"/>
        <v>0</v>
      </c>
      <c r="D18" s="982">
        <v>0</v>
      </c>
      <c r="E18" s="982">
        <v>0</v>
      </c>
      <c r="F18" s="986">
        <f t="shared" si="1"/>
        <v>0</v>
      </c>
      <c r="G18" s="982">
        <v>0</v>
      </c>
      <c r="H18" s="982">
        <f t="shared" si="2"/>
        <v>0</v>
      </c>
      <c r="I18" s="982">
        <f t="shared" si="3"/>
        <v>0</v>
      </c>
      <c r="J18" s="986">
        <f t="shared" si="4"/>
        <v>0</v>
      </c>
      <c r="K18" s="1285">
        <f t="shared" si="5"/>
        <v>0</v>
      </c>
      <c r="L18" s="983">
        <f t="shared" si="6"/>
        <v>15</v>
      </c>
      <c r="M18" s="984">
        <f t="shared" si="7"/>
        <v>16</v>
      </c>
      <c r="N18" s="1335">
        <v>51</v>
      </c>
      <c r="O18" s="1624"/>
      <c r="T18" s="997"/>
      <c r="U18" s="997"/>
      <c r="V18" s="1268"/>
      <c r="W18" s="974"/>
      <c r="BP18" s="966"/>
      <c r="BQ18" s="966"/>
      <c r="BR18" s="966"/>
    </row>
    <row r="19" spans="1:70" ht="20.100000000000001" hidden="1" customHeight="1">
      <c r="A19" s="980">
        <v>8</v>
      </c>
      <c r="B19" s="981" t="s">
        <v>49</v>
      </c>
      <c r="C19" s="982">
        <f t="shared" si="0"/>
        <v>1</v>
      </c>
      <c r="D19" s="982">
        <v>0</v>
      </c>
      <c r="E19" s="982">
        <v>1</v>
      </c>
      <c r="F19" s="986">
        <f t="shared" si="1"/>
        <v>1</v>
      </c>
      <c r="G19" s="982">
        <v>1</v>
      </c>
      <c r="H19" s="982">
        <f t="shared" si="2"/>
        <v>0</v>
      </c>
      <c r="I19" s="982">
        <f t="shared" si="3"/>
        <v>1</v>
      </c>
      <c r="J19" s="986">
        <f t="shared" si="4"/>
        <v>1</v>
      </c>
      <c r="K19" s="1285">
        <f t="shared" si="5"/>
        <v>0</v>
      </c>
      <c r="L19" s="983">
        <f t="shared" si="6"/>
        <v>17</v>
      </c>
      <c r="M19" s="984">
        <f t="shared" si="7"/>
        <v>18</v>
      </c>
      <c r="N19" s="1335">
        <v>52</v>
      </c>
      <c r="O19" s="1624"/>
      <c r="T19" s="997"/>
      <c r="U19" s="997"/>
      <c r="V19" s="1268"/>
      <c r="W19" s="974"/>
      <c r="BP19" s="966"/>
      <c r="BQ19" s="966"/>
      <c r="BR19" s="966"/>
    </row>
    <row r="20" spans="1:70" ht="20.100000000000001" hidden="1" customHeight="1">
      <c r="A20" s="980">
        <v>9</v>
      </c>
      <c r="B20" s="981" t="s">
        <v>50</v>
      </c>
      <c r="C20" s="982">
        <f t="shared" si="0"/>
        <v>0</v>
      </c>
      <c r="D20" s="982">
        <v>0</v>
      </c>
      <c r="E20" s="982">
        <v>0</v>
      </c>
      <c r="F20" s="986">
        <f t="shared" si="1"/>
        <v>0</v>
      </c>
      <c r="G20" s="982">
        <v>0</v>
      </c>
      <c r="H20" s="982">
        <f t="shared" si="2"/>
        <v>0</v>
      </c>
      <c r="I20" s="982">
        <f t="shared" si="3"/>
        <v>0</v>
      </c>
      <c r="J20" s="986">
        <f t="shared" si="4"/>
        <v>0</v>
      </c>
      <c r="K20" s="1285">
        <f t="shared" si="5"/>
        <v>0</v>
      </c>
      <c r="L20" s="983">
        <f t="shared" si="6"/>
        <v>19</v>
      </c>
      <c r="M20" s="984">
        <f t="shared" si="7"/>
        <v>20</v>
      </c>
      <c r="N20" s="1335">
        <v>53</v>
      </c>
      <c r="O20" s="1624"/>
      <c r="T20" s="997"/>
      <c r="U20" s="997"/>
      <c r="V20" s="1268"/>
      <c r="W20" s="974"/>
      <c r="BP20" s="966"/>
      <c r="BQ20" s="966"/>
      <c r="BR20" s="966"/>
    </row>
    <row r="21" spans="1:70" ht="20.100000000000001" hidden="1" customHeight="1">
      <c r="A21" s="980">
        <v>10</v>
      </c>
      <c r="B21" s="981" t="s">
        <v>95</v>
      </c>
      <c r="C21" s="982">
        <f t="shared" si="0"/>
        <v>1</v>
      </c>
      <c r="D21" s="982">
        <v>0</v>
      </c>
      <c r="E21" s="982">
        <v>0</v>
      </c>
      <c r="F21" s="986">
        <f t="shared" si="1"/>
        <v>1</v>
      </c>
      <c r="G21" s="982">
        <v>0</v>
      </c>
      <c r="H21" s="982">
        <f t="shared" si="2"/>
        <v>1</v>
      </c>
      <c r="I21" s="982">
        <f t="shared" si="3"/>
        <v>0</v>
      </c>
      <c r="J21" s="986">
        <f t="shared" si="4"/>
        <v>1</v>
      </c>
      <c r="K21" s="1285">
        <f t="shared" si="5"/>
        <v>1</v>
      </c>
      <c r="L21" s="983">
        <f t="shared" si="6"/>
        <v>21</v>
      </c>
      <c r="M21" s="984">
        <f t="shared" si="7"/>
        <v>22</v>
      </c>
      <c r="N21" s="1335">
        <v>54</v>
      </c>
      <c r="O21" s="1624"/>
      <c r="T21" s="997"/>
      <c r="U21" s="997"/>
      <c r="V21" s="1268"/>
      <c r="W21" s="974"/>
      <c r="BP21" s="966"/>
      <c r="BQ21" s="966"/>
      <c r="BR21" s="966"/>
    </row>
    <row r="22" spans="1:70" ht="20.100000000000001" hidden="1" customHeight="1">
      <c r="A22" s="980">
        <v>11</v>
      </c>
      <c r="B22" s="981" t="s">
        <v>96</v>
      </c>
      <c r="C22" s="982">
        <f t="shared" si="0"/>
        <v>0</v>
      </c>
      <c r="D22" s="982">
        <v>0</v>
      </c>
      <c r="E22" s="982">
        <v>0</v>
      </c>
      <c r="F22" s="986">
        <f t="shared" si="1"/>
        <v>0</v>
      </c>
      <c r="G22" s="982">
        <v>0</v>
      </c>
      <c r="H22" s="982">
        <f t="shared" si="2"/>
        <v>0</v>
      </c>
      <c r="I22" s="982">
        <f t="shared" si="3"/>
        <v>0</v>
      </c>
      <c r="J22" s="986">
        <f t="shared" si="4"/>
        <v>0</v>
      </c>
      <c r="K22" s="1285">
        <f t="shared" si="5"/>
        <v>0</v>
      </c>
      <c r="L22" s="983">
        <f t="shared" si="6"/>
        <v>23</v>
      </c>
      <c r="M22" s="984">
        <f t="shared" si="7"/>
        <v>24</v>
      </c>
      <c r="N22" s="1335">
        <v>55</v>
      </c>
      <c r="O22" s="1624"/>
      <c r="T22" s="997"/>
      <c r="U22" s="997"/>
      <c r="V22" s="1268"/>
      <c r="W22" s="974"/>
      <c r="BP22" s="966"/>
      <c r="BQ22" s="966"/>
      <c r="BR22" s="966"/>
    </row>
    <row r="23" spans="1:70" ht="20.100000000000001" hidden="1" customHeight="1">
      <c r="A23" s="980">
        <v>12</v>
      </c>
      <c r="B23" s="981" t="s">
        <v>57</v>
      </c>
      <c r="C23" s="982">
        <f t="shared" si="0"/>
        <v>0</v>
      </c>
      <c r="D23" s="982">
        <v>0</v>
      </c>
      <c r="E23" s="982">
        <v>0</v>
      </c>
      <c r="F23" s="986">
        <f t="shared" si="1"/>
        <v>0</v>
      </c>
      <c r="G23" s="982">
        <v>0</v>
      </c>
      <c r="H23" s="982">
        <f t="shared" si="2"/>
        <v>0</v>
      </c>
      <c r="I23" s="982">
        <f t="shared" si="3"/>
        <v>1</v>
      </c>
      <c r="J23" s="986">
        <f t="shared" si="4"/>
        <v>0</v>
      </c>
      <c r="K23" s="1285">
        <f t="shared" si="5"/>
        <v>0</v>
      </c>
      <c r="L23" s="983">
        <f t="shared" si="6"/>
        <v>25</v>
      </c>
      <c r="M23" s="984">
        <f t="shared" si="7"/>
        <v>26</v>
      </c>
      <c r="N23" s="1335">
        <v>56</v>
      </c>
      <c r="O23" s="1624"/>
      <c r="T23" s="997"/>
      <c r="U23" s="997"/>
      <c r="V23" s="1268"/>
      <c r="W23" s="974"/>
      <c r="BP23" s="966"/>
      <c r="BQ23" s="966"/>
      <c r="BR23" s="966"/>
    </row>
    <row r="24" spans="1:70" ht="20.100000000000001" hidden="1" customHeight="1">
      <c r="A24" s="980">
        <v>13</v>
      </c>
      <c r="B24" s="981" t="s">
        <v>51</v>
      </c>
      <c r="C24" s="982">
        <f t="shared" si="0"/>
        <v>0</v>
      </c>
      <c r="D24" s="982">
        <v>0</v>
      </c>
      <c r="E24" s="982">
        <v>0</v>
      </c>
      <c r="F24" s="986">
        <f t="shared" si="1"/>
        <v>0</v>
      </c>
      <c r="G24" s="982">
        <v>0</v>
      </c>
      <c r="H24" s="982">
        <f t="shared" si="2"/>
        <v>1</v>
      </c>
      <c r="I24" s="982">
        <f t="shared" si="3"/>
        <v>1</v>
      </c>
      <c r="J24" s="986">
        <f t="shared" si="4"/>
        <v>0</v>
      </c>
      <c r="K24" s="1285">
        <f t="shared" si="5"/>
        <v>0</v>
      </c>
      <c r="L24" s="983">
        <f t="shared" si="6"/>
        <v>27</v>
      </c>
      <c r="M24" s="984">
        <f t="shared" si="7"/>
        <v>28</v>
      </c>
      <c r="N24" s="1335">
        <v>57</v>
      </c>
      <c r="O24" s="1624"/>
      <c r="T24" s="997"/>
      <c r="U24" s="997"/>
      <c r="V24" s="1268"/>
      <c r="W24" s="974"/>
      <c r="BP24" s="966"/>
      <c r="BQ24" s="966"/>
      <c r="BR24" s="966"/>
    </row>
    <row r="25" spans="1:70" ht="20.100000000000001" hidden="1" customHeight="1">
      <c r="A25" s="980">
        <v>14</v>
      </c>
      <c r="B25" s="894" t="s">
        <v>97</v>
      </c>
      <c r="C25" s="982">
        <f t="shared" si="0"/>
        <v>1</v>
      </c>
      <c r="D25" s="982">
        <v>0</v>
      </c>
      <c r="E25" s="982">
        <v>0</v>
      </c>
      <c r="F25" s="986">
        <f t="shared" si="1"/>
        <v>0</v>
      </c>
      <c r="G25" s="982">
        <v>0</v>
      </c>
      <c r="H25" s="982">
        <f t="shared" si="2"/>
        <v>0</v>
      </c>
      <c r="I25" s="982">
        <f t="shared" si="3"/>
        <v>0</v>
      </c>
      <c r="J25" s="986">
        <f t="shared" si="4"/>
        <v>0</v>
      </c>
      <c r="K25" s="1285">
        <f t="shared" si="5"/>
        <v>0</v>
      </c>
      <c r="L25" s="983">
        <f t="shared" si="6"/>
        <v>29</v>
      </c>
      <c r="M25" s="984">
        <f t="shared" si="7"/>
        <v>30</v>
      </c>
      <c r="N25" s="1335">
        <v>58</v>
      </c>
      <c r="O25" s="1624"/>
      <c r="T25" s="997"/>
      <c r="U25" s="997"/>
      <c r="V25" s="1268"/>
      <c r="W25" s="974"/>
      <c r="BP25" s="966"/>
      <c r="BQ25" s="966"/>
      <c r="BR25" s="966"/>
    </row>
    <row r="26" spans="1:70" ht="20.100000000000001" hidden="1" customHeight="1">
      <c r="A26" s="980">
        <v>15</v>
      </c>
      <c r="B26" s="987" t="s">
        <v>162</v>
      </c>
      <c r="C26" s="982">
        <f t="shared" si="0"/>
        <v>0</v>
      </c>
      <c r="D26" s="982">
        <v>0</v>
      </c>
      <c r="E26" s="982">
        <v>0</v>
      </c>
      <c r="F26" s="986">
        <f t="shared" si="1"/>
        <v>0</v>
      </c>
      <c r="G26" s="982">
        <v>0</v>
      </c>
      <c r="H26" s="982">
        <f t="shared" si="2"/>
        <v>0</v>
      </c>
      <c r="I26" s="982">
        <f t="shared" si="3"/>
        <v>0</v>
      </c>
      <c r="J26" s="986">
        <f t="shared" si="4"/>
        <v>0</v>
      </c>
      <c r="K26" s="1285">
        <f t="shared" si="5"/>
        <v>1</v>
      </c>
      <c r="L26" s="983">
        <f t="shared" si="6"/>
        <v>31</v>
      </c>
      <c r="M26" s="984">
        <f t="shared" si="7"/>
        <v>32</v>
      </c>
      <c r="N26" s="1335">
        <v>59</v>
      </c>
      <c r="O26" s="1624"/>
      <c r="T26" s="997"/>
      <c r="U26" s="997"/>
      <c r="V26" s="1268"/>
      <c r="W26" s="974"/>
      <c r="BP26" s="966"/>
      <c r="BQ26" s="966"/>
      <c r="BR26" s="966"/>
    </row>
    <row r="27" spans="1:70" ht="20.100000000000001" hidden="1" customHeight="1">
      <c r="A27" s="980">
        <v>16</v>
      </c>
      <c r="B27" s="981" t="s">
        <v>52</v>
      </c>
      <c r="C27" s="982">
        <f t="shared" si="0"/>
        <v>0</v>
      </c>
      <c r="D27" s="982">
        <v>0</v>
      </c>
      <c r="E27" s="982">
        <v>0</v>
      </c>
      <c r="F27" s="986">
        <f t="shared" si="1"/>
        <v>0</v>
      </c>
      <c r="G27" s="982">
        <v>4</v>
      </c>
      <c r="H27" s="982">
        <f t="shared" si="2"/>
        <v>0</v>
      </c>
      <c r="I27" s="982">
        <f t="shared" si="3"/>
        <v>0</v>
      </c>
      <c r="J27" s="986">
        <f t="shared" si="4"/>
        <v>0</v>
      </c>
      <c r="K27" s="1285">
        <f t="shared" si="5"/>
        <v>0</v>
      </c>
      <c r="L27" s="983">
        <f t="shared" si="6"/>
        <v>33</v>
      </c>
      <c r="M27" s="984">
        <f t="shared" si="7"/>
        <v>34</v>
      </c>
      <c r="N27" s="1335">
        <v>60</v>
      </c>
      <c r="O27" s="1624"/>
      <c r="T27" s="997"/>
      <c r="U27" s="997"/>
      <c r="V27" s="1268"/>
      <c r="W27" s="974"/>
      <c r="BP27" s="966"/>
      <c r="BQ27" s="966"/>
      <c r="BR27" s="966"/>
    </row>
    <row r="28" spans="1:70" ht="20.100000000000001" hidden="1" customHeight="1">
      <c r="A28" s="980">
        <v>17</v>
      </c>
      <c r="B28" s="981" t="s">
        <v>53</v>
      </c>
      <c r="C28" s="982" t="s">
        <v>409</v>
      </c>
      <c r="D28" s="982">
        <v>1</v>
      </c>
      <c r="E28" s="982">
        <v>0</v>
      </c>
      <c r="F28" s="986">
        <f t="shared" si="1"/>
        <v>0</v>
      </c>
      <c r="G28" s="982">
        <v>0</v>
      </c>
      <c r="H28" s="982">
        <f t="shared" si="2"/>
        <v>1</v>
      </c>
      <c r="I28" s="982">
        <f t="shared" si="3"/>
        <v>0</v>
      </c>
      <c r="J28" s="986">
        <f t="shared" si="4"/>
        <v>0</v>
      </c>
      <c r="K28" s="1285">
        <f t="shared" si="5"/>
        <v>0</v>
      </c>
      <c r="L28" s="983">
        <f t="shared" si="6"/>
        <v>35</v>
      </c>
      <c r="M28" s="984">
        <f t="shared" si="7"/>
        <v>36</v>
      </c>
      <c r="N28" s="1335">
        <v>61</v>
      </c>
      <c r="O28" s="1624"/>
      <c r="T28" s="997"/>
      <c r="U28" s="997"/>
      <c r="V28" s="1268"/>
      <c r="W28" s="974"/>
      <c r="BP28" s="966"/>
      <c r="BQ28" s="966"/>
      <c r="BR28" s="966"/>
    </row>
    <row r="29" spans="1:70" ht="20.100000000000001" hidden="1" customHeight="1">
      <c r="A29" s="980">
        <v>18</v>
      </c>
      <c r="B29" s="981" t="s">
        <v>54</v>
      </c>
      <c r="C29" s="982">
        <f t="shared" si="0"/>
        <v>1</v>
      </c>
      <c r="D29" s="982">
        <v>0</v>
      </c>
      <c r="E29" s="982">
        <v>0</v>
      </c>
      <c r="F29" s="986">
        <f t="shared" si="1"/>
        <v>1</v>
      </c>
      <c r="G29" s="982">
        <v>0</v>
      </c>
      <c r="H29" s="982">
        <f t="shared" si="2"/>
        <v>0</v>
      </c>
      <c r="I29" s="982">
        <f t="shared" si="3"/>
        <v>0</v>
      </c>
      <c r="J29" s="986">
        <f t="shared" si="4"/>
        <v>1</v>
      </c>
      <c r="K29" s="1285">
        <f t="shared" si="5"/>
        <v>0</v>
      </c>
      <c r="L29" s="983">
        <f t="shared" si="6"/>
        <v>37</v>
      </c>
      <c r="M29" s="984">
        <f t="shared" si="7"/>
        <v>38</v>
      </c>
      <c r="N29" s="1335">
        <v>62</v>
      </c>
      <c r="O29" s="1624"/>
      <c r="T29" s="997"/>
      <c r="U29" s="997"/>
      <c r="V29" s="1268"/>
      <c r="W29" s="974"/>
      <c r="BP29" s="966"/>
      <c r="BQ29" s="966"/>
      <c r="BR29" s="966"/>
    </row>
    <row r="30" spans="1:70" ht="20.100000000000001" hidden="1" customHeight="1">
      <c r="A30" s="980">
        <v>19</v>
      </c>
      <c r="B30" s="981" t="s">
        <v>58</v>
      </c>
      <c r="C30" s="982">
        <f t="shared" si="0"/>
        <v>1</v>
      </c>
      <c r="D30" s="982">
        <v>0</v>
      </c>
      <c r="E30" s="982">
        <v>0</v>
      </c>
      <c r="F30" s="986">
        <f t="shared" si="1"/>
        <v>1</v>
      </c>
      <c r="G30" s="982">
        <v>0</v>
      </c>
      <c r="H30" s="982">
        <f t="shared" si="2"/>
        <v>1</v>
      </c>
      <c r="I30" s="982">
        <f t="shared" si="3"/>
        <v>0</v>
      </c>
      <c r="J30" s="986">
        <f t="shared" si="4"/>
        <v>1</v>
      </c>
      <c r="K30" s="1285">
        <f t="shared" si="5"/>
        <v>0</v>
      </c>
      <c r="L30" s="983">
        <f t="shared" si="6"/>
        <v>39</v>
      </c>
      <c r="M30" s="984">
        <f t="shared" si="7"/>
        <v>40</v>
      </c>
      <c r="N30" s="1335">
        <v>63</v>
      </c>
      <c r="O30" s="1624"/>
      <c r="T30" s="997"/>
      <c r="U30" s="997"/>
      <c r="V30" s="1268"/>
      <c r="BP30" s="966"/>
      <c r="BQ30" s="966"/>
      <c r="BR30" s="966"/>
    </row>
    <row r="31" spans="1:70" ht="24.95" hidden="1" customHeight="1" thickBot="1">
      <c r="A31" s="988">
        <v>21</v>
      </c>
      <c r="B31" s="989" t="s">
        <v>191</v>
      </c>
      <c r="C31" s="1267"/>
      <c r="D31" s="990"/>
      <c r="E31" s="990"/>
      <c r="F31" s="991"/>
      <c r="G31" s="990"/>
      <c r="H31" s="990"/>
      <c r="I31" s="990"/>
      <c r="J31" s="992"/>
      <c r="K31" s="1286"/>
      <c r="L31" s="993">
        <f>L30+4</f>
        <v>43</v>
      </c>
      <c r="M31" s="994">
        <f>M30+4</f>
        <v>44</v>
      </c>
      <c r="N31" s="1336">
        <v>65</v>
      </c>
      <c r="O31" s="1624"/>
      <c r="T31" s="971"/>
      <c r="U31" s="974"/>
      <c r="V31" s="974"/>
      <c r="W31" s="974"/>
      <c r="BP31" s="966"/>
      <c r="BQ31" s="966"/>
      <c r="BR31" s="966"/>
    </row>
    <row r="32" spans="1:70" ht="18" hidden="1" customHeight="1">
      <c r="AA32" s="1348"/>
      <c r="AB32" s="1348"/>
      <c r="AC32" s="1348"/>
      <c r="AD32" s="1348"/>
      <c r="AE32" s="1348"/>
      <c r="AF32" s="1348"/>
      <c r="AG32" s="1348"/>
      <c r="AH32" s="1348"/>
      <c r="AI32" s="1348"/>
      <c r="AJ32" s="1348"/>
      <c r="BP32" s="966"/>
      <c r="BQ32" s="966"/>
      <c r="BR32" s="966"/>
    </row>
    <row r="33" spans="1:70" ht="20.100000000000001" hidden="1" customHeight="1">
      <c r="A33" s="995" t="s">
        <v>344</v>
      </c>
      <c r="O33" s="1348"/>
      <c r="P33" s="1348"/>
      <c r="Q33" s="1348"/>
      <c r="R33" s="1348"/>
      <c r="S33" s="1348"/>
      <c r="T33" s="1348"/>
      <c r="U33" s="1348"/>
      <c r="V33" s="1348"/>
      <c r="W33" s="1348"/>
      <c r="X33" s="1348"/>
      <c r="Y33" s="1348"/>
      <c r="AA33" s="1347"/>
      <c r="AB33" s="1346"/>
      <c r="AC33" s="1346"/>
      <c r="AD33" s="1347"/>
      <c r="AE33" s="1346"/>
      <c r="AF33" s="1347"/>
      <c r="AG33" s="1348"/>
      <c r="AH33" s="1348"/>
      <c r="AI33" s="1346"/>
      <c r="AJ33" s="1346"/>
      <c r="BP33" s="966"/>
      <c r="BQ33" s="966"/>
      <c r="BR33" s="966"/>
    </row>
    <row r="34" spans="1:70" hidden="1">
      <c r="O34" s="1348"/>
      <c r="P34" s="1348"/>
      <c r="Q34" s="1348"/>
      <c r="R34" s="1348"/>
      <c r="S34" s="1348"/>
      <c r="T34" s="1348"/>
      <c r="U34" s="1348"/>
      <c r="V34" s="1348"/>
      <c r="W34" s="1348"/>
      <c r="X34" s="1348"/>
      <c r="Y34" s="1348"/>
    </row>
    <row r="35" spans="1:70" ht="20.100000000000001" hidden="1" customHeight="1">
      <c r="A35" s="976" t="s">
        <v>281</v>
      </c>
      <c r="BP35" s="966"/>
      <c r="BQ35" s="966"/>
      <c r="BR35" s="966"/>
    </row>
    <row r="36" spans="1:70" ht="20.100000000000001" hidden="1" customHeight="1">
      <c r="A36" s="977">
        <v>1</v>
      </c>
      <c r="B36" s="977">
        <v>2</v>
      </c>
      <c r="C36" s="977">
        <v>3</v>
      </c>
      <c r="D36" s="977">
        <v>4</v>
      </c>
      <c r="E36" s="977">
        <v>5</v>
      </c>
      <c r="F36" s="977">
        <v>6</v>
      </c>
      <c r="G36" s="977">
        <v>7</v>
      </c>
      <c r="H36" s="977">
        <v>8</v>
      </c>
      <c r="I36" s="977">
        <v>9</v>
      </c>
      <c r="J36" s="977">
        <v>10</v>
      </c>
      <c r="K36" s="977">
        <v>11</v>
      </c>
      <c r="L36" s="977">
        <v>12</v>
      </c>
      <c r="M36" s="977">
        <v>13</v>
      </c>
      <c r="N36" s="977">
        <v>14</v>
      </c>
      <c r="O36" s="977">
        <v>15</v>
      </c>
      <c r="P36" s="977">
        <v>16</v>
      </c>
      <c r="Q36" s="977">
        <v>17</v>
      </c>
      <c r="R36" s="977">
        <v>18</v>
      </c>
      <c r="S36" s="977">
        <v>19</v>
      </c>
      <c r="T36" s="977">
        <v>20</v>
      </c>
      <c r="U36" s="977">
        <v>21</v>
      </c>
      <c r="V36" s="977">
        <v>22</v>
      </c>
      <c r="W36" s="977">
        <v>23</v>
      </c>
      <c r="X36" s="977">
        <v>24</v>
      </c>
      <c r="Y36" s="977">
        <v>25</v>
      </c>
      <c r="Z36" s="977">
        <v>26</v>
      </c>
      <c r="AA36" s="977">
        <v>27</v>
      </c>
      <c r="AB36" s="977">
        <v>28</v>
      </c>
      <c r="AC36" s="977">
        <v>29</v>
      </c>
      <c r="AD36" s="977">
        <v>30</v>
      </c>
      <c r="AE36" s="977">
        <v>31</v>
      </c>
      <c r="AF36" s="977">
        <v>32</v>
      </c>
      <c r="AG36" s="977">
        <v>33</v>
      </c>
      <c r="AH36" s="977">
        <v>34</v>
      </c>
      <c r="AI36" s="977">
        <v>35</v>
      </c>
      <c r="AJ36" s="977">
        <v>36</v>
      </c>
      <c r="AK36" s="977">
        <v>37</v>
      </c>
      <c r="AL36" s="977">
        <v>38</v>
      </c>
      <c r="AM36" s="985"/>
      <c r="AN36" s="985"/>
      <c r="AO36" s="985"/>
      <c r="AP36" s="985"/>
      <c r="AR36" s="985"/>
      <c r="AS36" s="985"/>
      <c r="AT36" s="985"/>
      <c r="AU36" s="985"/>
      <c r="AV36" s="985"/>
      <c r="AW36" s="985"/>
      <c r="AX36" s="985"/>
      <c r="AY36" s="985"/>
      <c r="AZ36" s="985"/>
      <c r="BA36" s="985"/>
      <c r="BB36" s="985"/>
      <c r="BC36" s="985"/>
      <c r="BD36" s="985"/>
      <c r="BP36" s="966"/>
      <c r="BQ36" s="966"/>
      <c r="BR36" s="966"/>
    </row>
    <row r="37" spans="1:70" ht="15.75" hidden="1" thickBot="1">
      <c r="BP37" s="966"/>
      <c r="BQ37" s="966"/>
      <c r="BR37" s="966"/>
    </row>
    <row r="38" spans="1:70" ht="39.950000000000003" hidden="1" customHeight="1">
      <c r="A38" s="978"/>
      <c r="B38" s="996"/>
      <c r="C38" s="1625" t="s">
        <v>357</v>
      </c>
      <c r="D38" s="1999" t="s">
        <v>294</v>
      </c>
      <c r="E38" s="2000"/>
      <c r="F38" s="2001"/>
      <c r="G38" s="2002" t="s">
        <v>345</v>
      </c>
      <c r="H38" s="1994"/>
      <c r="I38" s="1995"/>
      <c r="J38" s="1975" t="s">
        <v>346</v>
      </c>
      <c r="K38" s="1976"/>
      <c r="L38" s="1976"/>
      <c r="M38" s="1976"/>
      <c r="N38" s="1976"/>
      <c r="O38" s="1976"/>
      <c r="P38" s="1976"/>
      <c r="Q38" s="1976"/>
      <c r="R38" s="1976"/>
      <c r="S38" s="1976"/>
      <c r="T38" s="1976"/>
      <c r="U38" s="1977"/>
      <c r="V38" s="1975" t="s">
        <v>358</v>
      </c>
      <c r="W38" s="1976"/>
      <c r="X38" s="1976"/>
      <c r="Y38" s="1976"/>
      <c r="Z38" s="1976"/>
      <c r="AA38" s="1976"/>
      <c r="AB38" s="1976"/>
      <c r="AC38" s="1976"/>
      <c r="AD38" s="1976"/>
      <c r="AE38" s="1976"/>
      <c r="AF38" s="1977"/>
      <c r="AG38" s="1985" t="s">
        <v>347</v>
      </c>
      <c r="AH38" s="1986"/>
      <c r="AI38" s="1986"/>
      <c r="AJ38" s="1986"/>
      <c r="AK38" s="1987"/>
      <c r="AL38" s="1981" t="s">
        <v>348</v>
      </c>
      <c r="BE38" s="997"/>
      <c r="BF38" s="935"/>
      <c r="BG38" s="935"/>
      <c r="BH38" s="935"/>
      <c r="BI38" s="935"/>
      <c r="BJ38" s="998"/>
      <c r="BK38" s="998"/>
      <c r="BL38" s="998"/>
      <c r="BM38" s="998"/>
      <c r="BN38" s="939"/>
      <c r="BO38" s="939"/>
      <c r="BP38" s="966"/>
      <c r="BQ38" s="966"/>
      <c r="BR38" s="966"/>
    </row>
    <row r="39" spans="1:70" ht="99.95" hidden="1" customHeight="1">
      <c r="A39" s="1979" t="s">
        <v>99</v>
      </c>
      <c r="B39" s="1980"/>
      <c r="C39" s="1626"/>
      <c r="D39" s="1271" t="s">
        <v>295</v>
      </c>
      <c r="E39" s="1002" t="s">
        <v>296</v>
      </c>
      <c r="F39" s="1597" t="s">
        <v>395</v>
      </c>
      <c r="G39" s="1627" t="s">
        <v>282</v>
      </c>
      <c r="H39" s="369" t="s">
        <v>283</v>
      </c>
      <c r="I39" s="1628" t="s">
        <v>2</v>
      </c>
      <c r="J39" s="1000" t="s">
        <v>100</v>
      </c>
      <c r="K39" s="878" t="s">
        <v>101</v>
      </c>
      <c r="L39" s="879" t="s">
        <v>189</v>
      </c>
      <c r="M39" s="878" t="s">
        <v>190</v>
      </c>
      <c r="N39" s="999" t="s">
        <v>102</v>
      </c>
      <c r="O39" s="999" t="s">
        <v>103</v>
      </c>
      <c r="P39" s="999" t="s">
        <v>104</v>
      </c>
      <c r="Q39" s="999" t="s">
        <v>105</v>
      </c>
      <c r="R39" s="999" t="s">
        <v>106</v>
      </c>
      <c r="S39" s="999" t="s">
        <v>107</v>
      </c>
      <c r="T39" s="999" t="s">
        <v>209</v>
      </c>
      <c r="U39" s="1001" t="s">
        <v>2</v>
      </c>
      <c r="V39" s="1343" t="s">
        <v>100</v>
      </c>
      <c r="W39" s="878" t="s">
        <v>355</v>
      </c>
      <c r="X39" s="1344" t="s">
        <v>402</v>
      </c>
      <c r="Y39" s="878" t="s">
        <v>101</v>
      </c>
      <c r="Z39" s="878" t="s">
        <v>356</v>
      </c>
      <c r="AA39" s="878" t="s">
        <v>102</v>
      </c>
      <c r="AB39" s="878" t="s">
        <v>106</v>
      </c>
      <c r="AC39" s="1345" t="s">
        <v>107</v>
      </c>
      <c r="AD39" s="1345" t="s">
        <v>353</v>
      </c>
      <c r="AE39" s="999" t="s">
        <v>354</v>
      </c>
      <c r="AF39" s="1001" t="s">
        <v>2</v>
      </c>
      <c r="AG39" s="1003" t="s">
        <v>115</v>
      </c>
      <c r="AH39" s="1004" t="s">
        <v>116</v>
      </c>
      <c r="AI39" s="1005" t="s">
        <v>158</v>
      </c>
      <c r="AJ39" s="1005" t="s">
        <v>159</v>
      </c>
      <c r="AK39" s="1006" t="s">
        <v>160</v>
      </c>
      <c r="AL39" s="1982"/>
      <c r="BE39" s="939"/>
      <c r="BF39" s="935"/>
      <c r="BG39" s="935"/>
      <c r="BH39" s="935"/>
      <c r="BI39" s="935"/>
      <c r="BJ39" s="998"/>
      <c r="BK39" s="998"/>
      <c r="BL39" s="998"/>
      <c r="BM39" s="998"/>
      <c r="BN39" s="935"/>
      <c r="BO39" s="935"/>
      <c r="BP39" s="935"/>
      <c r="BQ39" s="935"/>
      <c r="BR39" s="997"/>
    </row>
    <row r="40" spans="1:70" ht="24.95" hidden="1" customHeight="1">
      <c r="A40" s="2004" t="s">
        <v>173</v>
      </c>
      <c r="B40" s="1007" t="s">
        <v>126</v>
      </c>
      <c r="C40" s="1008"/>
      <c r="D40" s="1008" t="s">
        <v>17</v>
      </c>
      <c r="E40" s="880" t="s">
        <v>17</v>
      </c>
      <c r="F40" s="941" t="s">
        <v>17</v>
      </c>
      <c r="G40" s="1008" t="s">
        <v>17</v>
      </c>
      <c r="H40" s="880" t="s">
        <v>17</v>
      </c>
      <c r="I40" s="941" t="s">
        <v>17</v>
      </c>
      <c r="J40" s="881" t="s">
        <v>17</v>
      </c>
      <c r="K40" s="882" t="s">
        <v>17</v>
      </c>
      <c r="L40" s="1009" t="s">
        <v>17</v>
      </c>
      <c r="M40" s="882" t="s">
        <v>17</v>
      </c>
      <c r="N40" s="1010" t="s">
        <v>17</v>
      </c>
      <c r="O40" s="1010" t="s">
        <v>17</v>
      </c>
      <c r="P40" s="1010" t="s">
        <v>17</v>
      </c>
      <c r="Q40" s="1010" t="s">
        <v>17</v>
      </c>
      <c r="R40" s="1010" t="s">
        <v>17</v>
      </c>
      <c r="S40" s="1010" t="s">
        <v>17</v>
      </c>
      <c r="T40" s="1010" t="s">
        <v>17</v>
      </c>
      <c r="U40" s="883" t="s">
        <v>17</v>
      </c>
      <c r="V40" s="1011" t="s">
        <v>17</v>
      </c>
      <c r="W40" s="882" t="s">
        <v>17</v>
      </c>
      <c r="X40" s="882" t="s">
        <v>17</v>
      </c>
      <c r="Y40" s="882" t="s">
        <v>17</v>
      </c>
      <c r="Z40" s="882" t="s">
        <v>17</v>
      </c>
      <c r="AA40" s="882" t="s">
        <v>17</v>
      </c>
      <c r="AB40" s="882" t="s">
        <v>17</v>
      </c>
      <c r="AC40" s="882" t="s">
        <v>17</v>
      </c>
      <c r="AD40" s="882" t="s">
        <v>17</v>
      </c>
      <c r="AE40" s="1009" t="s">
        <v>17</v>
      </c>
      <c r="AF40" s="883" t="s">
        <v>17</v>
      </c>
      <c r="AG40" s="1013" t="s">
        <v>17</v>
      </c>
      <c r="AH40" s="1014" t="s">
        <v>17</v>
      </c>
      <c r="AI40" s="1014" t="s">
        <v>17</v>
      </c>
      <c r="AJ40" s="1014" t="s">
        <v>17</v>
      </c>
      <c r="AK40" s="1015" t="s">
        <v>17</v>
      </c>
      <c r="AL40" s="1016" t="s">
        <v>17</v>
      </c>
      <c r="BE40" s="935"/>
      <c r="BF40" s="935"/>
      <c r="BG40" s="935"/>
      <c r="BH40" s="998"/>
      <c r="BI40" s="997"/>
      <c r="BJ40" s="997"/>
      <c r="BK40" s="943"/>
      <c r="BL40" s="943"/>
      <c r="BM40" s="943"/>
      <c r="BN40" s="943"/>
      <c r="BO40" s="943"/>
      <c r="BP40" s="997"/>
      <c r="BQ40" s="997"/>
      <c r="BR40" s="997"/>
    </row>
    <row r="41" spans="1:70" ht="24.95" hidden="1" customHeight="1">
      <c r="A41" s="2005"/>
      <c r="B41" s="1017"/>
      <c r="C41" s="1018">
        <v>1</v>
      </c>
      <c r="D41" s="1018">
        <v>2</v>
      </c>
      <c r="E41" s="925">
        <v>3</v>
      </c>
      <c r="F41" s="929">
        <v>4</v>
      </c>
      <c r="G41" s="1018">
        <v>5</v>
      </c>
      <c r="H41" s="925">
        <v>6</v>
      </c>
      <c r="I41" s="929">
        <v>7</v>
      </c>
      <c r="J41" s="1018">
        <v>8</v>
      </c>
      <c r="K41" s="925">
        <v>9</v>
      </c>
      <c r="L41" s="925">
        <v>10</v>
      </c>
      <c r="M41" s="1019">
        <v>11</v>
      </c>
      <c r="N41" s="925">
        <v>12</v>
      </c>
      <c r="O41" s="925">
        <v>13</v>
      </c>
      <c r="P41" s="1019">
        <v>14</v>
      </c>
      <c r="Q41" s="925">
        <v>15</v>
      </c>
      <c r="R41" s="925">
        <v>16</v>
      </c>
      <c r="S41" s="1019">
        <v>17</v>
      </c>
      <c r="T41" s="925">
        <v>18</v>
      </c>
      <c r="U41" s="929">
        <v>19</v>
      </c>
      <c r="V41" s="1018">
        <v>20</v>
      </c>
      <c r="W41" s="925">
        <v>21</v>
      </c>
      <c r="X41" s="925">
        <v>22</v>
      </c>
      <c r="Y41" s="1019">
        <v>23</v>
      </c>
      <c r="Z41" s="925">
        <v>24</v>
      </c>
      <c r="AA41" s="925">
        <v>25</v>
      </c>
      <c r="AB41" s="1019">
        <v>26</v>
      </c>
      <c r="AC41" s="1337">
        <v>27</v>
      </c>
      <c r="AD41" s="1337">
        <v>28</v>
      </c>
      <c r="AE41" s="924">
        <v>29</v>
      </c>
      <c r="AF41" s="929">
        <v>30</v>
      </c>
      <c r="AG41" s="1138">
        <v>31</v>
      </c>
      <c r="AH41" s="1019">
        <v>32</v>
      </c>
      <c r="AI41" s="925">
        <v>33</v>
      </c>
      <c r="AJ41" s="925">
        <v>34</v>
      </c>
      <c r="AK41" s="1019">
        <v>35</v>
      </c>
      <c r="AL41" s="929">
        <v>36</v>
      </c>
      <c r="BE41" s="997"/>
      <c r="BF41" s="997"/>
      <c r="BG41" s="997"/>
      <c r="BH41" s="997"/>
      <c r="BI41" s="997"/>
      <c r="BJ41" s="997"/>
      <c r="BK41" s="940"/>
      <c r="BL41" s="940"/>
      <c r="BM41" s="940"/>
      <c r="BN41" s="940"/>
      <c r="BO41" s="940"/>
      <c r="BP41" s="997"/>
      <c r="BQ41" s="997"/>
      <c r="BR41" s="997"/>
    </row>
    <row r="42" spans="1:70" ht="24.95" hidden="1" customHeight="1">
      <c r="A42" s="1020">
        <v>1</v>
      </c>
      <c r="B42" s="1021" t="s">
        <v>43</v>
      </c>
      <c r="C42" s="1366">
        <v>0</v>
      </c>
      <c r="D42" s="1273"/>
      <c r="E42" s="1274"/>
      <c r="F42" s="1275"/>
      <c r="G42" s="1366">
        <v>6704.2999999999993</v>
      </c>
      <c r="H42" s="1022">
        <v>0</v>
      </c>
      <c r="I42" s="1350">
        <f>SUM(G42:H42)</f>
        <v>6704.2999999999993</v>
      </c>
      <c r="J42" s="1023">
        <v>381.3</v>
      </c>
      <c r="K42" s="938">
        <v>0</v>
      </c>
      <c r="L42" s="938">
        <v>236.6</v>
      </c>
      <c r="M42" s="938">
        <v>0</v>
      </c>
      <c r="N42" s="938">
        <v>393</v>
      </c>
      <c r="O42" s="938">
        <v>67.900000000000006</v>
      </c>
      <c r="P42" s="938">
        <v>0</v>
      </c>
      <c r="Q42" s="938">
        <v>0</v>
      </c>
      <c r="R42" s="938">
        <v>56.8</v>
      </c>
      <c r="S42" s="938">
        <v>97.4</v>
      </c>
      <c r="T42" s="938">
        <v>0</v>
      </c>
      <c r="U42" s="887">
        <f>SUM(J42:T42)</f>
        <v>1233</v>
      </c>
      <c r="V42" s="1130">
        <v>18</v>
      </c>
      <c r="W42" s="1131">
        <v>20</v>
      </c>
      <c r="X42" s="1132">
        <v>20</v>
      </c>
      <c r="Y42" s="1132">
        <v>60.9</v>
      </c>
      <c r="Z42" s="1132">
        <v>0</v>
      </c>
      <c r="AA42" s="1133">
        <v>0</v>
      </c>
      <c r="AB42" s="1133">
        <v>154</v>
      </c>
      <c r="AC42" s="1338">
        <v>111</v>
      </c>
      <c r="AD42" s="1338">
        <v>15.5</v>
      </c>
      <c r="AE42" s="1349">
        <v>0</v>
      </c>
      <c r="AF42" s="1350">
        <f>SUM(V42:AE42)</f>
        <v>399.4</v>
      </c>
      <c r="AG42" s="1353">
        <v>819</v>
      </c>
      <c r="AH42" s="1354">
        <v>80</v>
      </c>
      <c r="AI42" s="1355">
        <v>615</v>
      </c>
      <c r="AJ42" s="1356">
        <v>280</v>
      </c>
      <c r="AK42" s="1357">
        <v>0</v>
      </c>
      <c r="AL42" s="1358">
        <v>6251</v>
      </c>
      <c r="BE42" s="943"/>
      <c r="BF42" s="943"/>
      <c r="BG42" s="943"/>
      <c r="BH42" s="943"/>
      <c r="BI42" s="943"/>
      <c r="BJ42" s="943"/>
      <c r="BK42" s="943"/>
      <c r="BL42" s="1025"/>
      <c r="BM42" s="1025"/>
      <c r="BN42" s="1025"/>
      <c r="BO42" s="1025"/>
      <c r="BP42" s="1025"/>
      <c r="BQ42" s="1025"/>
      <c r="BR42" s="997"/>
    </row>
    <row r="43" spans="1:70" ht="20.100000000000001" hidden="1" customHeight="1">
      <c r="A43" s="980">
        <v>2</v>
      </c>
      <c r="B43" s="1026" t="s">
        <v>44</v>
      </c>
      <c r="C43" s="1367">
        <v>0</v>
      </c>
      <c r="D43" s="1273"/>
      <c r="E43" s="1131"/>
      <c r="F43" s="1276"/>
      <c r="G43" s="1367">
        <v>3162.5</v>
      </c>
      <c r="H43" s="936">
        <v>0</v>
      </c>
      <c r="I43" s="1350">
        <f t="shared" ref="I43:I60" si="8">SUM(G43:H43)</f>
        <v>3162.5</v>
      </c>
      <c r="J43" s="1023">
        <v>0</v>
      </c>
      <c r="K43" s="938">
        <v>0</v>
      </c>
      <c r="L43" s="938">
        <v>0</v>
      </c>
      <c r="M43" s="938">
        <v>0</v>
      </c>
      <c r="N43" s="938">
        <v>0</v>
      </c>
      <c r="O43" s="938">
        <v>0</v>
      </c>
      <c r="P43" s="938">
        <v>0</v>
      </c>
      <c r="Q43" s="938">
        <v>0</v>
      </c>
      <c r="R43" s="938">
        <v>0</v>
      </c>
      <c r="S43" s="938">
        <v>0</v>
      </c>
      <c r="T43" s="938">
        <v>130</v>
      </c>
      <c r="U43" s="887">
        <f t="shared" ref="U43:U60" si="9">SUM(J43:T43)</f>
        <v>130</v>
      </c>
      <c r="V43" s="885">
        <v>0</v>
      </c>
      <c r="W43" s="1131">
        <v>0</v>
      </c>
      <c r="X43" s="885">
        <v>0</v>
      </c>
      <c r="Y43" s="885">
        <v>0</v>
      </c>
      <c r="Z43" s="885">
        <v>0</v>
      </c>
      <c r="AA43" s="885">
        <v>0</v>
      </c>
      <c r="AB43" s="885">
        <v>0</v>
      </c>
      <c r="AC43" s="1339">
        <v>0</v>
      </c>
      <c r="AD43" s="1339">
        <v>0</v>
      </c>
      <c r="AE43" s="885">
        <v>0</v>
      </c>
      <c r="AF43" s="1351">
        <f t="shared" ref="AF43:AF60" si="10">SUM(V43:AE43)</f>
        <v>0</v>
      </c>
      <c r="AG43" s="1353">
        <v>0</v>
      </c>
      <c r="AH43" s="1354">
        <v>0</v>
      </c>
      <c r="AI43" s="1355">
        <v>0</v>
      </c>
      <c r="AJ43" s="1356">
        <v>0</v>
      </c>
      <c r="AK43" s="1357">
        <v>135</v>
      </c>
      <c r="AL43" s="1358">
        <v>3370</v>
      </c>
      <c r="BE43" s="943"/>
      <c r="BF43" s="943"/>
      <c r="BG43" s="943"/>
      <c r="BH43" s="943"/>
      <c r="BI43" s="943"/>
      <c r="BJ43" s="943"/>
      <c r="BK43" s="943"/>
      <c r="BL43" s="1025"/>
      <c r="BM43" s="1025"/>
      <c r="BN43" s="1025"/>
      <c r="BO43" s="1025"/>
      <c r="BP43" s="1025"/>
      <c r="BQ43" s="1025"/>
      <c r="BR43" s="997"/>
    </row>
    <row r="44" spans="1:70" ht="20.100000000000001" hidden="1" customHeight="1">
      <c r="A44" s="980">
        <v>3</v>
      </c>
      <c r="B44" s="1026" t="s">
        <v>45</v>
      </c>
      <c r="C44" s="1367">
        <v>0</v>
      </c>
      <c r="D44" s="1273"/>
      <c r="E44" s="1131"/>
      <c r="F44" s="1276"/>
      <c r="G44" s="1367">
        <v>5935.4</v>
      </c>
      <c r="H44" s="936">
        <v>0</v>
      </c>
      <c r="I44" s="1350">
        <f t="shared" si="8"/>
        <v>5935.4</v>
      </c>
      <c r="J44" s="1023">
        <v>296.5</v>
      </c>
      <c r="K44" s="938">
        <v>130.9</v>
      </c>
      <c r="L44" s="938">
        <v>213.5</v>
      </c>
      <c r="M44" s="938">
        <v>31.7</v>
      </c>
      <c r="N44" s="938">
        <v>226.1</v>
      </c>
      <c r="O44" s="938">
        <v>0</v>
      </c>
      <c r="P44" s="938">
        <v>0</v>
      </c>
      <c r="Q44" s="938">
        <v>0</v>
      </c>
      <c r="R44" s="938">
        <v>39.700000000000003</v>
      </c>
      <c r="S44" s="938">
        <v>38.299999999999997</v>
      </c>
      <c r="T44" s="938">
        <v>0</v>
      </c>
      <c r="U44" s="887">
        <f t="shared" si="9"/>
        <v>976.7</v>
      </c>
      <c r="V44" s="884">
        <v>18</v>
      </c>
      <c r="W44" s="1131">
        <v>20</v>
      </c>
      <c r="X44" s="885">
        <v>0</v>
      </c>
      <c r="Y44" s="885">
        <v>0</v>
      </c>
      <c r="Z44" s="885">
        <v>1121</v>
      </c>
      <c r="AA44" s="885">
        <v>0</v>
      </c>
      <c r="AB44" s="886">
        <v>124</v>
      </c>
      <c r="AC44" s="1340">
        <v>45</v>
      </c>
      <c r="AD44" s="1340">
        <v>22</v>
      </c>
      <c r="AE44" s="885">
        <v>0</v>
      </c>
      <c r="AF44" s="1351">
        <f t="shared" si="10"/>
        <v>1350</v>
      </c>
      <c r="AG44" s="1353">
        <v>692</v>
      </c>
      <c r="AH44" s="1354">
        <v>244</v>
      </c>
      <c r="AI44" s="1355">
        <v>401</v>
      </c>
      <c r="AJ44" s="1356">
        <v>85</v>
      </c>
      <c r="AK44" s="1357">
        <v>1202</v>
      </c>
      <c r="AL44" s="1358">
        <v>5515</v>
      </c>
      <c r="BE44" s="943"/>
      <c r="BF44" s="943"/>
      <c r="BG44" s="943"/>
      <c r="BH44" s="943"/>
      <c r="BI44" s="943"/>
      <c r="BJ44" s="943"/>
      <c r="BK44" s="943"/>
      <c r="BL44" s="1025"/>
      <c r="BM44" s="1025"/>
      <c r="BN44" s="1025"/>
      <c r="BO44" s="1025"/>
      <c r="BP44" s="1025"/>
      <c r="BQ44" s="1025"/>
      <c r="BR44" s="997"/>
    </row>
    <row r="45" spans="1:70" ht="20.100000000000001" hidden="1" customHeight="1">
      <c r="A45" s="980">
        <v>4</v>
      </c>
      <c r="B45" s="1026" t="s">
        <v>62</v>
      </c>
      <c r="C45" s="1367">
        <v>15</v>
      </c>
      <c r="D45" s="1273"/>
      <c r="E45" s="1131"/>
      <c r="F45" s="1276"/>
      <c r="G45" s="1367">
        <v>7510.3</v>
      </c>
      <c r="H45" s="936">
        <v>0</v>
      </c>
      <c r="I45" s="1350">
        <f t="shared" si="8"/>
        <v>7510.3</v>
      </c>
      <c r="J45" s="1023">
        <v>0</v>
      </c>
      <c r="K45" s="938">
        <v>0</v>
      </c>
      <c r="L45" s="938">
        <v>0</v>
      </c>
      <c r="M45" s="938">
        <v>0</v>
      </c>
      <c r="N45" s="938">
        <v>0</v>
      </c>
      <c r="O45" s="938">
        <v>0</v>
      </c>
      <c r="P45" s="938">
        <v>0</v>
      </c>
      <c r="Q45" s="938">
        <v>0</v>
      </c>
      <c r="R45" s="938">
        <v>0</v>
      </c>
      <c r="S45" s="938">
        <v>0</v>
      </c>
      <c r="T45" s="938">
        <v>0</v>
      </c>
      <c r="U45" s="887">
        <f t="shared" si="9"/>
        <v>0</v>
      </c>
      <c r="V45" s="888">
        <v>0</v>
      </c>
      <c r="W45" s="1131">
        <v>0</v>
      </c>
      <c r="X45" s="886">
        <v>0</v>
      </c>
      <c r="Y45" s="886">
        <v>0</v>
      </c>
      <c r="Z45" s="886">
        <v>1638</v>
      </c>
      <c r="AA45" s="885">
        <v>0</v>
      </c>
      <c r="AB45" s="886">
        <v>0</v>
      </c>
      <c r="AC45" s="1340">
        <v>0</v>
      </c>
      <c r="AD45" s="1340">
        <v>0</v>
      </c>
      <c r="AE45" s="885">
        <v>0</v>
      </c>
      <c r="AF45" s="1351">
        <f t="shared" si="10"/>
        <v>1638</v>
      </c>
      <c r="AG45" s="1353">
        <v>0</v>
      </c>
      <c r="AH45" s="1354">
        <v>0</v>
      </c>
      <c r="AI45" s="1355">
        <v>0</v>
      </c>
      <c r="AJ45" s="1356">
        <v>0</v>
      </c>
      <c r="AK45" s="1357">
        <v>1712</v>
      </c>
      <c r="AL45" s="1358">
        <v>6204</v>
      </c>
      <c r="BE45" s="943"/>
      <c r="BF45" s="943"/>
      <c r="BG45" s="943"/>
      <c r="BH45" s="943"/>
      <c r="BI45" s="943"/>
      <c r="BJ45" s="943"/>
      <c r="BK45" s="943"/>
      <c r="BL45" s="1025"/>
      <c r="BM45" s="1025"/>
      <c r="BN45" s="1025"/>
      <c r="BO45" s="1025"/>
      <c r="BP45" s="1025"/>
      <c r="BQ45" s="1025"/>
      <c r="BR45" s="997"/>
    </row>
    <row r="46" spans="1:70" ht="20.100000000000001" hidden="1" customHeight="1">
      <c r="A46" s="980">
        <v>5</v>
      </c>
      <c r="B46" s="1026" t="s">
        <v>46</v>
      </c>
      <c r="C46" s="1367">
        <v>50</v>
      </c>
      <c r="D46" s="1273"/>
      <c r="E46" s="1131">
        <v>80</v>
      </c>
      <c r="F46" s="1276"/>
      <c r="G46" s="1367">
        <v>9155.2999999999993</v>
      </c>
      <c r="H46" s="936">
        <v>0</v>
      </c>
      <c r="I46" s="1350">
        <f t="shared" si="8"/>
        <v>9155.2999999999993</v>
      </c>
      <c r="J46" s="1023">
        <v>351.3</v>
      </c>
      <c r="K46" s="938">
        <v>0</v>
      </c>
      <c r="L46" s="938">
        <v>206.9</v>
      </c>
      <c r="M46" s="938">
        <v>0</v>
      </c>
      <c r="N46" s="938">
        <v>373.6</v>
      </c>
      <c r="O46" s="938">
        <v>0</v>
      </c>
      <c r="P46" s="938">
        <v>353</v>
      </c>
      <c r="Q46" s="938">
        <v>0</v>
      </c>
      <c r="R46" s="938">
        <v>62</v>
      </c>
      <c r="S46" s="938">
        <v>123</v>
      </c>
      <c r="T46" s="938">
        <v>119</v>
      </c>
      <c r="U46" s="887">
        <f t="shared" si="9"/>
        <v>1588.8000000000002</v>
      </c>
      <c r="V46" s="884">
        <v>48</v>
      </c>
      <c r="W46" s="1131">
        <v>20</v>
      </c>
      <c r="X46" s="886">
        <v>0</v>
      </c>
      <c r="Y46" s="885">
        <v>0</v>
      </c>
      <c r="Z46" s="885">
        <v>0</v>
      </c>
      <c r="AA46" s="886">
        <v>40</v>
      </c>
      <c r="AB46" s="885">
        <v>56</v>
      </c>
      <c r="AC46" s="1339">
        <v>145</v>
      </c>
      <c r="AD46" s="1339">
        <v>17.5</v>
      </c>
      <c r="AE46" s="885">
        <v>0</v>
      </c>
      <c r="AF46" s="1351">
        <f t="shared" si="10"/>
        <v>326.5</v>
      </c>
      <c r="AG46" s="1353">
        <v>1045</v>
      </c>
      <c r="AH46" s="1354">
        <v>0</v>
      </c>
      <c r="AI46" s="1355">
        <v>553</v>
      </c>
      <c r="AJ46" s="1356">
        <v>631</v>
      </c>
      <c r="AK46" s="1357">
        <v>130</v>
      </c>
      <c r="AL46" s="1358">
        <v>8417</v>
      </c>
      <c r="BE46" s="943"/>
      <c r="BF46" s="943"/>
      <c r="BG46" s="943"/>
      <c r="BH46" s="943"/>
      <c r="BI46" s="943"/>
      <c r="BJ46" s="943"/>
      <c r="BK46" s="943"/>
      <c r="BL46" s="1025"/>
      <c r="BM46" s="1025"/>
      <c r="BN46" s="1025"/>
      <c r="BO46" s="1025"/>
      <c r="BP46" s="1025"/>
      <c r="BQ46" s="1025"/>
      <c r="BR46" s="997"/>
    </row>
    <row r="47" spans="1:70" ht="24.95" hidden="1" customHeight="1">
      <c r="A47" s="980">
        <v>6</v>
      </c>
      <c r="B47" s="1026" t="s">
        <v>47</v>
      </c>
      <c r="C47" s="1367">
        <v>0</v>
      </c>
      <c r="D47" s="1273"/>
      <c r="E47" s="1131"/>
      <c r="F47" s="1276"/>
      <c r="G47" s="1367">
        <v>9728</v>
      </c>
      <c r="H47" s="936">
        <v>0</v>
      </c>
      <c r="I47" s="1350">
        <f t="shared" si="8"/>
        <v>9728</v>
      </c>
      <c r="J47" s="1023">
        <v>0</v>
      </c>
      <c r="K47" s="938">
        <v>0</v>
      </c>
      <c r="L47" s="938">
        <v>0</v>
      </c>
      <c r="M47" s="938">
        <v>0</v>
      </c>
      <c r="N47" s="938">
        <v>0</v>
      </c>
      <c r="O47" s="938">
        <v>0</v>
      </c>
      <c r="P47" s="938">
        <v>0</v>
      </c>
      <c r="Q47" s="938">
        <v>0</v>
      </c>
      <c r="R47" s="938">
        <v>0</v>
      </c>
      <c r="S47" s="938">
        <v>0</v>
      </c>
      <c r="T47" s="938">
        <v>178</v>
      </c>
      <c r="U47" s="887">
        <f t="shared" si="9"/>
        <v>178</v>
      </c>
      <c r="V47" s="888">
        <v>0</v>
      </c>
      <c r="W47" s="1131">
        <v>0</v>
      </c>
      <c r="X47" s="1134">
        <v>0</v>
      </c>
      <c r="Y47" s="1134">
        <v>0</v>
      </c>
      <c r="Z47" s="1134">
        <v>1394</v>
      </c>
      <c r="AA47" s="885">
        <v>0</v>
      </c>
      <c r="AB47" s="1134">
        <v>0</v>
      </c>
      <c r="AC47" s="1341">
        <v>0</v>
      </c>
      <c r="AD47" s="1341">
        <v>0</v>
      </c>
      <c r="AE47" s="885">
        <v>0</v>
      </c>
      <c r="AF47" s="1351">
        <f t="shared" si="10"/>
        <v>1394</v>
      </c>
      <c r="AG47" s="1353">
        <v>0</v>
      </c>
      <c r="AH47" s="1354">
        <v>0</v>
      </c>
      <c r="AI47" s="1355">
        <v>0</v>
      </c>
      <c r="AJ47" s="1356">
        <v>0</v>
      </c>
      <c r="AK47" s="1357">
        <v>1594</v>
      </c>
      <c r="AL47" s="1358">
        <v>8561</v>
      </c>
      <c r="BE47" s="943"/>
      <c r="BF47" s="943"/>
      <c r="BG47" s="943"/>
      <c r="BH47" s="943"/>
      <c r="BI47" s="943"/>
      <c r="BJ47" s="943"/>
      <c r="BK47" s="943"/>
      <c r="BL47" s="1025"/>
      <c r="BM47" s="1025"/>
      <c r="BN47" s="1025"/>
      <c r="BO47" s="1025"/>
      <c r="BP47" s="1025"/>
      <c r="BQ47" s="1025"/>
      <c r="BR47" s="997"/>
    </row>
    <row r="48" spans="1:70" ht="20.100000000000001" hidden="1" customHeight="1">
      <c r="A48" s="980">
        <v>7</v>
      </c>
      <c r="B48" s="1026" t="s">
        <v>48</v>
      </c>
      <c r="C48" s="1367">
        <v>0</v>
      </c>
      <c r="D48" s="1273"/>
      <c r="E48" s="1131"/>
      <c r="F48" s="1276"/>
      <c r="G48" s="1367">
        <v>1217.9999999999998</v>
      </c>
      <c r="H48" s="936">
        <v>0</v>
      </c>
      <c r="I48" s="1350">
        <f t="shared" si="8"/>
        <v>1217.9999999999998</v>
      </c>
      <c r="J48" s="1023">
        <v>0</v>
      </c>
      <c r="K48" s="938">
        <v>0</v>
      </c>
      <c r="L48" s="938">
        <v>0</v>
      </c>
      <c r="M48" s="938">
        <v>0</v>
      </c>
      <c r="N48" s="938">
        <v>0</v>
      </c>
      <c r="O48" s="938">
        <v>0</v>
      </c>
      <c r="P48" s="938">
        <v>0</v>
      </c>
      <c r="Q48" s="938">
        <v>0</v>
      </c>
      <c r="R48" s="938">
        <v>0</v>
      </c>
      <c r="S48" s="938">
        <v>0</v>
      </c>
      <c r="T48" s="938">
        <v>0</v>
      </c>
      <c r="U48" s="887">
        <f t="shared" si="9"/>
        <v>0</v>
      </c>
      <c r="V48" s="888">
        <v>0</v>
      </c>
      <c r="W48" s="1131">
        <v>0</v>
      </c>
      <c r="X48" s="1134">
        <v>0</v>
      </c>
      <c r="Y48" s="1134">
        <v>0</v>
      </c>
      <c r="Z48" s="1134">
        <v>0</v>
      </c>
      <c r="AA48" s="1134">
        <v>0</v>
      </c>
      <c r="AB48" s="1134">
        <v>0</v>
      </c>
      <c r="AC48" s="1341">
        <v>0</v>
      </c>
      <c r="AD48" s="1341">
        <v>0</v>
      </c>
      <c r="AE48" s="885">
        <v>0</v>
      </c>
      <c r="AF48" s="1351">
        <f t="shared" si="10"/>
        <v>0</v>
      </c>
      <c r="AG48" s="1353">
        <v>0</v>
      </c>
      <c r="AH48" s="1354">
        <v>0</v>
      </c>
      <c r="AI48" s="1355">
        <v>0</v>
      </c>
      <c r="AJ48" s="1356">
        <v>0</v>
      </c>
      <c r="AK48" s="1357">
        <v>0</v>
      </c>
      <c r="AL48" s="1358">
        <v>1069</v>
      </c>
      <c r="BE48" s="943"/>
      <c r="BF48" s="943"/>
      <c r="BG48" s="943"/>
      <c r="BH48" s="943"/>
      <c r="BI48" s="943"/>
      <c r="BJ48" s="943"/>
      <c r="BK48" s="943"/>
      <c r="BL48" s="1025"/>
      <c r="BM48" s="1025"/>
      <c r="BN48" s="1025"/>
      <c r="BO48" s="1025"/>
      <c r="BP48" s="1025"/>
      <c r="BQ48" s="1025"/>
      <c r="BR48" s="997"/>
    </row>
    <row r="49" spans="1:70" ht="20.100000000000001" hidden="1" customHeight="1">
      <c r="A49" s="980">
        <v>8</v>
      </c>
      <c r="B49" s="1026" t="s">
        <v>49</v>
      </c>
      <c r="C49" s="1367">
        <v>50</v>
      </c>
      <c r="D49" s="1273"/>
      <c r="E49" s="1131"/>
      <c r="F49" s="1276"/>
      <c r="G49" s="1367">
        <v>12202.699999999997</v>
      </c>
      <c r="H49" s="936">
        <v>0</v>
      </c>
      <c r="I49" s="1350">
        <f t="shared" si="8"/>
        <v>12202.699999999997</v>
      </c>
      <c r="J49" s="1023">
        <v>494.1</v>
      </c>
      <c r="K49" s="938">
        <v>220.4</v>
      </c>
      <c r="L49" s="938">
        <v>301</v>
      </c>
      <c r="M49" s="938">
        <v>53.3</v>
      </c>
      <c r="N49" s="938">
        <v>495</v>
      </c>
      <c r="O49" s="938">
        <v>0</v>
      </c>
      <c r="P49" s="938">
        <v>0</v>
      </c>
      <c r="Q49" s="938">
        <v>99.2</v>
      </c>
      <c r="R49" s="938">
        <v>69.7</v>
      </c>
      <c r="S49" s="938">
        <v>126.1</v>
      </c>
      <c r="T49" s="938">
        <v>146</v>
      </c>
      <c r="U49" s="887">
        <f t="shared" si="9"/>
        <v>2004.8</v>
      </c>
      <c r="V49" s="884">
        <v>81</v>
      </c>
      <c r="W49" s="1131">
        <v>20</v>
      </c>
      <c r="X49" s="1134">
        <v>20</v>
      </c>
      <c r="Y49" s="885">
        <v>0</v>
      </c>
      <c r="Z49" s="885">
        <v>0</v>
      </c>
      <c r="AA49" s="886">
        <v>0</v>
      </c>
      <c r="AB49" s="1134">
        <v>96</v>
      </c>
      <c r="AC49" s="1341">
        <v>145</v>
      </c>
      <c r="AD49" s="1341">
        <v>16.5</v>
      </c>
      <c r="AE49" s="885">
        <v>0</v>
      </c>
      <c r="AF49" s="1351">
        <f t="shared" si="10"/>
        <v>378.5</v>
      </c>
      <c r="AG49" s="1353">
        <v>1188</v>
      </c>
      <c r="AH49" s="1354">
        <v>341</v>
      </c>
      <c r="AI49" s="1355">
        <v>666</v>
      </c>
      <c r="AJ49" s="1356">
        <v>375</v>
      </c>
      <c r="AK49" s="1357">
        <v>151</v>
      </c>
      <c r="AL49" s="1358">
        <v>11100</v>
      </c>
      <c r="BE49" s="943"/>
      <c r="BF49" s="943"/>
      <c r="BG49" s="943"/>
      <c r="BH49" s="943"/>
      <c r="BI49" s="943"/>
      <c r="BJ49" s="943"/>
      <c r="BK49" s="943"/>
      <c r="BL49" s="1025"/>
      <c r="BM49" s="1025"/>
      <c r="BN49" s="1025"/>
      <c r="BO49" s="1025"/>
      <c r="BP49" s="1025"/>
      <c r="BQ49" s="1025"/>
      <c r="BR49" s="997"/>
    </row>
    <row r="50" spans="1:70" ht="20.100000000000001" hidden="1" customHeight="1">
      <c r="A50" s="980">
        <v>9</v>
      </c>
      <c r="B50" s="1026" t="s">
        <v>50</v>
      </c>
      <c r="C50" s="1367">
        <v>30</v>
      </c>
      <c r="D50" s="1273"/>
      <c r="E50" s="1131"/>
      <c r="F50" s="1276"/>
      <c r="G50" s="1367">
        <v>4932.6999999999989</v>
      </c>
      <c r="H50" s="936">
        <v>0</v>
      </c>
      <c r="I50" s="1350">
        <f t="shared" si="8"/>
        <v>4932.6999999999989</v>
      </c>
      <c r="J50" s="1023">
        <v>0</v>
      </c>
      <c r="K50" s="938">
        <v>0</v>
      </c>
      <c r="L50" s="938">
        <v>0</v>
      </c>
      <c r="M50" s="938">
        <v>0</v>
      </c>
      <c r="N50" s="938">
        <v>0</v>
      </c>
      <c r="O50" s="938">
        <v>0</v>
      </c>
      <c r="P50" s="938">
        <v>0</v>
      </c>
      <c r="Q50" s="938">
        <v>0</v>
      </c>
      <c r="R50" s="938">
        <v>0</v>
      </c>
      <c r="S50" s="938">
        <v>0</v>
      </c>
      <c r="T50" s="938">
        <v>0</v>
      </c>
      <c r="U50" s="887">
        <f t="shared" si="9"/>
        <v>0</v>
      </c>
      <c r="V50" s="889">
        <v>0</v>
      </c>
      <c r="W50" s="1131">
        <v>0</v>
      </c>
      <c r="X50" s="886">
        <v>0</v>
      </c>
      <c r="Y50" s="886">
        <v>0</v>
      </c>
      <c r="Z50" s="886">
        <v>0</v>
      </c>
      <c r="AA50" s="886">
        <v>0</v>
      </c>
      <c r="AB50" s="886">
        <v>0</v>
      </c>
      <c r="AC50" s="1340">
        <v>0</v>
      </c>
      <c r="AD50" s="1340">
        <v>0</v>
      </c>
      <c r="AE50" s="885">
        <v>0</v>
      </c>
      <c r="AF50" s="1351">
        <f t="shared" si="10"/>
        <v>0</v>
      </c>
      <c r="AG50" s="1353">
        <v>0</v>
      </c>
      <c r="AH50" s="1354">
        <v>0</v>
      </c>
      <c r="AI50" s="1355">
        <v>0</v>
      </c>
      <c r="AJ50" s="1356">
        <v>0</v>
      </c>
      <c r="AK50" s="1357">
        <v>0</v>
      </c>
      <c r="AL50" s="1358">
        <v>4504</v>
      </c>
      <c r="BE50" s="943"/>
      <c r="BF50" s="943"/>
      <c r="BG50" s="943"/>
      <c r="BH50" s="943"/>
      <c r="BI50" s="943"/>
      <c r="BJ50" s="943"/>
      <c r="BK50" s="943"/>
      <c r="BL50" s="1025"/>
      <c r="BM50" s="1025"/>
      <c r="BN50" s="1025"/>
      <c r="BO50" s="1025"/>
      <c r="BP50" s="1025"/>
      <c r="BQ50" s="1025"/>
      <c r="BR50" s="997"/>
    </row>
    <row r="51" spans="1:70" ht="20.100000000000001" hidden="1" customHeight="1">
      <c r="A51" s="980">
        <v>10</v>
      </c>
      <c r="B51" s="1026" t="s">
        <v>95</v>
      </c>
      <c r="C51" s="1367">
        <v>0</v>
      </c>
      <c r="D51" s="1273">
        <v>37</v>
      </c>
      <c r="E51" s="1131">
        <v>17</v>
      </c>
      <c r="F51" s="1276">
        <v>250</v>
      </c>
      <c r="G51" s="1367">
        <v>5883.2</v>
      </c>
      <c r="H51" s="936">
        <v>0</v>
      </c>
      <c r="I51" s="1350">
        <f t="shared" si="8"/>
        <v>5883.2</v>
      </c>
      <c r="J51" s="1023">
        <v>0</v>
      </c>
      <c r="K51" s="938">
        <v>0</v>
      </c>
      <c r="L51" s="938">
        <v>0</v>
      </c>
      <c r="M51" s="938">
        <v>0</v>
      </c>
      <c r="N51" s="938">
        <v>0</v>
      </c>
      <c r="O51" s="938">
        <v>0</v>
      </c>
      <c r="P51" s="938">
        <v>0</v>
      </c>
      <c r="Q51" s="938">
        <v>0</v>
      </c>
      <c r="R51" s="938">
        <v>0</v>
      </c>
      <c r="S51" s="938">
        <v>0</v>
      </c>
      <c r="T51" s="938">
        <v>0</v>
      </c>
      <c r="U51" s="887">
        <f t="shared" si="9"/>
        <v>0</v>
      </c>
      <c r="V51" s="889">
        <v>0</v>
      </c>
      <c r="W51" s="1131">
        <v>0</v>
      </c>
      <c r="X51" s="886">
        <v>0</v>
      </c>
      <c r="Y51" s="885">
        <v>0</v>
      </c>
      <c r="Z51" s="886">
        <v>130</v>
      </c>
      <c r="AA51" s="886">
        <v>0</v>
      </c>
      <c r="AB51" s="886">
        <v>84</v>
      </c>
      <c r="AC51" s="1340">
        <v>25</v>
      </c>
      <c r="AD51" s="1340">
        <v>34</v>
      </c>
      <c r="AE51" s="885">
        <v>71</v>
      </c>
      <c r="AF51" s="1351">
        <f t="shared" si="10"/>
        <v>344</v>
      </c>
      <c r="AG51" s="1353">
        <v>0</v>
      </c>
      <c r="AH51" s="1354">
        <v>0</v>
      </c>
      <c r="AI51" s="1355">
        <v>84</v>
      </c>
      <c r="AJ51" s="1356">
        <v>25</v>
      </c>
      <c r="AK51" s="1357">
        <v>130</v>
      </c>
      <c r="AL51" s="1358">
        <v>6145</v>
      </c>
      <c r="BE51" s="943"/>
      <c r="BF51" s="943"/>
      <c r="BG51" s="943"/>
      <c r="BH51" s="943"/>
      <c r="BI51" s="943"/>
      <c r="BJ51" s="943"/>
      <c r="BK51" s="943"/>
      <c r="BL51" s="1025"/>
      <c r="BM51" s="1025"/>
      <c r="BN51" s="1025"/>
      <c r="BO51" s="1025"/>
      <c r="BP51" s="1025"/>
      <c r="BQ51" s="1025"/>
      <c r="BR51" s="997"/>
    </row>
    <row r="52" spans="1:70" ht="24.95" hidden="1" customHeight="1">
      <c r="A52" s="980">
        <v>11</v>
      </c>
      <c r="B52" s="1026" t="s">
        <v>96</v>
      </c>
      <c r="C52" s="1367">
        <v>0</v>
      </c>
      <c r="D52" s="1273"/>
      <c r="E52" s="1131"/>
      <c r="F52" s="1276"/>
      <c r="G52" s="1367">
        <v>4100.5999999999995</v>
      </c>
      <c r="H52" s="936">
        <v>0</v>
      </c>
      <c r="I52" s="1350">
        <f t="shared" si="8"/>
        <v>4100.5999999999995</v>
      </c>
      <c r="J52" s="1023">
        <v>0</v>
      </c>
      <c r="K52" s="938">
        <v>0</v>
      </c>
      <c r="L52" s="938">
        <v>0</v>
      </c>
      <c r="M52" s="938">
        <v>0</v>
      </c>
      <c r="N52" s="938">
        <v>0</v>
      </c>
      <c r="O52" s="938">
        <v>0</v>
      </c>
      <c r="P52" s="938">
        <v>0</v>
      </c>
      <c r="Q52" s="938">
        <v>0</v>
      </c>
      <c r="R52" s="938">
        <v>0</v>
      </c>
      <c r="S52" s="938">
        <v>0</v>
      </c>
      <c r="T52" s="938">
        <v>0</v>
      </c>
      <c r="U52" s="887">
        <f t="shared" si="9"/>
        <v>0</v>
      </c>
      <c r="V52" s="889">
        <v>0</v>
      </c>
      <c r="W52" s="1131">
        <v>0</v>
      </c>
      <c r="X52" s="886">
        <v>0</v>
      </c>
      <c r="Y52" s="886">
        <v>0</v>
      </c>
      <c r="Z52" s="886">
        <v>0</v>
      </c>
      <c r="AA52" s="886">
        <v>0</v>
      </c>
      <c r="AB52" s="886">
        <v>0</v>
      </c>
      <c r="AC52" s="1340">
        <v>0</v>
      </c>
      <c r="AD52" s="1340">
        <v>0</v>
      </c>
      <c r="AE52" s="885">
        <v>0</v>
      </c>
      <c r="AF52" s="1351">
        <f t="shared" si="10"/>
        <v>0</v>
      </c>
      <c r="AG52" s="1353">
        <v>0</v>
      </c>
      <c r="AH52" s="1354">
        <v>0</v>
      </c>
      <c r="AI52" s="1355">
        <v>0</v>
      </c>
      <c r="AJ52" s="1356">
        <v>0</v>
      </c>
      <c r="AK52" s="1357">
        <v>0</v>
      </c>
      <c r="AL52" s="1358">
        <v>0</v>
      </c>
      <c r="BE52" s="943"/>
      <c r="BF52" s="943"/>
      <c r="BG52" s="943"/>
      <c r="BH52" s="943"/>
      <c r="BI52" s="943"/>
      <c r="BJ52" s="943"/>
      <c r="BK52" s="943"/>
      <c r="BL52" s="1025"/>
      <c r="BM52" s="1025"/>
      <c r="BN52" s="1025"/>
      <c r="BO52" s="1025"/>
      <c r="BP52" s="1025"/>
      <c r="BQ52" s="1025"/>
      <c r="BR52" s="997"/>
    </row>
    <row r="53" spans="1:70" ht="20.100000000000001" hidden="1" customHeight="1">
      <c r="A53" s="980">
        <v>12</v>
      </c>
      <c r="B53" s="1026" t="s">
        <v>57</v>
      </c>
      <c r="C53" s="1367">
        <v>0</v>
      </c>
      <c r="D53" s="1273"/>
      <c r="E53" s="1131"/>
      <c r="F53" s="1276"/>
      <c r="G53" s="1367">
        <v>2315.5</v>
      </c>
      <c r="H53" s="936">
        <v>0</v>
      </c>
      <c r="I53" s="1350">
        <f t="shared" si="8"/>
        <v>2315.5</v>
      </c>
      <c r="J53" s="1023">
        <v>0</v>
      </c>
      <c r="K53" s="938">
        <v>0</v>
      </c>
      <c r="L53" s="938">
        <v>0</v>
      </c>
      <c r="M53" s="938">
        <v>0</v>
      </c>
      <c r="N53" s="938">
        <v>0</v>
      </c>
      <c r="O53" s="938">
        <v>0</v>
      </c>
      <c r="P53" s="938">
        <v>0</v>
      </c>
      <c r="Q53" s="938">
        <v>0</v>
      </c>
      <c r="R53" s="938">
        <v>0</v>
      </c>
      <c r="S53" s="938">
        <v>0</v>
      </c>
      <c r="T53" s="938">
        <v>139</v>
      </c>
      <c r="U53" s="887">
        <f t="shared" si="9"/>
        <v>139</v>
      </c>
      <c r="V53" s="889">
        <v>0</v>
      </c>
      <c r="W53" s="1131">
        <v>0</v>
      </c>
      <c r="X53" s="886">
        <v>0</v>
      </c>
      <c r="Y53" s="886">
        <v>0</v>
      </c>
      <c r="Z53" s="886">
        <v>0</v>
      </c>
      <c r="AA53" s="886">
        <v>0</v>
      </c>
      <c r="AB53" s="886">
        <v>0</v>
      </c>
      <c r="AC53" s="1340">
        <v>0</v>
      </c>
      <c r="AD53" s="1340">
        <v>0</v>
      </c>
      <c r="AE53" s="885">
        <v>0</v>
      </c>
      <c r="AF53" s="1351">
        <f t="shared" si="10"/>
        <v>0</v>
      </c>
      <c r="AG53" s="1353">
        <v>0</v>
      </c>
      <c r="AH53" s="1354">
        <v>0</v>
      </c>
      <c r="AI53" s="1355">
        <v>0</v>
      </c>
      <c r="AJ53" s="1356">
        <v>0</v>
      </c>
      <c r="AK53" s="1357">
        <v>141</v>
      </c>
      <c r="AL53" s="1358">
        <v>2378</v>
      </c>
      <c r="BE53" s="943"/>
      <c r="BF53" s="943"/>
      <c r="BG53" s="943"/>
      <c r="BH53" s="943"/>
      <c r="BI53" s="943"/>
      <c r="BJ53" s="943"/>
      <c r="BK53" s="943"/>
      <c r="BL53" s="1025"/>
      <c r="BM53" s="1025"/>
      <c r="BN53" s="1025"/>
      <c r="BO53" s="1025"/>
      <c r="BP53" s="1025"/>
      <c r="BQ53" s="1025"/>
      <c r="BR53" s="997"/>
    </row>
    <row r="54" spans="1:70" ht="20.100000000000001" hidden="1" customHeight="1">
      <c r="A54" s="980">
        <v>13</v>
      </c>
      <c r="B54" s="1026" t="s">
        <v>51</v>
      </c>
      <c r="C54" s="1367">
        <v>0</v>
      </c>
      <c r="D54" s="1273"/>
      <c r="E54" s="1131"/>
      <c r="F54" s="1276"/>
      <c r="G54" s="1367">
        <v>6315.9999999999991</v>
      </c>
      <c r="H54" s="936">
        <v>0</v>
      </c>
      <c r="I54" s="1350">
        <f t="shared" si="8"/>
        <v>6315.9999999999991</v>
      </c>
      <c r="J54" s="1023">
        <v>0</v>
      </c>
      <c r="K54" s="938">
        <v>0</v>
      </c>
      <c r="L54" s="938">
        <v>0</v>
      </c>
      <c r="M54" s="938">
        <v>0</v>
      </c>
      <c r="N54" s="938">
        <v>0</v>
      </c>
      <c r="O54" s="938">
        <v>0</v>
      </c>
      <c r="P54" s="938">
        <v>0</v>
      </c>
      <c r="Q54" s="938">
        <v>0</v>
      </c>
      <c r="R54" s="938">
        <v>0</v>
      </c>
      <c r="S54" s="938">
        <v>0</v>
      </c>
      <c r="T54" s="938">
        <v>68</v>
      </c>
      <c r="U54" s="887">
        <f t="shared" si="9"/>
        <v>68</v>
      </c>
      <c r="V54" s="889">
        <v>0</v>
      </c>
      <c r="W54" s="1131">
        <v>0</v>
      </c>
      <c r="X54" s="886">
        <v>0</v>
      </c>
      <c r="Y54" s="886">
        <v>0</v>
      </c>
      <c r="Z54" s="886">
        <v>882</v>
      </c>
      <c r="AA54" s="885">
        <v>0</v>
      </c>
      <c r="AB54" s="886">
        <v>0</v>
      </c>
      <c r="AC54" s="1340">
        <v>0</v>
      </c>
      <c r="AD54" s="1340">
        <v>0</v>
      </c>
      <c r="AE54" s="885">
        <v>0</v>
      </c>
      <c r="AF54" s="1351">
        <f t="shared" si="10"/>
        <v>882</v>
      </c>
      <c r="AG54" s="1353">
        <v>0</v>
      </c>
      <c r="AH54" s="1354">
        <v>0</v>
      </c>
      <c r="AI54" s="1355">
        <v>0</v>
      </c>
      <c r="AJ54" s="1356">
        <v>0</v>
      </c>
      <c r="AK54" s="1357">
        <v>959</v>
      </c>
      <c r="AL54" s="1358">
        <v>5731</v>
      </c>
      <c r="BE54" s="943"/>
      <c r="BF54" s="943"/>
      <c r="BG54" s="943"/>
      <c r="BH54" s="943"/>
      <c r="BI54" s="943"/>
      <c r="BJ54" s="943"/>
      <c r="BK54" s="943"/>
      <c r="BL54" s="1025"/>
      <c r="BM54" s="1025"/>
      <c r="BN54" s="1025"/>
      <c r="BO54" s="1025"/>
      <c r="BP54" s="1025"/>
      <c r="BQ54" s="1025"/>
      <c r="BR54" s="997"/>
    </row>
    <row r="55" spans="1:70" ht="20.100000000000001" hidden="1" customHeight="1">
      <c r="A55" s="980">
        <v>14</v>
      </c>
      <c r="B55" s="890" t="s">
        <v>97</v>
      </c>
      <c r="C55" s="1367">
        <v>0</v>
      </c>
      <c r="D55" s="1273"/>
      <c r="E55" s="1131"/>
      <c r="F55" s="1276"/>
      <c r="G55" s="1367">
        <v>525</v>
      </c>
      <c r="H55" s="936">
        <v>43</v>
      </c>
      <c r="I55" s="1350">
        <f t="shared" si="8"/>
        <v>568</v>
      </c>
      <c r="J55" s="1023">
        <v>0</v>
      </c>
      <c r="K55" s="938">
        <v>0</v>
      </c>
      <c r="L55" s="938">
        <v>0</v>
      </c>
      <c r="M55" s="938">
        <v>0</v>
      </c>
      <c r="N55" s="938">
        <v>0</v>
      </c>
      <c r="O55" s="938">
        <v>96.5</v>
      </c>
      <c r="P55" s="938">
        <v>0</v>
      </c>
      <c r="Q55" s="938">
        <v>0</v>
      </c>
      <c r="R55" s="938">
        <v>0</v>
      </c>
      <c r="S55" s="938">
        <v>0</v>
      </c>
      <c r="T55" s="938">
        <v>0</v>
      </c>
      <c r="U55" s="887">
        <f t="shared" si="9"/>
        <v>96.5</v>
      </c>
      <c r="V55" s="889">
        <v>0</v>
      </c>
      <c r="W55" s="1131">
        <v>0</v>
      </c>
      <c r="X55" s="886">
        <v>0</v>
      </c>
      <c r="Y55" s="886">
        <v>0</v>
      </c>
      <c r="Z55" s="886">
        <v>0</v>
      </c>
      <c r="AA55" s="886">
        <v>0</v>
      </c>
      <c r="AB55" s="886">
        <v>0</v>
      </c>
      <c r="AC55" s="1340">
        <v>0</v>
      </c>
      <c r="AD55" s="1340">
        <v>0</v>
      </c>
      <c r="AE55" s="885">
        <v>0</v>
      </c>
      <c r="AF55" s="1351">
        <f t="shared" si="10"/>
        <v>0</v>
      </c>
      <c r="AG55" s="1353">
        <v>0</v>
      </c>
      <c r="AH55" s="1354">
        <v>0</v>
      </c>
      <c r="AI55" s="1355">
        <v>0</v>
      </c>
      <c r="AJ55" s="1356">
        <v>97</v>
      </c>
      <c r="AK55" s="1357">
        <v>0</v>
      </c>
      <c r="AL55" s="1358">
        <v>474</v>
      </c>
      <c r="BE55" s="1027"/>
      <c r="BF55" s="943"/>
      <c r="BG55" s="943"/>
      <c r="BH55" s="943"/>
      <c r="BI55" s="943"/>
      <c r="BJ55" s="943"/>
      <c r="BK55" s="943"/>
      <c r="BL55" s="1025"/>
      <c r="BM55" s="1025"/>
      <c r="BN55" s="1025"/>
      <c r="BO55" s="1025"/>
      <c r="BP55" s="1025"/>
      <c r="BQ55" s="1025"/>
      <c r="BR55" s="997"/>
    </row>
    <row r="56" spans="1:70" ht="20.100000000000001" hidden="1" customHeight="1">
      <c r="A56" s="980">
        <v>15</v>
      </c>
      <c r="B56" s="1026" t="s">
        <v>162</v>
      </c>
      <c r="C56" s="1367">
        <v>0</v>
      </c>
      <c r="D56" s="1273"/>
      <c r="E56" s="1131"/>
      <c r="F56" s="1276">
        <v>25</v>
      </c>
      <c r="G56" s="1367">
        <v>1440.9999999999998</v>
      </c>
      <c r="H56" s="936">
        <v>0</v>
      </c>
      <c r="I56" s="1350">
        <f t="shared" si="8"/>
        <v>1440.9999999999998</v>
      </c>
      <c r="J56" s="1023">
        <v>0</v>
      </c>
      <c r="K56" s="938">
        <v>0</v>
      </c>
      <c r="L56" s="938">
        <v>0</v>
      </c>
      <c r="M56" s="938">
        <v>0</v>
      </c>
      <c r="N56" s="938">
        <v>0</v>
      </c>
      <c r="O56" s="938">
        <v>0</v>
      </c>
      <c r="P56" s="938">
        <v>0</v>
      </c>
      <c r="Q56" s="938">
        <v>0</v>
      </c>
      <c r="R56" s="938">
        <v>0</v>
      </c>
      <c r="S56" s="938">
        <v>0</v>
      </c>
      <c r="T56" s="938">
        <v>0</v>
      </c>
      <c r="U56" s="887">
        <f t="shared" si="9"/>
        <v>0</v>
      </c>
      <c r="V56" s="889">
        <v>0</v>
      </c>
      <c r="W56" s="1131">
        <v>0</v>
      </c>
      <c r="X56" s="886">
        <v>0</v>
      </c>
      <c r="Y56" s="886">
        <v>0</v>
      </c>
      <c r="Z56" s="886">
        <v>0</v>
      </c>
      <c r="AA56" s="886">
        <v>0</v>
      </c>
      <c r="AB56" s="886">
        <v>0</v>
      </c>
      <c r="AC56" s="1340">
        <v>0</v>
      </c>
      <c r="AD56" s="1340">
        <v>0</v>
      </c>
      <c r="AE56" s="885">
        <v>0</v>
      </c>
      <c r="AF56" s="1351">
        <f t="shared" si="10"/>
        <v>0</v>
      </c>
      <c r="AG56" s="1353">
        <v>0</v>
      </c>
      <c r="AH56" s="1354">
        <v>0</v>
      </c>
      <c r="AI56" s="1355">
        <v>0</v>
      </c>
      <c r="AJ56" s="1356">
        <v>0</v>
      </c>
      <c r="AK56" s="1357">
        <v>0</v>
      </c>
      <c r="AL56" s="1358">
        <v>1412</v>
      </c>
      <c r="BE56" s="1025"/>
      <c r="BF56" s="943"/>
      <c r="BG56" s="943"/>
      <c r="BH56" s="943"/>
      <c r="BI56" s="943"/>
      <c r="BJ56" s="943"/>
      <c r="BK56" s="943"/>
      <c r="BL56" s="1025"/>
      <c r="BM56" s="1025"/>
      <c r="BN56" s="1025"/>
      <c r="BO56" s="1025"/>
      <c r="BP56" s="1025"/>
      <c r="BQ56" s="1025"/>
      <c r="BR56" s="997"/>
    </row>
    <row r="57" spans="1:70" ht="24.95" hidden="1" customHeight="1">
      <c r="A57" s="980">
        <v>16</v>
      </c>
      <c r="B57" s="1026" t="s">
        <v>52</v>
      </c>
      <c r="C57" s="1367">
        <v>0</v>
      </c>
      <c r="D57" s="1273"/>
      <c r="E57" s="1131"/>
      <c r="F57" s="1276"/>
      <c r="G57" s="1367">
        <v>2636</v>
      </c>
      <c r="H57" s="936">
        <v>29</v>
      </c>
      <c r="I57" s="1350">
        <f t="shared" si="8"/>
        <v>2665</v>
      </c>
      <c r="J57" s="1023">
        <v>0</v>
      </c>
      <c r="K57" s="938">
        <v>0</v>
      </c>
      <c r="L57" s="938">
        <v>173.2</v>
      </c>
      <c r="M57" s="938">
        <v>0</v>
      </c>
      <c r="N57" s="938">
        <v>0</v>
      </c>
      <c r="O57" s="938">
        <v>0</v>
      </c>
      <c r="P57" s="938">
        <v>0</v>
      </c>
      <c r="Q57" s="938">
        <v>0</v>
      </c>
      <c r="R57" s="938">
        <v>0</v>
      </c>
      <c r="S57" s="938">
        <v>0</v>
      </c>
      <c r="T57" s="938">
        <v>0</v>
      </c>
      <c r="U57" s="887">
        <f t="shared" si="9"/>
        <v>173.2</v>
      </c>
      <c r="V57" s="889">
        <v>0</v>
      </c>
      <c r="W57" s="1131">
        <v>20</v>
      </c>
      <c r="X57" s="886">
        <v>0</v>
      </c>
      <c r="Y57" s="886">
        <v>0</v>
      </c>
      <c r="Z57" s="886">
        <v>0</v>
      </c>
      <c r="AA57" s="886">
        <v>0</v>
      </c>
      <c r="AB57" s="886">
        <v>0</v>
      </c>
      <c r="AC57" s="1340">
        <v>0</v>
      </c>
      <c r="AD57" s="1340">
        <v>0</v>
      </c>
      <c r="AE57" s="885">
        <v>0</v>
      </c>
      <c r="AF57" s="1351">
        <f t="shared" si="10"/>
        <v>20</v>
      </c>
      <c r="AG57" s="1353">
        <v>302</v>
      </c>
      <c r="AH57" s="1354">
        <v>0</v>
      </c>
      <c r="AI57" s="1355">
        <v>0</v>
      </c>
      <c r="AJ57" s="1356">
        <v>0</v>
      </c>
      <c r="AK57" s="1357">
        <v>0</v>
      </c>
      <c r="AL57" s="1358">
        <v>2579</v>
      </c>
      <c r="BE57" s="943"/>
      <c r="BF57" s="943"/>
      <c r="BG57" s="943"/>
      <c r="BH57" s="943"/>
      <c r="BI57" s="943"/>
      <c r="BJ57" s="943"/>
      <c r="BK57" s="943"/>
      <c r="BL57" s="1025"/>
      <c r="BM57" s="1025"/>
      <c r="BN57" s="1025"/>
      <c r="BO57" s="1025"/>
      <c r="BP57" s="1025"/>
      <c r="BQ57" s="1025"/>
      <c r="BR57" s="997"/>
    </row>
    <row r="58" spans="1:70" ht="20.100000000000001" hidden="1" customHeight="1">
      <c r="A58" s="980">
        <v>17</v>
      </c>
      <c r="B58" s="1026" t="s">
        <v>53</v>
      </c>
      <c r="C58" s="1367">
        <v>25</v>
      </c>
      <c r="D58" s="1273"/>
      <c r="E58" s="1131"/>
      <c r="F58" s="1276"/>
      <c r="G58" s="1367">
        <v>5497</v>
      </c>
      <c r="H58" s="936">
        <v>0</v>
      </c>
      <c r="I58" s="1350">
        <f t="shared" si="8"/>
        <v>5497</v>
      </c>
      <c r="J58" s="1023">
        <v>0</v>
      </c>
      <c r="K58" s="938">
        <v>0</v>
      </c>
      <c r="L58" s="938">
        <v>0</v>
      </c>
      <c r="M58" s="938">
        <v>0</v>
      </c>
      <c r="N58" s="938">
        <v>136.9</v>
      </c>
      <c r="O58" s="938">
        <v>0</v>
      </c>
      <c r="P58" s="938">
        <v>0</v>
      </c>
      <c r="Q58" s="938">
        <v>0</v>
      </c>
      <c r="R58" s="938">
        <v>0</v>
      </c>
      <c r="S58" s="938">
        <v>0</v>
      </c>
      <c r="T58" s="938">
        <v>0</v>
      </c>
      <c r="U58" s="887">
        <f t="shared" si="9"/>
        <v>136.9</v>
      </c>
      <c r="V58" s="889">
        <v>0</v>
      </c>
      <c r="W58" s="1131">
        <v>0</v>
      </c>
      <c r="X58" s="886">
        <v>0</v>
      </c>
      <c r="Y58" s="886">
        <v>0</v>
      </c>
      <c r="Z58" s="886">
        <v>803</v>
      </c>
      <c r="AA58" s="885">
        <v>0</v>
      </c>
      <c r="AB58" s="886">
        <v>0</v>
      </c>
      <c r="AC58" s="1340">
        <v>0</v>
      </c>
      <c r="AD58" s="1340">
        <v>0</v>
      </c>
      <c r="AE58" s="885">
        <v>0</v>
      </c>
      <c r="AF58" s="1351">
        <f t="shared" si="10"/>
        <v>803</v>
      </c>
      <c r="AG58" s="1353">
        <v>0</v>
      </c>
      <c r="AH58" s="1354">
        <v>0</v>
      </c>
      <c r="AI58" s="1355">
        <v>146</v>
      </c>
      <c r="AJ58" s="1356">
        <v>0</v>
      </c>
      <c r="AK58" s="1357">
        <v>834</v>
      </c>
      <c r="AL58" s="1358">
        <v>5092</v>
      </c>
      <c r="BE58" s="943"/>
      <c r="BF58" s="943"/>
      <c r="BG58" s="943"/>
      <c r="BH58" s="943"/>
      <c r="BI58" s="943"/>
      <c r="BJ58" s="943"/>
      <c r="BK58" s="943"/>
      <c r="BL58" s="1025"/>
      <c r="BM58" s="1025"/>
      <c r="BN58" s="1025"/>
      <c r="BO58" s="1025"/>
      <c r="BP58" s="1025"/>
      <c r="BQ58" s="1025"/>
      <c r="BR58" s="997"/>
    </row>
    <row r="59" spans="1:70" ht="20.100000000000001" hidden="1" customHeight="1">
      <c r="A59" s="980">
        <v>18</v>
      </c>
      <c r="B59" s="1026" t="s">
        <v>54</v>
      </c>
      <c r="C59" s="1367">
        <v>45</v>
      </c>
      <c r="D59" s="1273"/>
      <c r="E59" s="1131"/>
      <c r="F59" s="1276"/>
      <c r="G59" s="1367">
        <v>11273.699999999999</v>
      </c>
      <c r="H59" s="936">
        <v>0</v>
      </c>
      <c r="I59" s="1350">
        <f t="shared" si="8"/>
        <v>11273.699999999999</v>
      </c>
      <c r="J59" s="1023">
        <v>0</v>
      </c>
      <c r="K59" s="938">
        <v>0</v>
      </c>
      <c r="L59" s="938">
        <v>0</v>
      </c>
      <c r="M59" s="938">
        <v>0</v>
      </c>
      <c r="N59" s="938">
        <v>528.79999999999995</v>
      </c>
      <c r="O59" s="938">
        <v>0</v>
      </c>
      <c r="P59" s="938">
        <v>0</v>
      </c>
      <c r="Q59" s="938">
        <v>0</v>
      </c>
      <c r="R59" s="938">
        <v>131.19999999999999</v>
      </c>
      <c r="S59" s="938">
        <v>352.8</v>
      </c>
      <c r="T59" s="938">
        <v>0</v>
      </c>
      <c r="U59" s="887">
        <f t="shared" si="9"/>
        <v>1012.8</v>
      </c>
      <c r="V59" s="889">
        <v>0</v>
      </c>
      <c r="W59" s="1131">
        <v>0</v>
      </c>
      <c r="X59" s="886">
        <v>0</v>
      </c>
      <c r="Y59" s="885">
        <v>0</v>
      </c>
      <c r="Z59" s="885">
        <v>0</v>
      </c>
      <c r="AA59" s="886">
        <v>0</v>
      </c>
      <c r="AB59" s="886">
        <v>159</v>
      </c>
      <c r="AC59" s="1340">
        <v>399</v>
      </c>
      <c r="AD59" s="1340">
        <v>16.5</v>
      </c>
      <c r="AE59" s="885">
        <v>0</v>
      </c>
      <c r="AF59" s="1351">
        <f t="shared" si="10"/>
        <v>574.5</v>
      </c>
      <c r="AG59" s="1353">
        <v>0</v>
      </c>
      <c r="AH59" s="1354">
        <v>0</v>
      </c>
      <c r="AI59" s="1355">
        <v>828</v>
      </c>
      <c r="AJ59" s="1356">
        <v>761</v>
      </c>
      <c r="AK59" s="1357">
        <v>0</v>
      </c>
      <c r="AL59" s="1358">
        <v>10343</v>
      </c>
      <c r="BE59" s="943"/>
      <c r="BF59" s="943"/>
      <c r="BG59" s="943"/>
      <c r="BH59" s="943"/>
      <c r="BI59" s="943"/>
      <c r="BJ59" s="943"/>
      <c r="BK59" s="943"/>
      <c r="BL59" s="1025"/>
      <c r="BM59" s="1025"/>
      <c r="BN59" s="1025"/>
      <c r="BO59" s="1025"/>
      <c r="BP59" s="1025"/>
      <c r="BQ59" s="1025"/>
      <c r="BR59" s="997"/>
    </row>
    <row r="60" spans="1:70" ht="20.100000000000001" hidden="1" customHeight="1">
      <c r="A60" s="980">
        <v>19</v>
      </c>
      <c r="B60" s="1026" t="s">
        <v>58</v>
      </c>
      <c r="C60" s="1367">
        <v>0</v>
      </c>
      <c r="D60" s="1273"/>
      <c r="E60" s="1131"/>
      <c r="F60" s="1276"/>
      <c r="G60" s="1367">
        <v>8442.7999999999993</v>
      </c>
      <c r="H60" s="936">
        <v>0</v>
      </c>
      <c r="I60" s="1350">
        <f t="shared" si="8"/>
        <v>8442.7999999999993</v>
      </c>
      <c r="J60" s="1023">
        <v>0</v>
      </c>
      <c r="K60" s="938">
        <v>0</v>
      </c>
      <c r="L60" s="938">
        <v>0</v>
      </c>
      <c r="M60" s="938">
        <v>0</v>
      </c>
      <c r="N60" s="938">
        <v>277.5</v>
      </c>
      <c r="O60" s="938">
        <v>0</v>
      </c>
      <c r="P60" s="938">
        <v>0</v>
      </c>
      <c r="Q60" s="938">
        <v>0</v>
      </c>
      <c r="R60" s="938">
        <v>33.299999999999997</v>
      </c>
      <c r="S60" s="938">
        <v>53.5</v>
      </c>
      <c r="T60" s="938">
        <v>0</v>
      </c>
      <c r="U60" s="887">
        <f t="shared" si="9"/>
        <v>364.3</v>
      </c>
      <c r="V60" s="889">
        <v>0</v>
      </c>
      <c r="W60" s="1131">
        <v>0</v>
      </c>
      <c r="X60" s="886">
        <v>0</v>
      </c>
      <c r="Y60" s="885">
        <v>0</v>
      </c>
      <c r="Z60" s="885">
        <v>1983</v>
      </c>
      <c r="AA60" s="885">
        <v>0</v>
      </c>
      <c r="AB60" s="886">
        <v>108</v>
      </c>
      <c r="AC60" s="1340">
        <v>61</v>
      </c>
      <c r="AD60" s="1340">
        <v>13</v>
      </c>
      <c r="AE60" s="885">
        <v>0</v>
      </c>
      <c r="AF60" s="1351">
        <f t="shared" si="10"/>
        <v>2165</v>
      </c>
      <c r="AG60" s="1353">
        <v>0</v>
      </c>
      <c r="AH60" s="1354">
        <v>0</v>
      </c>
      <c r="AI60" s="1355">
        <v>420</v>
      </c>
      <c r="AJ60" s="1356">
        <v>116</v>
      </c>
      <c r="AK60" s="1357">
        <v>2006</v>
      </c>
      <c r="AL60" s="1358">
        <v>8101</v>
      </c>
      <c r="BE60" s="943"/>
      <c r="BF60" s="943"/>
      <c r="BG60" s="943"/>
      <c r="BH60" s="943"/>
      <c r="BI60" s="943"/>
      <c r="BJ60" s="943"/>
      <c r="BK60" s="943"/>
      <c r="BL60" s="1025"/>
      <c r="BM60" s="1025"/>
      <c r="BN60" s="1025"/>
      <c r="BO60" s="1025"/>
      <c r="BP60" s="1025"/>
      <c r="BQ60" s="1025"/>
      <c r="BR60" s="997"/>
    </row>
    <row r="61" spans="1:70" ht="30" hidden="1" customHeight="1" thickBot="1">
      <c r="A61" s="1028"/>
      <c r="B61" s="1029" t="s">
        <v>2</v>
      </c>
      <c r="C61" s="1033">
        <v>215</v>
      </c>
      <c r="D61" s="1272">
        <f t="shared" ref="D61:J61" si="11">SUM(D42:D60)</f>
        <v>37</v>
      </c>
      <c r="E61" s="1031">
        <f t="shared" si="11"/>
        <v>97</v>
      </c>
      <c r="F61" s="1034">
        <f t="shared" si="11"/>
        <v>275</v>
      </c>
      <c r="G61" s="1033">
        <f t="shared" si="11"/>
        <v>108980</v>
      </c>
      <c r="H61" s="1030">
        <f t="shared" si="11"/>
        <v>72</v>
      </c>
      <c r="I61" s="1032">
        <f t="shared" si="11"/>
        <v>109052</v>
      </c>
      <c r="J61" s="1033">
        <f t="shared" si="11"/>
        <v>1523.1999999999998</v>
      </c>
      <c r="K61" s="1031">
        <f t="shared" ref="K61" si="12">SUM(K42:K60)</f>
        <v>351.3</v>
      </c>
      <c r="L61" s="1031">
        <f t="shared" ref="L61" si="13">SUM(L42:L60)</f>
        <v>1131.2</v>
      </c>
      <c r="M61" s="1031">
        <f t="shared" ref="M61" si="14">SUM(M42:M60)</f>
        <v>85</v>
      </c>
      <c r="N61" s="1031">
        <f t="shared" ref="N61" si="15">SUM(N42:N60)</f>
        <v>2430.9</v>
      </c>
      <c r="O61" s="1031">
        <f t="shared" ref="O61" si="16">SUM(O42:O60)</f>
        <v>164.4</v>
      </c>
      <c r="P61" s="1031">
        <f t="shared" ref="P61" si="17">SUM(P42:P60)</f>
        <v>353</v>
      </c>
      <c r="Q61" s="1031">
        <f t="shared" ref="Q61" si="18">SUM(Q42:Q60)</f>
        <v>99.2</v>
      </c>
      <c r="R61" s="1031">
        <f t="shared" ref="R61" si="19">SUM(R42:R60)</f>
        <v>392.7</v>
      </c>
      <c r="S61" s="1031">
        <f t="shared" ref="S61" si="20">SUM(S42:S60)</f>
        <v>791.09999999999991</v>
      </c>
      <c r="T61" s="1031">
        <f t="shared" ref="T61" si="21">SUM(T42:T60)</f>
        <v>780</v>
      </c>
      <c r="U61" s="1034">
        <f>SUM(U42:U60)</f>
        <v>8102</v>
      </c>
      <c r="V61" s="1033">
        <f>SUM(V42:V60)</f>
        <v>165</v>
      </c>
      <c r="W61" s="1031">
        <f t="shared" ref="W61" si="22">SUM(W42:W60)</f>
        <v>100</v>
      </c>
      <c r="X61" s="1031">
        <f t="shared" ref="X61" si="23">SUM(X42:X60)</f>
        <v>40</v>
      </c>
      <c r="Y61" s="1031">
        <f t="shared" ref="Y61" si="24">SUM(Y42:Y60)</f>
        <v>60.9</v>
      </c>
      <c r="Z61" s="1031">
        <f t="shared" ref="Z61" si="25">SUM(Z42:Z60)</f>
        <v>7951</v>
      </c>
      <c r="AA61" s="1031">
        <f t="shared" ref="AA61" si="26">SUM(AA42:AA60)</f>
        <v>40</v>
      </c>
      <c r="AB61" s="1031">
        <f t="shared" ref="AB61" si="27">SUM(AB42:AB60)</f>
        <v>781</v>
      </c>
      <c r="AC61" s="1342">
        <f t="shared" ref="AC61" si="28">SUM(AC42:AC60)</f>
        <v>931</v>
      </c>
      <c r="AD61" s="1342">
        <f t="shared" ref="AD61" si="29">SUM(AD42:AD60)</f>
        <v>135</v>
      </c>
      <c r="AE61" s="1031">
        <f t="shared" ref="AE61:AF61" si="30">SUM(AE42:AE60)</f>
        <v>71</v>
      </c>
      <c r="AF61" s="1352">
        <f t="shared" si="30"/>
        <v>10274.9</v>
      </c>
      <c r="AG61" s="1359">
        <f t="shared" ref="AG61:AL61" si="31">SUM(AG42:AG60)</f>
        <v>4046</v>
      </c>
      <c r="AH61" s="1360">
        <f t="shared" si="31"/>
        <v>665</v>
      </c>
      <c r="AI61" s="1360">
        <f t="shared" si="31"/>
        <v>3713</v>
      </c>
      <c r="AJ61" s="1360">
        <f t="shared" si="31"/>
        <v>2370</v>
      </c>
      <c r="AK61" s="1360">
        <f t="shared" si="31"/>
        <v>8994</v>
      </c>
      <c r="AL61" s="1361">
        <f t="shared" si="31"/>
        <v>97246</v>
      </c>
      <c r="BE61" s="943"/>
      <c r="BF61" s="943"/>
      <c r="BG61" s="943"/>
      <c r="BH61" s="943"/>
      <c r="BI61" s="943"/>
      <c r="BJ61" s="943"/>
      <c r="BK61" s="943"/>
      <c r="BL61" s="1025"/>
      <c r="BM61" s="1025"/>
      <c r="BN61" s="1025"/>
      <c r="BO61" s="1025"/>
      <c r="BP61" s="1025"/>
      <c r="BQ61" s="1025"/>
      <c r="BR61" s="997"/>
    </row>
    <row r="62" spans="1:70" s="1035" customFormat="1" ht="24.95" hidden="1" customHeight="1">
      <c r="B62" s="1036" t="s">
        <v>98</v>
      </c>
      <c r="C62" s="937">
        <v>215</v>
      </c>
      <c r="D62" s="937"/>
      <c r="E62" s="937"/>
      <c r="F62" s="937"/>
      <c r="G62" s="937">
        <v>108980</v>
      </c>
      <c r="H62" s="937">
        <v>72</v>
      </c>
      <c r="I62" s="937">
        <f t="shared" ref="I62" si="32">SUM(G62:H62)</f>
        <v>109052</v>
      </c>
      <c r="J62" s="1037">
        <v>1523.1999999999998</v>
      </c>
      <c r="K62" s="1037">
        <v>351.3</v>
      </c>
      <c r="L62" s="1037">
        <v>1131.2</v>
      </c>
      <c r="M62" s="1037">
        <v>85</v>
      </c>
      <c r="N62" s="1037">
        <v>2430.9</v>
      </c>
      <c r="O62" s="1037">
        <v>164.4</v>
      </c>
      <c r="P62" s="1037">
        <v>353</v>
      </c>
      <c r="Q62" s="1037">
        <v>99.2</v>
      </c>
      <c r="R62" s="1037">
        <v>392.7</v>
      </c>
      <c r="S62" s="1037">
        <v>791.09999999999991</v>
      </c>
      <c r="T62" s="1037">
        <v>780</v>
      </c>
      <c r="U62" s="1038">
        <f>SUM(J62:T62)</f>
        <v>8102</v>
      </c>
      <c r="V62" s="1135">
        <v>165</v>
      </c>
      <c r="W62" s="1136">
        <v>100</v>
      </c>
      <c r="X62" s="1135">
        <v>40</v>
      </c>
      <c r="Y62" s="1135">
        <v>60.9</v>
      </c>
      <c r="Z62" s="1135">
        <v>7951</v>
      </c>
      <c r="AA62" s="1135">
        <v>40</v>
      </c>
      <c r="AB62" s="1135">
        <v>781</v>
      </c>
      <c r="AC62" s="1135">
        <v>931</v>
      </c>
      <c r="AD62" s="1135">
        <v>135</v>
      </c>
      <c r="AE62" s="1136">
        <v>71</v>
      </c>
      <c r="AF62" s="1136">
        <v>10274.9</v>
      </c>
      <c r="AG62" s="1362">
        <v>4046</v>
      </c>
      <c r="AH62" s="1362">
        <v>665</v>
      </c>
      <c r="AI62" s="1363">
        <v>3713</v>
      </c>
      <c r="AJ62" s="1364">
        <v>2370</v>
      </c>
      <c r="AK62" s="1365">
        <v>8994</v>
      </c>
      <c r="AL62" s="1365">
        <v>97246</v>
      </c>
      <c r="BE62" s="943"/>
      <c r="BF62" s="943"/>
      <c r="BG62" s="943"/>
      <c r="BH62" s="943"/>
      <c r="BI62" s="943"/>
      <c r="BJ62" s="942"/>
      <c r="BK62" s="942"/>
      <c r="BL62" s="942"/>
      <c r="BM62" s="942"/>
      <c r="BN62" s="942"/>
      <c r="BO62" s="942"/>
    </row>
    <row r="63" spans="1:70" hidden="1">
      <c r="C63" s="935"/>
      <c r="D63" s="935"/>
      <c r="E63" s="935"/>
      <c r="F63" s="935"/>
      <c r="G63" s="935"/>
      <c r="H63" s="935"/>
      <c r="I63" s="935"/>
      <c r="J63" s="935"/>
      <c r="K63" s="935"/>
      <c r="L63" s="935"/>
      <c r="M63" s="935"/>
      <c r="AO63" s="1038"/>
      <c r="BE63" s="1039"/>
      <c r="BP63" s="966"/>
      <c r="BQ63" s="966"/>
      <c r="BR63" s="966"/>
    </row>
    <row r="64" spans="1:70" ht="20.100000000000001" hidden="1" customHeight="1">
      <c r="A64" s="995" t="s">
        <v>349</v>
      </c>
      <c r="BP64" s="966"/>
      <c r="BQ64" s="966"/>
      <c r="BR64" s="966"/>
    </row>
    <row r="65" spans="1:70" hidden="1"/>
    <row r="66" spans="1:70" ht="20.100000000000001" hidden="1" customHeight="1">
      <c r="A66" s="976" t="s">
        <v>281</v>
      </c>
      <c r="BP66" s="966"/>
      <c r="BQ66" s="966"/>
      <c r="BR66" s="966"/>
    </row>
    <row r="67" spans="1:70" ht="20.100000000000001" hidden="1" customHeight="1">
      <c r="A67" s="977">
        <v>1</v>
      </c>
      <c r="B67" s="977">
        <v>2</v>
      </c>
      <c r="C67" s="977">
        <v>3</v>
      </c>
      <c r="D67" s="977">
        <v>4</v>
      </c>
      <c r="E67" s="977">
        <v>5</v>
      </c>
      <c r="F67" s="977">
        <v>6</v>
      </c>
      <c r="G67" s="977">
        <v>7</v>
      </c>
      <c r="H67" s="977">
        <v>8</v>
      </c>
      <c r="I67" s="977">
        <v>9</v>
      </c>
      <c r="J67" s="977">
        <v>10</v>
      </c>
      <c r="K67" s="977">
        <v>11</v>
      </c>
      <c r="L67" s="977">
        <v>12</v>
      </c>
      <c r="M67" s="977">
        <v>13</v>
      </c>
      <c r="N67" s="977">
        <v>14</v>
      </c>
      <c r="O67" s="977">
        <v>15</v>
      </c>
      <c r="P67" s="977">
        <v>16</v>
      </c>
      <c r="Q67" s="977">
        <v>17</v>
      </c>
      <c r="R67" s="977">
        <v>18</v>
      </c>
      <c r="S67" s="977">
        <v>19</v>
      </c>
      <c r="T67" s="977">
        <v>20</v>
      </c>
      <c r="U67" s="977">
        <v>21</v>
      </c>
      <c r="V67" s="977">
        <v>22</v>
      </c>
      <c r="W67" s="977">
        <v>23</v>
      </c>
      <c r="X67" s="977">
        <v>24</v>
      </c>
      <c r="Y67" s="977">
        <v>25</v>
      </c>
      <c r="Z67" s="977">
        <v>26</v>
      </c>
      <c r="AA67" s="977">
        <v>27</v>
      </c>
      <c r="AB67" s="977">
        <v>28</v>
      </c>
      <c r="AC67" s="977">
        <v>29</v>
      </c>
      <c r="AD67" s="977">
        <v>30</v>
      </c>
      <c r="AE67" s="977">
        <v>31</v>
      </c>
      <c r="AF67" s="977">
        <v>32</v>
      </c>
      <c r="AG67" s="977">
        <v>33</v>
      </c>
      <c r="AH67" s="977">
        <v>34</v>
      </c>
      <c r="AI67" s="977">
        <v>35</v>
      </c>
      <c r="AJ67" s="977">
        <v>36</v>
      </c>
      <c r="AK67" s="977">
        <v>37</v>
      </c>
      <c r="AL67" s="977">
        <v>38</v>
      </c>
      <c r="AM67" s="977">
        <v>39</v>
      </c>
      <c r="AN67" s="977">
        <v>40</v>
      </c>
      <c r="AO67" s="977">
        <v>41</v>
      </c>
      <c r="AP67" s="977">
        <v>42</v>
      </c>
      <c r="AQ67" s="977">
        <v>43</v>
      </c>
      <c r="AR67" s="977">
        <v>44</v>
      </c>
      <c r="AS67" s="977">
        <v>45</v>
      </c>
      <c r="AT67" s="977">
        <v>46</v>
      </c>
      <c r="AU67" s="977">
        <v>47</v>
      </c>
      <c r="AV67" s="977">
        <v>48</v>
      </c>
      <c r="AW67" s="977">
        <v>49</v>
      </c>
      <c r="AX67" s="977">
        <v>50</v>
      </c>
      <c r="AY67" s="977">
        <v>51</v>
      </c>
      <c r="AZ67" s="977">
        <v>52</v>
      </c>
      <c r="BA67" s="977">
        <v>53</v>
      </c>
      <c r="BB67" s="977">
        <v>54</v>
      </c>
      <c r="BC67" s="977">
        <v>55</v>
      </c>
      <c r="BD67" s="977">
        <v>56</v>
      </c>
      <c r="BE67" s="977">
        <v>57</v>
      </c>
      <c r="BF67" s="977">
        <v>58</v>
      </c>
      <c r="BG67" s="977">
        <v>59</v>
      </c>
      <c r="BH67" s="977">
        <v>60</v>
      </c>
      <c r="BI67" s="977">
        <v>61</v>
      </c>
      <c r="BJ67" s="977">
        <v>62</v>
      </c>
      <c r="BK67" s="977">
        <v>63</v>
      </c>
      <c r="BL67" s="977">
        <v>64</v>
      </c>
      <c r="BM67" s="977">
        <v>65</v>
      </c>
      <c r="BN67" s="973"/>
      <c r="BO67" s="973"/>
      <c r="BP67" s="966"/>
      <c r="BQ67" s="966"/>
      <c r="BR67" s="966"/>
    </row>
    <row r="68" spans="1:70" ht="15.75" hidden="1" thickBot="1">
      <c r="AY68" s="997"/>
      <c r="AZ68" s="997"/>
      <c r="BA68" s="997"/>
      <c r="BB68" s="997"/>
      <c r="BC68" s="997"/>
      <c r="BN68" s="973"/>
      <c r="BO68" s="973"/>
      <c r="BP68" s="966"/>
      <c r="BQ68" s="966"/>
      <c r="BR68" s="966"/>
    </row>
    <row r="69" spans="1:70" ht="30" hidden="1" customHeight="1">
      <c r="A69" s="978"/>
      <c r="B69" s="1040"/>
      <c r="C69" s="1978" t="s">
        <v>76</v>
      </c>
      <c r="D69" s="1976"/>
      <c r="E69" s="1976"/>
      <c r="F69" s="1976"/>
      <c r="G69" s="1976"/>
      <c r="H69" s="1976"/>
      <c r="I69" s="1976"/>
      <c r="J69" s="1976"/>
      <c r="K69" s="1976"/>
      <c r="L69" s="1976"/>
      <c r="M69" s="1976"/>
      <c r="N69" s="1976"/>
      <c r="O69" s="1976"/>
      <c r="P69" s="1976"/>
      <c r="Q69" s="1976"/>
      <c r="R69" s="1976"/>
      <c r="S69" s="1976"/>
      <c r="T69" s="1976"/>
      <c r="U69" s="1976"/>
      <c r="V69" s="1976"/>
      <c r="W69" s="1976"/>
      <c r="X69" s="1976"/>
      <c r="Y69" s="1976"/>
      <c r="Z69" s="1976"/>
      <c r="AA69" s="1976"/>
      <c r="AB69" s="1976"/>
      <c r="AC69" s="1976"/>
      <c r="AD69" s="1976"/>
      <c r="AE69" s="1976"/>
      <c r="AF69" s="1976"/>
      <c r="AG69" s="1976"/>
      <c r="AH69" s="1976"/>
      <c r="AI69" s="1976"/>
      <c r="AJ69" s="1976"/>
      <c r="AK69" s="1976"/>
      <c r="AL69" s="1976"/>
      <c r="AM69" s="1976"/>
      <c r="AN69" s="1976"/>
      <c r="AO69" s="1976"/>
      <c r="AP69" s="1976"/>
      <c r="AQ69" s="1976"/>
      <c r="AR69" s="1977"/>
      <c r="AS69" s="1976" t="s">
        <v>351</v>
      </c>
      <c r="AT69" s="1976"/>
      <c r="AU69" s="1976"/>
      <c r="AV69" s="1976"/>
      <c r="AW69" s="1976"/>
      <c r="AX69" s="1976"/>
      <c r="AY69" s="1976"/>
      <c r="AZ69" s="1976"/>
      <c r="BA69" s="1976"/>
      <c r="BB69" s="1976"/>
      <c r="BC69" s="1976"/>
      <c r="BD69" s="1976"/>
      <c r="BE69" s="1976"/>
      <c r="BF69" s="1976"/>
      <c r="BG69" s="1976"/>
      <c r="BH69" s="1976"/>
      <c r="BI69" s="1976"/>
      <c r="BJ69" s="1976"/>
      <c r="BK69" s="1976"/>
      <c r="BL69" s="1976"/>
      <c r="BM69" s="1977"/>
      <c r="BN69" s="973"/>
      <c r="BO69" s="973"/>
      <c r="BP69" s="966"/>
      <c r="BQ69" s="966"/>
      <c r="BR69" s="966"/>
    </row>
    <row r="70" spans="1:70" ht="60" hidden="1" customHeight="1">
      <c r="A70" s="1041"/>
      <c r="B70" s="1042"/>
      <c r="C70" s="1989" t="s">
        <v>127</v>
      </c>
      <c r="D70" s="1990"/>
      <c r="E70" s="1983" t="s">
        <v>128</v>
      </c>
      <c r="F70" s="1984"/>
      <c r="G70" s="1989" t="s">
        <v>129</v>
      </c>
      <c r="H70" s="1990"/>
      <c r="I70" s="2003" t="s">
        <v>137</v>
      </c>
      <c r="J70" s="1984"/>
      <c r="K70" s="1989" t="s">
        <v>136</v>
      </c>
      <c r="L70" s="1990"/>
      <c r="M70" s="1983" t="s">
        <v>284</v>
      </c>
      <c r="N70" s="1989"/>
      <c r="O70" s="1983" t="s">
        <v>285</v>
      </c>
      <c r="P70" s="1984"/>
      <c r="Q70" s="1983" t="s">
        <v>269</v>
      </c>
      <c r="R70" s="1984"/>
      <c r="S70" s="1983" t="s">
        <v>138</v>
      </c>
      <c r="T70" s="1991"/>
      <c r="U70" s="1983" t="s">
        <v>286</v>
      </c>
      <c r="V70" s="1991"/>
      <c r="W70" s="1983" t="s">
        <v>139</v>
      </c>
      <c r="X70" s="1991"/>
      <c r="Y70" s="1983" t="s">
        <v>287</v>
      </c>
      <c r="Z70" s="1991"/>
      <c r="AA70" s="1983" t="s">
        <v>134</v>
      </c>
      <c r="AB70" s="1989"/>
      <c r="AC70" s="2010" t="s">
        <v>288</v>
      </c>
      <c r="AD70" s="2011"/>
      <c r="AE70" s="2014" t="s">
        <v>162</v>
      </c>
      <c r="AF70" s="1984"/>
      <c r="AG70" s="1973" t="s">
        <v>133</v>
      </c>
      <c r="AH70" s="1988"/>
      <c r="AI70" s="1973" t="s">
        <v>132</v>
      </c>
      <c r="AJ70" s="1974"/>
      <c r="AK70" s="1973" t="s">
        <v>131</v>
      </c>
      <c r="AL70" s="1974"/>
      <c r="AM70" s="1973" t="s">
        <v>130</v>
      </c>
      <c r="AN70" s="1974"/>
      <c r="AO70" s="2006" t="s">
        <v>2</v>
      </c>
      <c r="AP70" s="2007"/>
      <c r="AQ70" s="2008" t="s">
        <v>140</v>
      </c>
      <c r="AR70" s="2009"/>
      <c r="AS70" s="1043" t="s">
        <v>127</v>
      </c>
      <c r="AT70" s="1620" t="s">
        <v>128</v>
      </c>
      <c r="AU70" s="1620" t="s">
        <v>129</v>
      </c>
      <c r="AV70" s="1620" t="s">
        <v>137</v>
      </c>
      <c r="AW70" s="1620" t="s">
        <v>136</v>
      </c>
      <c r="AX70" s="1620" t="s">
        <v>135</v>
      </c>
      <c r="AY70" s="1620" t="s">
        <v>268</v>
      </c>
      <c r="AZ70" s="1620" t="s">
        <v>269</v>
      </c>
      <c r="BA70" s="1620" t="s">
        <v>138</v>
      </c>
      <c r="BB70" s="1620" t="s">
        <v>270</v>
      </c>
      <c r="BC70" s="1620" t="s">
        <v>271</v>
      </c>
      <c r="BD70" s="1620" t="s">
        <v>272</v>
      </c>
      <c r="BE70" s="1620" t="s">
        <v>273</v>
      </c>
      <c r="BF70" s="1044" t="s">
        <v>274</v>
      </c>
      <c r="BG70" s="1045" t="s">
        <v>162</v>
      </c>
      <c r="BH70" s="1620" t="s">
        <v>133</v>
      </c>
      <c r="BI70" s="1620" t="s">
        <v>132</v>
      </c>
      <c r="BJ70" s="1620" t="s">
        <v>131</v>
      </c>
      <c r="BK70" s="1620" t="s">
        <v>275</v>
      </c>
      <c r="BL70" s="1046" t="s">
        <v>2</v>
      </c>
      <c r="BM70" s="1047" t="s">
        <v>276</v>
      </c>
      <c r="BN70" s="973"/>
      <c r="BO70" s="973"/>
      <c r="BP70" s="966"/>
      <c r="BQ70" s="966"/>
      <c r="BR70" s="966"/>
    </row>
    <row r="71" spans="1:70" ht="24.95" hidden="1" customHeight="1">
      <c r="A71" s="1041"/>
      <c r="B71" s="1048" t="s">
        <v>141</v>
      </c>
      <c r="C71" s="1049" t="s">
        <v>42</v>
      </c>
      <c r="D71" s="1050" t="s">
        <v>31</v>
      </c>
      <c r="E71" s="1050" t="s">
        <v>42</v>
      </c>
      <c r="F71" s="1050" t="s">
        <v>31</v>
      </c>
      <c r="G71" s="1050" t="s">
        <v>42</v>
      </c>
      <c r="H71" s="1050" t="s">
        <v>31</v>
      </c>
      <c r="I71" s="1050" t="s">
        <v>42</v>
      </c>
      <c r="J71" s="1050" t="s">
        <v>31</v>
      </c>
      <c r="K71" s="1050" t="s">
        <v>42</v>
      </c>
      <c r="L71" s="1050" t="s">
        <v>31</v>
      </c>
      <c r="M71" s="1050" t="s">
        <v>42</v>
      </c>
      <c r="N71" s="1050" t="s">
        <v>31</v>
      </c>
      <c r="O71" s="1050" t="s">
        <v>42</v>
      </c>
      <c r="P71" s="1050" t="s">
        <v>31</v>
      </c>
      <c r="Q71" s="1050" t="s">
        <v>42</v>
      </c>
      <c r="R71" s="1050" t="s">
        <v>31</v>
      </c>
      <c r="S71" s="1050" t="s">
        <v>42</v>
      </c>
      <c r="T71" s="1050" t="s">
        <v>31</v>
      </c>
      <c r="U71" s="1050" t="s">
        <v>42</v>
      </c>
      <c r="V71" s="1050" t="s">
        <v>31</v>
      </c>
      <c r="W71" s="1050" t="s">
        <v>42</v>
      </c>
      <c r="X71" s="1050" t="s">
        <v>31</v>
      </c>
      <c r="Y71" s="1050" t="s">
        <v>42</v>
      </c>
      <c r="Z71" s="1050" t="s">
        <v>31</v>
      </c>
      <c r="AA71" s="1050" t="s">
        <v>42</v>
      </c>
      <c r="AB71" s="1050" t="s">
        <v>31</v>
      </c>
      <c r="AC71" s="1050" t="s">
        <v>42</v>
      </c>
      <c r="AD71" s="1050" t="s">
        <v>31</v>
      </c>
      <c r="AE71" s="1050" t="s">
        <v>42</v>
      </c>
      <c r="AF71" s="1050" t="s">
        <v>31</v>
      </c>
      <c r="AG71" s="1050" t="s">
        <v>42</v>
      </c>
      <c r="AH71" s="1050" t="s">
        <v>31</v>
      </c>
      <c r="AI71" s="1050" t="s">
        <v>42</v>
      </c>
      <c r="AJ71" s="1050" t="s">
        <v>31</v>
      </c>
      <c r="AK71" s="1050" t="s">
        <v>42</v>
      </c>
      <c r="AL71" s="1050" t="s">
        <v>31</v>
      </c>
      <c r="AM71" s="1050" t="s">
        <v>42</v>
      </c>
      <c r="AN71" s="1050" t="s">
        <v>31</v>
      </c>
      <c r="AO71" s="1050" t="s">
        <v>42</v>
      </c>
      <c r="AP71" s="1051" t="s">
        <v>31</v>
      </c>
      <c r="AQ71" s="1052" t="s">
        <v>42</v>
      </c>
      <c r="AR71" s="1051" t="s">
        <v>31</v>
      </c>
      <c r="AS71" s="1629"/>
      <c r="AT71" s="1014"/>
      <c r="AU71" s="1014"/>
      <c r="AV71" s="1014"/>
      <c r="AW71" s="1014"/>
      <c r="AX71" s="1014"/>
      <c r="AY71" s="1014"/>
      <c r="AZ71" s="1014"/>
      <c r="BA71" s="1014"/>
      <c r="BB71" s="1621"/>
      <c r="BC71" s="1014"/>
      <c r="BD71" s="1014"/>
      <c r="BE71" s="1014"/>
      <c r="BF71" s="1014"/>
      <c r="BG71" s="1014"/>
      <c r="BH71" s="1014"/>
      <c r="BI71" s="1014"/>
      <c r="BJ71" s="1014"/>
      <c r="BK71" s="1014"/>
      <c r="BL71" s="1015"/>
      <c r="BM71" s="1053"/>
      <c r="BN71" s="973"/>
      <c r="BO71" s="973"/>
      <c r="BP71" s="966"/>
      <c r="BQ71" s="966"/>
      <c r="BR71" s="966"/>
    </row>
    <row r="72" spans="1:70" ht="24.95" hidden="1" customHeight="1">
      <c r="A72" s="1054"/>
      <c r="B72" s="1055"/>
      <c r="C72" s="1049" t="s">
        <v>17</v>
      </c>
      <c r="D72" s="1015" t="s">
        <v>17</v>
      </c>
      <c r="E72" s="1014" t="s">
        <v>17</v>
      </c>
      <c r="F72" s="1015" t="s">
        <v>17</v>
      </c>
      <c r="G72" s="1014" t="s">
        <v>17</v>
      </c>
      <c r="H72" s="1013" t="s">
        <v>17</v>
      </c>
      <c r="I72" s="1013" t="s">
        <v>17</v>
      </c>
      <c r="J72" s="1013" t="s">
        <v>17</v>
      </c>
      <c r="K72" s="1013" t="s">
        <v>17</v>
      </c>
      <c r="L72" s="1013" t="s">
        <v>17</v>
      </c>
      <c r="M72" s="1013" t="s">
        <v>17</v>
      </c>
      <c r="N72" s="1013" t="s">
        <v>17</v>
      </c>
      <c r="O72" s="1013" t="s">
        <v>17</v>
      </c>
      <c r="P72" s="1014" t="s">
        <v>17</v>
      </c>
      <c r="Q72" s="1013" t="s">
        <v>17</v>
      </c>
      <c r="R72" s="1013" t="s">
        <v>17</v>
      </c>
      <c r="S72" s="1013" t="s">
        <v>17</v>
      </c>
      <c r="T72" s="1013" t="s">
        <v>17</v>
      </c>
      <c r="U72" s="1013" t="s">
        <v>17</v>
      </c>
      <c r="V72" s="1013" t="s">
        <v>17</v>
      </c>
      <c r="W72" s="1014" t="s">
        <v>17</v>
      </c>
      <c r="X72" s="1015" t="s">
        <v>17</v>
      </c>
      <c r="Y72" s="1014" t="s">
        <v>17</v>
      </c>
      <c r="Z72" s="1014" t="s">
        <v>17</v>
      </c>
      <c r="AA72" s="1014" t="s">
        <v>17</v>
      </c>
      <c r="AB72" s="1014" t="s">
        <v>17</v>
      </c>
      <c r="AC72" s="1014" t="s">
        <v>17</v>
      </c>
      <c r="AD72" s="1014" t="s">
        <v>17</v>
      </c>
      <c r="AE72" s="1014" t="s">
        <v>17</v>
      </c>
      <c r="AF72" s="1014" t="s">
        <v>17</v>
      </c>
      <c r="AG72" s="1013" t="s">
        <v>17</v>
      </c>
      <c r="AH72" s="1014" t="s">
        <v>17</v>
      </c>
      <c r="AI72" s="1014" t="s">
        <v>17</v>
      </c>
      <c r="AJ72" s="1014" t="s">
        <v>17</v>
      </c>
      <c r="AK72" s="1014" t="s">
        <v>17</v>
      </c>
      <c r="AL72" s="1014" t="s">
        <v>17</v>
      </c>
      <c r="AM72" s="1015" t="s">
        <v>17</v>
      </c>
      <c r="AN72" s="1014" t="s">
        <v>17</v>
      </c>
      <c r="AO72" s="1015" t="s">
        <v>17</v>
      </c>
      <c r="AP72" s="1016" t="s">
        <v>17</v>
      </c>
      <c r="AQ72" s="1629" t="s">
        <v>17</v>
      </c>
      <c r="AR72" s="1016" t="s">
        <v>17</v>
      </c>
      <c r="AS72" s="1629" t="s">
        <v>17</v>
      </c>
      <c r="AT72" s="1049" t="s">
        <v>17</v>
      </c>
      <c r="AU72" s="1014" t="s">
        <v>17</v>
      </c>
      <c r="AV72" s="1015" t="s">
        <v>17</v>
      </c>
      <c r="AW72" s="1014" t="s">
        <v>17</v>
      </c>
      <c r="AX72" s="1013" t="s">
        <v>17</v>
      </c>
      <c r="AY72" s="1013" t="s">
        <v>17</v>
      </c>
      <c r="AZ72" s="1013" t="s">
        <v>17</v>
      </c>
      <c r="BA72" s="1013" t="s">
        <v>17</v>
      </c>
      <c r="BB72" s="1013" t="s">
        <v>17</v>
      </c>
      <c r="BC72" s="1013" t="s">
        <v>17</v>
      </c>
      <c r="BD72" s="1013" t="s">
        <v>17</v>
      </c>
      <c r="BE72" s="1013" t="s">
        <v>17</v>
      </c>
      <c r="BF72" s="1014" t="s">
        <v>17</v>
      </c>
      <c r="BG72" s="1013" t="s">
        <v>17</v>
      </c>
      <c r="BH72" s="1013" t="s">
        <v>17</v>
      </c>
      <c r="BI72" s="1013" t="s">
        <v>17</v>
      </c>
      <c r="BJ72" s="1013" t="s">
        <v>17</v>
      </c>
      <c r="BK72" s="1013" t="s">
        <v>17</v>
      </c>
      <c r="BL72" s="1049" t="s">
        <v>17</v>
      </c>
      <c r="BM72" s="1053" t="s">
        <v>17</v>
      </c>
      <c r="BN72" s="973"/>
      <c r="BO72" s="973"/>
      <c r="BP72" s="966"/>
      <c r="BQ72" s="966"/>
      <c r="BR72" s="966"/>
    </row>
    <row r="73" spans="1:70" ht="24.95" hidden="1" customHeight="1">
      <c r="A73" s="1056"/>
      <c r="B73" s="979"/>
      <c r="C73" s="1057">
        <v>1</v>
      </c>
      <c r="D73" s="1058">
        <v>2</v>
      </c>
      <c r="E73" s="924">
        <v>3</v>
      </c>
      <c r="F73" s="925">
        <v>4</v>
      </c>
      <c r="G73" s="925">
        <v>5</v>
      </c>
      <c r="H73" s="925">
        <v>6</v>
      </c>
      <c r="I73" s="925">
        <v>7</v>
      </c>
      <c r="J73" s="925">
        <v>8</v>
      </c>
      <c r="K73" s="1057">
        <v>9</v>
      </c>
      <c r="L73" s="1058">
        <v>10</v>
      </c>
      <c r="M73" s="924">
        <v>11</v>
      </c>
      <c r="N73" s="925">
        <v>12</v>
      </c>
      <c r="O73" s="925">
        <v>13</v>
      </c>
      <c r="P73" s="925">
        <v>14</v>
      </c>
      <c r="Q73" s="925">
        <v>15</v>
      </c>
      <c r="R73" s="925">
        <v>16</v>
      </c>
      <c r="S73" s="1057">
        <v>17</v>
      </c>
      <c r="T73" s="1058">
        <v>18</v>
      </c>
      <c r="U73" s="924">
        <v>19</v>
      </c>
      <c r="V73" s="925">
        <v>20</v>
      </c>
      <c r="W73" s="925">
        <v>21</v>
      </c>
      <c r="X73" s="925">
        <v>22</v>
      </c>
      <c r="Y73" s="925">
        <v>23</v>
      </c>
      <c r="Z73" s="925">
        <v>24</v>
      </c>
      <c r="AA73" s="1057">
        <v>25</v>
      </c>
      <c r="AB73" s="1058">
        <v>26</v>
      </c>
      <c r="AC73" s="924">
        <v>27</v>
      </c>
      <c r="AD73" s="925">
        <v>28</v>
      </c>
      <c r="AE73" s="925">
        <v>29</v>
      </c>
      <c r="AF73" s="925">
        <v>30</v>
      </c>
      <c r="AG73" s="925">
        <v>31</v>
      </c>
      <c r="AH73" s="925">
        <v>32</v>
      </c>
      <c r="AI73" s="1057">
        <v>33</v>
      </c>
      <c r="AJ73" s="1058">
        <v>34</v>
      </c>
      <c r="AK73" s="924">
        <v>35</v>
      </c>
      <c r="AL73" s="925">
        <v>36</v>
      </c>
      <c r="AM73" s="925">
        <v>37</v>
      </c>
      <c r="AN73" s="925">
        <v>38</v>
      </c>
      <c r="AO73" s="1059">
        <v>39</v>
      </c>
      <c r="AP73" s="927">
        <v>40</v>
      </c>
      <c r="AQ73" s="1057">
        <v>41</v>
      </c>
      <c r="AR73" s="927">
        <v>42</v>
      </c>
      <c r="AS73" s="926">
        <v>43</v>
      </c>
      <c r="AT73" s="926">
        <v>44</v>
      </c>
      <c r="AU73" s="925">
        <v>45</v>
      </c>
      <c r="AV73" s="925">
        <v>46</v>
      </c>
      <c r="AW73" s="925">
        <v>47</v>
      </c>
      <c r="AX73" s="925">
        <v>48</v>
      </c>
      <c r="AY73" s="1060">
        <v>49</v>
      </c>
      <c r="AZ73" s="924">
        <v>50</v>
      </c>
      <c r="BA73" s="924">
        <v>51</v>
      </c>
      <c r="BB73" s="925">
        <v>52</v>
      </c>
      <c r="BC73" s="925">
        <v>53</v>
      </c>
      <c r="BD73" s="925">
        <v>54</v>
      </c>
      <c r="BE73" s="925">
        <v>55</v>
      </c>
      <c r="BF73" s="925">
        <v>56</v>
      </c>
      <c r="BG73" s="1060">
        <v>57</v>
      </c>
      <c r="BH73" s="924">
        <v>58</v>
      </c>
      <c r="BI73" s="924">
        <v>59</v>
      </c>
      <c r="BJ73" s="925">
        <v>60</v>
      </c>
      <c r="BK73" s="925">
        <v>61</v>
      </c>
      <c r="BL73" s="924">
        <v>62</v>
      </c>
      <c r="BM73" s="928">
        <v>63</v>
      </c>
      <c r="BP73" s="966"/>
      <c r="BQ73" s="966"/>
      <c r="BR73" s="966"/>
    </row>
    <row r="74" spans="1:70" ht="30" hidden="1" customHeight="1">
      <c r="A74" s="1061">
        <v>1</v>
      </c>
      <c r="B74" s="1062" t="s">
        <v>12</v>
      </c>
      <c r="C74" s="1063">
        <v>447.3</v>
      </c>
      <c r="D74" s="1063">
        <v>84.7</v>
      </c>
      <c r="E74" s="1063">
        <v>37</v>
      </c>
      <c r="F74" s="1063">
        <v>26.5</v>
      </c>
      <c r="G74" s="1063">
        <v>275.3</v>
      </c>
      <c r="H74" s="1063">
        <v>95.3</v>
      </c>
      <c r="I74" s="1063">
        <v>98</v>
      </c>
      <c r="J74" s="1063">
        <v>41.5</v>
      </c>
      <c r="K74" s="1063">
        <v>1846.4</v>
      </c>
      <c r="L74" s="1063">
        <v>279.8</v>
      </c>
      <c r="M74" s="1063">
        <v>112</v>
      </c>
      <c r="N74" s="1063">
        <v>77.2</v>
      </c>
      <c r="O74" s="1063">
        <v>18</v>
      </c>
      <c r="P74" s="1063">
        <v>6</v>
      </c>
      <c r="Q74" s="1063">
        <v>1220</v>
      </c>
      <c r="R74" s="1063">
        <v>214.47</v>
      </c>
      <c r="S74" s="1063">
        <v>398</v>
      </c>
      <c r="T74" s="1063">
        <v>24.4</v>
      </c>
      <c r="U74" s="1063">
        <v>44.5</v>
      </c>
      <c r="V74" s="1063">
        <v>8.5</v>
      </c>
      <c r="W74" s="1063">
        <v>0</v>
      </c>
      <c r="X74" s="1063">
        <v>0</v>
      </c>
      <c r="Y74" s="1063">
        <v>39</v>
      </c>
      <c r="Z74" s="1063">
        <v>33.5</v>
      </c>
      <c r="AA74" s="1063">
        <v>28</v>
      </c>
      <c r="AB74" s="1063">
        <v>41.4</v>
      </c>
      <c r="AC74" s="1063">
        <v>6</v>
      </c>
      <c r="AD74" s="1063">
        <v>12</v>
      </c>
      <c r="AE74" s="1063">
        <v>34</v>
      </c>
      <c r="AF74" s="1063">
        <v>2</v>
      </c>
      <c r="AG74" s="1063">
        <v>576</v>
      </c>
      <c r="AH74" s="1063">
        <v>33</v>
      </c>
      <c r="AI74" s="1063">
        <v>194.04</v>
      </c>
      <c r="AJ74" s="1063">
        <v>89.53</v>
      </c>
      <c r="AK74" s="1063">
        <v>799.99</v>
      </c>
      <c r="AL74" s="1063">
        <v>101.33</v>
      </c>
      <c r="AM74" s="1063">
        <v>141</v>
      </c>
      <c r="AN74" s="1063">
        <v>72.5</v>
      </c>
      <c r="AO74" s="1064">
        <f>SUMIF($C$71:$AN$71,AO$71,$C74:$AN74)</f>
        <v>6314.53</v>
      </c>
      <c r="AP74" s="1065">
        <f>SUMIF($C$71:$AN$71,AP$71,$C74:$AN74)</f>
        <v>1243.6299999999999</v>
      </c>
      <c r="AQ74" s="1066">
        <v>0</v>
      </c>
      <c r="AR74" s="1067">
        <v>0</v>
      </c>
      <c r="AS74" s="1630"/>
      <c r="AT74" s="1068"/>
      <c r="AU74" s="1068"/>
      <c r="AV74" s="1068"/>
      <c r="AW74" s="1068"/>
      <c r="AX74" s="1068"/>
      <c r="AY74" s="1068"/>
      <c r="AZ74" s="1068"/>
      <c r="BA74" s="1068"/>
      <c r="BB74" s="1068"/>
      <c r="BC74" s="1068"/>
      <c r="BD74" s="1068"/>
      <c r="BE74" s="1068"/>
      <c r="BF74" s="1068"/>
      <c r="BG74" s="1068"/>
      <c r="BH74" s="1068"/>
      <c r="BI74" s="1068"/>
      <c r="BJ74" s="1068"/>
      <c r="BK74" s="1068"/>
      <c r="BL74" s="1069"/>
      <c r="BM74" s="1070"/>
      <c r="BP74" s="966"/>
      <c r="BQ74" s="966"/>
      <c r="BR74" s="966"/>
    </row>
    <row r="75" spans="1:70" ht="30" hidden="1" customHeight="1">
      <c r="A75" s="1061"/>
      <c r="B75" s="1071" t="s">
        <v>9</v>
      </c>
      <c r="C75" s="1072"/>
      <c r="D75" s="1072"/>
      <c r="E75" s="1072"/>
      <c r="F75" s="1072"/>
      <c r="G75" s="1072"/>
      <c r="H75" s="1072"/>
      <c r="I75" s="1072"/>
      <c r="J75" s="1072"/>
      <c r="K75" s="1072"/>
      <c r="L75" s="1072"/>
      <c r="M75" s="1072"/>
      <c r="N75" s="1072"/>
      <c r="O75" s="1072"/>
      <c r="P75" s="1072"/>
      <c r="Q75" s="1072"/>
      <c r="R75" s="1072"/>
      <c r="S75" s="1072"/>
      <c r="T75" s="1072"/>
      <c r="U75" s="1072"/>
      <c r="V75" s="1072"/>
      <c r="W75" s="1072"/>
      <c r="X75" s="1072"/>
      <c r="Y75" s="1072"/>
      <c r="Z75" s="1072"/>
      <c r="AA75" s="1072"/>
      <c r="AB75" s="1072"/>
      <c r="AC75" s="1072"/>
      <c r="AD75" s="1072"/>
      <c r="AE75" s="1072"/>
      <c r="AF75" s="1072"/>
      <c r="AG75" s="1072"/>
      <c r="AH75" s="1072"/>
      <c r="AI75" s="1072"/>
      <c r="AJ75" s="1072"/>
      <c r="AK75" s="1072"/>
      <c r="AL75" s="1072"/>
      <c r="AM75" s="1072"/>
      <c r="AN75" s="1072"/>
      <c r="AO75" s="1073"/>
      <c r="AP75" s="1074"/>
      <c r="AQ75" s="1075"/>
      <c r="AR75" s="1076"/>
      <c r="AS75" s="1631"/>
      <c r="AT75" s="1077"/>
      <c r="AU75" s="1077"/>
      <c r="AV75" s="1077"/>
      <c r="AW75" s="1077"/>
      <c r="AX75" s="1077"/>
      <c r="AY75" s="1077"/>
      <c r="AZ75" s="1077"/>
      <c r="BA75" s="1077"/>
      <c r="BB75" s="1077"/>
      <c r="BC75" s="1077"/>
      <c r="BD75" s="1077"/>
      <c r="BE75" s="1077"/>
      <c r="BF75" s="1077"/>
      <c r="BG75" s="1077"/>
      <c r="BH75" s="1077"/>
      <c r="BI75" s="1077"/>
      <c r="BJ75" s="1077"/>
      <c r="BK75" s="1077"/>
      <c r="BL75" s="1078"/>
      <c r="BM75" s="1079"/>
      <c r="BP75" s="966"/>
      <c r="BQ75" s="966"/>
      <c r="BR75" s="966"/>
    </row>
    <row r="76" spans="1:70" ht="24.95" hidden="1" customHeight="1">
      <c r="A76" s="1061"/>
      <c r="B76" s="1080" t="s">
        <v>80</v>
      </c>
      <c r="C76" s="1012"/>
      <c r="D76" s="1012"/>
      <c r="E76" s="1012"/>
      <c r="F76" s="1012"/>
      <c r="G76" s="1012"/>
      <c r="H76" s="1012"/>
      <c r="I76" s="1012"/>
      <c r="J76" s="1012"/>
      <c r="K76" s="1012"/>
      <c r="L76" s="1012"/>
      <c r="M76" s="1012"/>
      <c r="N76" s="1012"/>
      <c r="O76" s="1012"/>
      <c r="P76" s="1012"/>
      <c r="Q76" s="1012"/>
      <c r="R76" s="1012"/>
      <c r="S76" s="1012"/>
      <c r="T76" s="1012"/>
      <c r="U76" s="1012"/>
      <c r="V76" s="1012"/>
      <c r="W76" s="1012"/>
      <c r="X76" s="1012"/>
      <c r="Y76" s="1012"/>
      <c r="Z76" s="1012"/>
      <c r="AA76" s="1012"/>
      <c r="AB76" s="1012"/>
      <c r="AC76" s="1012"/>
      <c r="AD76" s="1012"/>
      <c r="AE76" s="1012"/>
      <c r="AF76" s="1012"/>
      <c r="AG76" s="1012"/>
      <c r="AH76" s="1012"/>
      <c r="AI76" s="1012"/>
      <c r="AJ76" s="1012"/>
      <c r="AK76" s="1012"/>
      <c r="AL76" s="1012"/>
      <c r="AM76" s="1012"/>
      <c r="AN76" s="1012"/>
      <c r="AO76" s="1073"/>
      <c r="AP76" s="1074"/>
      <c r="AQ76" s="1081"/>
      <c r="AR76" s="1082"/>
      <c r="AS76" s="1631"/>
      <c r="AT76" s="1077"/>
      <c r="AU76" s="1077"/>
      <c r="AV76" s="1077"/>
      <c r="AW76" s="1077"/>
      <c r="AX76" s="1077"/>
      <c r="AY76" s="1077"/>
      <c r="AZ76" s="1077"/>
      <c r="BA76" s="1077"/>
      <c r="BB76" s="1077"/>
      <c r="BC76" s="1077"/>
      <c r="BD76" s="1077"/>
      <c r="BE76" s="1077"/>
      <c r="BF76" s="1077"/>
      <c r="BG76" s="1077"/>
      <c r="BH76" s="1077"/>
      <c r="BI76" s="1077"/>
      <c r="BJ76" s="1077"/>
      <c r="BK76" s="1077"/>
      <c r="BL76" s="1078"/>
      <c r="BM76" s="1079"/>
      <c r="BP76" s="966"/>
      <c r="BQ76" s="966"/>
      <c r="BR76" s="966"/>
    </row>
    <row r="77" spans="1:70" ht="21.95" hidden="1" customHeight="1">
      <c r="A77" s="1083">
        <v>2</v>
      </c>
      <c r="B77" s="1084" t="s">
        <v>81</v>
      </c>
      <c r="C77" s="1333">
        <v>0</v>
      </c>
      <c r="D77" s="1333">
        <v>0</v>
      </c>
      <c r="E77" s="1333">
        <v>0</v>
      </c>
      <c r="F77" s="1333">
        <v>0</v>
      </c>
      <c r="G77" s="1333">
        <v>22</v>
      </c>
      <c r="H77" s="1333">
        <v>0</v>
      </c>
      <c r="I77" s="1333">
        <v>0</v>
      </c>
      <c r="J77" s="1333">
        <v>0</v>
      </c>
      <c r="K77" s="1333">
        <v>0</v>
      </c>
      <c r="L77" s="1333">
        <v>0</v>
      </c>
      <c r="M77" s="1333">
        <v>3</v>
      </c>
      <c r="N77" s="1333">
        <v>0</v>
      </c>
      <c r="O77" s="1333">
        <v>0</v>
      </c>
      <c r="P77" s="1333">
        <v>0</v>
      </c>
      <c r="Q77" s="1333">
        <v>0</v>
      </c>
      <c r="R77" s="1333">
        <v>0</v>
      </c>
      <c r="S77" s="1333">
        <v>0</v>
      </c>
      <c r="T77" s="1333">
        <v>0</v>
      </c>
      <c r="U77" s="1333">
        <v>0</v>
      </c>
      <c r="V77" s="1333">
        <v>0</v>
      </c>
      <c r="W77" s="1333">
        <v>0</v>
      </c>
      <c r="X77" s="1333">
        <v>0</v>
      </c>
      <c r="Y77" s="1333">
        <v>0</v>
      </c>
      <c r="Z77" s="1333">
        <v>0</v>
      </c>
      <c r="AA77" s="1333">
        <v>0</v>
      </c>
      <c r="AB77" s="1333">
        <v>0</v>
      </c>
      <c r="AC77" s="1333">
        <v>0</v>
      </c>
      <c r="AD77" s="1333">
        <v>0</v>
      </c>
      <c r="AE77" s="1333">
        <v>0</v>
      </c>
      <c r="AF77" s="1333">
        <v>0</v>
      </c>
      <c r="AG77" s="1333">
        <v>0</v>
      </c>
      <c r="AH77" s="1333">
        <v>0</v>
      </c>
      <c r="AI77" s="1333">
        <v>0</v>
      </c>
      <c r="AJ77" s="1333">
        <v>0</v>
      </c>
      <c r="AK77" s="1333">
        <v>0</v>
      </c>
      <c r="AL77" s="1333">
        <v>0</v>
      </c>
      <c r="AM77" s="1333">
        <v>110</v>
      </c>
      <c r="AN77" s="1333">
        <v>0</v>
      </c>
      <c r="AO77" s="1086">
        <f>SUMIF($C$71:$AN$71,AO$71,$C77:$AN77)</f>
        <v>135</v>
      </c>
      <c r="AP77" s="1087">
        <f>SUMIF($C$71:$AN$71,AP$71,$C77:$AN77)</f>
        <v>0</v>
      </c>
      <c r="AQ77" s="1088">
        <v>0</v>
      </c>
      <c r="AR77" s="1089">
        <v>0</v>
      </c>
      <c r="AS77" s="1632"/>
      <c r="AT77" s="1090"/>
      <c r="AU77" s="1090"/>
      <c r="AV77" s="1090"/>
      <c r="AW77" s="1090"/>
      <c r="AX77" s="1090"/>
      <c r="AY77" s="1090"/>
      <c r="AZ77" s="1090"/>
      <c r="BA77" s="1090"/>
      <c r="BB77" s="1090"/>
      <c r="BC77" s="1090"/>
      <c r="BD77" s="1090"/>
      <c r="BE77" s="1090"/>
      <c r="BF77" s="1090"/>
      <c r="BG77" s="1090"/>
      <c r="BH77" s="1090"/>
      <c r="BI77" s="1090"/>
      <c r="BJ77" s="1090"/>
      <c r="BK77" s="1090"/>
      <c r="BL77" s="1091"/>
      <c r="BM77" s="1092"/>
      <c r="BP77" s="966"/>
      <c r="BQ77" s="966"/>
      <c r="BR77" s="966"/>
    </row>
    <row r="78" spans="1:70" ht="24.95" hidden="1" customHeight="1">
      <c r="A78" s="1083">
        <v>3</v>
      </c>
      <c r="B78" s="1080" t="s">
        <v>82</v>
      </c>
      <c r="C78" s="1333">
        <v>484</v>
      </c>
      <c r="D78" s="1333">
        <v>52</v>
      </c>
      <c r="E78" s="1333">
        <v>69</v>
      </c>
      <c r="F78" s="1333">
        <v>71.2</v>
      </c>
      <c r="G78" s="1333">
        <v>439.5</v>
      </c>
      <c r="H78" s="1333">
        <v>692.23</v>
      </c>
      <c r="I78" s="1333">
        <v>659</v>
      </c>
      <c r="J78" s="1333">
        <v>282.88400000000001</v>
      </c>
      <c r="K78" s="1333">
        <v>154</v>
      </c>
      <c r="L78" s="1333">
        <v>28.6</v>
      </c>
      <c r="M78" s="1333">
        <v>414</v>
      </c>
      <c r="N78" s="1333">
        <v>126.49</v>
      </c>
      <c r="O78" s="1333">
        <v>160</v>
      </c>
      <c r="P78" s="1333">
        <v>5.5</v>
      </c>
      <c r="Q78" s="1333">
        <v>1073</v>
      </c>
      <c r="R78" s="1333">
        <v>320.19</v>
      </c>
      <c r="S78" s="1333">
        <v>490.3</v>
      </c>
      <c r="T78" s="1333">
        <v>75.400000000000006</v>
      </c>
      <c r="U78" s="1333">
        <v>45.5</v>
      </c>
      <c r="V78" s="1333">
        <v>107.30000000000001</v>
      </c>
      <c r="W78" s="1333">
        <v>0</v>
      </c>
      <c r="X78" s="1333">
        <v>120</v>
      </c>
      <c r="Y78" s="1333">
        <v>198</v>
      </c>
      <c r="Z78" s="1333">
        <v>150.80000000000001</v>
      </c>
      <c r="AA78" s="1333">
        <v>167</v>
      </c>
      <c r="AB78" s="1333">
        <v>172.41</v>
      </c>
      <c r="AC78" s="1333">
        <v>79.5</v>
      </c>
      <c r="AD78" s="1333">
        <v>0</v>
      </c>
      <c r="AE78" s="1333">
        <v>38</v>
      </c>
      <c r="AF78" s="1333">
        <v>25.1</v>
      </c>
      <c r="AG78" s="1333">
        <v>328.5</v>
      </c>
      <c r="AH78" s="1333">
        <v>37.239999999999995</v>
      </c>
      <c r="AI78" s="1333">
        <v>338.59</v>
      </c>
      <c r="AJ78" s="1333">
        <v>189.55</v>
      </c>
      <c r="AK78" s="1333">
        <v>535.16</v>
      </c>
      <c r="AL78" s="1333">
        <v>247.6</v>
      </c>
      <c r="AM78" s="1333">
        <v>389</v>
      </c>
      <c r="AN78" s="1333">
        <v>223.41666666666663</v>
      </c>
      <c r="AO78" s="1086">
        <f>SUMIF($C$71:$AN$71,AO$71,$C78:$AN78)</f>
        <v>6062.05</v>
      </c>
      <c r="AP78" s="1087">
        <f>SUMIF($C$71:$AN$71,AP$71,$C78:$AN78)</f>
        <v>2927.9106666666662</v>
      </c>
      <c r="AQ78" s="1088">
        <v>0</v>
      </c>
      <c r="AR78" s="1089">
        <v>96.804878283999997</v>
      </c>
      <c r="AS78" s="1633"/>
      <c r="AT78" s="1093"/>
      <c r="AU78" s="1093"/>
      <c r="AV78" s="1093"/>
      <c r="AW78" s="1093"/>
      <c r="AX78" s="1093"/>
      <c r="AY78" s="1093"/>
      <c r="AZ78" s="1093"/>
      <c r="BA78" s="1093"/>
      <c r="BB78" s="1093"/>
      <c r="BC78" s="1093"/>
      <c r="BD78" s="1093"/>
      <c r="BE78" s="1093"/>
      <c r="BF78" s="1093"/>
      <c r="BG78" s="1093"/>
      <c r="BH78" s="1093"/>
      <c r="BI78" s="1093"/>
      <c r="BJ78" s="1093"/>
      <c r="BK78" s="1093"/>
      <c r="BL78" s="1094"/>
      <c r="BM78" s="1095"/>
      <c r="BP78" s="966"/>
      <c r="BQ78" s="966"/>
      <c r="BR78" s="966"/>
    </row>
    <row r="79" spans="1:70" ht="30" hidden="1" customHeight="1">
      <c r="A79" s="1061"/>
      <c r="B79" s="1080" t="s">
        <v>2</v>
      </c>
      <c r="C79" s="1329">
        <f>SUM(C77:C78)</f>
        <v>484</v>
      </c>
      <c r="D79" s="1329">
        <f t="shared" ref="D79:AG79" si="33">SUM(D77:D78)</f>
        <v>52</v>
      </c>
      <c r="E79" s="1329">
        <f t="shared" si="33"/>
        <v>69</v>
      </c>
      <c r="F79" s="1329">
        <f t="shared" si="33"/>
        <v>71.2</v>
      </c>
      <c r="G79" s="1329">
        <f t="shared" si="33"/>
        <v>461.5</v>
      </c>
      <c r="H79" s="1329">
        <f t="shared" si="33"/>
        <v>692.23</v>
      </c>
      <c r="I79" s="1329">
        <f t="shared" si="33"/>
        <v>659</v>
      </c>
      <c r="J79" s="1329">
        <f t="shared" si="33"/>
        <v>282.88400000000001</v>
      </c>
      <c r="K79" s="1329">
        <f t="shared" si="33"/>
        <v>154</v>
      </c>
      <c r="L79" s="1329">
        <f t="shared" si="33"/>
        <v>28.6</v>
      </c>
      <c r="M79" s="1329">
        <f t="shared" si="33"/>
        <v>417</v>
      </c>
      <c r="N79" s="1329">
        <f t="shared" si="33"/>
        <v>126.49</v>
      </c>
      <c r="O79" s="1329">
        <f t="shared" si="33"/>
        <v>160</v>
      </c>
      <c r="P79" s="1329">
        <f t="shared" si="33"/>
        <v>5.5</v>
      </c>
      <c r="Q79" s="1329">
        <f t="shared" si="33"/>
        <v>1073</v>
      </c>
      <c r="R79" s="1329">
        <f t="shared" si="33"/>
        <v>320.19</v>
      </c>
      <c r="S79" s="1329">
        <f t="shared" si="33"/>
        <v>490.3</v>
      </c>
      <c r="T79" s="1329">
        <f t="shared" si="33"/>
        <v>75.400000000000006</v>
      </c>
      <c r="U79" s="1329">
        <f t="shared" si="33"/>
        <v>45.5</v>
      </c>
      <c r="V79" s="1329">
        <f t="shared" si="33"/>
        <v>107.30000000000001</v>
      </c>
      <c r="W79" s="1329">
        <f t="shared" si="33"/>
        <v>0</v>
      </c>
      <c r="X79" s="1329">
        <f t="shared" si="33"/>
        <v>120</v>
      </c>
      <c r="Y79" s="1329">
        <f t="shared" si="33"/>
        <v>198</v>
      </c>
      <c r="Z79" s="1329">
        <f t="shared" si="33"/>
        <v>150.80000000000001</v>
      </c>
      <c r="AA79" s="1329">
        <f t="shared" si="33"/>
        <v>167</v>
      </c>
      <c r="AB79" s="1329">
        <f t="shared" si="33"/>
        <v>172.41</v>
      </c>
      <c r="AC79" s="1329">
        <f t="shared" si="33"/>
        <v>79.5</v>
      </c>
      <c r="AD79" s="1329">
        <f t="shared" si="33"/>
        <v>0</v>
      </c>
      <c r="AE79" s="1329">
        <f t="shared" si="33"/>
        <v>38</v>
      </c>
      <c r="AF79" s="1329">
        <f t="shared" si="33"/>
        <v>25.1</v>
      </c>
      <c r="AG79" s="1329">
        <f t="shared" si="33"/>
        <v>328.5</v>
      </c>
      <c r="AH79" s="1329">
        <f t="shared" ref="AH79:AR79" si="34">SUM(AH77:AH78)</f>
        <v>37.239999999999995</v>
      </c>
      <c r="AI79" s="1329">
        <f t="shared" si="34"/>
        <v>338.59</v>
      </c>
      <c r="AJ79" s="1329">
        <f t="shared" si="34"/>
        <v>189.55</v>
      </c>
      <c r="AK79" s="1329">
        <f t="shared" si="34"/>
        <v>535.16</v>
      </c>
      <c r="AL79" s="1329">
        <f t="shared" si="34"/>
        <v>247.6</v>
      </c>
      <c r="AM79" s="1329">
        <f t="shared" si="34"/>
        <v>499</v>
      </c>
      <c r="AN79" s="1329">
        <f t="shared" si="34"/>
        <v>223.41666666666663</v>
      </c>
      <c r="AO79" s="1086">
        <f t="shared" si="34"/>
        <v>6197.05</v>
      </c>
      <c r="AP79" s="1087">
        <f t="shared" si="34"/>
        <v>2927.9106666666662</v>
      </c>
      <c r="AQ79" s="1096">
        <f t="shared" si="34"/>
        <v>0</v>
      </c>
      <c r="AR79" s="1087">
        <f t="shared" si="34"/>
        <v>96.804878283999997</v>
      </c>
      <c r="AS79" s="1632"/>
      <c r="AT79" s="1090"/>
      <c r="AU79" s="1090"/>
      <c r="AV79" s="1090"/>
      <c r="AW79" s="1090"/>
      <c r="AX79" s="1090"/>
      <c r="AY79" s="1090"/>
      <c r="AZ79" s="1090"/>
      <c r="BA79" s="1090"/>
      <c r="BB79" s="1090"/>
      <c r="BC79" s="1090"/>
      <c r="BD79" s="1090"/>
      <c r="BE79" s="1090"/>
      <c r="BF79" s="1090"/>
      <c r="BG79" s="1090"/>
      <c r="BH79" s="1090"/>
      <c r="BI79" s="1090"/>
      <c r="BJ79" s="1090"/>
      <c r="BK79" s="1090"/>
      <c r="BL79" s="1091"/>
      <c r="BM79" s="1092"/>
      <c r="BP79" s="966"/>
      <c r="BQ79" s="966"/>
      <c r="BR79" s="966"/>
    </row>
    <row r="80" spans="1:70" ht="30" hidden="1" customHeight="1">
      <c r="A80" s="1061"/>
      <c r="B80" s="1071" t="s">
        <v>10</v>
      </c>
      <c r="C80" s="1330"/>
      <c r="D80" s="1330"/>
      <c r="E80" s="1330"/>
      <c r="F80" s="1330"/>
      <c r="G80" s="1330"/>
      <c r="H80" s="1330"/>
      <c r="I80" s="1330"/>
      <c r="J80" s="1330"/>
      <c r="K80" s="1330"/>
      <c r="L80" s="1330"/>
      <c r="M80" s="1330"/>
      <c r="N80" s="1330"/>
      <c r="O80" s="1330"/>
      <c r="P80" s="1330"/>
      <c r="Q80" s="1330"/>
      <c r="R80" s="1330"/>
      <c r="S80" s="1330"/>
      <c r="T80" s="1330"/>
      <c r="U80" s="1330"/>
      <c r="V80" s="1330"/>
      <c r="W80" s="1330"/>
      <c r="X80" s="1330"/>
      <c r="Y80" s="1330"/>
      <c r="Z80" s="1330"/>
      <c r="AA80" s="1330"/>
      <c r="AB80" s="1330"/>
      <c r="AC80" s="1330"/>
      <c r="AD80" s="1330"/>
      <c r="AE80" s="1330"/>
      <c r="AF80" s="1330"/>
      <c r="AG80" s="1330"/>
      <c r="AH80" s="1330"/>
      <c r="AI80" s="1330"/>
      <c r="AJ80" s="1330"/>
      <c r="AK80" s="1330"/>
      <c r="AL80" s="1330"/>
      <c r="AM80" s="1330"/>
      <c r="AN80" s="1330"/>
      <c r="AO80" s="1073"/>
      <c r="AP80" s="1074"/>
      <c r="AQ80" s="1075"/>
      <c r="AR80" s="1076"/>
      <c r="AS80" s="1632"/>
      <c r="AT80" s="1090"/>
      <c r="AU80" s="1090"/>
      <c r="AV80" s="1090"/>
      <c r="AW80" s="1090"/>
      <c r="AX80" s="1090"/>
      <c r="AY80" s="1090"/>
      <c r="AZ80" s="1090"/>
      <c r="BA80" s="1090"/>
      <c r="BB80" s="1090"/>
      <c r="BC80" s="1090"/>
      <c r="BD80" s="1090"/>
      <c r="BE80" s="1090"/>
      <c r="BF80" s="1090"/>
      <c r="BG80" s="1090"/>
      <c r="BH80" s="1090"/>
      <c r="BI80" s="1090"/>
      <c r="BJ80" s="1090"/>
      <c r="BK80" s="1090"/>
      <c r="BL80" s="1078"/>
      <c r="BM80" s="1092"/>
      <c r="BP80" s="966"/>
      <c r="BQ80" s="966"/>
      <c r="BR80" s="966"/>
    </row>
    <row r="81" spans="1:70" ht="24.95" hidden="1" customHeight="1">
      <c r="A81" s="1061"/>
      <c r="B81" s="1080" t="s">
        <v>80</v>
      </c>
      <c r="C81" s="1330"/>
      <c r="D81" s="1330"/>
      <c r="E81" s="1330"/>
      <c r="F81" s="1330"/>
      <c r="G81" s="1330"/>
      <c r="H81" s="1330"/>
      <c r="I81" s="1330"/>
      <c r="J81" s="1330"/>
      <c r="K81" s="1330"/>
      <c r="L81" s="1330"/>
      <c r="M81" s="1330"/>
      <c r="N81" s="1330"/>
      <c r="O81" s="1330"/>
      <c r="P81" s="1330"/>
      <c r="Q81" s="1330"/>
      <c r="R81" s="1330"/>
      <c r="S81" s="1330"/>
      <c r="T81" s="1330"/>
      <c r="U81" s="1330"/>
      <c r="V81" s="1330"/>
      <c r="W81" s="1330"/>
      <c r="X81" s="1330"/>
      <c r="Y81" s="1330"/>
      <c r="Z81" s="1330"/>
      <c r="AA81" s="1330"/>
      <c r="AB81" s="1330"/>
      <c r="AC81" s="1330"/>
      <c r="AD81" s="1330"/>
      <c r="AE81" s="1330"/>
      <c r="AF81" s="1330"/>
      <c r="AG81" s="1330"/>
      <c r="AH81" s="1330"/>
      <c r="AI81" s="1330"/>
      <c r="AJ81" s="1330"/>
      <c r="AK81" s="1330"/>
      <c r="AL81" s="1330"/>
      <c r="AM81" s="1330"/>
      <c r="AN81" s="1330"/>
      <c r="AO81" s="1073"/>
      <c r="AP81" s="1074"/>
      <c r="AQ81" s="1075"/>
      <c r="AR81" s="1076"/>
      <c r="AS81" s="1632"/>
      <c r="AT81" s="1090"/>
      <c r="AU81" s="1090"/>
      <c r="AV81" s="1090"/>
      <c r="AW81" s="1090"/>
      <c r="AX81" s="1090"/>
      <c r="AY81" s="1090"/>
      <c r="AZ81" s="1090"/>
      <c r="BA81" s="1090"/>
      <c r="BB81" s="1090"/>
      <c r="BC81" s="1090"/>
      <c r="BD81" s="1090"/>
      <c r="BE81" s="1090"/>
      <c r="BF81" s="1090"/>
      <c r="BG81" s="1090"/>
      <c r="BH81" s="1090"/>
      <c r="BI81" s="1090"/>
      <c r="BJ81" s="1090"/>
      <c r="BK81" s="1090"/>
      <c r="BL81" s="1078"/>
      <c r="BM81" s="1092"/>
      <c r="BP81" s="966"/>
      <c r="BQ81" s="966"/>
      <c r="BR81" s="966"/>
    </row>
    <row r="82" spans="1:70" ht="21.95" hidden="1" customHeight="1">
      <c r="A82" s="1083">
        <v>4</v>
      </c>
      <c r="B82" s="1084" t="s">
        <v>83</v>
      </c>
      <c r="C82" s="1333">
        <v>164</v>
      </c>
      <c r="D82" s="1333">
        <v>40.700000000000003</v>
      </c>
      <c r="E82" s="1333">
        <v>0</v>
      </c>
      <c r="F82" s="1333">
        <v>0</v>
      </c>
      <c r="G82" s="1333">
        <v>190.5</v>
      </c>
      <c r="H82" s="1333">
        <v>16</v>
      </c>
      <c r="I82" s="1333">
        <v>0</v>
      </c>
      <c r="J82" s="1333">
        <v>0</v>
      </c>
      <c r="K82" s="1333">
        <v>118</v>
      </c>
      <c r="L82" s="1333">
        <v>0</v>
      </c>
      <c r="M82" s="1333">
        <v>0</v>
      </c>
      <c r="N82" s="1333">
        <v>0</v>
      </c>
      <c r="O82" s="1333">
        <v>0</v>
      </c>
      <c r="P82" s="1333">
        <v>0</v>
      </c>
      <c r="Q82" s="1333">
        <v>168</v>
      </c>
      <c r="R82" s="1333">
        <v>2</v>
      </c>
      <c r="S82" s="1333">
        <v>0</v>
      </c>
      <c r="T82" s="1333">
        <v>0</v>
      </c>
      <c r="U82" s="1333">
        <v>83</v>
      </c>
      <c r="V82" s="1333">
        <v>0</v>
      </c>
      <c r="W82" s="1333">
        <v>0</v>
      </c>
      <c r="X82" s="1333">
        <v>0</v>
      </c>
      <c r="Y82" s="1333">
        <v>0</v>
      </c>
      <c r="Z82" s="1333">
        <v>0</v>
      </c>
      <c r="AA82" s="1333">
        <v>0</v>
      </c>
      <c r="AB82" s="1333">
        <v>0</v>
      </c>
      <c r="AC82" s="1333">
        <v>0</v>
      </c>
      <c r="AD82" s="1333">
        <v>0</v>
      </c>
      <c r="AE82" s="1333">
        <v>0</v>
      </c>
      <c r="AF82" s="1333">
        <v>0</v>
      </c>
      <c r="AG82" s="1333">
        <v>0</v>
      </c>
      <c r="AH82" s="1333">
        <v>0</v>
      </c>
      <c r="AI82" s="1333">
        <v>0</v>
      </c>
      <c r="AJ82" s="1333">
        <v>0</v>
      </c>
      <c r="AK82" s="1333">
        <v>308</v>
      </c>
      <c r="AL82" s="1333">
        <v>0</v>
      </c>
      <c r="AM82" s="1333">
        <v>142</v>
      </c>
      <c r="AN82" s="1333">
        <v>4</v>
      </c>
      <c r="AO82" s="1086">
        <f t="shared" ref="AO82:AP84" si="35">SUMIF($C$71:$AN$71,AO$71,$C82:$AN82)</f>
        <v>1173.5</v>
      </c>
      <c r="AP82" s="1087">
        <f t="shared" si="35"/>
        <v>62.7</v>
      </c>
      <c r="AQ82" s="1088">
        <v>0</v>
      </c>
      <c r="AR82" s="1089">
        <v>0</v>
      </c>
      <c r="AS82" s="1633">
        <v>3</v>
      </c>
      <c r="AT82" s="1093">
        <v>0</v>
      </c>
      <c r="AU82" s="1093">
        <v>10</v>
      </c>
      <c r="AV82" s="1093">
        <v>0</v>
      </c>
      <c r="AW82" s="1093">
        <v>5</v>
      </c>
      <c r="AX82" s="1093">
        <v>0</v>
      </c>
      <c r="AY82" s="1093">
        <v>0</v>
      </c>
      <c r="AZ82" s="1093">
        <v>2</v>
      </c>
      <c r="BA82" s="1093">
        <v>0</v>
      </c>
      <c r="BB82" s="1093">
        <v>0</v>
      </c>
      <c r="BC82" s="1093">
        <v>0</v>
      </c>
      <c r="BD82" s="1093">
        <v>0</v>
      </c>
      <c r="BE82" s="1093">
        <v>0</v>
      </c>
      <c r="BF82" s="1093">
        <v>0</v>
      </c>
      <c r="BG82" s="1093">
        <v>0</v>
      </c>
      <c r="BH82" s="1093">
        <v>0</v>
      </c>
      <c r="BI82" s="1093">
        <v>0</v>
      </c>
      <c r="BJ82" s="1093">
        <v>19</v>
      </c>
      <c r="BK82" s="1093">
        <v>2</v>
      </c>
      <c r="BL82" s="1094">
        <f>SUM(AS82:BK82)</f>
        <v>41</v>
      </c>
      <c r="BM82" s="1095">
        <v>0</v>
      </c>
      <c r="BP82" s="966"/>
      <c r="BQ82" s="966"/>
      <c r="BR82" s="966"/>
    </row>
    <row r="83" spans="1:70" ht="21.95" hidden="1" customHeight="1">
      <c r="A83" s="1083">
        <v>5</v>
      </c>
      <c r="B83" s="1084" t="s">
        <v>84</v>
      </c>
      <c r="C83" s="1333">
        <v>148.74</v>
      </c>
      <c r="D83" s="1333">
        <v>0</v>
      </c>
      <c r="E83" s="1333">
        <v>0</v>
      </c>
      <c r="F83" s="1333">
        <v>0</v>
      </c>
      <c r="G83" s="1333">
        <v>39</v>
      </c>
      <c r="H83" s="1333">
        <v>0</v>
      </c>
      <c r="I83" s="1333">
        <v>0</v>
      </c>
      <c r="J83" s="1333">
        <v>0</v>
      </c>
      <c r="K83" s="1333">
        <v>158</v>
      </c>
      <c r="L83" s="1333">
        <v>0</v>
      </c>
      <c r="M83" s="1333">
        <v>0</v>
      </c>
      <c r="N83" s="1333">
        <v>0</v>
      </c>
      <c r="O83" s="1333">
        <v>0</v>
      </c>
      <c r="P83" s="1333">
        <v>0</v>
      </c>
      <c r="Q83" s="1333">
        <v>194</v>
      </c>
      <c r="R83" s="1333">
        <v>0.5</v>
      </c>
      <c r="S83" s="1333">
        <v>0</v>
      </c>
      <c r="T83" s="1333">
        <v>0</v>
      </c>
      <c r="U83" s="1333">
        <v>7</v>
      </c>
      <c r="V83" s="1333">
        <v>0</v>
      </c>
      <c r="W83" s="1333">
        <v>0</v>
      </c>
      <c r="X83" s="1333">
        <v>0</v>
      </c>
      <c r="Y83" s="1333">
        <v>0</v>
      </c>
      <c r="Z83" s="1333">
        <v>0</v>
      </c>
      <c r="AA83" s="1333">
        <v>0</v>
      </c>
      <c r="AB83" s="1333">
        <v>0</v>
      </c>
      <c r="AC83" s="1333">
        <v>0</v>
      </c>
      <c r="AD83" s="1333">
        <v>0</v>
      </c>
      <c r="AE83" s="1333">
        <v>0</v>
      </c>
      <c r="AF83" s="1333">
        <v>0</v>
      </c>
      <c r="AG83" s="1333">
        <v>0</v>
      </c>
      <c r="AH83" s="1333">
        <v>0</v>
      </c>
      <c r="AI83" s="1333">
        <v>0</v>
      </c>
      <c r="AJ83" s="1333">
        <v>0</v>
      </c>
      <c r="AK83" s="1333">
        <v>539</v>
      </c>
      <c r="AL83" s="1333">
        <v>14</v>
      </c>
      <c r="AM83" s="1333">
        <v>69</v>
      </c>
      <c r="AN83" s="1333">
        <v>0</v>
      </c>
      <c r="AO83" s="1086">
        <f t="shared" si="35"/>
        <v>1154.74</v>
      </c>
      <c r="AP83" s="1087">
        <f t="shared" si="35"/>
        <v>14.5</v>
      </c>
      <c r="AQ83" s="1088">
        <v>0</v>
      </c>
      <c r="AR83" s="1089">
        <v>0</v>
      </c>
      <c r="AS83" s="1633">
        <v>4</v>
      </c>
      <c r="AT83" s="1093">
        <v>0</v>
      </c>
      <c r="AU83" s="1093">
        <v>0</v>
      </c>
      <c r="AV83" s="1093">
        <v>0</v>
      </c>
      <c r="AW83" s="1093">
        <v>8</v>
      </c>
      <c r="AX83" s="1093">
        <v>0</v>
      </c>
      <c r="AY83" s="1093">
        <v>0</v>
      </c>
      <c r="AZ83" s="1093">
        <v>6</v>
      </c>
      <c r="BA83" s="1093">
        <v>0</v>
      </c>
      <c r="BB83" s="1093">
        <v>0</v>
      </c>
      <c r="BC83" s="1093">
        <v>0</v>
      </c>
      <c r="BD83" s="1093">
        <v>0</v>
      </c>
      <c r="BE83" s="1093">
        <v>0</v>
      </c>
      <c r="BF83" s="1093">
        <v>0</v>
      </c>
      <c r="BG83" s="1093">
        <v>0</v>
      </c>
      <c r="BH83" s="1093">
        <v>0</v>
      </c>
      <c r="BI83" s="1093">
        <v>0</v>
      </c>
      <c r="BJ83" s="1093">
        <v>17</v>
      </c>
      <c r="BK83" s="1093">
        <v>2</v>
      </c>
      <c r="BL83" s="1094">
        <f>SUM(AS83:BK83)</f>
        <v>37</v>
      </c>
      <c r="BM83" s="1095">
        <v>0</v>
      </c>
      <c r="BP83" s="966"/>
      <c r="BQ83" s="966"/>
      <c r="BR83" s="966"/>
    </row>
    <row r="84" spans="1:70" ht="24.95" hidden="1" customHeight="1">
      <c r="A84" s="1083">
        <v>6</v>
      </c>
      <c r="B84" s="1080" t="s">
        <v>82</v>
      </c>
      <c r="C84" s="1333">
        <v>0</v>
      </c>
      <c r="D84" s="1333">
        <v>97.2</v>
      </c>
      <c r="E84" s="1333">
        <v>0</v>
      </c>
      <c r="F84" s="1333">
        <v>0</v>
      </c>
      <c r="G84" s="1333">
        <v>66</v>
      </c>
      <c r="H84" s="1333">
        <v>96</v>
      </c>
      <c r="I84" s="1333">
        <v>0</v>
      </c>
      <c r="J84" s="1333">
        <v>0</v>
      </c>
      <c r="K84" s="1333">
        <v>89</v>
      </c>
      <c r="L84" s="1333">
        <v>0</v>
      </c>
      <c r="M84" s="1333">
        <v>0</v>
      </c>
      <c r="N84" s="1333">
        <v>0</v>
      </c>
      <c r="O84" s="1333">
        <v>60</v>
      </c>
      <c r="P84" s="1333">
        <v>8</v>
      </c>
      <c r="Q84" s="1333">
        <v>9</v>
      </c>
      <c r="R84" s="1333">
        <v>227.06</v>
      </c>
      <c r="S84" s="1333">
        <v>0</v>
      </c>
      <c r="T84" s="1333">
        <v>0</v>
      </c>
      <c r="U84" s="1333">
        <v>0</v>
      </c>
      <c r="V84" s="1333">
        <v>0</v>
      </c>
      <c r="W84" s="1333">
        <v>0</v>
      </c>
      <c r="X84" s="1333">
        <v>0</v>
      </c>
      <c r="Y84" s="1333">
        <v>0</v>
      </c>
      <c r="Z84" s="1333">
        <v>0</v>
      </c>
      <c r="AA84" s="1333">
        <v>22</v>
      </c>
      <c r="AB84" s="1333">
        <v>0</v>
      </c>
      <c r="AC84" s="1333">
        <v>0</v>
      </c>
      <c r="AD84" s="1333">
        <v>0</v>
      </c>
      <c r="AE84" s="1333">
        <v>0</v>
      </c>
      <c r="AF84" s="1333">
        <v>0</v>
      </c>
      <c r="AG84" s="1333">
        <v>0</v>
      </c>
      <c r="AH84" s="1333">
        <v>0</v>
      </c>
      <c r="AI84" s="1333">
        <v>10.5</v>
      </c>
      <c r="AJ84" s="1333">
        <v>15</v>
      </c>
      <c r="AK84" s="1333">
        <v>81.5</v>
      </c>
      <c r="AL84" s="1333">
        <v>19.920000000000002</v>
      </c>
      <c r="AM84" s="1333">
        <v>0</v>
      </c>
      <c r="AN84" s="1333">
        <v>55.166666666666671</v>
      </c>
      <c r="AO84" s="1086">
        <f t="shared" si="35"/>
        <v>338</v>
      </c>
      <c r="AP84" s="1087">
        <f t="shared" si="35"/>
        <v>518.34666666666669</v>
      </c>
      <c r="AQ84" s="1088">
        <v>0</v>
      </c>
      <c r="AR84" s="1089">
        <v>0</v>
      </c>
      <c r="AS84" s="1632"/>
      <c r="AT84" s="1090"/>
      <c r="AU84" s="1090"/>
      <c r="AV84" s="1090"/>
      <c r="AW84" s="1090"/>
      <c r="AX84" s="1090"/>
      <c r="AY84" s="1090"/>
      <c r="AZ84" s="1090"/>
      <c r="BA84" s="1090"/>
      <c r="BB84" s="1090"/>
      <c r="BC84" s="1090"/>
      <c r="BD84" s="1090"/>
      <c r="BE84" s="1090"/>
      <c r="BF84" s="1090"/>
      <c r="BG84" s="1090"/>
      <c r="BH84" s="1090"/>
      <c r="BI84" s="1090"/>
      <c r="BJ84" s="1090"/>
      <c r="BK84" s="1090"/>
      <c r="BL84" s="1091"/>
      <c r="BM84" s="1092"/>
      <c r="BP84" s="966"/>
      <c r="BQ84" s="966"/>
      <c r="BR84" s="966"/>
    </row>
    <row r="85" spans="1:70" ht="30" hidden="1" customHeight="1">
      <c r="A85" s="1061"/>
      <c r="B85" s="1080" t="s">
        <v>2</v>
      </c>
      <c r="C85" s="1329">
        <f t="shared" ref="C85:AG85" si="36">SUM(C82:C84)</f>
        <v>312.74</v>
      </c>
      <c r="D85" s="1329">
        <f t="shared" si="36"/>
        <v>137.9</v>
      </c>
      <c r="E85" s="1329">
        <f t="shared" si="36"/>
        <v>0</v>
      </c>
      <c r="F85" s="1329">
        <f t="shared" si="36"/>
        <v>0</v>
      </c>
      <c r="G85" s="1329">
        <f t="shared" si="36"/>
        <v>295.5</v>
      </c>
      <c r="H85" s="1329">
        <f t="shared" si="36"/>
        <v>112</v>
      </c>
      <c r="I85" s="1329">
        <f t="shared" si="36"/>
        <v>0</v>
      </c>
      <c r="J85" s="1329">
        <f t="shared" si="36"/>
        <v>0</v>
      </c>
      <c r="K85" s="1329">
        <f t="shared" si="36"/>
        <v>365</v>
      </c>
      <c r="L85" s="1329">
        <f t="shared" si="36"/>
        <v>0</v>
      </c>
      <c r="M85" s="1329">
        <f t="shared" si="36"/>
        <v>0</v>
      </c>
      <c r="N85" s="1329">
        <f t="shared" si="36"/>
        <v>0</v>
      </c>
      <c r="O85" s="1329">
        <f t="shared" si="36"/>
        <v>60</v>
      </c>
      <c r="P85" s="1329">
        <f t="shared" si="36"/>
        <v>8</v>
      </c>
      <c r="Q85" s="1329">
        <f t="shared" si="36"/>
        <v>371</v>
      </c>
      <c r="R85" s="1329">
        <f t="shared" si="36"/>
        <v>229.56</v>
      </c>
      <c r="S85" s="1329">
        <f t="shared" si="36"/>
        <v>0</v>
      </c>
      <c r="T85" s="1329">
        <f t="shared" si="36"/>
        <v>0</v>
      </c>
      <c r="U85" s="1329">
        <f t="shared" si="36"/>
        <v>90</v>
      </c>
      <c r="V85" s="1329">
        <f t="shared" si="36"/>
        <v>0</v>
      </c>
      <c r="W85" s="1329">
        <f t="shared" si="36"/>
        <v>0</v>
      </c>
      <c r="X85" s="1329">
        <f t="shared" si="36"/>
        <v>0</v>
      </c>
      <c r="Y85" s="1329">
        <f t="shared" si="36"/>
        <v>0</v>
      </c>
      <c r="Z85" s="1329">
        <f t="shared" si="36"/>
        <v>0</v>
      </c>
      <c r="AA85" s="1329">
        <f t="shared" si="36"/>
        <v>22</v>
      </c>
      <c r="AB85" s="1329">
        <f t="shared" si="36"/>
        <v>0</v>
      </c>
      <c r="AC85" s="1329">
        <f t="shared" si="36"/>
        <v>0</v>
      </c>
      <c r="AD85" s="1329">
        <f t="shared" si="36"/>
        <v>0</v>
      </c>
      <c r="AE85" s="1329">
        <f t="shared" si="36"/>
        <v>0</v>
      </c>
      <c r="AF85" s="1329">
        <f t="shared" si="36"/>
        <v>0</v>
      </c>
      <c r="AG85" s="1329">
        <f t="shared" si="36"/>
        <v>0</v>
      </c>
      <c r="AH85" s="1329">
        <f t="shared" ref="AH85:AR85" si="37">SUM(AH82:AH84)</f>
        <v>0</v>
      </c>
      <c r="AI85" s="1329">
        <f t="shared" si="37"/>
        <v>10.5</v>
      </c>
      <c r="AJ85" s="1329">
        <f t="shared" si="37"/>
        <v>15</v>
      </c>
      <c r="AK85" s="1329">
        <f t="shared" si="37"/>
        <v>928.5</v>
      </c>
      <c r="AL85" s="1329">
        <f t="shared" si="37"/>
        <v>33.92</v>
      </c>
      <c r="AM85" s="1329">
        <f t="shared" si="37"/>
        <v>211</v>
      </c>
      <c r="AN85" s="1329">
        <f t="shared" si="37"/>
        <v>59.166666666666671</v>
      </c>
      <c r="AO85" s="1086">
        <f t="shared" si="37"/>
        <v>2666.24</v>
      </c>
      <c r="AP85" s="1087">
        <f t="shared" si="37"/>
        <v>595.54666666666674</v>
      </c>
      <c r="AQ85" s="1096">
        <f t="shared" si="37"/>
        <v>0</v>
      </c>
      <c r="AR85" s="1087">
        <f t="shared" si="37"/>
        <v>0</v>
      </c>
      <c r="AS85" s="1632"/>
      <c r="AT85" s="1090"/>
      <c r="AU85" s="1090"/>
      <c r="AV85" s="1090"/>
      <c r="AW85" s="1090"/>
      <c r="AX85" s="1090"/>
      <c r="AY85" s="1090"/>
      <c r="AZ85" s="1090"/>
      <c r="BA85" s="1090"/>
      <c r="BB85" s="1090"/>
      <c r="BC85" s="1090"/>
      <c r="BD85" s="1090"/>
      <c r="BE85" s="1090"/>
      <c r="BF85" s="1090"/>
      <c r="BG85" s="1090"/>
      <c r="BH85" s="1090"/>
      <c r="BI85" s="1090"/>
      <c r="BJ85" s="1090"/>
      <c r="BK85" s="1090"/>
      <c r="BL85" s="1091"/>
      <c r="BM85" s="1092"/>
      <c r="BP85" s="966"/>
      <c r="BQ85" s="966"/>
      <c r="BR85" s="966"/>
    </row>
    <row r="86" spans="1:70" ht="30" hidden="1" customHeight="1">
      <c r="A86" s="1061"/>
      <c r="B86" s="1071" t="s">
        <v>11</v>
      </c>
      <c r="C86" s="1330"/>
      <c r="D86" s="1330"/>
      <c r="E86" s="1330"/>
      <c r="F86" s="1330"/>
      <c r="G86" s="1330"/>
      <c r="H86" s="1330"/>
      <c r="I86" s="1330"/>
      <c r="J86" s="1330"/>
      <c r="K86" s="1330"/>
      <c r="L86" s="1330"/>
      <c r="M86" s="1330"/>
      <c r="N86" s="1330"/>
      <c r="O86" s="1330"/>
      <c r="P86" s="1330"/>
      <c r="Q86" s="1330"/>
      <c r="R86" s="1330"/>
      <c r="S86" s="1330"/>
      <c r="T86" s="1330"/>
      <c r="U86" s="1330"/>
      <c r="V86" s="1330"/>
      <c r="W86" s="1330"/>
      <c r="X86" s="1330"/>
      <c r="Y86" s="1330"/>
      <c r="Z86" s="1330"/>
      <c r="AA86" s="1330"/>
      <c r="AB86" s="1330"/>
      <c r="AC86" s="1330"/>
      <c r="AD86" s="1330"/>
      <c r="AE86" s="1330"/>
      <c r="AF86" s="1330"/>
      <c r="AG86" s="1330"/>
      <c r="AH86" s="1330"/>
      <c r="AI86" s="1330"/>
      <c r="AJ86" s="1330"/>
      <c r="AK86" s="1330"/>
      <c r="AL86" s="1330"/>
      <c r="AM86" s="1330"/>
      <c r="AN86" s="1330"/>
      <c r="AO86" s="1073"/>
      <c r="AP86" s="1074"/>
      <c r="AQ86" s="1075"/>
      <c r="AR86" s="1076"/>
      <c r="AS86" s="1632"/>
      <c r="AT86" s="1090"/>
      <c r="AU86" s="1090"/>
      <c r="AV86" s="1090"/>
      <c r="AW86" s="1090"/>
      <c r="AX86" s="1090"/>
      <c r="AY86" s="1090"/>
      <c r="AZ86" s="1090"/>
      <c r="BA86" s="1090"/>
      <c r="BB86" s="1090"/>
      <c r="BC86" s="1090"/>
      <c r="BD86" s="1090"/>
      <c r="BE86" s="1090"/>
      <c r="BF86" s="1090"/>
      <c r="BG86" s="1090"/>
      <c r="BH86" s="1090"/>
      <c r="BI86" s="1090"/>
      <c r="BJ86" s="1090"/>
      <c r="BK86" s="1090"/>
      <c r="BL86" s="1078"/>
      <c r="BM86" s="1092"/>
      <c r="BP86" s="966"/>
      <c r="BQ86" s="966"/>
      <c r="BR86" s="966"/>
    </row>
    <row r="87" spans="1:70" ht="24.95" hidden="1" customHeight="1">
      <c r="A87" s="1061"/>
      <c r="B87" s="1080" t="s">
        <v>80</v>
      </c>
      <c r="C87" s="1330"/>
      <c r="D87" s="1330"/>
      <c r="E87" s="1330"/>
      <c r="F87" s="1330"/>
      <c r="G87" s="1330"/>
      <c r="H87" s="1330"/>
      <c r="I87" s="1330"/>
      <c r="J87" s="1330"/>
      <c r="K87" s="1330"/>
      <c r="L87" s="1330"/>
      <c r="M87" s="1330"/>
      <c r="N87" s="1330"/>
      <c r="O87" s="1330"/>
      <c r="P87" s="1330"/>
      <c r="Q87" s="1330"/>
      <c r="R87" s="1330"/>
      <c r="S87" s="1330"/>
      <c r="T87" s="1330"/>
      <c r="U87" s="1330"/>
      <c r="V87" s="1330"/>
      <c r="W87" s="1330"/>
      <c r="X87" s="1330"/>
      <c r="Y87" s="1330"/>
      <c r="Z87" s="1330"/>
      <c r="AA87" s="1330"/>
      <c r="AB87" s="1330"/>
      <c r="AC87" s="1330"/>
      <c r="AD87" s="1330"/>
      <c r="AE87" s="1330"/>
      <c r="AF87" s="1330"/>
      <c r="AG87" s="1330"/>
      <c r="AH87" s="1330"/>
      <c r="AI87" s="1330"/>
      <c r="AJ87" s="1330"/>
      <c r="AK87" s="1330"/>
      <c r="AL87" s="1330"/>
      <c r="AM87" s="1330"/>
      <c r="AN87" s="1330"/>
      <c r="AO87" s="1073"/>
      <c r="AP87" s="1074"/>
      <c r="AQ87" s="1075"/>
      <c r="AR87" s="1076"/>
      <c r="AS87" s="1632"/>
      <c r="AT87" s="1090"/>
      <c r="AU87" s="1090"/>
      <c r="AV87" s="1090"/>
      <c r="AW87" s="1090"/>
      <c r="AX87" s="1090"/>
      <c r="AY87" s="1090"/>
      <c r="AZ87" s="1090"/>
      <c r="BA87" s="1090"/>
      <c r="BB87" s="1090"/>
      <c r="BC87" s="1090"/>
      <c r="BD87" s="1090"/>
      <c r="BE87" s="1090"/>
      <c r="BF87" s="1090"/>
      <c r="BG87" s="1090"/>
      <c r="BH87" s="1090"/>
      <c r="BI87" s="1090"/>
      <c r="BJ87" s="1090"/>
      <c r="BK87" s="1090"/>
      <c r="BL87" s="1078"/>
      <c r="BM87" s="1092"/>
      <c r="BP87" s="966"/>
      <c r="BQ87" s="966"/>
      <c r="BR87" s="966"/>
    </row>
    <row r="88" spans="1:70" ht="24.95" hidden="1" customHeight="1">
      <c r="A88" s="1061"/>
      <c r="B88" s="1084" t="s">
        <v>86</v>
      </c>
      <c r="C88" s="1331"/>
      <c r="D88" s="1331"/>
      <c r="E88" s="1331"/>
      <c r="F88" s="1331"/>
      <c r="G88" s="1331"/>
      <c r="H88" s="1331"/>
      <c r="I88" s="1331"/>
      <c r="J88" s="1331"/>
      <c r="K88" s="1331"/>
      <c r="L88" s="1331"/>
      <c r="M88" s="1331"/>
      <c r="N88" s="1331"/>
      <c r="O88" s="1331"/>
      <c r="P88" s="1331"/>
      <c r="Q88" s="1331"/>
      <c r="R88" s="1331"/>
      <c r="S88" s="1331"/>
      <c r="T88" s="1331"/>
      <c r="U88" s="1331"/>
      <c r="V88" s="1331"/>
      <c r="W88" s="1331"/>
      <c r="X88" s="1331"/>
      <c r="Y88" s="1331"/>
      <c r="Z88" s="1331"/>
      <c r="AA88" s="1331"/>
      <c r="AB88" s="1331"/>
      <c r="AC88" s="1331"/>
      <c r="AD88" s="1331"/>
      <c r="AE88" s="1331"/>
      <c r="AF88" s="1331"/>
      <c r="AG88" s="1331"/>
      <c r="AH88" s="1331"/>
      <c r="AI88" s="1331"/>
      <c r="AJ88" s="1331"/>
      <c r="AK88" s="1331"/>
      <c r="AL88" s="1331"/>
      <c r="AM88" s="1331"/>
      <c r="AN88" s="1331"/>
      <c r="AO88" s="1073"/>
      <c r="AP88" s="1074"/>
      <c r="AQ88" s="1041"/>
      <c r="AR88" s="1082"/>
      <c r="AS88" s="1634"/>
      <c r="AT88" s="1098"/>
      <c r="AU88" s="1098"/>
      <c r="AV88" s="1098"/>
      <c r="AW88" s="1098"/>
      <c r="AX88" s="1098"/>
      <c r="AY88" s="1098"/>
      <c r="AZ88" s="1098"/>
      <c r="BA88" s="1098"/>
      <c r="BB88" s="1098"/>
      <c r="BC88" s="1098"/>
      <c r="BD88" s="1098"/>
      <c r="BE88" s="1098"/>
      <c r="BF88" s="1098"/>
      <c r="BG88" s="1098"/>
      <c r="BH88" s="1098"/>
      <c r="BI88" s="1098"/>
      <c r="BJ88" s="1098"/>
      <c r="BK88" s="1098"/>
      <c r="BL88" s="1094">
        <f t="shared" ref="BL88:BL92" si="38">SUM(AS88:BK88)</f>
        <v>0</v>
      </c>
      <c r="BM88" s="1099"/>
      <c r="BP88" s="966"/>
      <c r="BQ88" s="966"/>
      <c r="BR88" s="966"/>
    </row>
    <row r="89" spans="1:70" ht="21.95" hidden="1" customHeight="1">
      <c r="A89" s="1083">
        <v>7</v>
      </c>
      <c r="B89" s="1100" t="s">
        <v>32</v>
      </c>
      <c r="C89" s="1333">
        <v>379</v>
      </c>
      <c r="D89" s="1333">
        <v>4</v>
      </c>
      <c r="E89" s="1333">
        <v>0</v>
      </c>
      <c r="F89" s="1333">
        <v>0</v>
      </c>
      <c r="G89" s="1333">
        <v>348</v>
      </c>
      <c r="H89" s="1333">
        <v>0</v>
      </c>
      <c r="I89" s="1333">
        <v>0</v>
      </c>
      <c r="J89" s="1333">
        <v>0</v>
      </c>
      <c r="K89" s="1333">
        <v>388.75</v>
      </c>
      <c r="L89" s="1333">
        <v>0</v>
      </c>
      <c r="M89" s="1333">
        <v>0</v>
      </c>
      <c r="N89" s="1333">
        <v>0</v>
      </c>
      <c r="O89" s="1333">
        <v>0</v>
      </c>
      <c r="P89" s="1333">
        <v>0</v>
      </c>
      <c r="Q89" s="1333">
        <v>553</v>
      </c>
      <c r="R89" s="1333">
        <v>0</v>
      </c>
      <c r="S89" s="1333">
        <v>0</v>
      </c>
      <c r="T89" s="1333">
        <v>0</v>
      </c>
      <c r="U89" s="1333">
        <v>0</v>
      </c>
      <c r="V89" s="1333">
        <v>0</v>
      </c>
      <c r="W89" s="1333">
        <v>0</v>
      </c>
      <c r="X89" s="1333">
        <v>0</v>
      </c>
      <c r="Y89" s="1333">
        <v>0</v>
      </c>
      <c r="Z89" s="1333">
        <v>0</v>
      </c>
      <c r="AA89" s="1333">
        <v>0</v>
      </c>
      <c r="AB89" s="1333">
        <v>0</v>
      </c>
      <c r="AC89" s="1333">
        <v>0</v>
      </c>
      <c r="AD89" s="1333">
        <v>0</v>
      </c>
      <c r="AE89" s="1333">
        <v>0</v>
      </c>
      <c r="AF89" s="1333">
        <v>0</v>
      </c>
      <c r="AG89" s="1333">
        <v>0</v>
      </c>
      <c r="AH89" s="1333">
        <v>0</v>
      </c>
      <c r="AI89" s="1333">
        <v>0</v>
      </c>
      <c r="AJ89" s="1333">
        <v>0</v>
      </c>
      <c r="AK89" s="1333">
        <v>0</v>
      </c>
      <c r="AL89" s="1333">
        <v>0</v>
      </c>
      <c r="AM89" s="1333">
        <v>0</v>
      </c>
      <c r="AN89" s="1333">
        <v>0</v>
      </c>
      <c r="AO89" s="1086">
        <f t="shared" ref="AO89:AP92" si="39">SUMIF($C$71:$AN$71,AO$71,$C89:$AN89)</f>
        <v>1668.75</v>
      </c>
      <c r="AP89" s="1087">
        <f t="shared" si="39"/>
        <v>4</v>
      </c>
      <c r="AQ89" s="1088">
        <v>0</v>
      </c>
      <c r="AR89" s="1089">
        <v>0</v>
      </c>
      <c r="AS89" s="1633">
        <v>89</v>
      </c>
      <c r="AT89" s="1093">
        <v>0</v>
      </c>
      <c r="AU89" s="1093">
        <v>65</v>
      </c>
      <c r="AV89" s="1093">
        <v>0</v>
      </c>
      <c r="AW89" s="1093">
        <v>174</v>
      </c>
      <c r="AX89" s="1093">
        <v>0</v>
      </c>
      <c r="AY89" s="1093">
        <v>0</v>
      </c>
      <c r="AZ89" s="1093">
        <v>154</v>
      </c>
      <c r="BA89" s="1093">
        <v>0</v>
      </c>
      <c r="BB89" s="1093">
        <v>0</v>
      </c>
      <c r="BC89" s="1093">
        <v>0</v>
      </c>
      <c r="BD89" s="1093">
        <v>0</v>
      </c>
      <c r="BE89" s="1093">
        <v>0</v>
      </c>
      <c r="BF89" s="1093">
        <v>0</v>
      </c>
      <c r="BG89" s="1093">
        <v>0</v>
      </c>
      <c r="BH89" s="1093">
        <v>0</v>
      </c>
      <c r="BI89" s="1093">
        <v>0</v>
      </c>
      <c r="BJ89" s="1093">
        <v>0</v>
      </c>
      <c r="BK89" s="1093">
        <v>0</v>
      </c>
      <c r="BL89" s="1094">
        <f t="shared" si="38"/>
        <v>482</v>
      </c>
      <c r="BM89" s="1095">
        <v>0</v>
      </c>
      <c r="BP89" s="966"/>
      <c r="BQ89" s="966"/>
      <c r="BR89" s="966"/>
    </row>
    <row r="90" spans="1:70" ht="21.95" hidden="1" customHeight="1">
      <c r="A90" s="1083">
        <v>8</v>
      </c>
      <c r="B90" s="1100" t="s">
        <v>33</v>
      </c>
      <c r="C90" s="1333">
        <v>60</v>
      </c>
      <c r="D90" s="1333">
        <v>0</v>
      </c>
      <c r="E90" s="1333">
        <v>0</v>
      </c>
      <c r="F90" s="1333">
        <v>0</v>
      </c>
      <c r="G90" s="1333">
        <v>165</v>
      </c>
      <c r="H90" s="1333">
        <v>0</v>
      </c>
      <c r="I90" s="1333">
        <v>0</v>
      </c>
      <c r="J90" s="1333">
        <v>0</v>
      </c>
      <c r="K90" s="1333">
        <v>0</v>
      </c>
      <c r="L90" s="1333">
        <v>0</v>
      </c>
      <c r="M90" s="1333">
        <v>0</v>
      </c>
      <c r="N90" s="1333">
        <v>0</v>
      </c>
      <c r="O90" s="1333">
        <v>0</v>
      </c>
      <c r="P90" s="1333">
        <v>0</v>
      </c>
      <c r="Q90" s="1333">
        <v>242</v>
      </c>
      <c r="R90" s="1333">
        <v>0</v>
      </c>
      <c r="S90" s="1333">
        <v>0</v>
      </c>
      <c r="T90" s="1333">
        <v>0</v>
      </c>
      <c r="U90" s="1333">
        <v>0</v>
      </c>
      <c r="V90" s="1333">
        <v>0</v>
      </c>
      <c r="W90" s="1333">
        <v>0</v>
      </c>
      <c r="X90" s="1333">
        <v>0</v>
      </c>
      <c r="Y90" s="1333">
        <v>0</v>
      </c>
      <c r="Z90" s="1333">
        <v>0</v>
      </c>
      <c r="AA90" s="1333">
        <v>0</v>
      </c>
      <c r="AB90" s="1333">
        <v>0</v>
      </c>
      <c r="AC90" s="1333">
        <v>0</v>
      </c>
      <c r="AD90" s="1333">
        <v>0</v>
      </c>
      <c r="AE90" s="1333">
        <v>0</v>
      </c>
      <c r="AF90" s="1333">
        <v>0</v>
      </c>
      <c r="AG90" s="1333">
        <v>0</v>
      </c>
      <c r="AH90" s="1333">
        <v>0</v>
      </c>
      <c r="AI90" s="1333">
        <v>0</v>
      </c>
      <c r="AJ90" s="1333">
        <v>0</v>
      </c>
      <c r="AK90" s="1333">
        <v>0</v>
      </c>
      <c r="AL90" s="1333">
        <v>0</v>
      </c>
      <c r="AM90" s="1333">
        <v>0</v>
      </c>
      <c r="AN90" s="1333">
        <v>0</v>
      </c>
      <c r="AO90" s="1086">
        <f t="shared" si="39"/>
        <v>467</v>
      </c>
      <c r="AP90" s="1087">
        <f t="shared" si="39"/>
        <v>0</v>
      </c>
      <c r="AQ90" s="1088">
        <v>0</v>
      </c>
      <c r="AR90" s="1089">
        <v>0</v>
      </c>
      <c r="AS90" s="1633">
        <v>20</v>
      </c>
      <c r="AT90" s="1093">
        <v>0</v>
      </c>
      <c r="AU90" s="1093">
        <v>55</v>
      </c>
      <c r="AV90" s="1093">
        <v>0</v>
      </c>
      <c r="AW90" s="1093">
        <v>0</v>
      </c>
      <c r="AX90" s="1093">
        <v>0</v>
      </c>
      <c r="AY90" s="1093">
        <v>0</v>
      </c>
      <c r="AZ90" s="1093">
        <v>54</v>
      </c>
      <c r="BA90" s="1093">
        <v>0</v>
      </c>
      <c r="BB90" s="1093">
        <v>0</v>
      </c>
      <c r="BC90" s="1093">
        <v>0</v>
      </c>
      <c r="BD90" s="1093">
        <v>0</v>
      </c>
      <c r="BE90" s="1093">
        <v>0</v>
      </c>
      <c r="BF90" s="1093">
        <v>0</v>
      </c>
      <c r="BG90" s="1093">
        <v>0</v>
      </c>
      <c r="BH90" s="1093">
        <v>0</v>
      </c>
      <c r="BI90" s="1093">
        <v>0</v>
      </c>
      <c r="BJ90" s="1093">
        <v>0</v>
      </c>
      <c r="BK90" s="1093">
        <v>0</v>
      </c>
      <c r="BL90" s="1094">
        <f t="shared" si="38"/>
        <v>129</v>
      </c>
      <c r="BM90" s="1095">
        <v>0</v>
      </c>
      <c r="BP90" s="966"/>
      <c r="BQ90" s="966"/>
      <c r="BR90" s="966"/>
    </row>
    <row r="91" spans="1:70" ht="21.95" hidden="1" customHeight="1">
      <c r="A91" s="1083">
        <v>9</v>
      </c>
      <c r="B91" s="1100" t="s">
        <v>5</v>
      </c>
      <c r="C91" s="1333">
        <v>254</v>
      </c>
      <c r="D91" s="1333">
        <v>0</v>
      </c>
      <c r="E91" s="1333">
        <v>0</v>
      </c>
      <c r="F91" s="1333">
        <v>0</v>
      </c>
      <c r="G91" s="1333">
        <v>230</v>
      </c>
      <c r="H91" s="1333">
        <v>0</v>
      </c>
      <c r="I91" s="1333">
        <v>0</v>
      </c>
      <c r="J91" s="1333">
        <v>0</v>
      </c>
      <c r="K91" s="1333">
        <v>224</v>
      </c>
      <c r="L91" s="1333">
        <v>0</v>
      </c>
      <c r="M91" s="1333">
        <v>0</v>
      </c>
      <c r="N91" s="1333">
        <v>0</v>
      </c>
      <c r="O91" s="1333">
        <v>0</v>
      </c>
      <c r="P91" s="1333">
        <v>0</v>
      </c>
      <c r="Q91" s="1333">
        <v>324</v>
      </c>
      <c r="R91" s="1333">
        <v>0</v>
      </c>
      <c r="S91" s="1333">
        <v>0</v>
      </c>
      <c r="T91" s="1333">
        <v>0</v>
      </c>
      <c r="U91" s="1333">
        <v>0</v>
      </c>
      <c r="V91" s="1333">
        <v>0</v>
      </c>
      <c r="W91" s="1333">
        <v>0</v>
      </c>
      <c r="X91" s="1333">
        <v>0</v>
      </c>
      <c r="Y91" s="1333">
        <v>0</v>
      </c>
      <c r="Z91" s="1333">
        <v>0</v>
      </c>
      <c r="AA91" s="1333">
        <v>0</v>
      </c>
      <c r="AB91" s="1333">
        <v>0</v>
      </c>
      <c r="AC91" s="1333">
        <v>0</v>
      </c>
      <c r="AD91" s="1333">
        <v>0</v>
      </c>
      <c r="AE91" s="1333">
        <v>0</v>
      </c>
      <c r="AF91" s="1333">
        <v>0</v>
      </c>
      <c r="AG91" s="1333">
        <v>181</v>
      </c>
      <c r="AH91" s="1333">
        <v>0</v>
      </c>
      <c r="AI91" s="1333">
        <v>0</v>
      </c>
      <c r="AJ91" s="1333">
        <v>0</v>
      </c>
      <c r="AK91" s="1333">
        <v>0</v>
      </c>
      <c r="AL91" s="1333">
        <v>0</v>
      </c>
      <c r="AM91" s="1333">
        <v>0</v>
      </c>
      <c r="AN91" s="1333">
        <v>0</v>
      </c>
      <c r="AO91" s="1086">
        <f t="shared" si="39"/>
        <v>1213</v>
      </c>
      <c r="AP91" s="1087">
        <f t="shared" si="39"/>
        <v>0</v>
      </c>
      <c r="AQ91" s="1088">
        <v>0</v>
      </c>
      <c r="AR91" s="1089">
        <v>0</v>
      </c>
      <c r="AS91" s="1633">
        <v>65</v>
      </c>
      <c r="AT91" s="1093">
        <v>0</v>
      </c>
      <c r="AU91" s="1093">
        <v>59</v>
      </c>
      <c r="AV91" s="1093">
        <v>0</v>
      </c>
      <c r="AW91" s="1093">
        <v>163</v>
      </c>
      <c r="AX91" s="1093">
        <v>0</v>
      </c>
      <c r="AY91" s="1093">
        <v>0</v>
      </c>
      <c r="AZ91" s="1093">
        <v>120</v>
      </c>
      <c r="BA91" s="1093">
        <v>0</v>
      </c>
      <c r="BB91" s="1093">
        <v>0</v>
      </c>
      <c r="BC91" s="1093">
        <v>0</v>
      </c>
      <c r="BD91" s="1093">
        <v>0</v>
      </c>
      <c r="BE91" s="1093">
        <v>0</v>
      </c>
      <c r="BF91" s="1093">
        <v>0</v>
      </c>
      <c r="BG91" s="1093">
        <v>0</v>
      </c>
      <c r="BH91" s="1093">
        <v>162</v>
      </c>
      <c r="BI91" s="1093">
        <v>0</v>
      </c>
      <c r="BJ91" s="1093">
        <v>0</v>
      </c>
      <c r="BK91" s="1093">
        <v>0</v>
      </c>
      <c r="BL91" s="1094">
        <f t="shared" si="38"/>
        <v>569</v>
      </c>
      <c r="BM91" s="1095">
        <v>0</v>
      </c>
      <c r="BP91" s="966"/>
      <c r="BQ91" s="966"/>
      <c r="BR91" s="966"/>
    </row>
    <row r="92" spans="1:70" ht="21.95" hidden="1" customHeight="1">
      <c r="A92" s="1083">
        <v>10</v>
      </c>
      <c r="B92" s="1100" t="s">
        <v>6</v>
      </c>
      <c r="C92" s="1333">
        <v>0</v>
      </c>
      <c r="D92" s="1333">
        <v>0</v>
      </c>
      <c r="E92" s="1333">
        <v>0</v>
      </c>
      <c r="F92" s="1333">
        <v>0</v>
      </c>
      <c r="G92" s="1333">
        <v>35</v>
      </c>
      <c r="H92" s="1333">
        <v>0</v>
      </c>
      <c r="I92" s="1333">
        <v>0</v>
      </c>
      <c r="J92" s="1333">
        <v>0</v>
      </c>
      <c r="K92" s="1333">
        <v>0</v>
      </c>
      <c r="L92" s="1333">
        <v>0</v>
      </c>
      <c r="M92" s="1333">
        <v>0</v>
      </c>
      <c r="N92" s="1333">
        <v>0</v>
      </c>
      <c r="O92" s="1333">
        <v>0</v>
      </c>
      <c r="P92" s="1333">
        <v>0</v>
      </c>
      <c r="Q92" s="1333">
        <v>54</v>
      </c>
      <c r="R92" s="1333">
        <v>0</v>
      </c>
      <c r="S92" s="1333">
        <v>0</v>
      </c>
      <c r="T92" s="1333">
        <v>0</v>
      </c>
      <c r="U92" s="1333">
        <v>0</v>
      </c>
      <c r="V92" s="1333">
        <v>0</v>
      </c>
      <c r="W92" s="1333">
        <v>0</v>
      </c>
      <c r="X92" s="1333">
        <v>0</v>
      </c>
      <c r="Y92" s="1333">
        <v>0</v>
      </c>
      <c r="Z92" s="1333">
        <v>0</v>
      </c>
      <c r="AA92" s="1333">
        <v>0</v>
      </c>
      <c r="AB92" s="1333">
        <v>0</v>
      </c>
      <c r="AC92" s="1333">
        <v>0</v>
      </c>
      <c r="AD92" s="1333">
        <v>0</v>
      </c>
      <c r="AE92" s="1333">
        <v>0</v>
      </c>
      <c r="AF92" s="1333">
        <v>0</v>
      </c>
      <c r="AG92" s="1333">
        <v>0</v>
      </c>
      <c r="AH92" s="1333">
        <v>0</v>
      </c>
      <c r="AI92" s="1333">
        <v>0</v>
      </c>
      <c r="AJ92" s="1333">
        <v>0</v>
      </c>
      <c r="AK92" s="1333">
        <v>0</v>
      </c>
      <c r="AL92" s="1333">
        <v>0</v>
      </c>
      <c r="AM92" s="1333">
        <v>0</v>
      </c>
      <c r="AN92" s="1333">
        <v>0</v>
      </c>
      <c r="AO92" s="1086">
        <f t="shared" si="39"/>
        <v>89</v>
      </c>
      <c r="AP92" s="1087">
        <f t="shared" si="39"/>
        <v>0</v>
      </c>
      <c r="AQ92" s="1088">
        <v>0</v>
      </c>
      <c r="AR92" s="1089">
        <v>0</v>
      </c>
      <c r="AS92" s="1633">
        <v>0</v>
      </c>
      <c r="AT92" s="1093">
        <v>0</v>
      </c>
      <c r="AU92" s="1093">
        <v>14</v>
      </c>
      <c r="AV92" s="1093">
        <v>0</v>
      </c>
      <c r="AW92" s="1093">
        <v>0</v>
      </c>
      <c r="AX92" s="1093">
        <v>0</v>
      </c>
      <c r="AY92" s="1093">
        <v>0</v>
      </c>
      <c r="AZ92" s="1093">
        <v>14</v>
      </c>
      <c r="BA92" s="1093">
        <v>0</v>
      </c>
      <c r="BB92" s="1093">
        <v>0</v>
      </c>
      <c r="BC92" s="1093">
        <v>0</v>
      </c>
      <c r="BD92" s="1093">
        <v>0</v>
      </c>
      <c r="BE92" s="1093">
        <v>0</v>
      </c>
      <c r="BF92" s="1093">
        <v>0</v>
      </c>
      <c r="BG92" s="1093">
        <v>0</v>
      </c>
      <c r="BH92" s="1093">
        <v>0</v>
      </c>
      <c r="BI92" s="1093">
        <v>0</v>
      </c>
      <c r="BJ92" s="1093">
        <v>0</v>
      </c>
      <c r="BK92" s="1093">
        <v>0</v>
      </c>
      <c r="BL92" s="1094">
        <f t="shared" si="38"/>
        <v>28</v>
      </c>
      <c r="BM92" s="1095">
        <v>0</v>
      </c>
      <c r="BP92" s="966"/>
      <c r="BQ92" s="966"/>
      <c r="BR92" s="966"/>
    </row>
    <row r="93" spans="1:70" ht="24.95" hidden="1" customHeight="1">
      <c r="A93" s="1061"/>
      <c r="B93" s="1084" t="s">
        <v>7</v>
      </c>
      <c r="C93" s="1332"/>
      <c r="D93" s="1332"/>
      <c r="E93" s="1332"/>
      <c r="F93" s="1332"/>
      <c r="G93" s="1332"/>
      <c r="H93" s="1332"/>
      <c r="I93" s="1332"/>
      <c r="J93" s="1332"/>
      <c r="K93" s="1332"/>
      <c r="L93" s="1332"/>
      <c r="M93" s="1332"/>
      <c r="N93" s="1332"/>
      <c r="O93" s="1332"/>
      <c r="P93" s="1332"/>
      <c r="Q93" s="1332"/>
      <c r="R93" s="1332"/>
      <c r="S93" s="1332"/>
      <c r="T93" s="1332"/>
      <c r="U93" s="1332"/>
      <c r="V93" s="1332"/>
      <c r="W93" s="1332"/>
      <c r="X93" s="1332"/>
      <c r="Y93" s="1332"/>
      <c r="Z93" s="1332"/>
      <c r="AA93" s="1332"/>
      <c r="AB93" s="1332"/>
      <c r="AC93" s="1332"/>
      <c r="AD93" s="1332"/>
      <c r="AE93" s="1332"/>
      <c r="AF93" s="1332"/>
      <c r="AG93" s="1332"/>
      <c r="AH93" s="1332"/>
      <c r="AI93" s="1332"/>
      <c r="AJ93" s="1332"/>
      <c r="AK93" s="1332"/>
      <c r="AL93" s="1332"/>
      <c r="AM93" s="1332"/>
      <c r="AN93" s="1332"/>
      <c r="AO93" s="1073"/>
      <c r="AP93" s="1074"/>
      <c r="AQ93" s="1102"/>
      <c r="AR93" s="1103"/>
      <c r="AS93" s="1632"/>
      <c r="AT93" s="1090"/>
      <c r="AU93" s="1090"/>
      <c r="AV93" s="1090"/>
      <c r="AW93" s="1090"/>
      <c r="AX93" s="1090"/>
      <c r="AY93" s="1090"/>
      <c r="AZ93" s="1090"/>
      <c r="BA93" s="1090"/>
      <c r="BB93" s="1090"/>
      <c r="BC93" s="1090"/>
      <c r="BD93" s="1090"/>
      <c r="BE93" s="1090"/>
      <c r="BF93" s="1090"/>
      <c r="BG93" s="1090"/>
      <c r="BH93" s="1090"/>
      <c r="BI93" s="1090"/>
      <c r="BJ93" s="1090"/>
      <c r="BK93" s="1090"/>
      <c r="BL93" s="1104"/>
      <c r="BM93" s="1092"/>
      <c r="BP93" s="966"/>
      <c r="BQ93" s="966"/>
      <c r="BR93" s="966"/>
    </row>
    <row r="94" spans="1:70" ht="21.95" hidden="1" customHeight="1">
      <c r="A94" s="1083">
        <v>11</v>
      </c>
      <c r="B94" s="1100" t="s">
        <v>90</v>
      </c>
      <c r="C94" s="1333">
        <v>390.9</v>
      </c>
      <c r="D94" s="1333">
        <v>0</v>
      </c>
      <c r="E94" s="1333">
        <v>0</v>
      </c>
      <c r="F94" s="1333">
        <v>0</v>
      </c>
      <c r="G94" s="1333">
        <v>248</v>
      </c>
      <c r="H94" s="1333">
        <v>0.5</v>
      </c>
      <c r="I94" s="1333">
        <v>0</v>
      </c>
      <c r="J94" s="1333">
        <v>0</v>
      </c>
      <c r="K94" s="1333">
        <v>405.3</v>
      </c>
      <c r="L94" s="1333">
        <v>0</v>
      </c>
      <c r="M94" s="1333">
        <v>0</v>
      </c>
      <c r="N94" s="1333">
        <v>0</v>
      </c>
      <c r="O94" s="1333">
        <v>0</v>
      </c>
      <c r="P94" s="1333">
        <v>0</v>
      </c>
      <c r="Q94" s="1333">
        <v>547.6</v>
      </c>
      <c r="R94" s="1333">
        <v>3.9000000000000004</v>
      </c>
      <c r="S94" s="1333">
        <v>0</v>
      </c>
      <c r="T94" s="1333">
        <v>0</v>
      </c>
      <c r="U94" s="1333">
        <v>0</v>
      </c>
      <c r="V94" s="1333">
        <v>0</v>
      </c>
      <c r="W94" s="1333">
        <v>0</v>
      </c>
      <c r="X94" s="1333">
        <v>0</v>
      </c>
      <c r="Y94" s="1333">
        <v>0</v>
      </c>
      <c r="Z94" s="1333">
        <v>0</v>
      </c>
      <c r="AA94" s="1333">
        <v>0</v>
      </c>
      <c r="AB94" s="1333">
        <v>0</v>
      </c>
      <c r="AC94" s="1333">
        <v>0</v>
      </c>
      <c r="AD94" s="1333">
        <v>0</v>
      </c>
      <c r="AE94" s="1333">
        <v>0</v>
      </c>
      <c r="AF94" s="1333">
        <v>0</v>
      </c>
      <c r="AG94" s="1333">
        <v>0</v>
      </c>
      <c r="AH94" s="1333">
        <v>0</v>
      </c>
      <c r="AI94" s="1333">
        <v>153.44</v>
      </c>
      <c r="AJ94" s="1333">
        <v>0.9</v>
      </c>
      <c r="AK94" s="1333">
        <v>572.5</v>
      </c>
      <c r="AL94" s="1333">
        <v>1.4</v>
      </c>
      <c r="AM94" s="1333">
        <v>279</v>
      </c>
      <c r="AN94" s="1333">
        <v>0</v>
      </c>
      <c r="AO94" s="1086">
        <f t="shared" ref="AO94:AP97" si="40">SUMIF($C$71:$AN$71,AO$71,$C94:$AN94)</f>
        <v>2596.7400000000002</v>
      </c>
      <c r="AP94" s="1087">
        <f t="shared" si="40"/>
        <v>6.7000000000000011</v>
      </c>
      <c r="AQ94" s="1088">
        <v>0</v>
      </c>
      <c r="AR94" s="1089">
        <v>0</v>
      </c>
      <c r="AS94" s="1633">
        <v>13</v>
      </c>
      <c r="AT94" s="1093">
        <v>0</v>
      </c>
      <c r="AU94" s="1093">
        <v>17</v>
      </c>
      <c r="AV94" s="1093">
        <v>0</v>
      </c>
      <c r="AW94" s="1093">
        <v>13</v>
      </c>
      <c r="AX94" s="1093">
        <v>0</v>
      </c>
      <c r="AY94" s="1093">
        <v>0</v>
      </c>
      <c r="AZ94" s="1093">
        <v>8</v>
      </c>
      <c r="BA94" s="1093">
        <v>0</v>
      </c>
      <c r="BB94" s="1093">
        <v>0</v>
      </c>
      <c r="BC94" s="1093">
        <v>0</v>
      </c>
      <c r="BD94" s="1093">
        <v>0</v>
      </c>
      <c r="BE94" s="1093">
        <v>0</v>
      </c>
      <c r="BF94" s="1093">
        <v>0</v>
      </c>
      <c r="BG94" s="1093">
        <v>0</v>
      </c>
      <c r="BH94" s="1093">
        <v>0</v>
      </c>
      <c r="BI94" s="1093">
        <v>20.07</v>
      </c>
      <c r="BJ94" s="1093">
        <v>18</v>
      </c>
      <c r="BK94" s="1093">
        <v>0</v>
      </c>
      <c r="BL94" s="1094">
        <f t="shared" ref="BL94:BL97" si="41">SUM(AS94:BK94)</f>
        <v>89.07</v>
      </c>
      <c r="BM94" s="1095">
        <v>0</v>
      </c>
      <c r="BP94" s="966"/>
      <c r="BQ94" s="966"/>
      <c r="BR94" s="966"/>
    </row>
    <row r="95" spans="1:70" ht="21.95" hidden="1" customHeight="1">
      <c r="A95" s="1083">
        <v>12</v>
      </c>
      <c r="B95" s="1100" t="s">
        <v>20</v>
      </c>
      <c r="C95" s="1333">
        <v>59.5</v>
      </c>
      <c r="D95" s="1333">
        <v>0</v>
      </c>
      <c r="E95" s="1333">
        <v>0</v>
      </c>
      <c r="F95" s="1333">
        <v>0</v>
      </c>
      <c r="G95" s="1333">
        <v>0</v>
      </c>
      <c r="H95" s="1333">
        <v>0</v>
      </c>
      <c r="I95" s="1333">
        <v>0</v>
      </c>
      <c r="J95" s="1333">
        <v>0</v>
      </c>
      <c r="K95" s="1333">
        <v>0</v>
      </c>
      <c r="L95" s="1333">
        <v>0</v>
      </c>
      <c r="M95" s="1333">
        <v>0</v>
      </c>
      <c r="N95" s="1333">
        <v>0</v>
      </c>
      <c r="O95" s="1333">
        <v>0</v>
      </c>
      <c r="P95" s="1333">
        <v>0</v>
      </c>
      <c r="Q95" s="1333">
        <v>0</v>
      </c>
      <c r="R95" s="1333">
        <v>0</v>
      </c>
      <c r="S95" s="1333">
        <v>0</v>
      </c>
      <c r="T95" s="1333">
        <v>0</v>
      </c>
      <c r="U95" s="1333">
        <v>0</v>
      </c>
      <c r="V95" s="1333">
        <v>0</v>
      </c>
      <c r="W95" s="1333">
        <v>0</v>
      </c>
      <c r="X95" s="1333">
        <v>0</v>
      </c>
      <c r="Y95" s="1333">
        <v>0</v>
      </c>
      <c r="Z95" s="1333">
        <v>0</v>
      </c>
      <c r="AA95" s="1333">
        <v>0</v>
      </c>
      <c r="AB95" s="1333">
        <v>0</v>
      </c>
      <c r="AC95" s="1333">
        <v>94</v>
      </c>
      <c r="AD95" s="1333">
        <v>0</v>
      </c>
      <c r="AE95" s="1333">
        <v>0</v>
      </c>
      <c r="AF95" s="1333">
        <v>0</v>
      </c>
      <c r="AG95" s="1333">
        <v>0</v>
      </c>
      <c r="AH95" s="1333">
        <v>0</v>
      </c>
      <c r="AI95" s="1333">
        <v>0</v>
      </c>
      <c r="AJ95" s="1333">
        <v>0</v>
      </c>
      <c r="AK95" s="1333">
        <v>0</v>
      </c>
      <c r="AL95" s="1333">
        <v>0</v>
      </c>
      <c r="AM95" s="1333">
        <v>0</v>
      </c>
      <c r="AN95" s="1333">
        <v>0</v>
      </c>
      <c r="AO95" s="1086">
        <f t="shared" si="40"/>
        <v>153.5</v>
      </c>
      <c r="AP95" s="1087">
        <f t="shared" si="40"/>
        <v>0</v>
      </c>
      <c r="AQ95" s="1088">
        <v>0</v>
      </c>
      <c r="AR95" s="1089">
        <v>0</v>
      </c>
      <c r="AS95" s="1633">
        <v>2</v>
      </c>
      <c r="AT95" s="1093">
        <v>0</v>
      </c>
      <c r="AU95" s="1093">
        <v>0</v>
      </c>
      <c r="AV95" s="1093">
        <v>0</v>
      </c>
      <c r="AW95" s="1093">
        <v>0</v>
      </c>
      <c r="AX95" s="1093">
        <v>0</v>
      </c>
      <c r="AY95" s="1093">
        <v>0</v>
      </c>
      <c r="AZ95" s="1093">
        <v>0</v>
      </c>
      <c r="BA95" s="1093">
        <v>0</v>
      </c>
      <c r="BB95" s="1093">
        <v>0</v>
      </c>
      <c r="BC95" s="1093">
        <v>0</v>
      </c>
      <c r="BD95" s="1093">
        <v>0</v>
      </c>
      <c r="BE95" s="1093">
        <v>0</v>
      </c>
      <c r="BF95" s="1093">
        <v>1</v>
      </c>
      <c r="BG95" s="1093">
        <v>0</v>
      </c>
      <c r="BH95" s="1093">
        <v>0</v>
      </c>
      <c r="BI95" s="1093">
        <v>0</v>
      </c>
      <c r="BJ95" s="1093">
        <v>0</v>
      </c>
      <c r="BK95" s="1093">
        <v>0</v>
      </c>
      <c r="BL95" s="1094">
        <f t="shared" si="41"/>
        <v>3</v>
      </c>
      <c r="BM95" s="1095">
        <v>0</v>
      </c>
      <c r="BP95" s="966"/>
      <c r="BQ95" s="966"/>
      <c r="BR95" s="966"/>
    </row>
    <row r="96" spans="1:70" ht="21.95" hidden="1" customHeight="1">
      <c r="A96" s="1083">
        <v>13</v>
      </c>
      <c r="B96" s="1100" t="s">
        <v>21</v>
      </c>
      <c r="C96" s="1333">
        <v>0</v>
      </c>
      <c r="D96" s="1333">
        <v>0</v>
      </c>
      <c r="E96" s="1333">
        <v>0</v>
      </c>
      <c r="F96" s="1333">
        <v>0</v>
      </c>
      <c r="G96" s="1333">
        <v>0</v>
      </c>
      <c r="H96" s="1333">
        <v>0</v>
      </c>
      <c r="I96" s="1333">
        <v>0</v>
      </c>
      <c r="J96" s="1333">
        <v>0</v>
      </c>
      <c r="K96" s="1333">
        <v>350</v>
      </c>
      <c r="L96" s="1333">
        <v>0</v>
      </c>
      <c r="M96" s="1333">
        <v>0</v>
      </c>
      <c r="N96" s="1333">
        <v>0</v>
      </c>
      <c r="O96" s="1333">
        <v>0</v>
      </c>
      <c r="P96" s="1333">
        <v>0</v>
      </c>
      <c r="Q96" s="1333">
        <v>0</v>
      </c>
      <c r="R96" s="1333">
        <v>0</v>
      </c>
      <c r="S96" s="1333">
        <v>0</v>
      </c>
      <c r="T96" s="1333">
        <v>0</v>
      </c>
      <c r="U96" s="1333">
        <v>0</v>
      </c>
      <c r="V96" s="1333">
        <v>0</v>
      </c>
      <c r="W96" s="1333">
        <v>0</v>
      </c>
      <c r="X96" s="1333">
        <v>0</v>
      </c>
      <c r="Y96" s="1333">
        <v>0</v>
      </c>
      <c r="Z96" s="1333">
        <v>0</v>
      </c>
      <c r="AA96" s="1333">
        <v>0</v>
      </c>
      <c r="AB96" s="1333">
        <v>0</v>
      </c>
      <c r="AC96" s="1333">
        <v>0</v>
      </c>
      <c r="AD96" s="1333">
        <v>0</v>
      </c>
      <c r="AE96" s="1333">
        <v>0</v>
      </c>
      <c r="AF96" s="1333">
        <v>0</v>
      </c>
      <c r="AG96" s="1333">
        <v>0</v>
      </c>
      <c r="AH96" s="1333">
        <v>0</v>
      </c>
      <c r="AI96" s="1333">
        <v>0</v>
      </c>
      <c r="AJ96" s="1333">
        <v>0</v>
      </c>
      <c r="AK96" s="1333">
        <v>0</v>
      </c>
      <c r="AL96" s="1333">
        <v>0</v>
      </c>
      <c r="AM96" s="1333">
        <v>0</v>
      </c>
      <c r="AN96" s="1333">
        <v>0</v>
      </c>
      <c r="AO96" s="1086">
        <f t="shared" si="40"/>
        <v>350</v>
      </c>
      <c r="AP96" s="1087">
        <f t="shared" si="40"/>
        <v>0</v>
      </c>
      <c r="AQ96" s="1088">
        <v>0</v>
      </c>
      <c r="AR96" s="1089">
        <v>0</v>
      </c>
      <c r="AS96" s="1633">
        <v>0</v>
      </c>
      <c r="AT96" s="1093">
        <v>0</v>
      </c>
      <c r="AU96" s="1093">
        <v>0</v>
      </c>
      <c r="AV96" s="1093">
        <v>0</v>
      </c>
      <c r="AW96" s="1093">
        <v>5</v>
      </c>
      <c r="AX96" s="1093">
        <v>0</v>
      </c>
      <c r="AY96" s="1093">
        <v>0</v>
      </c>
      <c r="AZ96" s="1093">
        <v>0</v>
      </c>
      <c r="BA96" s="1093">
        <v>0</v>
      </c>
      <c r="BB96" s="1093">
        <v>0</v>
      </c>
      <c r="BC96" s="1093">
        <v>0</v>
      </c>
      <c r="BD96" s="1093">
        <v>0</v>
      </c>
      <c r="BE96" s="1093">
        <v>0</v>
      </c>
      <c r="BF96" s="1093">
        <v>0</v>
      </c>
      <c r="BG96" s="1093">
        <v>0</v>
      </c>
      <c r="BH96" s="1093">
        <v>0</v>
      </c>
      <c r="BI96" s="1093">
        <v>0</v>
      </c>
      <c r="BJ96" s="1093">
        <v>0</v>
      </c>
      <c r="BK96" s="1093">
        <v>0</v>
      </c>
      <c r="BL96" s="1094">
        <f t="shared" si="41"/>
        <v>5</v>
      </c>
      <c r="BM96" s="1095">
        <v>0</v>
      </c>
      <c r="BP96" s="966"/>
      <c r="BQ96" s="966"/>
      <c r="BR96" s="966"/>
    </row>
    <row r="97" spans="1:70" ht="21.95" hidden="1" customHeight="1">
      <c r="A97" s="1083">
        <v>14</v>
      </c>
      <c r="B97" s="1100" t="s">
        <v>22</v>
      </c>
      <c r="C97" s="1333">
        <v>0</v>
      </c>
      <c r="D97" s="1333">
        <v>0</v>
      </c>
      <c r="E97" s="1333">
        <v>0</v>
      </c>
      <c r="F97" s="1333">
        <v>0</v>
      </c>
      <c r="G97" s="1333">
        <v>0</v>
      </c>
      <c r="H97" s="1333">
        <v>0</v>
      </c>
      <c r="I97" s="1333">
        <v>0</v>
      </c>
      <c r="J97" s="1333">
        <v>0</v>
      </c>
      <c r="K97" s="1333">
        <v>0</v>
      </c>
      <c r="L97" s="1333">
        <v>0</v>
      </c>
      <c r="M97" s="1333">
        <v>0</v>
      </c>
      <c r="N97" s="1333">
        <v>0</v>
      </c>
      <c r="O97" s="1333">
        <v>0</v>
      </c>
      <c r="P97" s="1333">
        <v>0</v>
      </c>
      <c r="Q97" s="1333">
        <v>86.2</v>
      </c>
      <c r="R97" s="1333">
        <v>2.4</v>
      </c>
      <c r="S97" s="1333">
        <v>0</v>
      </c>
      <c r="T97" s="1333">
        <v>0</v>
      </c>
      <c r="U97" s="1333">
        <v>0</v>
      </c>
      <c r="V97" s="1333">
        <v>0</v>
      </c>
      <c r="W97" s="1333">
        <v>0</v>
      </c>
      <c r="X97" s="1333">
        <v>0</v>
      </c>
      <c r="Y97" s="1333">
        <v>0</v>
      </c>
      <c r="Z97" s="1333">
        <v>0</v>
      </c>
      <c r="AA97" s="1333">
        <v>0</v>
      </c>
      <c r="AB97" s="1333">
        <v>0</v>
      </c>
      <c r="AC97" s="1333">
        <v>0</v>
      </c>
      <c r="AD97" s="1333">
        <v>0</v>
      </c>
      <c r="AE97" s="1333">
        <v>0</v>
      </c>
      <c r="AF97" s="1333">
        <v>0</v>
      </c>
      <c r="AG97" s="1333">
        <v>0</v>
      </c>
      <c r="AH97" s="1333">
        <v>0</v>
      </c>
      <c r="AI97" s="1333">
        <v>0</v>
      </c>
      <c r="AJ97" s="1333">
        <v>0</v>
      </c>
      <c r="AK97" s="1333">
        <v>0</v>
      </c>
      <c r="AL97" s="1333">
        <v>0</v>
      </c>
      <c r="AM97" s="1333">
        <v>0</v>
      </c>
      <c r="AN97" s="1333">
        <v>0</v>
      </c>
      <c r="AO97" s="1086">
        <f t="shared" si="40"/>
        <v>86.2</v>
      </c>
      <c r="AP97" s="1087">
        <f t="shared" si="40"/>
        <v>2.4</v>
      </c>
      <c r="AQ97" s="1088">
        <v>0</v>
      </c>
      <c r="AR97" s="1089">
        <v>0</v>
      </c>
      <c r="AS97" s="1633">
        <v>0</v>
      </c>
      <c r="AT97" s="1093">
        <v>0</v>
      </c>
      <c r="AU97" s="1093">
        <v>0</v>
      </c>
      <c r="AV97" s="1093">
        <v>0</v>
      </c>
      <c r="AW97" s="1093">
        <v>0</v>
      </c>
      <c r="AX97" s="1093">
        <v>0</v>
      </c>
      <c r="AY97" s="1093">
        <v>0</v>
      </c>
      <c r="AZ97" s="1093">
        <v>0</v>
      </c>
      <c r="BA97" s="1093">
        <v>0</v>
      </c>
      <c r="BB97" s="1093">
        <v>0</v>
      </c>
      <c r="BC97" s="1093">
        <v>0</v>
      </c>
      <c r="BD97" s="1093">
        <v>0</v>
      </c>
      <c r="BE97" s="1093">
        <v>0</v>
      </c>
      <c r="BF97" s="1093">
        <v>0</v>
      </c>
      <c r="BG97" s="1093">
        <v>0</v>
      </c>
      <c r="BH97" s="1093">
        <v>0</v>
      </c>
      <c r="BI97" s="1093">
        <v>0</v>
      </c>
      <c r="BJ97" s="1093">
        <v>0</v>
      </c>
      <c r="BK97" s="1093">
        <v>0</v>
      </c>
      <c r="BL97" s="1094">
        <f t="shared" si="41"/>
        <v>0</v>
      </c>
      <c r="BM97" s="1095">
        <v>0</v>
      </c>
      <c r="BP97" s="966"/>
      <c r="BQ97" s="966"/>
      <c r="BR97" s="966"/>
    </row>
    <row r="98" spans="1:70" ht="24.95" hidden="1" customHeight="1">
      <c r="A98" s="1061"/>
      <c r="B98" s="1084" t="s">
        <v>81</v>
      </c>
      <c r="C98" s="1328"/>
      <c r="D98" s="1328"/>
      <c r="E98" s="1328"/>
      <c r="F98" s="1328"/>
      <c r="G98" s="1328"/>
      <c r="H98" s="1328"/>
      <c r="I98" s="1328"/>
      <c r="J98" s="1328"/>
      <c r="K98" s="1328"/>
      <c r="L98" s="1328"/>
      <c r="M98" s="1328"/>
      <c r="N98" s="1328"/>
      <c r="O98" s="1328"/>
      <c r="P98" s="1328"/>
      <c r="Q98" s="1328"/>
      <c r="R98" s="1328"/>
      <c r="S98" s="1328"/>
      <c r="T98" s="1328"/>
      <c r="U98" s="1328"/>
      <c r="V98" s="1328"/>
      <c r="W98" s="1328"/>
      <c r="X98" s="1328"/>
      <c r="Y98" s="1328"/>
      <c r="Z98" s="1328"/>
      <c r="AA98" s="1328"/>
      <c r="AB98" s="1328"/>
      <c r="AC98" s="1328"/>
      <c r="AD98" s="1328"/>
      <c r="AE98" s="1328"/>
      <c r="AF98" s="1328"/>
      <c r="AG98" s="1328"/>
      <c r="AH98" s="1328"/>
      <c r="AI98" s="1328"/>
      <c r="AJ98" s="1328"/>
      <c r="AK98" s="1328"/>
      <c r="AL98" s="1328"/>
      <c r="AM98" s="1328"/>
      <c r="AN98" s="1328"/>
      <c r="AO98" s="1073"/>
      <c r="AP98" s="1074"/>
      <c r="AQ98" s="1106"/>
      <c r="AR98" s="1107"/>
      <c r="AS98" s="1634"/>
      <c r="AT98" s="1098"/>
      <c r="AU98" s="1098"/>
      <c r="AV98" s="1098"/>
      <c r="AW98" s="1098"/>
      <c r="AX98" s="1098"/>
      <c r="AY98" s="1098"/>
      <c r="AZ98" s="1098"/>
      <c r="BA98" s="1098"/>
      <c r="BB98" s="1098"/>
      <c r="BC98" s="1098"/>
      <c r="BD98" s="1098"/>
      <c r="BE98" s="1098"/>
      <c r="BF98" s="1098"/>
      <c r="BG98" s="1098"/>
      <c r="BH98" s="1098"/>
      <c r="BI98" s="1098"/>
      <c r="BJ98" s="1098"/>
      <c r="BK98" s="1098"/>
      <c r="BL98" s="1078"/>
      <c r="BM98" s="1099"/>
    </row>
    <row r="99" spans="1:70" ht="24.95" hidden="1" customHeight="1">
      <c r="A99" s="1083">
        <v>15</v>
      </c>
      <c r="B99" s="1100" t="s">
        <v>293</v>
      </c>
      <c r="C99" s="1333">
        <v>0</v>
      </c>
      <c r="D99" s="1333">
        <v>0</v>
      </c>
      <c r="E99" s="1333">
        <v>0</v>
      </c>
      <c r="F99" s="1333">
        <v>0</v>
      </c>
      <c r="G99" s="1333">
        <v>1202.5</v>
      </c>
      <c r="H99" s="1333">
        <v>0</v>
      </c>
      <c r="I99" s="1333">
        <v>1720</v>
      </c>
      <c r="J99" s="1333">
        <v>0</v>
      </c>
      <c r="K99" s="1333">
        <v>0</v>
      </c>
      <c r="L99" s="1333">
        <v>0</v>
      </c>
      <c r="M99" s="1333">
        <v>1407</v>
      </c>
      <c r="N99" s="1333">
        <v>16.22</v>
      </c>
      <c r="O99" s="1333">
        <v>0</v>
      </c>
      <c r="P99" s="1333">
        <v>0</v>
      </c>
      <c r="Q99" s="1333">
        <v>0</v>
      </c>
      <c r="R99" s="1333">
        <v>0</v>
      </c>
      <c r="S99" s="1333">
        <v>0</v>
      </c>
      <c r="T99" s="1333">
        <v>0</v>
      </c>
      <c r="U99" s="1333">
        <v>0</v>
      </c>
      <c r="V99" s="1333">
        <v>0</v>
      </c>
      <c r="W99" s="1333">
        <v>0</v>
      </c>
      <c r="X99" s="1333">
        <v>0</v>
      </c>
      <c r="Y99" s="1333">
        <v>0</v>
      </c>
      <c r="Z99" s="1333">
        <v>0</v>
      </c>
      <c r="AA99" s="1333">
        <v>820</v>
      </c>
      <c r="AB99" s="1333">
        <v>0</v>
      </c>
      <c r="AC99" s="1333">
        <v>0</v>
      </c>
      <c r="AD99" s="1333">
        <v>0</v>
      </c>
      <c r="AE99" s="1333">
        <v>0</v>
      </c>
      <c r="AF99" s="1333">
        <v>0</v>
      </c>
      <c r="AG99" s="1333">
        <v>0</v>
      </c>
      <c r="AH99" s="1333">
        <v>0</v>
      </c>
      <c r="AI99" s="1333">
        <v>983.01</v>
      </c>
      <c r="AJ99" s="1333">
        <v>0</v>
      </c>
      <c r="AK99" s="1333">
        <v>0</v>
      </c>
      <c r="AL99" s="1333">
        <v>0</v>
      </c>
      <c r="AM99" s="1333">
        <v>2012</v>
      </c>
      <c r="AN99" s="1333">
        <v>0</v>
      </c>
      <c r="AO99" s="1086">
        <f>SUMIF($C$71:$AN$71,AO$71,$C99:$AN99)</f>
        <v>8144.51</v>
      </c>
      <c r="AP99" s="1087">
        <f>SUMIF($C$71:$AN$71,AP$71,$C99:$AN99)</f>
        <v>16.22</v>
      </c>
      <c r="AQ99" s="1088">
        <v>0</v>
      </c>
      <c r="AR99" s="1089">
        <v>0</v>
      </c>
      <c r="AS99" s="1632"/>
      <c r="AT99" s="1090"/>
      <c r="AU99" s="1090"/>
      <c r="AV99" s="1090"/>
      <c r="AW99" s="1090"/>
      <c r="AX99" s="1090"/>
      <c r="AY99" s="1090"/>
      <c r="AZ99" s="1090"/>
      <c r="BA99" s="1090"/>
      <c r="BB99" s="1090"/>
      <c r="BC99" s="1090"/>
      <c r="BD99" s="1090"/>
      <c r="BE99" s="1090"/>
      <c r="BF99" s="1090"/>
      <c r="BG99" s="1090"/>
      <c r="BH99" s="1090"/>
      <c r="BI99" s="1090"/>
      <c r="BJ99" s="1090"/>
      <c r="BK99" s="1090"/>
      <c r="BL99" s="1091"/>
      <c r="BM99" s="1092"/>
    </row>
    <row r="100" spans="1:70" ht="24.95" hidden="1" customHeight="1">
      <c r="A100" s="1083">
        <v>16</v>
      </c>
      <c r="B100" s="1100" t="s">
        <v>291</v>
      </c>
      <c r="C100" s="1333">
        <v>0</v>
      </c>
      <c r="D100" s="1333">
        <v>0</v>
      </c>
      <c r="E100" s="1333">
        <v>96</v>
      </c>
      <c r="F100" s="1333">
        <v>3.9</v>
      </c>
      <c r="G100" s="1333">
        <v>0</v>
      </c>
      <c r="H100" s="1333">
        <v>0</v>
      </c>
      <c r="I100" s="1333">
        <v>0</v>
      </c>
      <c r="J100" s="1333">
        <v>0</v>
      </c>
      <c r="K100" s="1333">
        <v>100</v>
      </c>
      <c r="L100" s="1333">
        <v>0</v>
      </c>
      <c r="M100" s="1333">
        <v>166</v>
      </c>
      <c r="N100" s="1333">
        <v>2</v>
      </c>
      <c r="O100" s="1333">
        <v>0</v>
      </c>
      <c r="P100" s="1333">
        <v>0</v>
      </c>
      <c r="Q100" s="1333">
        <v>130</v>
      </c>
      <c r="R100" s="1333">
        <v>0.17</v>
      </c>
      <c r="S100" s="1333">
        <v>0</v>
      </c>
      <c r="T100" s="1333">
        <v>0</v>
      </c>
      <c r="U100" s="1333">
        <v>0</v>
      </c>
      <c r="V100" s="1333">
        <v>0</v>
      </c>
      <c r="W100" s="1333">
        <v>0</v>
      </c>
      <c r="X100" s="1333">
        <v>0</v>
      </c>
      <c r="Y100" s="1333">
        <v>99</v>
      </c>
      <c r="Z100" s="1333">
        <v>1.08</v>
      </c>
      <c r="AA100" s="1333">
        <v>64</v>
      </c>
      <c r="AB100" s="1333">
        <v>0</v>
      </c>
      <c r="AC100" s="1333">
        <v>0</v>
      </c>
      <c r="AD100" s="1333">
        <v>0</v>
      </c>
      <c r="AE100" s="1333">
        <v>0</v>
      </c>
      <c r="AF100" s="1333">
        <v>0</v>
      </c>
      <c r="AG100" s="1333">
        <v>0</v>
      </c>
      <c r="AH100" s="1333">
        <v>0</v>
      </c>
      <c r="AI100" s="1333">
        <v>0</v>
      </c>
      <c r="AJ100" s="1333">
        <v>0</v>
      </c>
      <c r="AK100" s="1333">
        <v>0</v>
      </c>
      <c r="AL100" s="1333">
        <v>0</v>
      </c>
      <c r="AM100" s="1333">
        <v>0</v>
      </c>
      <c r="AN100" s="1333">
        <v>0</v>
      </c>
      <c r="AO100" s="1086">
        <f>SUMIF($C$71:$AN$71,AO$71,$C100:$AN100)</f>
        <v>655</v>
      </c>
      <c r="AP100" s="1087">
        <f>SUMIF($C$71:$AN$71,AP$71,$C100:$AN100)</f>
        <v>7.15</v>
      </c>
      <c r="AQ100" s="1088">
        <v>0</v>
      </c>
      <c r="AR100" s="1089">
        <v>0</v>
      </c>
      <c r="AS100" s="1632"/>
      <c r="AT100" s="1090"/>
      <c r="AU100" s="1090"/>
      <c r="AV100" s="1090"/>
      <c r="AW100" s="1090"/>
      <c r="AX100" s="1090"/>
      <c r="AY100" s="1090"/>
      <c r="AZ100" s="1090"/>
      <c r="BA100" s="1090"/>
      <c r="BB100" s="1090"/>
      <c r="BC100" s="1090"/>
      <c r="BD100" s="1090"/>
      <c r="BE100" s="1090"/>
      <c r="BF100" s="1090"/>
      <c r="BG100" s="1090"/>
      <c r="BH100" s="1090"/>
      <c r="BI100" s="1090"/>
      <c r="BJ100" s="1090"/>
      <c r="BK100" s="1090"/>
      <c r="BL100" s="1091"/>
      <c r="BM100" s="1092"/>
    </row>
    <row r="101" spans="1:70" ht="24.95" hidden="1" customHeight="1">
      <c r="A101" s="1061"/>
      <c r="B101" s="1080" t="s">
        <v>82</v>
      </c>
      <c r="C101" s="1330"/>
      <c r="D101" s="1330"/>
      <c r="E101" s="1330"/>
      <c r="F101" s="1330"/>
      <c r="G101" s="1330"/>
      <c r="H101" s="1330"/>
      <c r="I101" s="1330"/>
      <c r="J101" s="1330"/>
      <c r="K101" s="1330"/>
      <c r="L101" s="1330"/>
      <c r="M101" s="1330"/>
      <c r="N101" s="1330"/>
      <c r="O101" s="1330"/>
      <c r="P101" s="1330"/>
      <c r="Q101" s="1330"/>
      <c r="R101" s="1330"/>
      <c r="S101" s="1330"/>
      <c r="T101" s="1330"/>
      <c r="U101" s="1330"/>
      <c r="V101" s="1330"/>
      <c r="W101" s="1330"/>
      <c r="X101" s="1330"/>
      <c r="Y101" s="1330"/>
      <c r="Z101" s="1330"/>
      <c r="AA101" s="1330"/>
      <c r="AB101" s="1330"/>
      <c r="AC101" s="1330"/>
      <c r="AD101" s="1330"/>
      <c r="AE101" s="1330"/>
      <c r="AF101" s="1330"/>
      <c r="AG101" s="1330"/>
      <c r="AH101" s="1330"/>
      <c r="AI101" s="1330"/>
      <c r="AJ101" s="1330"/>
      <c r="AK101" s="1330"/>
      <c r="AL101" s="1330"/>
      <c r="AM101" s="1330"/>
      <c r="AN101" s="1330"/>
      <c r="AO101" s="1073"/>
      <c r="AP101" s="1074"/>
      <c r="AQ101" s="1075"/>
      <c r="AR101" s="1076"/>
      <c r="AS101" s="1632"/>
      <c r="AT101" s="1090"/>
      <c r="AU101" s="1090"/>
      <c r="AV101" s="1090"/>
      <c r="AW101" s="1090"/>
      <c r="AX101" s="1090"/>
      <c r="AY101" s="1090"/>
      <c r="AZ101" s="1090"/>
      <c r="BA101" s="1090"/>
      <c r="BB101" s="1090"/>
      <c r="BC101" s="1090"/>
      <c r="BD101" s="1090"/>
      <c r="BE101" s="1090"/>
      <c r="BF101" s="1090"/>
      <c r="BG101" s="1090"/>
      <c r="BH101" s="1090"/>
      <c r="BI101" s="1090"/>
      <c r="BJ101" s="1090"/>
      <c r="BK101" s="1090"/>
      <c r="BL101" s="1078"/>
      <c r="BM101" s="1092"/>
    </row>
    <row r="102" spans="1:70" ht="24.95" hidden="1" customHeight="1">
      <c r="A102" s="1083">
        <v>17</v>
      </c>
      <c r="B102" s="1084" t="s">
        <v>87</v>
      </c>
      <c r="C102" s="1333">
        <v>2877.3</v>
      </c>
      <c r="D102" s="1333">
        <v>58.8</v>
      </c>
      <c r="E102" s="1333">
        <v>1709.8</v>
      </c>
      <c r="F102" s="1333">
        <v>70.8</v>
      </c>
      <c r="G102" s="1333">
        <v>1998</v>
      </c>
      <c r="H102" s="1333">
        <v>14.18</v>
      </c>
      <c r="I102" s="1333">
        <v>3047</v>
      </c>
      <c r="J102" s="1333">
        <v>106.60000000000001</v>
      </c>
      <c r="K102" s="1333">
        <v>3856.7</v>
      </c>
      <c r="L102" s="1333">
        <v>57.3</v>
      </c>
      <c r="M102" s="1333">
        <v>2894.26</v>
      </c>
      <c r="N102" s="1333">
        <v>328.2</v>
      </c>
      <c r="O102" s="1333">
        <v>133</v>
      </c>
      <c r="P102" s="1333">
        <v>0</v>
      </c>
      <c r="Q102" s="1333">
        <v>4883.8</v>
      </c>
      <c r="R102" s="1333">
        <v>9.4700000000000006</v>
      </c>
      <c r="S102" s="1333">
        <v>2816.99</v>
      </c>
      <c r="T102" s="1333">
        <v>14</v>
      </c>
      <c r="U102" s="1333">
        <v>1622.6000000000001</v>
      </c>
      <c r="V102" s="1333">
        <v>346.59999999999997</v>
      </c>
      <c r="W102" s="1333">
        <v>0</v>
      </c>
      <c r="X102" s="1333">
        <v>2983.5833333700002</v>
      </c>
      <c r="Y102" s="1333">
        <v>340</v>
      </c>
      <c r="Z102" s="1333">
        <v>9.75</v>
      </c>
      <c r="AA102" s="1333">
        <v>1400</v>
      </c>
      <c r="AB102" s="1333">
        <v>76.039999999999992</v>
      </c>
      <c r="AC102" s="1333">
        <v>0</v>
      </c>
      <c r="AD102" s="1333">
        <v>0</v>
      </c>
      <c r="AE102" s="1333">
        <v>1016</v>
      </c>
      <c r="AF102" s="1333">
        <v>60.05</v>
      </c>
      <c r="AG102" s="1333">
        <v>1281.25</v>
      </c>
      <c r="AH102" s="1333">
        <v>1.6</v>
      </c>
      <c r="AI102" s="1333">
        <v>1989.35</v>
      </c>
      <c r="AJ102" s="1333">
        <v>31.01</v>
      </c>
      <c r="AK102" s="1333">
        <v>5392</v>
      </c>
      <c r="AL102" s="1333">
        <v>19.45</v>
      </c>
      <c r="AM102" s="1333">
        <v>3087.5</v>
      </c>
      <c r="AN102" s="1333">
        <v>99.583333333333343</v>
      </c>
      <c r="AO102" s="1086">
        <f>SUMIF($C$71:$AN$71,AO$71,$C102:$AN102)</f>
        <v>40345.549999999996</v>
      </c>
      <c r="AP102" s="1087">
        <f>SUMIF($C$71:$AN$71,AP$71,$C102:$AN102)</f>
        <v>4287.0166667033336</v>
      </c>
      <c r="AQ102" s="1088">
        <v>0</v>
      </c>
      <c r="AR102" s="1089">
        <v>2011.5142042100001</v>
      </c>
      <c r="AS102" s="1632"/>
      <c r="AT102" s="1090"/>
      <c r="AU102" s="1090"/>
      <c r="AV102" s="1090"/>
      <c r="AW102" s="1090"/>
      <c r="AX102" s="1090"/>
      <c r="AY102" s="1090"/>
      <c r="AZ102" s="1090"/>
      <c r="BA102" s="1090"/>
      <c r="BB102" s="1090"/>
      <c r="BC102" s="1090"/>
      <c r="BD102" s="1090"/>
      <c r="BE102" s="1090"/>
      <c r="BF102" s="1090"/>
      <c r="BG102" s="1090"/>
      <c r="BH102" s="1090"/>
      <c r="BI102" s="1090"/>
      <c r="BJ102" s="1090"/>
      <c r="BK102" s="1090"/>
      <c r="BL102" s="1091"/>
      <c r="BM102" s="1092"/>
    </row>
    <row r="103" spans="1:70" ht="24.95" hidden="1" customHeight="1">
      <c r="A103" s="1083">
        <v>18</v>
      </c>
      <c r="B103" s="1084" t="s">
        <v>85</v>
      </c>
      <c r="C103" s="1333">
        <v>3745.7</v>
      </c>
      <c r="D103" s="1333">
        <v>236.9</v>
      </c>
      <c r="E103" s="1333">
        <v>1239.75</v>
      </c>
      <c r="F103" s="1333">
        <v>52.5</v>
      </c>
      <c r="G103" s="1333">
        <v>3372</v>
      </c>
      <c r="H103" s="1333">
        <v>356.7</v>
      </c>
      <c r="I103" s="1333">
        <v>3639.2</v>
      </c>
      <c r="J103" s="1333">
        <v>533.4</v>
      </c>
      <c r="K103" s="1333">
        <v>4814.7</v>
      </c>
      <c r="L103" s="1333">
        <v>201.7</v>
      </c>
      <c r="M103" s="1333">
        <v>5643.69</v>
      </c>
      <c r="N103" s="1333">
        <v>358.14</v>
      </c>
      <c r="O103" s="1333">
        <v>852.5</v>
      </c>
      <c r="P103" s="1333">
        <v>6</v>
      </c>
      <c r="Q103" s="1333">
        <v>6345.0050000000001</v>
      </c>
      <c r="R103" s="1333">
        <v>213.35999999999999</v>
      </c>
      <c r="S103" s="1333">
        <v>1883.81</v>
      </c>
      <c r="T103" s="1333">
        <v>6.875</v>
      </c>
      <c r="U103" s="1333">
        <v>3430.5</v>
      </c>
      <c r="V103" s="1333">
        <v>622.9</v>
      </c>
      <c r="W103" s="1333">
        <v>0</v>
      </c>
      <c r="X103" s="1333">
        <v>4115.7083333700002</v>
      </c>
      <c r="Y103" s="1333">
        <v>2141</v>
      </c>
      <c r="Z103" s="1333">
        <v>70.850000000000009</v>
      </c>
      <c r="AA103" s="1333">
        <v>4705.25</v>
      </c>
      <c r="AB103" s="1333">
        <v>115.03</v>
      </c>
      <c r="AC103" s="1333">
        <v>468</v>
      </c>
      <c r="AD103" s="1333">
        <v>0</v>
      </c>
      <c r="AE103" s="1333">
        <v>245</v>
      </c>
      <c r="AF103" s="1333">
        <v>18.399999999999999</v>
      </c>
      <c r="AG103" s="1333">
        <v>1294.6500000000001</v>
      </c>
      <c r="AH103" s="1333">
        <v>4.67</v>
      </c>
      <c r="AI103" s="1333">
        <v>3175.33</v>
      </c>
      <c r="AJ103" s="1333">
        <v>87.91</v>
      </c>
      <c r="AK103" s="1333">
        <v>5389.5</v>
      </c>
      <c r="AL103" s="1333">
        <v>106.66</v>
      </c>
      <c r="AM103" s="1333">
        <v>5143</v>
      </c>
      <c r="AN103" s="1333">
        <v>368.00000000000017</v>
      </c>
      <c r="AO103" s="1086">
        <f>SUMIF($C$71:$AN$71,AO$71,$C103:$AN103)</f>
        <v>57528.585000000006</v>
      </c>
      <c r="AP103" s="1087">
        <f>SUMIF($C$71:$AN$71,AP$71,$C103:$AN103)</f>
        <v>7475.7033333699992</v>
      </c>
      <c r="AQ103" s="1088">
        <v>0</v>
      </c>
      <c r="AR103" s="1089">
        <v>2790.5669156599997</v>
      </c>
      <c r="AS103" s="1632"/>
      <c r="AT103" s="1090"/>
      <c r="AU103" s="1090"/>
      <c r="AV103" s="1090"/>
      <c r="AW103" s="1090"/>
      <c r="AX103" s="1090"/>
      <c r="AY103" s="1090"/>
      <c r="AZ103" s="1090"/>
      <c r="BA103" s="1090"/>
      <c r="BB103" s="1090"/>
      <c r="BC103" s="1090"/>
      <c r="BD103" s="1090"/>
      <c r="BE103" s="1090"/>
      <c r="BF103" s="1090"/>
      <c r="BG103" s="1090"/>
      <c r="BH103" s="1090"/>
      <c r="BI103" s="1090"/>
      <c r="BJ103" s="1090"/>
      <c r="BK103" s="1090"/>
      <c r="BL103" s="1091"/>
      <c r="BM103" s="1092"/>
    </row>
    <row r="104" spans="1:70" ht="30" hidden="1" customHeight="1">
      <c r="A104" s="1041"/>
      <c r="B104" s="1080" t="s">
        <v>2</v>
      </c>
      <c r="C104" s="1086">
        <f t="shared" ref="C104:AG104" si="42">SUM(C89:C92,C94:C97,C99:C100,C102:C103)</f>
        <v>7766.4</v>
      </c>
      <c r="D104" s="1086">
        <f t="shared" si="42"/>
        <v>299.7</v>
      </c>
      <c r="E104" s="1086">
        <f t="shared" si="42"/>
        <v>3045.55</v>
      </c>
      <c r="F104" s="1086">
        <f t="shared" si="42"/>
        <v>127.2</v>
      </c>
      <c r="G104" s="1086">
        <f t="shared" si="42"/>
        <v>7598.5</v>
      </c>
      <c r="H104" s="1086">
        <f t="shared" si="42"/>
        <v>371.38</v>
      </c>
      <c r="I104" s="1086">
        <f t="shared" si="42"/>
        <v>8406.2000000000007</v>
      </c>
      <c r="J104" s="1086">
        <f t="shared" si="42"/>
        <v>640</v>
      </c>
      <c r="K104" s="1086">
        <f t="shared" si="42"/>
        <v>10139.450000000001</v>
      </c>
      <c r="L104" s="1086">
        <f t="shared" si="42"/>
        <v>259</v>
      </c>
      <c r="M104" s="1086">
        <f t="shared" si="42"/>
        <v>10110.950000000001</v>
      </c>
      <c r="N104" s="1086">
        <f t="shared" si="42"/>
        <v>704.56</v>
      </c>
      <c r="O104" s="1086">
        <f t="shared" si="42"/>
        <v>985.5</v>
      </c>
      <c r="P104" s="1086">
        <f t="shared" si="42"/>
        <v>6</v>
      </c>
      <c r="Q104" s="1086">
        <f t="shared" si="42"/>
        <v>13165.605</v>
      </c>
      <c r="R104" s="1086">
        <f t="shared" si="42"/>
        <v>229.29999999999998</v>
      </c>
      <c r="S104" s="1086">
        <f t="shared" si="42"/>
        <v>4700.7999999999993</v>
      </c>
      <c r="T104" s="1086">
        <f t="shared" si="42"/>
        <v>20.875</v>
      </c>
      <c r="U104" s="1086">
        <f t="shared" si="42"/>
        <v>5053.1000000000004</v>
      </c>
      <c r="V104" s="1086">
        <f t="shared" si="42"/>
        <v>969.5</v>
      </c>
      <c r="W104" s="1086">
        <f t="shared" si="42"/>
        <v>0</v>
      </c>
      <c r="X104" s="1086">
        <f t="shared" si="42"/>
        <v>7099.2916667400004</v>
      </c>
      <c r="Y104" s="1086">
        <f t="shared" si="42"/>
        <v>2580</v>
      </c>
      <c r="Z104" s="1086">
        <f t="shared" si="42"/>
        <v>81.680000000000007</v>
      </c>
      <c r="AA104" s="1086">
        <f t="shared" si="42"/>
        <v>6989.25</v>
      </c>
      <c r="AB104" s="1086">
        <f t="shared" si="42"/>
        <v>191.07</v>
      </c>
      <c r="AC104" s="1086">
        <f t="shared" si="42"/>
        <v>562</v>
      </c>
      <c r="AD104" s="1086">
        <f t="shared" si="42"/>
        <v>0</v>
      </c>
      <c r="AE104" s="1086">
        <f t="shared" si="42"/>
        <v>1261</v>
      </c>
      <c r="AF104" s="1086">
        <f t="shared" si="42"/>
        <v>78.449999999999989</v>
      </c>
      <c r="AG104" s="1086">
        <f t="shared" si="42"/>
        <v>2756.9</v>
      </c>
      <c r="AH104" s="1086">
        <f t="shared" ref="AH104:AR104" si="43">SUM(AH89:AH92,AH94:AH97,AH99:AH100,AH102:AH103)</f>
        <v>6.27</v>
      </c>
      <c r="AI104" s="1086">
        <f t="shared" si="43"/>
        <v>6301.13</v>
      </c>
      <c r="AJ104" s="1086">
        <f t="shared" si="43"/>
        <v>119.82</v>
      </c>
      <c r="AK104" s="1086">
        <f t="shared" si="43"/>
        <v>11354</v>
      </c>
      <c r="AL104" s="1086">
        <f t="shared" si="43"/>
        <v>127.50999999999999</v>
      </c>
      <c r="AM104" s="1086">
        <f t="shared" si="43"/>
        <v>10521.5</v>
      </c>
      <c r="AN104" s="1086">
        <f t="shared" si="43"/>
        <v>467.58333333333348</v>
      </c>
      <c r="AO104" s="1086">
        <f t="shared" si="43"/>
        <v>113297.83500000001</v>
      </c>
      <c r="AP104" s="1087">
        <f t="shared" si="43"/>
        <v>11799.190000073333</v>
      </c>
      <c r="AQ104" s="1096">
        <f t="shared" si="43"/>
        <v>0</v>
      </c>
      <c r="AR104" s="1087">
        <f t="shared" si="43"/>
        <v>4802.0811198699994</v>
      </c>
      <c r="AS104" s="1632"/>
      <c r="AT104" s="1090"/>
      <c r="AU104" s="1090"/>
      <c r="AV104" s="1090"/>
      <c r="AW104" s="1090"/>
      <c r="AX104" s="1090"/>
      <c r="AY104" s="1090"/>
      <c r="AZ104" s="1090"/>
      <c r="BA104" s="1090"/>
      <c r="BB104" s="1090"/>
      <c r="BC104" s="1090"/>
      <c r="BD104" s="1090"/>
      <c r="BE104" s="1090"/>
      <c r="BF104" s="1090"/>
      <c r="BG104" s="1090"/>
      <c r="BH104" s="1090"/>
      <c r="BI104" s="1090"/>
      <c r="BJ104" s="1090"/>
      <c r="BK104" s="1090"/>
      <c r="BL104" s="1109"/>
      <c r="BM104" s="1092"/>
    </row>
    <row r="105" spans="1:70" s="1119" customFormat="1" ht="30" hidden="1" customHeight="1" thickBot="1">
      <c r="A105" s="1110">
        <v>19</v>
      </c>
      <c r="B105" s="1111" t="s">
        <v>88</v>
      </c>
      <c r="C105" s="1112">
        <f t="shared" ref="C105:AG105" si="44">SUM(C74,C79,C85,C104)</f>
        <v>9010.4399999999987</v>
      </c>
      <c r="D105" s="1112">
        <f t="shared" si="44"/>
        <v>574.29999999999995</v>
      </c>
      <c r="E105" s="1112">
        <f t="shared" si="44"/>
        <v>3151.55</v>
      </c>
      <c r="F105" s="1112">
        <f t="shared" si="44"/>
        <v>224.9</v>
      </c>
      <c r="G105" s="1112">
        <f t="shared" si="44"/>
        <v>8630.7999999999993</v>
      </c>
      <c r="H105" s="1112">
        <f t="shared" si="44"/>
        <v>1270.9099999999999</v>
      </c>
      <c r="I105" s="1112">
        <f t="shared" si="44"/>
        <v>9163.2000000000007</v>
      </c>
      <c r="J105" s="1112">
        <f t="shared" si="44"/>
        <v>964.38400000000001</v>
      </c>
      <c r="K105" s="1112">
        <f t="shared" si="44"/>
        <v>12504.85</v>
      </c>
      <c r="L105" s="1112">
        <f t="shared" si="44"/>
        <v>567.40000000000009</v>
      </c>
      <c r="M105" s="1112">
        <f t="shared" si="44"/>
        <v>10639.95</v>
      </c>
      <c r="N105" s="1112">
        <f t="shared" si="44"/>
        <v>908.25</v>
      </c>
      <c r="O105" s="1112">
        <f t="shared" si="44"/>
        <v>1223.5</v>
      </c>
      <c r="P105" s="1112">
        <f t="shared" si="44"/>
        <v>25.5</v>
      </c>
      <c r="Q105" s="1112">
        <f t="shared" si="44"/>
        <v>15829.605</v>
      </c>
      <c r="R105" s="1112">
        <f t="shared" si="44"/>
        <v>993.52</v>
      </c>
      <c r="S105" s="1112">
        <f t="shared" si="44"/>
        <v>5589.0999999999995</v>
      </c>
      <c r="T105" s="1112">
        <f t="shared" si="44"/>
        <v>120.67500000000001</v>
      </c>
      <c r="U105" s="1112">
        <f t="shared" si="44"/>
        <v>5233.1000000000004</v>
      </c>
      <c r="V105" s="1112">
        <f t="shared" si="44"/>
        <v>1085.3</v>
      </c>
      <c r="W105" s="1112">
        <f t="shared" si="44"/>
        <v>0</v>
      </c>
      <c r="X105" s="1112">
        <f t="shared" si="44"/>
        <v>7219.2916667400004</v>
      </c>
      <c r="Y105" s="1112">
        <f t="shared" si="44"/>
        <v>2817</v>
      </c>
      <c r="Z105" s="1112">
        <f t="shared" si="44"/>
        <v>265.98</v>
      </c>
      <c r="AA105" s="1112">
        <f t="shared" si="44"/>
        <v>7206.25</v>
      </c>
      <c r="AB105" s="1112">
        <f t="shared" si="44"/>
        <v>404.88</v>
      </c>
      <c r="AC105" s="1112">
        <f t="shared" si="44"/>
        <v>647.5</v>
      </c>
      <c r="AD105" s="1112">
        <f t="shared" si="44"/>
        <v>12</v>
      </c>
      <c r="AE105" s="1112">
        <f t="shared" si="44"/>
        <v>1333</v>
      </c>
      <c r="AF105" s="1112">
        <f t="shared" si="44"/>
        <v>105.54999999999998</v>
      </c>
      <c r="AG105" s="1112">
        <f t="shared" si="44"/>
        <v>3661.4</v>
      </c>
      <c r="AH105" s="1112">
        <f t="shared" ref="AH105:AR105" si="45">SUM(AH74,AH79,AH85,AH104)</f>
        <v>76.509999999999991</v>
      </c>
      <c r="AI105" s="1112">
        <f t="shared" si="45"/>
        <v>6844.26</v>
      </c>
      <c r="AJ105" s="1112">
        <f t="shared" si="45"/>
        <v>413.90000000000003</v>
      </c>
      <c r="AK105" s="1112">
        <f t="shared" si="45"/>
        <v>13617.65</v>
      </c>
      <c r="AL105" s="1112">
        <f t="shared" si="45"/>
        <v>510.36</v>
      </c>
      <c r="AM105" s="1112">
        <f t="shared" si="45"/>
        <v>11372.5</v>
      </c>
      <c r="AN105" s="1112">
        <f t="shared" si="45"/>
        <v>822.66666666666674</v>
      </c>
      <c r="AO105" s="1112">
        <f t="shared" si="45"/>
        <v>128475.655</v>
      </c>
      <c r="AP105" s="1113">
        <f t="shared" si="45"/>
        <v>16566.277333406666</v>
      </c>
      <c r="AQ105" s="1114">
        <f t="shared" si="45"/>
        <v>0</v>
      </c>
      <c r="AR105" s="1113">
        <f t="shared" si="45"/>
        <v>4898.885998153999</v>
      </c>
      <c r="AS105" s="1115"/>
      <c r="AT105" s="1115"/>
      <c r="AU105" s="1115"/>
      <c r="AV105" s="1115"/>
      <c r="AW105" s="1115"/>
      <c r="AX105" s="1115"/>
      <c r="AY105" s="1115"/>
      <c r="AZ105" s="1115"/>
      <c r="BA105" s="1115"/>
      <c r="BB105" s="1115"/>
      <c r="BC105" s="1115"/>
      <c r="BD105" s="1115"/>
      <c r="BE105" s="1115"/>
      <c r="BF105" s="1115"/>
      <c r="BG105" s="1115"/>
      <c r="BH105" s="1115"/>
      <c r="BI105" s="1115"/>
      <c r="BJ105" s="1115"/>
      <c r="BK105" s="1115"/>
      <c r="BL105" s="1116"/>
      <c r="BM105" s="1117"/>
      <c r="BP105" s="1118"/>
      <c r="BQ105" s="1118"/>
      <c r="BR105" s="1118"/>
    </row>
    <row r="106" spans="1:70" ht="24.95" hidden="1" customHeight="1">
      <c r="A106" s="1120" t="s">
        <v>98</v>
      </c>
      <c r="C106" s="1121">
        <v>9010.4399999999987</v>
      </c>
      <c r="D106" s="1121">
        <v>574.29999999999995</v>
      </c>
      <c r="E106" s="1121">
        <v>3151.55</v>
      </c>
      <c r="F106" s="1121">
        <v>224.9</v>
      </c>
      <c r="G106" s="1121">
        <v>8630.7999999999993</v>
      </c>
      <c r="H106" s="1121">
        <v>1270.9099999999999</v>
      </c>
      <c r="I106" s="1121">
        <v>9163.2000000000007</v>
      </c>
      <c r="J106" s="1121">
        <v>964.38400000000001</v>
      </c>
      <c r="K106" s="1121">
        <v>12504.85</v>
      </c>
      <c r="L106" s="1121">
        <v>567.40000000000009</v>
      </c>
      <c r="M106" s="1121">
        <v>10639.95</v>
      </c>
      <c r="N106" s="1121">
        <v>908.25</v>
      </c>
      <c r="O106" s="1121">
        <v>1223.5</v>
      </c>
      <c r="P106" s="1121">
        <v>25.5</v>
      </c>
      <c r="Q106" s="1121">
        <v>15829.605</v>
      </c>
      <c r="R106" s="1121">
        <v>993.52</v>
      </c>
      <c r="S106" s="1121">
        <v>5589.0999999999995</v>
      </c>
      <c r="T106" s="1121">
        <v>120.67500000000001</v>
      </c>
      <c r="U106" s="1121">
        <v>5233.1000000000004</v>
      </c>
      <c r="V106" s="1121">
        <v>1085.3</v>
      </c>
      <c r="W106" s="1121">
        <v>0</v>
      </c>
      <c r="X106" s="1121">
        <v>7219.2916667400004</v>
      </c>
      <c r="Y106" s="1121">
        <v>2817</v>
      </c>
      <c r="Z106" s="1121">
        <v>265.98</v>
      </c>
      <c r="AA106" s="1121">
        <v>7206.25</v>
      </c>
      <c r="AB106" s="1121">
        <v>404.88</v>
      </c>
      <c r="AC106" s="1121">
        <v>647.5</v>
      </c>
      <c r="AD106" s="1121">
        <v>12</v>
      </c>
      <c r="AE106" s="1121">
        <v>1333</v>
      </c>
      <c r="AF106" s="1121">
        <v>105.54999999999998</v>
      </c>
      <c r="AG106" s="1121">
        <v>3661.4</v>
      </c>
      <c r="AH106" s="1121">
        <v>76.509999999999991</v>
      </c>
      <c r="AI106" s="1121">
        <v>6844.26</v>
      </c>
      <c r="AJ106" s="1121">
        <v>413.90000000000003</v>
      </c>
      <c r="AK106" s="1121">
        <v>13617.65</v>
      </c>
      <c r="AL106" s="1121">
        <v>510.36</v>
      </c>
      <c r="AM106" s="1121">
        <v>11372.5</v>
      </c>
      <c r="AN106" s="1121">
        <v>822.66666666666674</v>
      </c>
      <c r="AO106" s="1121">
        <v>128475.655</v>
      </c>
      <c r="AP106" s="1121">
        <v>16566.277333406666</v>
      </c>
      <c r="AQ106" s="1121">
        <v>0</v>
      </c>
      <c r="AR106" s="1121">
        <v>4898.885998153999</v>
      </c>
      <c r="AU106" s="892"/>
      <c r="AV106" s="892"/>
      <c r="AW106" s="892"/>
      <c r="AX106" s="892"/>
      <c r="AY106" s="892"/>
      <c r="AZ106" s="892"/>
      <c r="BA106" s="892"/>
      <c r="BB106" s="892"/>
      <c r="BC106" s="892"/>
      <c r="BD106" s="892"/>
      <c r="BE106" s="892"/>
      <c r="BF106" s="892"/>
      <c r="BG106" s="892"/>
      <c r="BH106" s="892"/>
      <c r="BI106" s="892"/>
      <c r="BJ106" s="892"/>
      <c r="BK106" s="892"/>
      <c r="BL106" s="892"/>
      <c r="BM106" s="892"/>
      <c r="BN106" s="892"/>
      <c r="BO106" s="892"/>
    </row>
    <row r="107" spans="1:70" ht="20.100000000000001" hidden="1" customHeight="1">
      <c r="A107" s="1120" t="s">
        <v>289</v>
      </c>
      <c r="C107" s="1122">
        <f t="shared" ref="C107:AG107" si="46">C106-C105</f>
        <v>0</v>
      </c>
      <c r="D107" s="1122">
        <f t="shared" si="46"/>
        <v>0</v>
      </c>
      <c r="E107" s="1122">
        <f t="shared" si="46"/>
        <v>0</v>
      </c>
      <c r="F107" s="1122">
        <f t="shared" si="46"/>
        <v>0</v>
      </c>
      <c r="G107" s="1122">
        <f t="shared" si="46"/>
        <v>0</v>
      </c>
      <c r="H107" s="1122">
        <f t="shared" si="46"/>
        <v>0</v>
      </c>
      <c r="I107" s="1122">
        <f t="shared" si="46"/>
        <v>0</v>
      </c>
      <c r="J107" s="1122">
        <f t="shared" si="46"/>
        <v>0</v>
      </c>
      <c r="K107" s="1122">
        <f t="shared" si="46"/>
        <v>0</v>
      </c>
      <c r="L107" s="1122">
        <f t="shared" si="46"/>
        <v>0</v>
      </c>
      <c r="M107" s="1122">
        <f t="shared" si="46"/>
        <v>0</v>
      </c>
      <c r="N107" s="1122">
        <f t="shared" si="46"/>
        <v>0</v>
      </c>
      <c r="O107" s="1122">
        <f t="shared" si="46"/>
        <v>0</v>
      </c>
      <c r="P107" s="1122">
        <f t="shared" si="46"/>
        <v>0</v>
      </c>
      <c r="Q107" s="1122">
        <f t="shared" si="46"/>
        <v>0</v>
      </c>
      <c r="R107" s="1122">
        <f t="shared" si="46"/>
        <v>0</v>
      </c>
      <c r="S107" s="1122">
        <f t="shared" si="46"/>
        <v>0</v>
      </c>
      <c r="T107" s="1122">
        <f t="shared" si="46"/>
        <v>0</v>
      </c>
      <c r="U107" s="1122">
        <f t="shared" si="46"/>
        <v>0</v>
      </c>
      <c r="V107" s="1122">
        <f t="shared" si="46"/>
        <v>0</v>
      </c>
      <c r="W107" s="1122">
        <f t="shared" si="46"/>
        <v>0</v>
      </c>
      <c r="X107" s="1122">
        <f t="shared" si="46"/>
        <v>0</v>
      </c>
      <c r="Y107" s="1122">
        <f t="shared" si="46"/>
        <v>0</v>
      </c>
      <c r="Z107" s="1122">
        <f t="shared" si="46"/>
        <v>0</v>
      </c>
      <c r="AA107" s="1122">
        <f t="shared" si="46"/>
        <v>0</v>
      </c>
      <c r="AB107" s="1122">
        <f t="shared" si="46"/>
        <v>0</v>
      </c>
      <c r="AC107" s="1122">
        <f t="shared" si="46"/>
        <v>0</v>
      </c>
      <c r="AD107" s="1122">
        <f t="shared" si="46"/>
        <v>0</v>
      </c>
      <c r="AE107" s="1122">
        <f t="shared" si="46"/>
        <v>0</v>
      </c>
      <c r="AF107" s="1122">
        <f t="shared" si="46"/>
        <v>0</v>
      </c>
      <c r="AG107" s="1122">
        <f t="shared" si="46"/>
        <v>0</v>
      </c>
      <c r="AH107" s="1122">
        <f t="shared" ref="AH107:AR107" si="47">AH106-AH105</f>
        <v>0</v>
      </c>
      <c r="AI107" s="1122">
        <f t="shared" si="47"/>
        <v>0</v>
      </c>
      <c r="AJ107" s="1122">
        <f t="shared" si="47"/>
        <v>0</v>
      </c>
      <c r="AK107" s="1122">
        <f t="shared" si="47"/>
        <v>0</v>
      </c>
      <c r="AL107" s="1122">
        <f t="shared" si="47"/>
        <v>0</v>
      </c>
      <c r="AM107" s="1122">
        <f t="shared" si="47"/>
        <v>0</v>
      </c>
      <c r="AN107" s="1122">
        <f t="shared" si="47"/>
        <v>0</v>
      </c>
      <c r="AO107" s="1122">
        <f t="shared" si="47"/>
        <v>0</v>
      </c>
      <c r="AP107" s="1122">
        <f t="shared" si="47"/>
        <v>0</v>
      </c>
      <c r="AQ107" s="1122">
        <f t="shared" si="47"/>
        <v>0</v>
      </c>
      <c r="AR107" s="1122">
        <f t="shared" si="47"/>
        <v>0</v>
      </c>
      <c r="AU107" s="892"/>
      <c r="AV107" s="892"/>
      <c r="AW107" s="892"/>
      <c r="AX107" s="892"/>
      <c r="AY107" s="892"/>
      <c r="AZ107" s="892"/>
      <c r="BA107" s="892"/>
      <c r="BB107" s="892"/>
      <c r="BC107" s="892"/>
      <c r="BD107" s="892"/>
      <c r="BE107" s="892"/>
      <c r="BF107" s="892"/>
      <c r="BG107" s="892"/>
      <c r="BH107" s="892"/>
      <c r="BI107" s="892"/>
      <c r="BJ107" s="892"/>
      <c r="BK107" s="892"/>
      <c r="BL107" s="892"/>
      <c r="BM107" s="892"/>
      <c r="BN107" s="892"/>
      <c r="BO107" s="892"/>
    </row>
    <row r="108" spans="1:70" hidden="1"/>
    <row r="109" spans="1:70" ht="20.100000000000001" hidden="1" customHeight="1">
      <c r="A109" s="995" t="s">
        <v>350</v>
      </c>
    </row>
    <row r="110" spans="1:70" hidden="1"/>
    <row r="111" spans="1:70" ht="20.100000000000001" hidden="1" customHeight="1">
      <c r="A111" s="1123" t="s">
        <v>114</v>
      </c>
    </row>
    <row r="112" spans="1:70" ht="20.100000000000001" hidden="1" customHeight="1">
      <c r="A112" s="977">
        <v>1</v>
      </c>
      <c r="B112" s="977">
        <v>2</v>
      </c>
      <c r="C112" s="977">
        <v>3</v>
      </c>
      <c r="D112" s="977">
        <v>4</v>
      </c>
      <c r="E112" s="977">
        <v>5</v>
      </c>
      <c r="F112" s="977">
        <v>6</v>
      </c>
      <c r="G112" s="977">
        <v>7</v>
      </c>
      <c r="H112" s="977">
        <v>8</v>
      </c>
      <c r="I112" s="977">
        <v>9</v>
      </c>
      <c r="J112" s="977">
        <v>10</v>
      </c>
      <c r="K112" s="977">
        <v>11</v>
      </c>
      <c r="L112" s="977">
        <v>12</v>
      </c>
      <c r="M112" s="977">
        <v>13</v>
      </c>
      <c r="N112" s="977">
        <v>14</v>
      </c>
      <c r="O112" s="977">
        <v>15</v>
      </c>
      <c r="P112" s="977">
        <v>16</v>
      </c>
      <c r="Q112" s="977">
        <v>17</v>
      </c>
      <c r="R112" s="977">
        <v>18</v>
      </c>
      <c r="S112" s="977">
        <v>19</v>
      </c>
      <c r="T112" s="977">
        <v>20</v>
      </c>
      <c r="U112" s="977">
        <v>21</v>
      </c>
      <c r="V112" s="977">
        <v>22</v>
      </c>
      <c r="W112" s="977">
        <v>23</v>
      </c>
      <c r="X112" s="977">
        <v>24</v>
      </c>
      <c r="Y112" s="977">
        <v>25</v>
      </c>
      <c r="Z112" s="977">
        <v>26</v>
      </c>
      <c r="AA112" s="977">
        <v>27</v>
      </c>
      <c r="AB112" s="977">
        <v>28</v>
      </c>
      <c r="AC112" s="977">
        <v>29</v>
      </c>
      <c r="AD112" s="977">
        <v>30</v>
      </c>
      <c r="AE112" s="977">
        <v>31</v>
      </c>
      <c r="AF112" s="977">
        <v>32</v>
      </c>
      <c r="AG112" s="977">
        <v>33</v>
      </c>
      <c r="AH112" s="977">
        <v>34</v>
      </c>
      <c r="AI112" s="977">
        <v>35</v>
      </c>
      <c r="AJ112" s="977">
        <v>36</v>
      </c>
      <c r="AK112" s="977">
        <v>37</v>
      </c>
      <c r="AL112" s="977">
        <v>38</v>
      </c>
      <c r="AM112" s="977">
        <v>39</v>
      </c>
      <c r="AN112" s="977">
        <v>40</v>
      </c>
      <c r="AO112" s="977">
        <v>41</v>
      </c>
      <c r="AP112" s="977">
        <v>42</v>
      </c>
      <c r="AQ112" s="977">
        <v>43</v>
      </c>
      <c r="AR112" s="977">
        <v>44</v>
      </c>
      <c r="AS112" s="977">
        <v>45</v>
      </c>
      <c r="AT112" s="977">
        <v>46</v>
      </c>
      <c r="AU112" s="977">
        <v>47</v>
      </c>
      <c r="AV112" s="977">
        <v>48</v>
      </c>
      <c r="AW112" s="977">
        <v>49</v>
      </c>
      <c r="AX112" s="977">
        <v>50</v>
      </c>
      <c r="AY112" s="977">
        <v>51</v>
      </c>
      <c r="AZ112" s="977">
        <v>52</v>
      </c>
      <c r="BA112" s="977">
        <v>53</v>
      </c>
      <c r="BB112" s="977">
        <v>54</v>
      </c>
      <c r="BC112" s="977">
        <v>55</v>
      </c>
      <c r="BD112" s="977">
        <v>56</v>
      </c>
      <c r="BE112" s="977">
        <v>57</v>
      </c>
      <c r="BF112" s="977">
        <v>58</v>
      </c>
      <c r="BG112" s="977">
        <v>59</v>
      </c>
      <c r="BH112" s="977">
        <v>60</v>
      </c>
      <c r="BI112" s="977">
        <v>61</v>
      </c>
      <c r="BJ112" s="977">
        <v>62</v>
      </c>
      <c r="BK112" s="977">
        <v>63</v>
      </c>
      <c r="BL112" s="977">
        <v>64</v>
      </c>
      <c r="BM112" s="977">
        <v>65</v>
      </c>
      <c r="BN112" s="1635"/>
      <c r="BO112" s="1635"/>
    </row>
    <row r="113" spans="1:70" ht="15.75" hidden="1" thickBot="1">
      <c r="BN113" s="1635"/>
      <c r="BO113" s="1635"/>
    </row>
    <row r="114" spans="1:70" ht="30" hidden="1" customHeight="1">
      <c r="A114" s="978"/>
      <c r="B114" s="1040"/>
      <c r="C114" s="1978" t="s">
        <v>76</v>
      </c>
      <c r="D114" s="1976"/>
      <c r="E114" s="1976"/>
      <c r="F114" s="1976"/>
      <c r="G114" s="1976"/>
      <c r="H114" s="1976"/>
      <c r="I114" s="1976"/>
      <c r="J114" s="1976"/>
      <c r="K114" s="1976"/>
      <c r="L114" s="1976"/>
      <c r="M114" s="1976"/>
      <c r="N114" s="1976"/>
      <c r="O114" s="1976"/>
      <c r="P114" s="1976"/>
      <c r="Q114" s="1976"/>
      <c r="R114" s="1976"/>
      <c r="S114" s="1976"/>
      <c r="T114" s="1976"/>
      <c r="U114" s="1976"/>
      <c r="V114" s="1976"/>
      <c r="W114" s="1976"/>
      <c r="X114" s="1976"/>
      <c r="Y114" s="1976"/>
      <c r="Z114" s="1976"/>
      <c r="AA114" s="1976"/>
      <c r="AB114" s="1976"/>
      <c r="AC114" s="1976"/>
      <c r="AD114" s="1976"/>
      <c r="AE114" s="1976"/>
      <c r="AF114" s="1976"/>
      <c r="AG114" s="1976"/>
      <c r="AH114" s="1976"/>
      <c r="AI114" s="1976"/>
      <c r="AJ114" s="1976"/>
      <c r="AK114" s="1976"/>
      <c r="AL114" s="1976"/>
      <c r="AM114" s="1976"/>
      <c r="AN114" s="1976"/>
      <c r="AO114" s="1976"/>
      <c r="AP114" s="1976"/>
      <c r="AQ114" s="1976"/>
      <c r="AR114" s="1977"/>
      <c r="AS114" s="1975" t="s">
        <v>267</v>
      </c>
      <c r="AT114" s="1976"/>
      <c r="AU114" s="1976"/>
      <c r="AV114" s="1976"/>
      <c r="AW114" s="1976"/>
      <c r="AX114" s="1976"/>
      <c r="AY114" s="1976"/>
      <c r="AZ114" s="1976"/>
      <c r="BA114" s="1976"/>
      <c r="BB114" s="1976"/>
      <c r="BC114" s="1976"/>
      <c r="BD114" s="1976"/>
      <c r="BE114" s="1976"/>
      <c r="BF114" s="1976"/>
      <c r="BG114" s="1976"/>
      <c r="BH114" s="1976"/>
      <c r="BI114" s="1976"/>
      <c r="BJ114" s="1976"/>
      <c r="BK114" s="1976"/>
      <c r="BL114" s="1976"/>
      <c r="BM114" s="1977"/>
      <c r="BN114" s="1635"/>
      <c r="BO114" s="1635"/>
      <c r="BP114" s="966"/>
      <c r="BQ114" s="966"/>
      <c r="BR114" s="966"/>
    </row>
    <row r="115" spans="1:70" ht="65.099999999999994" hidden="1" customHeight="1">
      <c r="A115" s="1041"/>
      <c r="B115" s="1042"/>
      <c r="C115" s="1989" t="s">
        <v>127</v>
      </c>
      <c r="D115" s="1990"/>
      <c r="E115" s="1983" t="s">
        <v>128</v>
      </c>
      <c r="F115" s="1984"/>
      <c r="G115" s="1989" t="s">
        <v>129</v>
      </c>
      <c r="H115" s="1990"/>
      <c r="I115" s="2003" t="s">
        <v>137</v>
      </c>
      <c r="J115" s="1984"/>
      <c r="K115" s="1989" t="s">
        <v>136</v>
      </c>
      <c r="L115" s="1990"/>
      <c r="M115" s="1983" t="s">
        <v>284</v>
      </c>
      <c r="N115" s="1989"/>
      <c r="O115" s="1983" t="s">
        <v>285</v>
      </c>
      <c r="P115" s="1984"/>
      <c r="Q115" s="1983" t="s">
        <v>269</v>
      </c>
      <c r="R115" s="1984"/>
      <c r="S115" s="1983" t="s">
        <v>138</v>
      </c>
      <c r="T115" s="1991"/>
      <c r="U115" s="1983" t="s">
        <v>286</v>
      </c>
      <c r="V115" s="1991"/>
      <c r="W115" s="1983" t="s">
        <v>139</v>
      </c>
      <c r="X115" s="1991"/>
      <c r="Y115" s="1983" t="s">
        <v>287</v>
      </c>
      <c r="Z115" s="1991"/>
      <c r="AA115" s="1983" t="s">
        <v>134</v>
      </c>
      <c r="AB115" s="1989"/>
      <c r="AC115" s="2012" t="s">
        <v>288</v>
      </c>
      <c r="AD115" s="2013"/>
      <c r="AE115" s="2014" t="s">
        <v>162</v>
      </c>
      <c r="AF115" s="1984"/>
      <c r="AG115" s="1973" t="s">
        <v>133</v>
      </c>
      <c r="AH115" s="1974"/>
      <c r="AI115" s="1973" t="s">
        <v>132</v>
      </c>
      <c r="AJ115" s="1974"/>
      <c r="AK115" s="1973" t="s">
        <v>131</v>
      </c>
      <c r="AL115" s="1974"/>
      <c r="AM115" s="1973" t="s">
        <v>130</v>
      </c>
      <c r="AN115" s="1974"/>
      <c r="AO115" s="2006" t="s">
        <v>2</v>
      </c>
      <c r="AP115" s="2007"/>
      <c r="AQ115" s="2008" t="s">
        <v>140</v>
      </c>
      <c r="AR115" s="2009"/>
      <c r="AS115" s="1141" t="s">
        <v>127</v>
      </c>
      <c r="AT115" s="1620" t="s">
        <v>128</v>
      </c>
      <c r="AU115" s="1620" t="s">
        <v>129</v>
      </c>
      <c r="AV115" s="1620" t="s">
        <v>137</v>
      </c>
      <c r="AW115" s="1620" t="s">
        <v>136</v>
      </c>
      <c r="AX115" s="1620" t="s">
        <v>135</v>
      </c>
      <c r="AY115" s="1620" t="s">
        <v>268</v>
      </c>
      <c r="AZ115" s="1620" t="s">
        <v>269</v>
      </c>
      <c r="BA115" s="1620" t="s">
        <v>138</v>
      </c>
      <c r="BB115" s="1620" t="s">
        <v>270</v>
      </c>
      <c r="BC115" s="1620" t="s">
        <v>271</v>
      </c>
      <c r="BD115" s="1620" t="s">
        <v>272</v>
      </c>
      <c r="BE115" s="1620" t="s">
        <v>273</v>
      </c>
      <c r="BF115" s="1777" t="s">
        <v>274</v>
      </c>
      <c r="BG115" s="1045" t="s">
        <v>162</v>
      </c>
      <c r="BH115" s="1620" t="s">
        <v>133</v>
      </c>
      <c r="BI115" s="1620" t="s">
        <v>132</v>
      </c>
      <c r="BJ115" s="1620" t="s">
        <v>131</v>
      </c>
      <c r="BK115" s="1620" t="s">
        <v>275</v>
      </c>
      <c r="BL115" s="1046" t="s">
        <v>2</v>
      </c>
      <c r="BM115" s="1047" t="s">
        <v>276</v>
      </c>
      <c r="BN115" s="1635"/>
      <c r="BO115" s="1635"/>
      <c r="BP115" s="966"/>
      <c r="BQ115" s="966"/>
      <c r="BR115" s="966"/>
    </row>
    <row r="116" spans="1:70" ht="24.95" hidden="1" customHeight="1">
      <c r="A116" s="1041"/>
      <c r="B116" s="1048" t="s">
        <v>141</v>
      </c>
      <c r="C116" s="1049" t="s">
        <v>42</v>
      </c>
      <c r="D116" s="1050" t="s">
        <v>31</v>
      </c>
      <c r="E116" s="1050" t="s">
        <v>42</v>
      </c>
      <c r="F116" s="1050" t="s">
        <v>31</v>
      </c>
      <c r="G116" s="1050" t="s">
        <v>42</v>
      </c>
      <c r="H116" s="1050" t="s">
        <v>31</v>
      </c>
      <c r="I116" s="1050" t="s">
        <v>42</v>
      </c>
      <c r="J116" s="1050" t="s">
        <v>31</v>
      </c>
      <c r="K116" s="1050" t="s">
        <v>42</v>
      </c>
      <c r="L116" s="1050" t="s">
        <v>31</v>
      </c>
      <c r="M116" s="1050" t="s">
        <v>42</v>
      </c>
      <c r="N116" s="1050" t="s">
        <v>31</v>
      </c>
      <c r="O116" s="1050" t="s">
        <v>42</v>
      </c>
      <c r="P116" s="1050" t="s">
        <v>31</v>
      </c>
      <c r="Q116" s="1050" t="s">
        <v>42</v>
      </c>
      <c r="R116" s="1050" t="s">
        <v>31</v>
      </c>
      <c r="S116" s="1050" t="s">
        <v>42</v>
      </c>
      <c r="T116" s="1050" t="s">
        <v>31</v>
      </c>
      <c r="U116" s="1050" t="s">
        <v>42</v>
      </c>
      <c r="V116" s="1050" t="s">
        <v>31</v>
      </c>
      <c r="W116" s="1050" t="s">
        <v>42</v>
      </c>
      <c r="X116" s="1050" t="s">
        <v>31</v>
      </c>
      <c r="Y116" s="1050" t="s">
        <v>42</v>
      </c>
      <c r="Z116" s="1050" t="s">
        <v>31</v>
      </c>
      <c r="AA116" s="1050" t="s">
        <v>42</v>
      </c>
      <c r="AB116" s="1050" t="s">
        <v>31</v>
      </c>
      <c r="AC116" s="1050" t="s">
        <v>42</v>
      </c>
      <c r="AD116" s="1050" t="s">
        <v>31</v>
      </c>
      <c r="AE116" s="1050" t="s">
        <v>42</v>
      </c>
      <c r="AF116" s="1050" t="s">
        <v>31</v>
      </c>
      <c r="AG116" s="1050" t="s">
        <v>42</v>
      </c>
      <c r="AH116" s="1050" t="s">
        <v>31</v>
      </c>
      <c r="AI116" s="1050" t="s">
        <v>42</v>
      </c>
      <c r="AJ116" s="1050" t="s">
        <v>31</v>
      </c>
      <c r="AK116" s="1050" t="s">
        <v>42</v>
      </c>
      <c r="AL116" s="1050" t="s">
        <v>31</v>
      </c>
      <c r="AM116" s="1050" t="s">
        <v>42</v>
      </c>
      <c r="AN116" s="1124" t="s">
        <v>31</v>
      </c>
      <c r="AO116" s="1050" t="s">
        <v>42</v>
      </c>
      <c r="AP116" s="1051" t="s">
        <v>31</v>
      </c>
      <c r="AQ116" s="1125" t="s">
        <v>42</v>
      </c>
      <c r="AR116" s="1051" t="s">
        <v>31</v>
      </c>
      <c r="AS116" s="1139"/>
      <c r="AT116" s="1014"/>
      <c r="AU116" s="1014"/>
      <c r="AV116" s="1014"/>
      <c r="AW116" s="1014"/>
      <c r="AX116" s="1014"/>
      <c r="AY116" s="1014"/>
      <c r="AZ116" s="1014"/>
      <c r="BA116" s="1014"/>
      <c r="BB116" s="1621"/>
      <c r="BC116" s="1014"/>
      <c r="BD116" s="1014"/>
      <c r="BE116" s="1014"/>
      <c r="BF116" s="1014"/>
      <c r="BG116" s="1014"/>
      <c r="BH116" s="1014"/>
      <c r="BI116" s="1014"/>
      <c r="BJ116" s="1014"/>
      <c r="BK116" s="1014"/>
      <c r="BL116" s="1015"/>
      <c r="BM116" s="1053"/>
      <c r="BN116" s="1635"/>
      <c r="BO116" s="1635"/>
      <c r="BP116" s="966"/>
      <c r="BQ116" s="966"/>
      <c r="BR116" s="966"/>
    </row>
    <row r="117" spans="1:70" ht="24.95" hidden="1" customHeight="1">
      <c r="A117" s="1054"/>
      <c r="B117" s="1055"/>
      <c r="C117" s="1049" t="s">
        <v>17</v>
      </c>
      <c r="D117" s="1015" t="s">
        <v>17</v>
      </c>
      <c r="E117" s="1014" t="s">
        <v>17</v>
      </c>
      <c r="F117" s="1015" t="s">
        <v>17</v>
      </c>
      <c r="G117" s="1014" t="s">
        <v>17</v>
      </c>
      <c r="H117" s="1013" t="s">
        <v>17</v>
      </c>
      <c r="I117" s="1013" t="s">
        <v>17</v>
      </c>
      <c r="J117" s="1013" t="s">
        <v>17</v>
      </c>
      <c r="K117" s="1013" t="s">
        <v>17</v>
      </c>
      <c r="L117" s="1013" t="s">
        <v>17</v>
      </c>
      <c r="M117" s="1013" t="s">
        <v>17</v>
      </c>
      <c r="N117" s="1013" t="s">
        <v>17</v>
      </c>
      <c r="O117" s="1013" t="s">
        <v>17</v>
      </c>
      <c r="P117" s="1014" t="s">
        <v>17</v>
      </c>
      <c r="Q117" s="1013" t="s">
        <v>17</v>
      </c>
      <c r="R117" s="1013" t="s">
        <v>17</v>
      </c>
      <c r="S117" s="1013" t="s">
        <v>17</v>
      </c>
      <c r="T117" s="1013" t="s">
        <v>17</v>
      </c>
      <c r="U117" s="1013" t="s">
        <v>17</v>
      </c>
      <c r="V117" s="1013" t="s">
        <v>17</v>
      </c>
      <c r="W117" s="1014" t="s">
        <v>17</v>
      </c>
      <c r="X117" s="1015" t="s">
        <v>17</v>
      </c>
      <c r="Y117" s="1014" t="s">
        <v>17</v>
      </c>
      <c r="Z117" s="1014" t="s">
        <v>17</v>
      </c>
      <c r="AA117" s="1014" t="s">
        <v>17</v>
      </c>
      <c r="AB117" s="1014" t="s">
        <v>17</v>
      </c>
      <c r="AC117" s="1014" t="s">
        <v>17</v>
      </c>
      <c r="AD117" s="1014" t="s">
        <v>17</v>
      </c>
      <c r="AE117" s="1014" t="s">
        <v>17</v>
      </c>
      <c r="AF117" s="1014" t="s">
        <v>17</v>
      </c>
      <c r="AG117" s="1013" t="s">
        <v>17</v>
      </c>
      <c r="AH117" s="1014" t="s">
        <v>17</v>
      </c>
      <c r="AI117" s="1014" t="s">
        <v>17</v>
      </c>
      <c r="AJ117" s="1014" t="s">
        <v>17</v>
      </c>
      <c r="AK117" s="1014" t="s">
        <v>17</v>
      </c>
      <c r="AL117" s="1014" t="s">
        <v>17</v>
      </c>
      <c r="AM117" s="1015" t="s">
        <v>17</v>
      </c>
      <c r="AN117" s="1015" t="s">
        <v>17</v>
      </c>
      <c r="AO117" s="1015" t="s">
        <v>17</v>
      </c>
      <c r="AP117" s="1016" t="s">
        <v>17</v>
      </c>
      <c r="AQ117" s="1139" t="s">
        <v>17</v>
      </c>
      <c r="AR117" s="1016" t="s">
        <v>17</v>
      </c>
      <c r="AS117" s="1139" t="s">
        <v>17</v>
      </c>
      <c r="AT117" s="1049" t="s">
        <v>17</v>
      </c>
      <c r="AU117" s="1014" t="s">
        <v>17</v>
      </c>
      <c r="AV117" s="1015" t="s">
        <v>17</v>
      </c>
      <c r="AW117" s="1014" t="s">
        <v>17</v>
      </c>
      <c r="AX117" s="1013" t="s">
        <v>17</v>
      </c>
      <c r="AY117" s="1013" t="s">
        <v>17</v>
      </c>
      <c r="AZ117" s="1013" t="s">
        <v>17</v>
      </c>
      <c r="BA117" s="1013" t="s">
        <v>17</v>
      </c>
      <c r="BB117" s="1013" t="s">
        <v>17</v>
      </c>
      <c r="BC117" s="1013" t="s">
        <v>17</v>
      </c>
      <c r="BD117" s="1013" t="s">
        <v>17</v>
      </c>
      <c r="BE117" s="1013" t="s">
        <v>17</v>
      </c>
      <c r="BF117" s="1014" t="s">
        <v>17</v>
      </c>
      <c r="BG117" s="1013" t="s">
        <v>17</v>
      </c>
      <c r="BH117" s="1013" t="s">
        <v>17</v>
      </c>
      <c r="BI117" s="1013" t="s">
        <v>17</v>
      </c>
      <c r="BJ117" s="1013" t="s">
        <v>17</v>
      </c>
      <c r="BK117" s="1013" t="s">
        <v>17</v>
      </c>
      <c r="BL117" s="1049" t="s">
        <v>17</v>
      </c>
      <c r="BM117" s="1053" t="s">
        <v>17</v>
      </c>
      <c r="BN117" s="1635"/>
      <c r="BO117" s="1635"/>
      <c r="BP117" s="966"/>
      <c r="BQ117" s="966"/>
      <c r="BR117" s="966"/>
    </row>
    <row r="118" spans="1:70" ht="24.95" hidden="1" customHeight="1">
      <c r="A118" s="1056"/>
      <c r="B118" s="979"/>
      <c r="C118" s="1057">
        <v>1</v>
      </c>
      <c r="D118" s="1058">
        <v>2</v>
      </c>
      <c r="E118" s="924">
        <v>3</v>
      </c>
      <c r="F118" s="925">
        <v>4</v>
      </c>
      <c r="G118" s="925">
        <v>5</v>
      </c>
      <c r="H118" s="925">
        <v>6</v>
      </c>
      <c r="I118" s="925">
        <v>7</v>
      </c>
      <c r="J118" s="925">
        <v>8</v>
      </c>
      <c r="K118" s="1057">
        <v>9</v>
      </c>
      <c r="L118" s="1058">
        <v>10</v>
      </c>
      <c r="M118" s="924">
        <v>11</v>
      </c>
      <c r="N118" s="925">
        <v>12</v>
      </c>
      <c r="O118" s="925">
        <v>13</v>
      </c>
      <c r="P118" s="925">
        <v>14</v>
      </c>
      <c r="Q118" s="925">
        <v>15</v>
      </c>
      <c r="R118" s="925">
        <v>16</v>
      </c>
      <c r="S118" s="1057">
        <v>17</v>
      </c>
      <c r="T118" s="1058">
        <v>18</v>
      </c>
      <c r="U118" s="924">
        <v>19</v>
      </c>
      <c r="V118" s="925">
        <v>20</v>
      </c>
      <c r="W118" s="925">
        <v>21</v>
      </c>
      <c r="X118" s="925">
        <v>22</v>
      </c>
      <c r="Y118" s="925">
        <v>23</v>
      </c>
      <c r="Z118" s="925">
        <v>24</v>
      </c>
      <c r="AA118" s="1057">
        <v>25</v>
      </c>
      <c r="AB118" s="1058">
        <v>26</v>
      </c>
      <c r="AC118" s="924">
        <v>27</v>
      </c>
      <c r="AD118" s="925">
        <v>28</v>
      </c>
      <c r="AE118" s="925">
        <v>29</v>
      </c>
      <c r="AF118" s="925">
        <v>30</v>
      </c>
      <c r="AG118" s="925">
        <v>31</v>
      </c>
      <c r="AH118" s="925">
        <v>32</v>
      </c>
      <c r="AI118" s="1019">
        <v>33</v>
      </c>
      <c r="AJ118" s="1058">
        <v>34</v>
      </c>
      <c r="AK118" s="924">
        <v>35</v>
      </c>
      <c r="AL118" s="925">
        <v>36</v>
      </c>
      <c r="AM118" s="925">
        <v>37</v>
      </c>
      <c r="AN118" s="924">
        <v>38</v>
      </c>
      <c r="AO118" s="925">
        <v>39</v>
      </c>
      <c r="AP118" s="929">
        <v>40</v>
      </c>
      <c r="AQ118" s="1140">
        <v>41</v>
      </c>
      <c r="AR118" s="927">
        <v>42</v>
      </c>
      <c r="AS118" s="944">
        <v>43</v>
      </c>
      <c r="AT118" s="1138">
        <v>44</v>
      </c>
      <c r="AU118" s="925">
        <v>45</v>
      </c>
      <c r="AV118" s="925">
        <v>46</v>
      </c>
      <c r="AW118" s="925">
        <v>47</v>
      </c>
      <c r="AX118" s="925">
        <v>48</v>
      </c>
      <c r="AY118" s="1060">
        <v>49</v>
      </c>
      <c r="AZ118" s="924">
        <v>50</v>
      </c>
      <c r="BA118" s="924">
        <v>51</v>
      </c>
      <c r="BB118" s="925">
        <v>52</v>
      </c>
      <c r="BC118" s="925">
        <v>53</v>
      </c>
      <c r="BD118" s="925">
        <v>54</v>
      </c>
      <c r="BE118" s="925">
        <v>55</v>
      </c>
      <c r="BF118" s="925">
        <v>56</v>
      </c>
      <c r="BG118" s="1060">
        <v>57</v>
      </c>
      <c r="BH118" s="924">
        <v>58</v>
      </c>
      <c r="BI118" s="924">
        <v>59</v>
      </c>
      <c r="BJ118" s="925">
        <v>60</v>
      </c>
      <c r="BK118" s="925">
        <v>61</v>
      </c>
      <c r="BL118" s="924">
        <v>62</v>
      </c>
      <c r="BM118" s="928">
        <v>63</v>
      </c>
      <c r="BN118" s="1635"/>
      <c r="BO118" s="1635"/>
      <c r="BP118" s="966"/>
      <c r="BQ118" s="966"/>
      <c r="BR118" s="966"/>
    </row>
    <row r="119" spans="1:70" ht="30" hidden="1" customHeight="1">
      <c r="A119" s="1061">
        <v>1</v>
      </c>
      <c r="B119" s="1062" t="s">
        <v>12</v>
      </c>
      <c r="C119" s="1063">
        <v>443.3</v>
      </c>
      <c r="D119" s="1063">
        <v>87.5</v>
      </c>
      <c r="E119" s="1063">
        <v>37</v>
      </c>
      <c r="F119" s="1063">
        <v>31.5</v>
      </c>
      <c r="G119" s="1063">
        <v>271.7</v>
      </c>
      <c r="H119" s="1063">
        <v>87.802000000000007</v>
      </c>
      <c r="I119" s="1063">
        <v>98</v>
      </c>
      <c r="J119" s="1063">
        <v>38.5</v>
      </c>
      <c r="K119" s="1063">
        <v>1814.15</v>
      </c>
      <c r="L119" s="1063">
        <v>291.70000000000016</v>
      </c>
      <c r="M119" s="1063">
        <v>97.6</v>
      </c>
      <c r="N119" s="1063">
        <v>72.8</v>
      </c>
      <c r="O119" s="1063">
        <v>17</v>
      </c>
      <c r="P119" s="1063">
        <v>7.2</v>
      </c>
      <c r="Q119" s="1063">
        <v>1210</v>
      </c>
      <c r="R119" s="1063">
        <v>221.04</v>
      </c>
      <c r="S119" s="1063">
        <v>390.85</v>
      </c>
      <c r="T119" s="1063">
        <v>19.3</v>
      </c>
      <c r="U119" s="1063">
        <v>60</v>
      </c>
      <c r="V119" s="1063">
        <v>18</v>
      </c>
      <c r="W119" s="1063">
        <v>0</v>
      </c>
      <c r="X119" s="1063">
        <v>0</v>
      </c>
      <c r="Y119" s="1063">
        <v>40</v>
      </c>
      <c r="Z119" s="1063">
        <v>32</v>
      </c>
      <c r="AA119" s="1063">
        <v>27</v>
      </c>
      <c r="AB119" s="1063">
        <v>40.799999999999997</v>
      </c>
      <c r="AC119" s="1063">
        <v>6</v>
      </c>
      <c r="AD119" s="1063">
        <v>12</v>
      </c>
      <c r="AE119" s="1063">
        <v>30</v>
      </c>
      <c r="AF119" s="1063">
        <v>0</v>
      </c>
      <c r="AG119" s="1063">
        <v>554</v>
      </c>
      <c r="AH119" s="1063">
        <v>37.5</v>
      </c>
      <c r="AI119" s="1063">
        <v>186.75</v>
      </c>
      <c r="AJ119" s="1063">
        <v>89.32</v>
      </c>
      <c r="AK119" s="1063">
        <v>743</v>
      </c>
      <c r="AL119" s="1063">
        <v>113.5</v>
      </c>
      <c r="AM119" s="1063">
        <v>140</v>
      </c>
      <c r="AN119" s="1063">
        <v>63</v>
      </c>
      <c r="AO119" s="1064">
        <f>SUMIF($C$71:$AN$71,AO$71,$C119:$AN119)</f>
        <v>6166.35</v>
      </c>
      <c r="AP119" s="1065">
        <f>SUMIF($C$71:$AN$71,AP$71,$C119:$AN119)</f>
        <v>1263.462</v>
      </c>
      <c r="AQ119" s="1066">
        <v>0</v>
      </c>
      <c r="AR119" s="1067">
        <v>0</v>
      </c>
      <c r="AS119" s="1630"/>
      <c r="AT119" s="1645"/>
      <c r="AU119" s="1145"/>
      <c r="AV119" s="1068"/>
      <c r="AW119" s="1145"/>
      <c r="AX119" s="1145"/>
      <c r="AY119" s="1145"/>
      <c r="AZ119" s="1145"/>
      <c r="BA119" s="1146"/>
      <c r="BB119" s="1145"/>
      <c r="BC119" s="1145"/>
      <c r="BD119" s="1145"/>
      <c r="BE119" s="1145"/>
      <c r="BF119" s="1145"/>
      <c r="BG119" s="1145"/>
      <c r="BH119" s="1145"/>
      <c r="BI119" s="1146"/>
      <c r="BJ119" s="1145"/>
      <c r="BK119" s="1145"/>
      <c r="BL119" s="1637"/>
      <c r="BM119" s="1643"/>
      <c r="BN119" s="1635"/>
      <c r="BO119" s="1636"/>
    </row>
    <row r="120" spans="1:70" ht="30" hidden="1" customHeight="1">
      <c r="A120" s="1061"/>
      <c r="B120" s="1071" t="s">
        <v>9</v>
      </c>
      <c r="C120" s="1072"/>
      <c r="D120" s="1072"/>
      <c r="E120" s="1072"/>
      <c r="F120" s="1072"/>
      <c r="G120" s="1072"/>
      <c r="H120" s="1072"/>
      <c r="I120" s="1072"/>
      <c r="J120" s="1072"/>
      <c r="K120" s="1072"/>
      <c r="L120" s="1072"/>
      <c r="M120" s="1072"/>
      <c r="N120" s="1072"/>
      <c r="O120" s="1072"/>
      <c r="P120" s="1072"/>
      <c r="Q120" s="1072"/>
      <c r="R120" s="1072"/>
      <c r="S120" s="1072"/>
      <c r="T120" s="1072"/>
      <c r="U120" s="1072"/>
      <c r="V120" s="1072"/>
      <c r="W120" s="1072"/>
      <c r="X120" s="1072"/>
      <c r="Y120" s="1072"/>
      <c r="Z120" s="1072"/>
      <c r="AA120" s="1072"/>
      <c r="AB120" s="1072"/>
      <c r="AC120" s="1072"/>
      <c r="AD120" s="1072"/>
      <c r="AE120" s="1072"/>
      <c r="AF120" s="1072"/>
      <c r="AG120" s="1072"/>
      <c r="AH120" s="1072"/>
      <c r="AI120" s="1072"/>
      <c r="AJ120" s="1072"/>
      <c r="AK120" s="1072"/>
      <c r="AL120" s="1072"/>
      <c r="AM120" s="1072"/>
      <c r="AN120" s="1072"/>
      <c r="AO120" s="1073"/>
      <c r="AP120" s="1074"/>
      <c r="AQ120" s="1075"/>
      <c r="AR120" s="1076"/>
      <c r="AS120" s="1631"/>
      <c r="AT120" s="1646"/>
      <c r="AU120" s="1147"/>
      <c r="AV120" s="1077"/>
      <c r="AW120" s="1147"/>
      <c r="AX120" s="1147"/>
      <c r="AY120" s="1147"/>
      <c r="AZ120" s="1147"/>
      <c r="BA120" s="1147"/>
      <c r="BB120" s="1147"/>
      <c r="BC120" s="1147"/>
      <c r="BD120" s="1147"/>
      <c r="BE120" s="1147"/>
      <c r="BF120" s="1147"/>
      <c r="BG120" s="1147"/>
      <c r="BH120" s="1147"/>
      <c r="BI120" s="1147"/>
      <c r="BJ120" s="1147"/>
      <c r="BK120" s="1147"/>
      <c r="BL120" s="1074"/>
      <c r="BM120" s="1142"/>
      <c r="BN120" s="1635"/>
      <c r="BO120" s="892"/>
    </row>
    <row r="121" spans="1:70" ht="24.95" hidden="1" customHeight="1">
      <c r="A121" s="1061"/>
      <c r="B121" s="1080" t="s">
        <v>80</v>
      </c>
      <c r="C121" s="1012"/>
      <c r="D121" s="1012"/>
      <c r="E121" s="1024"/>
      <c r="F121" s="1024"/>
      <c r="G121" s="1024"/>
      <c r="H121" s="1024"/>
      <c r="I121" s="1024"/>
      <c r="J121" s="1024"/>
      <c r="K121" s="1024"/>
      <c r="L121" s="1024"/>
      <c r="M121" s="1024"/>
      <c r="N121" s="1024"/>
      <c r="O121" s="1024"/>
      <c r="P121" s="1024"/>
      <c r="Q121" s="1024"/>
      <c r="R121" s="1024"/>
      <c r="S121" s="1024"/>
      <c r="T121" s="1024"/>
      <c r="U121" s="1024"/>
      <c r="V121" s="1024"/>
      <c r="W121" s="1024"/>
      <c r="X121" s="1024"/>
      <c r="Y121" s="1024"/>
      <c r="Z121" s="1024"/>
      <c r="AA121" s="1024"/>
      <c r="AB121" s="1024"/>
      <c r="AC121" s="1024"/>
      <c r="AD121" s="1024"/>
      <c r="AE121" s="1024"/>
      <c r="AF121" s="1024"/>
      <c r="AG121" s="1024"/>
      <c r="AH121" s="1024"/>
      <c r="AI121" s="1024"/>
      <c r="AJ121" s="1024"/>
      <c r="AK121" s="1024"/>
      <c r="AL121" s="1024"/>
      <c r="AM121" s="1024"/>
      <c r="AN121" s="1024"/>
      <c r="AO121" s="1073"/>
      <c r="AP121" s="1074"/>
      <c r="AQ121" s="1081"/>
      <c r="AR121" s="1082"/>
      <c r="AS121" s="1631"/>
      <c r="AT121" s="1647"/>
      <c r="AU121" s="1147"/>
      <c r="AV121" s="1077"/>
      <c r="AW121" s="1147"/>
      <c r="AX121" s="1147"/>
      <c r="AY121" s="1147"/>
      <c r="AZ121" s="1147"/>
      <c r="BA121" s="1147"/>
      <c r="BB121" s="1147"/>
      <c r="BC121" s="1147"/>
      <c r="BD121" s="1147"/>
      <c r="BE121" s="1147"/>
      <c r="BF121" s="1147"/>
      <c r="BG121" s="1147"/>
      <c r="BH121" s="1147"/>
      <c r="BI121" s="1147"/>
      <c r="BJ121" s="1147"/>
      <c r="BK121" s="1147"/>
      <c r="BL121" s="1074"/>
      <c r="BM121" s="1142"/>
      <c r="BN121" s="1635"/>
      <c r="BO121" s="892"/>
    </row>
    <row r="122" spans="1:70" ht="21.95" hidden="1" customHeight="1">
      <c r="A122" s="1083">
        <v>2</v>
      </c>
      <c r="B122" s="1084" t="s">
        <v>81</v>
      </c>
      <c r="C122" s="1085">
        <v>0</v>
      </c>
      <c r="D122" s="1085">
        <v>0</v>
      </c>
      <c r="E122" s="1085">
        <v>0</v>
      </c>
      <c r="F122" s="1085">
        <v>0</v>
      </c>
      <c r="G122" s="1085">
        <v>19</v>
      </c>
      <c r="H122" s="1085">
        <v>0</v>
      </c>
      <c r="I122" s="1085">
        <v>0</v>
      </c>
      <c r="J122" s="1085">
        <v>0</v>
      </c>
      <c r="K122" s="1085">
        <v>0</v>
      </c>
      <c r="L122" s="1085">
        <v>0</v>
      </c>
      <c r="M122" s="1085">
        <v>8</v>
      </c>
      <c r="N122" s="1085">
        <v>0</v>
      </c>
      <c r="O122" s="1085">
        <v>0</v>
      </c>
      <c r="P122" s="1085">
        <v>0</v>
      </c>
      <c r="Q122" s="1085">
        <v>0</v>
      </c>
      <c r="R122" s="1085">
        <v>0</v>
      </c>
      <c r="S122" s="1085">
        <v>0</v>
      </c>
      <c r="T122" s="1085">
        <v>0</v>
      </c>
      <c r="U122" s="1085">
        <v>0</v>
      </c>
      <c r="V122" s="1085">
        <v>0</v>
      </c>
      <c r="W122" s="1085">
        <v>0</v>
      </c>
      <c r="X122" s="1085">
        <v>0</v>
      </c>
      <c r="Y122" s="1085">
        <v>0</v>
      </c>
      <c r="Z122" s="1085">
        <v>0</v>
      </c>
      <c r="AA122" s="1085">
        <v>0</v>
      </c>
      <c r="AB122" s="1085">
        <v>0</v>
      </c>
      <c r="AC122" s="1085">
        <v>0</v>
      </c>
      <c r="AD122" s="1085">
        <v>0</v>
      </c>
      <c r="AE122" s="1085">
        <v>0</v>
      </c>
      <c r="AF122" s="1085">
        <v>0</v>
      </c>
      <c r="AG122" s="1085">
        <v>0</v>
      </c>
      <c r="AH122" s="1085">
        <v>0</v>
      </c>
      <c r="AI122" s="1085">
        <v>0</v>
      </c>
      <c r="AJ122" s="1085">
        <v>0</v>
      </c>
      <c r="AK122" s="1085">
        <v>0</v>
      </c>
      <c r="AL122" s="1085">
        <v>0</v>
      </c>
      <c r="AM122" s="1085">
        <v>105</v>
      </c>
      <c r="AN122" s="1085">
        <v>0</v>
      </c>
      <c r="AO122" s="1086">
        <f>SUMIF($C$71:$AN$71,AO$71,$C122:$AN122)</f>
        <v>132</v>
      </c>
      <c r="AP122" s="1087">
        <f>SUMIF($C$71:$AN$71,AP$71,$C122:$AN122)</f>
        <v>0</v>
      </c>
      <c r="AQ122" s="1088">
        <v>0</v>
      </c>
      <c r="AR122" s="1089">
        <v>0</v>
      </c>
      <c r="AS122" s="1632"/>
      <c r="AT122" s="1648"/>
      <c r="AU122" s="1147"/>
      <c r="AV122" s="1090"/>
      <c r="AW122" s="1147"/>
      <c r="AX122" s="1147"/>
      <c r="AY122" s="1147"/>
      <c r="AZ122" s="1147"/>
      <c r="BA122" s="1147"/>
      <c r="BB122" s="1147"/>
      <c r="BC122" s="1147"/>
      <c r="BD122" s="1147"/>
      <c r="BE122" s="1147"/>
      <c r="BF122" s="1147"/>
      <c r="BG122" s="1147"/>
      <c r="BH122" s="1147"/>
      <c r="BI122" s="1147"/>
      <c r="BJ122" s="1147"/>
      <c r="BK122" s="1147"/>
      <c r="BL122" s="1074"/>
      <c r="BM122" s="1142"/>
      <c r="BN122" s="1635"/>
      <c r="BO122" s="892"/>
    </row>
    <row r="123" spans="1:70" ht="24.95" hidden="1" customHeight="1">
      <c r="A123" s="1083">
        <v>3</v>
      </c>
      <c r="B123" s="1080" t="s">
        <v>82</v>
      </c>
      <c r="C123" s="1085">
        <v>483.2</v>
      </c>
      <c r="D123" s="1085">
        <v>63.6</v>
      </c>
      <c r="E123" s="1085">
        <v>69</v>
      </c>
      <c r="F123" s="1085">
        <v>77.900000000000006</v>
      </c>
      <c r="G123" s="1085">
        <v>445.2</v>
      </c>
      <c r="H123" s="1085">
        <v>800.1</v>
      </c>
      <c r="I123" s="1085">
        <v>641</v>
      </c>
      <c r="J123" s="1085">
        <v>225.2</v>
      </c>
      <c r="K123" s="1085">
        <v>147</v>
      </c>
      <c r="L123" s="1085">
        <v>29.422222222222221</v>
      </c>
      <c r="M123" s="1085">
        <v>456</v>
      </c>
      <c r="N123" s="1085">
        <v>146.81</v>
      </c>
      <c r="O123" s="1085">
        <v>165</v>
      </c>
      <c r="P123" s="1085">
        <v>6</v>
      </c>
      <c r="Q123" s="1085">
        <v>1076.5</v>
      </c>
      <c r="R123" s="1085">
        <v>275.51799999999997</v>
      </c>
      <c r="S123" s="1085">
        <v>476.56</v>
      </c>
      <c r="T123" s="1085">
        <v>77.48</v>
      </c>
      <c r="U123" s="1085">
        <v>41.83</v>
      </c>
      <c r="V123" s="1085">
        <v>109.93</v>
      </c>
      <c r="W123" s="1085">
        <v>0</v>
      </c>
      <c r="X123" s="1085">
        <v>128</v>
      </c>
      <c r="Y123" s="1085">
        <v>227</v>
      </c>
      <c r="Z123" s="1085">
        <v>162.05000000000001</v>
      </c>
      <c r="AA123" s="1085">
        <v>148.5</v>
      </c>
      <c r="AB123" s="1085">
        <v>167.66</v>
      </c>
      <c r="AC123" s="1085">
        <v>79.5</v>
      </c>
      <c r="AD123" s="1085">
        <v>0</v>
      </c>
      <c r="AE123" s="1085">
        <v>41</v>
      </c>
      <c r="AF123" s="1085">
        <v>19.7</v>
      </c>
      <c r="AG123" s="1085">
        <v>323</v>
      </c>
      <c r="AH123" s="1085">
        <v>26.077999999999999</v>
      </c>
      <c r="AI123" s="1085">
        <v>339.15</v>
      </c>
      <c r="AJ123" s="1085">
        <v>220.07</v>
      </c>
      <c r="AK123" s="1085">
        <v>525.16</v>
      </c>
      <c r="AL123" s="1085">
        <v>235.02</v>
      </c>
      <c r="AM123" s="1085">
        <v>471</v>
      </c>
      <c r="AN123" s="1085">
        <v>211.91666666666666</v>
      </c>
      <c r="AO123" s="1086">
        <f>SUMIF($C$71:$AN$71,AO$71,$C123:$AN123)</f>
        <v>6155.5999999999995</v>
      </c>
      <c r="AP123" s="1087">
        <f>SUMIF($C$71:$AN$71,AP$71,$C123:$AN123)</f>
        <v>2982.4548888888885</v>
      </c>
      <c r="AQ123" s="1088">
        <v>0</v>
      </c>
      <c r="AR123" s="1089">
        <v>98.1</v>
      </c>
      <c r="AS123" s="1633"/>
      <c r="AT123" s="1648"/>
      <c r="AU123" s="1085"/>
      <c r="AV123" s="1093"/>
      <c r="AW123" s="1093"/>
      <c r="AX123" s="1093"/>
      <c r="AY123" s="1093"/>
      <c r="AZ123" s="1093"/>
      <c r="BA123" s="1093"/>
      <c r="BB123" s="1093"/>
      <c r="BC123" s="1093"/>
      <c r="BD123" s="1093"/>
      <c r="BE123" s="1093"/>
      <c r="BF123" s="1093"/>
      <c r="BG123" s="1093"/>
      <c r="BH123" s="1093"/>
      <c r="BI123" s="1093"/>
      <c r="BJ123" s="1093"/>
      <c r="BK123" s="1093"/>
      <c r="BL123" s="1089"/>
      <c r="BM123" s="1638"/>
      <c r="BN123" s="1635"/>
      <c r="BO123" s="892"/>
    </row>
    <row r="124" spans="1:70" s="1126" customFormat="1" ht="30" hidden="1" customHeight="1">
      <c r="A124" s="1061"/>
      <c r="B124" s="1080" t="s">
        <v>2</v>
      </c>
      <c r="C124" s="1329">
        <f t="shared" ref="C124:AN124" si="48">SUM(C122:C123)</f>
        <v>483.2</v>
      </c>
      <c r="D124" s="1086">
        <f t="shared" si="48"/>
        <v>63.6</v>
      </c>
      <c r="E124" s="1329">
        <f t="shared" si="48"/>
        <v>69</v>
      </c>
      <c r="F124" s="1086">
        <f t="shared" si="48"/>
        <v>77.900000000000006</v>
      </c>
      <c r="G124" s="1329">
        <f t="shared" si="48"/>
        <v>464.2</v>
      </c>
      <c r="H124" s="1086">
        <f t="shared" si="48"/>
        <v>800.1</v>
      </c>
      <c r="I124" s="1329">
        <f t="shared" si="48"/>
        <v>641</v>
      </c>
      <c r="J124" s="1086">
        <f t="shared" si="48"/>
        <v>225.2</v>
      </c>
      <c r="K124" s="1329">
        <f t="shared" si="48"/>
        <v>147</v>
      </c>
      <c r="L124" s="1086">
        <f t="shared" si="48"/>
        <v>29.422222222222221</v>
      </c>
      <c r="M124" s="1329">
        <f t="shared" si="48"/>
        <v>464</v>
      </c>
      <c r="N124" s="1086">
        <f t="shared" si="48"/>
        <v>146.81</v>
      </c>
      <c r="O124" s="1329">
        <f t="shared" si="48"/>
        <v>165</v>
      </c>
      <c r="P124" s="1086">
        <f t="shared" si="48"/>
        <v>6</v>
      </c>
      <c r="Q124" s="1329">
        <f t="shared" si="48"/>
        <v>1076.5</v>
      </c>
      <c r="R124" s="1086">
        <f t="shared" si="48"/>
        <v>275.51799999999997</v>
      </c>
      <c r="S124" s="1329">
        <f t="shared" si="48"/>
        <v>476.56</v>
      </c>
      <c r="T124" s="1086">
        <f t="shared" si="48"/>
        <v>77.48</v>
      </c>
      <c r="U124" s="1329">
        <f t="shared" si="48"/>
        <v>41.83</v>
      </c>
      <c r="V124" s="1086">
        <f t="shared" si="48"/>
        <v>109.93</v>
      </c>
      <c r="W124" s="1329">
        <f t="shared" si="48"/>
        <v>0</v>
      </c>
      <c r="X124" s="1086">
        <f t="shared" si="48"/>
        <v>128</v>
      </c>
      <c r="Y124" s="1329">
        <f t="shared" si="48"/>
        <v>227</v>
      </c>
      <c r="Z124" s="1086">
        <f t="shared" si="48"/>
        <v>162.05000000000001</v>
      </c>
      <c r="AA124" s="1329">
        <f t="shared" si="48"/>
        <v>148.5</v>
      </c>
      <c r="AB124" s="1086">
        <f t="shared" si="48"/>
        <v>167.66</v>
      </c>
      <c r="AC124" s="1329">
        <f t="shared" si="48"/>
        <v>79.5</v>
      </c>
      <c r="AD124" s="1086">
        <f t="shared" si="48"/>
        <v>0</v>
      </c>
      <c r="AE124" s="1329">
        <f t="shared" si="48"/>
        <v>41</v>
      </c>
      <c r="AF124" s="1086">
        <f t="shared" si="48"/>
        <v>19.7</v>
      </c>
      <c r="AG124" s="1329">
        <f t="shared" si="48"/>
        <v>323</v>
      </c>
      <c r="AH124" s="1086">
        <f t="shared" si="48"/>
        <v>26.077999999999999</v>
      </c>
      <c r="AI124" s="1329">
        <f t="shared" si="48"/>
        <v>339.15</v>
      </c>
      <c r="AJ124" s="1086">
        <f t="shared" si="48"/>
        <v>220.07</v>
      </c>
      <c r="AK124" s="1329">
        <f t="shared" si="48"/>
        <v>525.16</v>
      </c>
      <c r="AL124" s="1086">
        <f t="shared" si="48"/>
        <v>235.02</v>
      </c>
      <c r="AM124" s="1329">
        <f t="shared" si="48"/>
        <v>576</v>
      </c>
      <c r="AN124" s="1086">
        <f t="shared" si="48"/>
        <v>211.91666666666666</v>
      </c>
      <c r="AO124" s="1086">
        <f t="shared" ref="AO124:AP124" si="49">SUM(AO122:AO123)</f>
        <v>6287.5999999999995</v>
      </c>
      <c r="AP124" s="1087">
        <f t="shared" si="49"/>
        <v>2982.4548888888885</v>
      </c>
      <c r="AQ124" s="1096">
        <f>SUM(AQ122:AQ123)</f>
        <v>0</v>
      </c>
      <c r="AR124" s="1087">
        <f>SUM(AR122:AR123)</f>
        <v>98.1</v>
      </c>
      <c r="AS124" s="1632"/>
      <c r="AT124" s="1649"/>
      <c r="AU124" s="1652"/>
      <c r="AV124" s="1090"/>
      <c r="AW124" s="1090"/>
      <c r="AX124" s="1090"/>
      <c r="AY124" s="1090"/>
      <c r="AZ124" s="1090"/>
      <c r="BA124" s="1090"/>
      <c r="BB124" s="1090"/>
      <c r="BC124" s="1090"/>
      <c r="BD124" s="1090"/>
      <c r="BE124" s="1090"/>
      <c r="BF124" s="1090"/>
      <c r="BG124" s="1090"/>
      <c r="BH124" s="1090"/>
      <c r="BI124" s="1090"/>
      <c r="BJ124" s="1090"/>
      <c r="BK124" s="1090"/>
      <c r="BL124" s="1644"/>
      <c r="BM124" s="1639"/>
      <c r="BN124" s="1635"/>
      <c r="BO124" s="892"/>
      <c r="BP124" s="1127"/>
      <c r="BQ124" s="1127"/>
      <c r="BR124" s="1127"/>
    </row>
    <row r="125" spans="1:70" ht="30" hidden="1" customHeight="1">
      <c r="A125" s="1061"/>
      <c r="B125" s="1071" t="s">
        <v>10</v>
      </c>
      <c r="C125" s="1330"/>
      <c r="D125" s="1072"/>
      <c r="E125" s="1330"/>
      <c r="F125" s="1072"/>
      <c r="G125" s="1330"/>
      <c r="H125" s="1072"/>
      <c r="I125" s="1330"/>
      <c r="J125" s="1072"/>
      <c r="K125" s="1330"/>
      <c r="L125" s="1072"/>
      <c r="M125" s="1330"/>
      <c r="N125" s="1072"/>
      <c r="O125" s="1330"/>
      <c r="P125" s="1072"/>
      <c r="Q125" s="1330"/>
      <c r="R125" s="1072"/>
      <c r="S125" s="1330"/>
      <c r="T125" s="1072"/>
      <c r="U125" s="1330"/>
      <c r="V125" s="1072"/>
      <c r="W125" s="1330"/>
      <c r="X125" s="1072"/>
      <c r="Y125" s="1330"/>
      <c r="Z125" s="1072"/>
      <c r="AA125" s="1330"/>
      <c r="AB125" s="1072"/>
      <c r="AC125" s="1330"/>
      <c r="AD125" s="1072"/>
      <c r="AE125" s="1330"/>
      <c r="AF125" s="1072"/>
      <c r="AG125" s="1330"/>
      <c r="AH125" s="1072"/>
      <c r="AI125" s="1330"/>
      <c r="AJ125" s="1072"/>
      <c r="AK125" s="1330"/>
      <c r="AL125" s="1072"/>
      <c r="AM125" s="1330"/>
      <c r="AN125" s="1072"/>
      <c r="AO125" s="1073"/>
      <c r="AP125" s="1074"/>
      <c r="AQ125" s="1075"/>
      <c r="AR125" s="1076"/>
      <c r="AS125" s="1632"/>
      <c r="AT125" s="1646"/>
      <c r="AU125" s="1652"/>
      <c r="AV125" s="1090"/>
      <c r="AW125" s="1090"/>
      <c r="AX125" s="1090"/>
      <c r="AY125" s="1090"/>
      <c r="AZ125" s="1090"/>
      <c r="BA125" s="1090"/>
      <c r="BB125" s="1090"/>
      <c r="BC125" s="1090"/>
      <c r="BD125" s="1090"/>
      <c r="BE125" s="1090"/>
      <c r="BF125" s="1090"/>
      <c r="BG125" s="1090"/>
      <c r="BH125" s="1090"/>
      <c r="BI125" s="1090"/>
      <c r="BJ125" s="1090"/>
      <c r="BK125" s="1090"/>
      <c r="BL125" s="1644"/>
      <c r="BM125" s="1639"/>
      <c r="BN125" s="1635"/>
      <c r="BO125" s="892"/>
    </row>
    <row r="126" spans="1:70" ht="24.95" hidden="1" customHeight="1">
      <c r="A126" s="1061"/>
      <c r="B126" s="1080" t="s">
        <v>80</v>
      </c>
      <c r="C126" s="1330"/>
      <c r="D126" s="1072"/>
      <c r="E126" s="1330"/>
      <c r="F126" s="1072"/>
      <c r="G126" s="1330"/>
      <c r="H126" s="1072"/>
      <c r="I126" s="1330"/>
      <c r="J126" s="1072"/>
      <c r="K126" s="1330"/>
      <c r="L126" s="1072"/>
      <c r="M126" s="1330"/>
      <c r="N126" s="1072"/>
      <c r="O126" s="1330"/>
      <c r="P126" s="1072"/>
      <c r="Q126" s="1330"/>
      <c r="R126" s="1072"/>
      <c r="S126" s="1330"/>
      <c r="T126" s="1072"/>
      <c r="U126" s="1330"/>
      <c r="V126" s="1072"/>
      <c r="W126" s="1330"/>
      <c r="X126" s="1072"/>
      <c r="Y126" s="1330"/>
      <c r="Z126" s="1072"/>
      <c r="AA126" s="1330"/>
      <c r="AB126" s="1072"/>
      <c r="AC126" s="1330"/>
      <c r="AD126" s="1072"/>
      <c r="AE126" s="1330"/>
      <c r="AF126" s="1072"/>
      <c r="AG126" s="1330"/>
      <c r="AH126" s="1072"/>
      <c r="AI126" s="1330"/>
      <c r="AJ126" s="1072"/>
      <c r="AK126" s="1330"/>
      <c r="AL126" s="1072"/>
      <c r="AM126" s="1330"/>
      <c r="AN126" s="1072"/>
      <c r="AO126" s="1073"/>
      <c r="AP126" s="1074"/>
      <c r="AQ126" s="1075"/>
      <c r="AR126" s="1076"/>
      <c r="AS126" s="1632"/>
      <c r="AT126" s="1646"/>
      <c r="AU126" s="1652"/>
      <c r="AV126" s="1090"/>
      <c r="AW126" s="1090"/>
      <c r="AX126" s="1090"/>
      <c r="AY126" s="1090"/>
      <c r="AZ126" s="1090"/>
      <c r="BA126" s="1090"/>
      <c r="BB126" s="1090"/>
      <c r="BC126" s="1090"/>
      <c r="BD126" s="1090"/>
      <c r="BE126" s="1090"/>
      <c r="BF126" s="1090"/>
      <c r="BG126" s="1090"/>
      <c r="BH126" s="1090"/>
      <c r="BI126" s="1090"/>
      <c r="BJ126" s="1090"/>
      <c r="BK126" s="1090"/>
      <c r="BL126" s="1644"/>
      <c r="BM126" s="1639"/>
      <c r="BN126" s="1635"/>
      <c r="BO126" s="892"/>
    </row>
    <row r="127" spans="1:70" ht="21.95" hidden="1" customHeight="1">
      <c r="A127" s="1083">
        <v>4</v>
      </c>
      <c r="B127" s="1084" t="s">
        <v>83</v>
      </c>
      <c r="C127" s="1333">
        <v>164.4</v>
      </c>
      <c r="D127" s="1085">
        <v>41.6</v>
      </c>
      <c r="E127" s="1333">
        <v>0</v>
      </c>
      <c r="F127" s="1085">
        <v>0</v>
      </c>
      <c r="G127" s="1333">
        <v>190.5</v>
      </c>
      <c r="H127" s="1085">
        <v>26.15</v>
      </c>
      <c r="I127" s="1333">
        <v>0</v>
      </c>
      <c r="J127" s="1085">
        <v>0</v>
      </c>
      <c r="K127" s="1333">
        <v>118</v>
      </c>
      <c r="L127" s="1085">
        <v>0</v>
      </c>
      <c r="M127" s="1333">
        <v>0</v>
      </c>
      <c r="N127" s="1085">
        <v>0</v>
      </c>
      <c r="O127" s="1333">
        <v>0</v>
      </c>
      <c r="P127" s="1085">
        <v>0</v>
      </c>
      <c r="Q127" s="1333">
        <v>168</v>
      </c>
      <c r="R127" s="1085">
        <v>2</v>
      </c>
      <c r="S127" s="1333">
        <v>0</v>
      </c>
      <c r="T127" s="1085">
        <v>0</v>
      </c>
      <c r="U127" s="1333">
        <v>83</v>
      </c>
      <c r="V127" s="1085">
        <v>0</v>
      </c>
      <c r="W127" s="1333">
        <v>0</v>
      </c>
      <c r="X127" s="1085">
        <v>0</v>
      </c>
      <c r="Y127" s="1333">
        <v>0</v>
      </c>
      <c r="Z127" s="1085">
        <v>0</v>
      </c>
      <c r="AA127" s="1333">
        <v>0</v>
      </c>
      <c r="AB127" s="1085">
        <v>0</v>
      </c>
      <c r="AC127" s="1333">
        <v>0</v>
      </c>
      <c r="AD127" s="1085">
        <v>0</v>
      </c>
      <c r="AE127" s="1333">
        <v>0</v>
      </c>
      <c r="AF127" s="1085">
        <v>0</v>
      </c>
      <c r="AG127" s="1333">
        <v>0</v>
      </c>
      <c r="AH127" s="1085">
        <v>0</v>
      </c>
      <c r="AI127" s="1333">
        <v>0</v>
      </c>
      <c r="AJ127" s="1085">
        <v>0</v>
      </c>
      <c r="AK127" s="1333">
        <v>300</v>
      </c>
      <c r="AL127" s="1085">
        <v>0.7</v>
      </c>
      <c r="AM127" s="1333">
        <v>143</v>
      </c>
      <c r="AN127" s="1085">
        <v>3.833333333333333</v>
      </c>
      <c r="AO127" s="1086">
        <f t="shared" ref="AO127:AP129" si="50">SUMIF($C$71:$AN$71,AO$71,$C127:$AN127)</f>
        <v>1166.9000000000001</v>
      </c>
      <c r="AP127" s="1087">
        <f t="shared" si="50"/>
        <v>74.283333333333331</v>
      </c>
      <c r="AQ127" s="1088">
        <v>0</v>
      </c>
      <c r="AR127" s="1089">
        <v>0</v>
      </c>
      <c r="AS127" s="1633">
        <v>2</v>
      </c>
      <c r="AT127" s="1648">
        <v>0</v>
      </c>
      <c r="AU127" s="1085">
        <v>10</v>
      </c>
      <c r="AV127" s="1093">
        <v>0</v>
      </c>
      <c r="AW127" s="1093">
        <v>5</v>
      </c>
      <c r="AX127" s="1093">
        <v>0</v>
      </c>
      <c r="AY127" s="1093">
        <v>0</v>
      </c>
      <c r="AZ127" s="1093">
        <v>2</v>
      </c>
      <c r="BA127" s="1093">
        <v>0</v>
      </c>
      <c r="BB127" s="1093">
        <v>0</v>
      </c>
      <c r="BC127" s="1093">
        <v>0</v>
      </c>
      <c r="BD127" s="1093">
        <v>0</v>
      </c>
      <c r="BE127" s="1093">
        <v>0</v>
      </c>
      <c r="BF127" s="1093">
        <v>0</v>
      </c>
      <c r="BG127" s="1093">
        <v>0</v>
      </c>
      <c r="BH127" s="1093">
        <v>0</v>
      </c>
      <c r="BI127" s="1093">
        <v>0</v>
      </c>
      <c r="BJ127" s="1093">
        <v>19</v>
      </c>
      <c r="BK127" s="1093">
        <v>2</v>
      </c>
      <c r="BL127" s="1150">
        <f>SUM(AS127:BK127)</f>
        <v>40</v>
      </c>
      <c r="BM127" s="1638">
        <v>0</v>
      </c>
      <c r="BN127" s="1635"/>
      <c r="BO127" s="892"/>
    </row>
    <row r="128" spans="1:70" ht="21.95" hidden="1" customHeight="1">
      <c r="A128" s="1083">
        <v>5</v>
      </c>
      <c r="B128" s="1084" t="s">
        <v>84</v>
      </c>
      <c r="C128" s="1333">
        <v>143.60000000000002</v>
      </c>
      <c r="D128" s="1085">
        <v>0</v>
      </c>
      <c r="E128" s="1333">
        <v>0</v>
      </c>
      <c r="F128" s="1085">
        <v>0</v>
      </c>
      <c r="G128" s="1333">
        <v>39</v>
      </c>
      <c r="H128" s="1085">
        <v>0</v>
      </c>
      <c r="I128" s="1333">
        <v>0</v>
      </c>
      <c r="J128" s="1085">
        <v>0</v>
      </c>
      <c r="K128" s="1333">
        <v>158</v>
      </c>
      <c r="L128" s="1085">
        <v>0</v>
      </c>
      <c r="M128" s="1333">
        <v>0</v>
      </c>
      <c r="N128" s="1085">
        <v>0</v>
      </c>
      <c r="O128" s="1333">
        <v>0</v>
      </c>
      <c r="P128" s="1085">
        <v>0</v>
      </c>
      <c r="Q128" s="1333">
        <v>190</v>
      </c>
      <c r="R128" s="1085">
        <v>2</v>
      </c>
      <c r="S128" s="1333">
        <v>0</v>
      </c>
      <c r="T128" s="1085">
        <v>0</v>
      </c>
      <c r="U128" s="1333">
        <v>7</v>
      </c>
      <c r="V128" s="1085">
        <v>0</v>
      </c>
      <c r="W128" s="1333">
        <v>0</v>
      </c>
      <c r="X128" s="1085">
        <v>0</v>
      </c>
      <c r="Y128" s="1333">
        <v>0</v>
      </c>
      <c r="Z128" s="1085">
        <v>0</v>
      </c>
      <c r="AA128" s="1333">
        <v>0</v>
      </c>
      <c r="AB128" s="1085">
        <v>0</v>
      </c>
      <c r="AC128" s="1333">
        <v>0</v>
      </c>
      <c r="AD128" s="1085">
        <v>0</v>
      </c>
      <c r="AE128" s="1333">
        <v>0</v>
      </c>
      <c r="AF128" s="1085">
        <v>0</v>
      </c>
      <c r="AG128" s="1333">
        <v>0</v>
      </c>
      <c r="AH128" s="1085">
        <v>0</v>
      </c>
      <c r="AI128" s="1333">
        <v>0</v>
      </c>
      <c r="AJ128" s="1085">
        <v>0</v>
      </c>
      <c r="AK128" s="1333">
        <v>540</v>
      </c>
      <c r="AL128" s="1085">
        <v>11.3</v>
      </c>
      <c r="AM128" s="1333">
        <v>68</v>
      </c>
      <c r="AN128" s="1085">
        <v>0</v>
      </c>
      <c r="AO128" s="1086">
        <f t="shared" si="50"/>
        <v>1145.5999999999999</v>
      </c>
      <c r="AP128" s="1087">
        <f t="shared" si="50"/>
        <v>13.3</v>
      </c>
      <c r="AQ128" s="1088">
        <v>0</v>
      </c>
      <c r="AR128" s="1089">
        <v>0</v>
      </c>
      <c r="AS128" s="1633">
        <v>4</v>
      </c>
      <c r="AT128" s="1648">
        <v>0</v>
      </c>
      <c r="AU128" s="1085">
        <v>0</v>
      </c>
      <c r="AV128" s="1093">
        <v>0</v>
      </c>
      <c r="AW128" s="1093">
        <v>9</v>
      </c>
      <c r="AX128" s="1093">
        <v>0</v>
      </c>
      <c r="AY128" s="1093">
        <v>0</v>
      </c>
      <c r="AZ128" s="1093">
        <v>6</v>
      </c>
      <c r="BA128" s="1093">
        <v>0</v>
      </c>
      <c r="BB128" s="1093">
        <v>0</v>
      </c>
      <c r="BC128" s="1093">
        <v>0</v>
      </c>
      <c r="BD128" s="1093">
        <v>0</v>
      </c>
      <c r="BE128" s="1093">
        <v>0</v>
      </c>
      <c r="BF128" s="1093">
        <v>0</v>
      </c>
      <c r="BG128" s="1093">
        <v>0</v>
      </c>
      <c r="BH128" s="1093">
        <v>0</v>
      </c>
      <c r="BI128" s="1093">
        <v>0</v>
      </c>
      <c r="BJ128" s="1093">
        <v>15</v>
      </c>
      <c r="BK128" s="1093">
        <v>2</v>
      </c>
      <c r="BL128" s="1150">
        <f>SUM(AS128:BK128)</f>
        <v>36</v>
      </c>
      <c r="BM128" s="1638">
        <v>0</v>
      </c>
      <c r="BN128" s="1635"/>
      <c r="BO128" s="892"/>
    </row>
    <row r="129" spans="1:70" ht="24.95" hidden="1" customHeight="1">
      <c r="A129" s="1083">
        <v>6</v>
      </c>
      <c r="B129" s="1080" t="s">
        <v>82</v>
      </c>
      <c r="C129" s="1333">
        <v>0</v>
      </c>
      <c r="D129" s="1085">
        <v>105.9</v>
      </c>
      <c r="E129" s="1333">
        <v>0</v>
      </c>
      <c r="F129" s="1085">
        <v>0</v>
      </c>
      <c r="G129" s="1333">
        <v>65.5</v>
      </c>
      <c r="H129" s="1085">
        <v>104</v>
      </c>
      <c r="I129" s="1333">
        <v>0</v>
      </c>
      <c r="J129" s="1085">
        <v>0</v>
      </c>
      <c r="K129" s="1333">
        <v>89</v>
      </c>
      <c r="L129" s="1085">
        <v>0</v>
      </c>
      <c r="M129" s="1333">
        <v>0</v>
      </c>
      <c r="N129" s="1085">
        <v>0</v>
      </c>
      <c r="O129" s="1333">
        <v>61</v>
      </c>
      <c r="P129" s="1085">
        <v>8.6999999999999993</v>
      </c>
      <c r="Q129" s="1333">
        <v>3</v>
      </c>
      <c r="R129" s="1085">
        <v>186.37131299999976</v>
      </c>
      <c r="S129" s="1333">
        <v>0</v>
      </c>
      <c r="T129" s="1085">
        <v>0</v>
      </c>
      <c r="U129" s="1333">
        <v>0</v>
      </c>
      <c r="V129" s="1085">
        <v>0</v>
      </c>
      <c r="W129" s="1333">
        <v>0</v>
      </c>
      <c r="X129" s="1085">
        <v>0</v>
      </c>
      <c r="Y129" s="1333">
        <v>0</v>
      </c>
      <c r="Z129" s="1085">
        <v>0</v>
      </c>
      <c r="AA129" s="1333">
        <v>22</v>
      </c>
      <c r="AB129" s="1085">
        <v>0</v>
      </c>
      <c r="AC129" s="1333">
        <v>0</v>
      </c>
      <c r="AD129" s="1085">
        <v>0</v>
      </c>
      <c r="AE129" s="1333">
        <v>0</v>
      </c>
      <c r="AF129" s="1085">
        <v>0</v>
      </c>
      <c r="AG129" s="1333">
        <v>0</v>
      </c>
      <c r="AH129" s="1085">
        <v>0</v>
      </c>
      <c r="AI129" s="1333">
        <v>10.25</v>
      </c>
      <c r="AJ129" s="1085">
        <v>14.75</v>
      </c>
      <c r="AK129" s="1333">
        <v>79</v>
      </c>
      <c r="AL129" s="1085">
        <v>19.239999999999998</v>
      </c>
      <c r="AM129" s="1333">
        <v>0</v>
      </c>
      <c r="AN129" s="1085">
        <v>56.833333333333336</v>
      </c>
      <c r="AO129" s="1086">
        <f t="shared" si="50"/>
        <v>329.75</v>
      </c>
      <c r="AP129" s="1087">
        <f t="shared" si="50"/>
        <v>495.79464633333311</v>
      </c>
      <c r="AQ129" s="1088">
        <v>0</v>
      </c>
      <c r="AR129" s="1089">
        <v>0</v>
      </c>
      <c r="AS129" s="1632"/>
      <c r="AT129" s="1648"/>
      <c r="AU129" s="1652"/>
      <c r="AV129" s="1090"/>
      <c r="AW129" s="1090"/>
      <c r="AX129" s="1090"/>
      <c r="AY129" s="1090"/>
      <c r="AZ129" s="1090"/>
      <c r="BA129" s="1090"/>
      <c r="BB129" s="1090"/>
      <c r="BC129" s="1090"/>
      <c r="BD129" s="1090"/>
      <c r="BE129" s="1090"/>
      <c r="BF129" s="1090"/>
      <c r="BG129" s="1090"/>
      <c r="BH129" s="1090"/>
      <c r="BI129" s="1090"/>
      <c r="BJ129" s="1090"/>
      <c r="BK129" s="1090"/>
      <c r="BL129" s="1149"/>
      <c r="BM129" s="1639"/>
      <c r="BN129" s="1635"/>
      <c r="BO129" s="892"/>
    </row>
    <row r="130" spans="1:70" ht="30" hidden="1" customHeight="1">
      <c r="A130" s="1061"/>
      <c r="B130" s="1080" t="s">
        <v>2</v>
      </c>
      <c r="C130" s="1329">
        <f t="shared" ref="C130:AN130" si="51">SUM(C127:C129)</f>
        <v>308</v>
      </c>
      <c r="D130" s="1086">
        <f t="shared" si="51"/>
        <v>147.5</v>
      </c>
      <c r="E130" s="1329">
        <f t="shared" si="51"/>
        <v>0</v>
      </c>
      <c r="F130" s="1086">
        <f t="shared" si="51"/>
        <v>0</v>
      </c>
      <c r="G130" s="1329">
        <f t="shared" si="51"/>
        <v>295</v>
      </c>
      <c r="H130" s="1086">
        <f t="shared" si="51"/>
        <v>130.15</v>
      </c>
      <c r="I130" s="1329">
        <f t="shared" si="51"/>
        <v>0</v>
      </c>
      <c r="J130" s="1086">
        <f t="shared" si="51"/>
        <v>0</v>
      </c>
      <c r="K130" s="1329">
        <f t="shared" si="51"/>
        <v>365</v>
      </c>
      <c r="L130" s="1086">
        <f t="shared" si="51"/>
        <v>0</v>
      </c>
      <c r="M130" s="1329">
        <f t="shared" si="51"/>
        <v>0</v>
      </c>
      <c r="N130" s="1086">
        <f t="shared" si="51"/>
        <v>0</v>
      </c>
      <c r="O130" s="1329">
        <f t="shared" si="51"/>
        <v>61</v>
      </c>
      <c r="P130" s="1086">
        <f t="shared" si="51"/>
        <v>8.6999999999999993</v>
      </c>
      <c r="Q130" s="1329">
        <f t="shared" si="51"/>
        <v>361</v>
      </c>
      <c r="R130" s="1086">
        <f t="shared" si="51"/>
        <v>190.37131299999976</v>
      </c>
      <c r="S130" s="1329">
        <f t="shared" si="51"/>
        <v>0</v>
      </c>
      <c r="T130" s="1086">
        <f t="shared" si="51"/>
        <v>0</v>
      </c>
      <c r="U130" s="1329">
        <f t="shared" si="51"/>
        <v>90</v>
      </c>
      <c r="V130" s="1086">
        <f t="shared" si="51"/>
        <v>0</v>
      </c>
      <c r="W130" s="1329">
        <f t="shared" si="51"/>
        <v>0</v>
      </c>
      <c r="X130" s="1086">
        <f t="shared" si="51"/>
        <v>0</v>
      </c>
      <c r="Y130" s="1329">
        <f t="shared" si="51"/>
        <v>0</v>
      </c>
      <c r="Z130" s="1086">
        <f t="shared" si="51"/>
        <v>0</v>
      </c>
      <c r="AA130" s="1329">
        <f t="shared" si="51"/>
        <v>22</v>
      </c>
      <c r="AB130" s="1086">
        <f t="shared" si="51"/>
        <v>0</v>
      </c>
      <c r="AC130" s="1329">
        <f t="shared" si="51"/>
        <v>0</v>
      </c>
      <c r="AD130" s="1086">
        <f t="shared" si="51"/>
        <v>0</v>
      </c>
      <c r="AE130" s="1329">
        <f t="shared" si="51"/>
        <v>0</v>
      </c>
      <c r="AF130" s="1086">
        <f t="shared" si="51"/>
        <v>0</v>
      </c>
      <c r="AG130" s="1329">
        <f t="shared" si="51"/>
        <v>0</v>
      </c>
      <c r="AH130" s="1086">
        <f t="shared" si="51"/>
        <v>0</v>
      </c>
      <c r="AI130" s="1329">
        <f t="shared" si="51"/>
        <v>10.25</v>
      </c>
      <c r="AJ130" s="1086">
        <f t="shared" si="51"/>
        <v>14.75</v>
      </c>
      <c r="AK130" s="1329">
        <f t="shared" si="51"/>
        <v>919</v>
      </c>
      <c r="AL130" s="1086">
        <f t="shared" si="51"/>
        <v>31.24</v>
      </c>
      <c r="AM130" s="1329">
        <f t="shared" si="51"/>
        <v>211</v>
      </c>
      <c r="AN130" s="1086">
        <f t="shared" si="51"/>
        <v>60.666666666666671</v>
      </c>
      <c r="AO130" s="1086">
        <f t="shared" ref="AO130:AP130" si="52">SUM(AO127:AO129)</f>
        <v>2642.25</v>
      </c>
      <c r="AP130" s="1087">
        <f t="shared" si="52"/>
        <v>583.37797966666642</v>
      </c>
      <c r="AQ130" s="1096">
        <f>SUM(AQ127:AQ129)</f>
        <v>0</v>
      </c>
      <c r="AR130" s="1087">
        <f>SUM(AR127:AR129)</f>
        <v>0</v>
      </c>
      <c r="AS130" s="1632"/>
      <c r="AT130" s="1649"/>
      <c r="AU130" s="1652"/>
      <c r="AV130" s="1090"/>
      <c r="AW130" s="1090"/>
      <c r="AX130" s="1090"/>
      <c r="AY130" s="1090"/>
      <c r="AZ130" s="1090"/>
      <c r="BA130" s="1090"/>
      <c r="BB130" s="1090"/>
      <c r="BC130" s="1090"/>
      <c r="BD130" s="1090"/>
      <c r="BE130" s="1090"/>
      <c r="BF130" s="1090"/>
      <c r="BG130" s="1090"/>
      <c r="BH130" s="1090"/>
      <c r="BI130" s="1090"/>
      <c r="BJ130" s="1090"/>
      <c r="BK130" s="1090"/>
      <c r="BL130" s="1149"/>
      <c r="BM130" s="1639"/>
      <c r="BN130" s="1635"/>
      <c r="BO130" s="892"/>
    </row>
    <row r="131" spans="1:70" ht="30" hidden="1" customHeight="1">
      <c r="A131" s="1061"/>
      <c r="B131" s="1071" t="s">
        <v>11</v>
      </c>
      <c r="C131" s="1330"/>
      <c r="D131" s="1072"/>
      <c r="E131" s="1330"/>
      <c r="F131" s="1072"/>
      <c r="G131" s="1330"/>
      <c r="H131" s="1072"/>
      <c r="I131" s="1330"/>
      <c r="J131" s="1072"/>
      <c r="K131" s="1330"/>
      <c r="L131" s="1072"/>
      <c r="M131" s="1330"/>
      <c r="N131" s="1072"/>
      <c r="O131" s="1330"/>
      <c r="P131" s="1072"/>
      <c r="Q131" s="1330"/>
      <c r="R131" s="1072"/>
      <c r="S131" s="1330"/>
      <c r="T131" s="1072"/>
      <c r="U131" s="1330"/>
      <c r="V131" s="1072"/>
      <c r="W131" s="1330"/>
      <c r="X131" s="1072"/>
      <c r="Y131" s="1330"/>
      <c r="Z131" s="1072"/>
      <c r="AA131" s="1330"/>
      <c r="AB131" s="1072"/>
      <c r="AC131" s="1330"/>
      <c r="AD131" s="1072"/>
      <c r="AE131" s="1330"/>
      <c r="AF131" s="1072"/>
      <c r="AG131" s="1330"/>
      <c r="AH131" s="1072"/>
      <c r="AI131" s="1330"/>
      <c r="AJ131" s="1072"/>
      <c r="AK131" s="1330"/>
      <c r="AL131" s="1072"/>
      <c r="AM131" s="1330"/>
      <c r="AN131" s="1072"/>
      <c r="AO131" s="1073"/>
      <c r="AP131" s="1074"/>
      <c r="AQ131" s="1075"/>
      <c r="AR131" s="1076"/>
      <c r="AS131" s="1632"/>
      <c r="AT131" s="1646"/>
      <c r="AU131" s="1652"/>
      <c r="AV131" s="1090"/>
      <c r="AW131" s="1090"/>
      <c r="AX131" s="1090"/>
      <c r="AY131" s="1090"/>
      <c r="AZ131" s="1090"/>
      <c r="BA131" s="1090"/>
      <c r="BB131" s="1090"/>
      <c r="BC131" s="1090"/>
      <c r="BD131" s="1090"/>
      <c r="BE131" s="1090"/>
      <c r="BF131" s="1090"/>
      <c r="BG131" s="1090"/>
      <c r="BH131" s="1090"/>
      <c r="BI131" s="1090"/>
      <c r="BJ131" s="1090"/>
      <c r="BK131" s="1090"/>
      <c r="BL131" s="1148"/>
      <c r="BM131" s="1639"/>
      <c r="BN131" s="1635"/>
      <c r="BO131" s="892"/>
    </row>
    <row r="132" spans="1:70" ht="24.95" hidden="1" customHeight="1">
      <c r="A132" s="1061"/>
      <c r="B132" s="1080" t="s">
        <v>80</v>
      </c>
      <c r="C132" s="1330"/>
      <c r="D132" s="1072"/>
      <c r="E132" s="1330"/>
      <c r="F132" s="1072"/>
      <c r="G132" s="1330"/>
      <c r="H132" s="1072"/>
      <c r="I132" s="1330"/>
      <c r="J132" s="1072"/>
      <c r="K132" s="1330"/>
      <c r="L132" s="1072"/>
      <c r="M132" s="1330"/>
      <c r="N132" s="1072"/>
      <c r="O132" s="1330"/>
      <c r="P132" s="1072"/>
      <c r="Q132" s="1330"/>
      <c r="R132" s="1072"/>
      <c r="S132" s="1330"/>
      <c r="T132" s="1072"/>
      <c r="U132" s="1330"/>
      <c r="V132" s="1072"/>
      <c r="W132" s="1330"/>
      <c r="X132" s="1072"/>
      <c r="Y132" s="1330"/>
      <c r="Z132" s="1072"/>
      <c r="AA132" s="1330"/>
      <c r="AB132" s="1072"/>
      <c r="AC132" s="1330"/>
      <c r="AD132" s="1072"/>
      <c r="AE132" s="1330"/>
      <c r="AF132" s="1072"/>
      <c r="AG132" s="1330"/>
      <c r="AH132" s="1072"/>
      <c r="AI132" s="1330"/>
      <c r="AJ132" s="1072"/>
      <c r="AK132" s="1330"/>
      <c r="AL132" s="1072"/>
      <c r="AM132" s="1330"/>
      <c r="AN132" s="1072"/>
      <c r="AO132" s="1073"/>
      <c r="AP132" s="1074"/>
      <c r="AQ132" s="1075"/>
      <c r="AR132" s="1076"/>
      <c r="AS132" s="1632"/>
      <c r="AT132" s="1646"/>
      <c r="AU132" s="1652"/>
      <c r="AV132" s="1090"/>
      <c r="AW132" s="1090"/>
      <c r="AX132" s="1090"/>
      <c r="AY132" s="1090"/>
      <c r="AZ132" s="1090"/>
      <c r="BA132" s="1090"/>
      <c r="BB132" s="1090"/>
      <c r="BC132" s="1090"/>
      <c r="BD132" s="1090"/>
      <c r="BE132" s="1090"/>
      <c r="BF132" s="1090"/>
      <c r="BG132" s="1090"/>
      <c r="BH132" s="1090"/>
      <c r="BI132" s="1090"/>
      <c r="BJ132" s="1090"/>
      <c r="BK132" s="1090"/>
      <c r="BL132" s="1148"/>
      <c r="BM132" s="1639"/>
      <c r="BN132" s="1635"/>
      <c r="BO132" s="892"/>
      <c r="BP132" s="966"/>
      <c r="BQ132" s="966"/>
      <c r="BR132" s="966"/>
    </row>
    <row r="133" spans="1:70" ht="24.95" hidden="1" customHeight="1">
      <c r="A133" s="1061"/>
      <c r="B133" s="1084" t="s">
        <v>86</v>
      </c>
      <c r="C133" s="1331"/>
      <c r="D133" s="1097"/>
      <c r="E133" s="1331"/>
      <c r="F133" s="1097"/>
      <c r="G133" s="1331"/>
      <c r="H133" s="1097"/>
      <c r="I133" s="1331"/>
      <c r="J133" s="1097"/>
      <c r="K133" s="1331"/>
      <c r="L133" s="1097"/>
      <c r="M133" s="1331"/>
      <c r="N133" s="1097"/>
      <c r="O133" s="1331"/>
      <c r="P133" s="1097"/>
      <c r="Q133" s="1331"/>
      <c r="R133" s="1097"/>
      <c r="S133" s="1331"/>
      <c r="T133" s="1097"/>
      <c r="U133" s="1331"/>
      <c r="V133" s="1097"/>
      <c r="W133" s="1331"/>
      <c r="X133" s="1097"/>
      <c r="Y133" s="1331"/>
      <c r="Z133" s="1097"/>
      <c r="AA133" s="1331"/>
      <c r="AB133" s="1097"/>
      <c r="AC133" s="1331"/>
      <c r="AD133" s="1097"/>
      <c r="AE133" s="1331"/>
      <c r="AF133" s="1097"/>
      <c r="AG133" s="1331"/>
      <c r="AH133" s="1097"/>
      <c r="AI133" s="1331"/>
      <c r="AJ133" s="1097"/>
      <c r="AK133" s="1331"/>
      <c r="AL133" s="1097"/>
      <c r="AM133" s="1331"/>
      <c r="AN133" s="1097"/>
      <c r="AO133" s="1073"/>
      <c r="AP133" s="1074"/>
      <c r="AQ133" s="1041"/>
      <c r="AR133" s="1082"/>
      <c r="AS133" s="1634"/>
      <c r="AT133" s="1647"/>
      <c r="AU133" s="1653"/>
      <c r="AV133" s="1098"/>
      <c r="AW133" s="1098"/>
      <c r="AX133" s="1098"/>
      <c r="AY133" s="1098"/>
      <c r="AZ133" s="1098"/>
      <c r="BA133" s="1098"/>
      <c r="BB133" s="1098"/>
      <c r="BC133" s="1791"/>
      <c r="BD133" s="1098"/>
      <c r="BE133" s="1098"/>
      <c r="BF133" s="1098"/>
      <c r="BG133" s="1098"/>
      <c r="BH133" s="1098"/>
      <c r="BI133" s="1098"/>
      <c r="BJ133" s="1098"/>
      <c r="BK133" s="1098"/>
      <c r="BL133" s="1150">
        <f t="shared" ref="BL133:BL137" si="53">SUM(AS133:BK133)</f>
        <v>0</v>
      </c>
      <c r="BM133" s="1640"/>
      <c r="BN133" s="1635"/>
      <c r="BO133" s="1635"/>
      <c r="BP133" s="966"/>
      <c r="BQ133" s="966"/>
      <c r="BR133" s="966"/>
    </row>
    <row r="134" spans="1:70" ht="21.95" hidden="1" customHeight="1">
      <c r="A134" s="1083">
        <v>7</v>
      </c>
      <c r="B134" s="1100" t="s">
        <v>32</v>
      </c>
      <c r="C134" s="1333">
        <v>385</v>
      </c>
      <c r="D134" s="1085">
        <v>3.5</v>
      </c>
      <c r="E134" s="1333">
        <v>0</v>
      </c>
      <c r="F134" s="1085">
        <v>0</v>
      </c>
      <c r="G134" s="1333">
        <v>348.5</v>
      </c>
      <c r="H134" s="1085">
        <v>0</v>
      </c>
      <c r="I134" s="1333">
        <v>0</v>
      </c>
      <c r="J134" s="1085">
        <v>0</v>
      </c>
      <c r="K134" s="1333">
        <v>389.75</v>
      </c>
      <c r="L134" s="1085">
        <v>0</v>
      </c>
      <c r="M134" s="1333">
        <v>0</v>
      </c>
      <c r="N134" s="1085">
        <v>0</v>
      </c>
      <c r="O134" s="1333">
        <v>0</v>
      </c>
      <c r="P134" s="1085">
        <v>0</v>
      </c>
      <c r="Q134" s="1333">
        <v>551</v>
      </c>
      <c r="R134" s="1085">
        <v>0</v>
      </c>
      <c r="S134" s="1333">
        <v>0</v>
      </c>
      <c r="T134" s="1085">
        <v>0</v>
      </c>
      <c r="U134" s="1333">
        <v>0</v>
      </c>
      <c r="V134" s="1085">
        <v>0</v>
      </c>
      <c r="W134" s="1333">
        <v>0</v>
      </c>
      <c r="X134" s="1085">
        <v>0</v>
      </c>
      <c r="Y134" s="1333">
        <v>0</v>
      </c>
      <c r="Z134" s="1085">
        <v>0</v>
      </c>
      <c r="AA134" s="1333">
        <v>0</v>
      </c>
      <c r="AB134" s="1085">
        <v>0</v>
      </c>
      <c r="AC134" s="1333">
        <v>0</v>
      </c>
      <c r="AD134" s="1085">
        <v>0</v>
      </c>
      <c r="AE134" s="1333">
        <v>0</v>
      </c>
      <c r="AF134" s="1085">
        <v>0</v>
      </c>
      <c r="AG134" s="1333">
        <v>0</v>
      </c>
      <c r="AH134" s="1085">
        <v>0</v>
      </c>
      <c r="AI134" s="1333">
        <v>0</v>
      </c>
      <c r="AJ134" s="1085">
        <v>0</v>
      </c>
      <c r="AK134" s="1333">
        <v>0</v>
      </c>
      <c r="AL134" s="1085">
        <v>0</v>
      </c>
      <c r="AM134" s="1333">
        <v>0</v>
      </c>
      <c r="AN134" s="1085">
        <v>0</v>
      </c>
      <c r="AO134" s="1086">
        <f t="shared" ref="AO134:AP137" si="54">SUMIF($C$71:$AN$71,AO$71,$C134:$AN134)</f>
        <v>1674.25</v>
      </c>
      <c r="AP134" s="1087">
        <f t="shared" si="54"/>
        <v>3.5</v>
      </c>
      <c r="AQ134" s="1088">
        <v>0</v>
      </c>
      <c r="AR134" s="1089">
        <v>0</v>
      </c>
      <c r="AS134" s="1633">
        <v>0</v>
      </c>
      <c r="AT134" s="1648">
        <v>0</v>
      </c>
      <c r="AU134" s="1085">
        <v>0</v>
      </c>
      <c r="AV134" s="1093">
        <v>0</v>
      </c>
      <c r="AW134" s="1093">
        <v>0</v>
      </c>
      <c r="AX134" s="1093">
        <v>0</v>
      </c>
      <c r="AY134" s="1093">
        <v>0</v>
      </c>
      <c r="AZ134" s="1093">
        <v>0</v>
      </c>
      <c r="BA134" s="1093">
        <v>0</v>
      </c>
      <c r="BB134" s="1093">
        <v>0</v>
      </c>
      <c r="BC134" s="1093">
        <v>0</v>
      </c>
      <c r="BD134" s="1093">
        <v>0</v>
      </c>
      <c r="BE134" s="1093">
        <v>0</v>
      </c>
      <c r="BF134" s="1093">
        <v>0</v>
      </c>
      <c r="BG134" s="1093">
        <v>0</v>
      </c>
      <c r="BH134" s="1093">
        <v>0</v>
      </c>
      <c r="BI134" s="1093">
        <v>0</v>
      </c>
      <c r="BJ134" s="1093">
        <v>0</v>
      </c>
      <c r="BK134" s="1093">
        <v>0</v>
      </c>
      <c r="BL134" s="1150">
        <f t="shared" si="53"/>
        <v>0</v>
      </c>
      <c r="BM134" s="1638">
        <v>0</v>
      </c>
      <c r="BN134" s="1635"/>
      <c r="BO134" s="892"/>
      <c r="BP134" s="966"/>
      <c r="BQ134" s="966"/>
      <c r="BR134" s="966"/>
    </row>
    <row r="135" spans="1:70" ht="21.95" hidden="1" customHeight="1">
      <c r="A135" s="1083">
        <v>8</v>
      </c>
      <c r="B135" s="1100" t="s">
        <v>33</v>
      </c>
      <c r="C135" s="1333">
        <v>59.2</v>
      </c>
      <c r="D135" s="1085">
        <v>0</v>
      </c>
      <c r="E135" s="1333">
        <v>0</v>
      </c>
      <c r="F135" s="1085">
        <v>0</v>
      </c>
      <c r="G135" s="1333">
        <v>165</v>
      </c>
      <c r="H135" s="1085">
        <v>0</v>
      </c>
      <c r="I135" s="1333">
        <v>0</v>
      </c>
      <c r="J135" s="1085">
        <v>0</v>
      </c>
      <c r="K135" s="1333">
        <v>0</v>
      </c>
      <c r="L135" s="1085">
        <v>0</v>
      </c>
      <c r="M135" s="1333">
        <v>0</v>
      </c>
      <c r="N135" s="1085">
        <v>0</v>
      </c>
      <c r="O135" s="1333">
        <v>0</v>
      </c>
      <c r="P135" s="1085">
        <v>0</v>
      </c>
      <c r="Q135" s="1333">
        <v>242</v>
      </c>
      <c r="R135" s="1085">
        <v>0</v>
      </c>
      <c r="S135" s="1333">
        <v>0</v>
      </c>
      <c r="T135" s="1085">
        <v>0</v>
      </c>
      <c r="U135" s="1333">
        <v>0</v>
      </c>
      <c r="V135" s="1085">
        <v>0</v>
      </c>
      <c r="W135" s="1333">
        <v>0</v>
      </c>
      <c r="X135" s="1085">
        <v>0</v>
      </c>
      <c r="Y135" s="1333">
        <v>0</v>
      </c>
      <c r="Z135" s="1085">
        <v>0</v>
      </c>
      <c r="AA135" s="1333">
        <v>0</v>
      </c>
      <c r="AB135" s="1085">
        <v>0</v>
      </c>
      <c r="AC135" s="1333">
        <v>0</v>
      </c>
      <c r="AD135" s="1085">
        <v>0</v>
      </c>
      <c r="AE135" s="1333">
        <v>0</v>
      </c>
      <c r="AF135" s="1085">
        <v>0</v>
      </c>
      <c r="AG135" s="1333">
        <v>0</v>
      </c>
      <c r="AH135" s="1085">
        <v>0</v>
      </c>
      <c r="AI135" s="1333">
        <v>0</v>
      </c>
      <c r="AJ135" s="1085">
        <v>0</v>
      </c>
      <c r="AK135" s="1333">
        <v>0</v>
      </c>
      <c r="AL135" s="1085">
        <v>0</v>
      </c>
      <c r="AM135" s="1333">
        <v>0</v>
      </c>
      <c r="AN135" s="1085">
        <v>0</v>
      </c>
      <c r="AO135" s="1086">
        <f t="shared" si="54"/>
        <v>466.2</v>
      </c>
      <c r="AP135" s="1087">
        <f t="shared" si="54"/>
        <v>0</v>
      </c>
      <c r="AQ135" s="1088">
        <v>0</v>
      </c>
      <c r="AR135" s="1089">
        <v>0</v>
      </c>
      <c r="AS135" s="1633">
        <v>0</v>
      </c>
      <c r="AT135" s="1648">
        <v>0</v>
      </c>
      <c r="AU135" s="1085">
        <v>0</v>
      </c>
      <c r="AV135" s="1093">
        <v>0</v>
      </c>
      <c r="AW135" s="1093">
        <v>0</v>
      </c>
      <c r="AX135" s="1093">
        <v>0</v>
      </c>
      <c r="AY135" s="1093">
        <v>0</v>
      </c>
      <c r="AZ135" s="1093">
        <v>0</v>
      </c>
      <c r="BA135" s="1093">
        <v>0</v>
      </c>
      <c r="BB135" s="1093">
        <v>0</v>
      </c>
      <c r="BC135" s="1093">
        <v>0</v>
      </c>
      <c r="BD135" s="1093">
        <v>0</v>
      </c>
      <c r="BE135" s="1093">
        <v>0</v>
      </c>
      <c r="BF135" s="1093">
        <v>0</v>
      </c>
      <c r="BG135" s="1093">
        <v>0</v>
      </c>
      <c r="BH135" s="1093">
        <v>0</v>
      </c>
      <c r="BI135" s="1093">
        <v>0</v>
      </c>
      <c r="BJ135" s="1093">
        <v>0</v>
      </c>
      <c r="BK135" s="1093">
        <v>0</v>
      </c>
      <c r="BL135" s="1150">
        <f t="shared" si="53"/>
        <v>0</v>
      </c>
      <c r="BM135" s="1638">
        <v>0</v>
      </c>
      <c r="BN135" s="1635"/>
      <c r="BO135" s="892"/>
      <c r="BP135" s="966"/>
      <c r="BQ135" s="966"/>
      <c r="BR135" s="966"/>
    </row>
    <row r="136" spans="1:70" ht="21.95" hidden="1" customHeight="1">
      <c r="A136" s="1083">
        <v>9</v>
      </c>
      <c r="B136" s="1100" t="s">
        <v>5</v>
      </c>
      <c r="C136" s="1333">
        <v>254</v>
      </c>
      <c r="D136" s="1085">
        <v>0</v>
      </c>
      <c r="E136" s="1333">
        <v>0</v>
      </c>
      <c r="F136" s="1085">
        <v>0</v>
      </c>
      <c r="G136" s="1333">
        <v>229</v>
      </c>
      <c r="H136" s="1085">
        <v>0</v>
      </c>
      <c r="I136" s="1333">
        <v>0</v>
      </c>
      <c r="J136" s="1085">
        <v>0</v>
      </c>
      <c r="K136" s="1333">
        <v>224</v>
      </c>
      <c r="L136" s="1085">
        <v>0</v>
      </c>
      <c r="M136" s="1333">
        <v>0</v>
      </c>
      <c r="N136" s="1085">
        <v>0</v>
      </c>
      <c r="O136" s="1333">
        <v>0</v>
      </c>
      <c r="P136" s="1085">
        <v>0</v>
      </c>
      <c r="Q136" s="1333">
        <v>324</v>
      </c>
      <c r="R136" s="1085">
        <v>0</v>
      </c>
      <c r="S136" s="1333">
        <v>0</v>
      </c>
      <c r="T136" s="1085">
        <v>0</v>
      </c>
      <c r="U136" s="1333">
        <v>0</v>
      </c>
      <c r="V136" s="1085">
        <v>0</v>
      </c>
      <c r="W136" s="1333">
        <v>0</v>
      </c>
      <c r="X136" s="1085">
        <v>0</v>
      </c>
      <c r="Y136" s="1333">
        <v>0</v>
      </c>
      <c r="Z136" s="1085">
        <v>0</v>
      </c>
      <c r="AA136" s="1333">
        <v>0</v>
      </c>
      <c r="AB136" s="1085">
        <v>0</v>
      </c>
      <c r="AC136" s="1333">
        <v>0</v>
      </c>
      <c r="AD136" s="1085">
        <v>0</v>
      </c>
      <c r="AE136" s="1333">
        <v>0</v>
      </c>
      <c r="AF136" s="1085">
        <v>0</v>
      </c>
      <c r="AG136" s="1333">
        <v>181.5</v>
      </c>
      <c r="AH136" s="1085">
        <v>0</v>
      </c>
      <c r="AI136" s="1333">
        <v>0</v>
      </c>
      <c r="AJ136" s="1085">
        <v>0</v>
      </c>
      <c r="AK136" s="1333">
        <v>0</v>
      </c>
      <c r="AL136" s="1085">
        <v>0</v>
      </c>
      <c r="AM136" s="1333">
        <v>0</v>
      </c>
      <c r="AN136" s="1085">
        <v>0</v>
      </c>
      <c r="AO136" s="1086">
        <f t="shared" si="54"/>
        <v>1212.5</v>
      </c>
      <c r="AP136" s="1087">
        <f t="shared" si="54"/>
        <v>0</v>
      </c>
      <c r="AQ136" s="1088">
        <v>0</v>
      </c>
      <c r="AR136" s="1089">
        <v>0</v>
      </c>
      <c r="AS136" s="1633">
        <v>0</v>
      </c>
      <c r="AT136" s="1648">
        <v>0</v>
      </c>
      <c r="AU136" s="1085">
        <v>0</v>
      </c>
      <c r="AV136" s="1093">
        <v>0</v>
      </c>
      <c r="AW136" s="1093">
        <v>0</v>
      </c>
      <c r="AX136" s="1093">
        <v>0</v>
      </c>
      <c r="AY136" s="1093">
        <v>0</v>
      </c>
      <c r="AZ136" s="1093">
        <v>0</v>
      </c>
      <c r="BA136" s="1093">
        <v>0</v>
      </c>
      <c r="BB136" s="1093">
        <v>0</v>
      </c>
      <c r="BC136" s="1093">
        <v>0</v>
      </c>
      <c r="BD136" s="1093">
        <v>0</v>
      </c>
      <c r="BE136" s="1093">
        <v>0</v>
      </c>
      <c r="BF136" s="1093">
        <v>0</v>
      </c>
      <c r="BG136" s="1093">
        <v>0</v>
      </c>
      <c r="BH136" s="1093">
        <v>0</v>
      </c>
      <c r="BI136" s="1093">
        <v>0</v>
      </c>
      <c r="BJ136" s="1093">
        <v>0</v>
      </c>
      <c r="BK136" s="1093">
        <v>0</v>
      </c>
      <c r="BL136" s="1150">
        <f t="shared" si="53"/>
        <v>0</v>
      </c>
      <c r="BM136" s="1638">
        <v>0</v>
      </c>
      <c r="BN136" s="1635"/>
      <c r="BO136" s="892"/>
      <c r="BP136" s="966"/>
      <c r="BQ136" s="966"/>
      <c r="BR136" s="966"/>
    </row>
    <row r="137" spans="1:70" ht="21.95" hidden="1" customHeight="1">
      <c r="A137" s="1083">
        <v>10</v>
      </c>
      <c r="B137" s="1100" t="s">
        <v>6</v>
      </c>
      <c r="C137" s="1333">
        <v>0</v>
      </c>
      <c r="D137" s="1085">
        <v>0</v>
      </c>
      <c r="E137" s="1333">
        <v>0</v>
      </c>
      <c r="F137" s="1085">
        <v>0</v>
      </c>
      <c r="G137" s="1333">
        <v>35</v>
      </c>
      <c r="H137" s="1085">
        <v>0</v>
      </c>
      <c r="I137" s="1333">
        <v>0</v>
      </c>
      <c r="J137" s="1085">
        <v>0</v>
      </c>
      <c r="K137" s="1333">
        <v>0</v>
      </c>
      <c r="L137" s="1085">
        <v>0</v>
      </c>
      <c r="M137" s="1333">
        <v>0</v>
      </c>
      <c r="N137" s="1085">
        <v>0</v>
      </c>
      <c r="O137" s="1333">
        <v>0</v>
      </c>
      <c r="P137" s="1085">
        <v>0</v>
      </c>
      <c r="Q137" s="1333">
        <v>54</v>
      </c>
      <c r="R137" s="1085">
        <v>0</v>
      </c>
      <c r="S137" s="1333">
        <v>0</v>
      </c>
      <c r="T137" s="1085">
        <v>0</v>
      </c>
      <c r="U137" s="1333">
        <v>0</v>
      </c>
      <c r="V137" s="1085">
        <v>0</v>
      </c>
      <c r="W137" s="1333">
        <v>0</v>
      </c>
      <c r="X137" s="1085">
        <v>0</v>
      </c>
      <c r="Y137" s="1333">
        <v>0</v>
      </c>
      <c r="Z137" s="1085">
        <v>0</v>
      </c>
      <c r="AA137" s="1333">
        <v>0</v>
      </c>
      <c r="AB137" s="1085">
        <v>0</v>
      </c>
      <c r="AC137" s="1333">
        <v>0</v>
      </c>
      <c r="AD137" s="1085">
        <v>0</v>
      </c>
      <c r="AE137" s="1333">
        <v>0</v>
      </c>
      <c r="AF137" s="1085">
        <v>0</v>
      </c>
      <c r="AG137" s="1333">
        <v>0</v>
      </c>
      <c r="AH137" s="1085">
        <v>0</v>
      </c>
      <c r="AI137" s="1333">
        <v>0</v>
      </c>
      <c r="AJ137" s="1085">
        <v>0</v>
      </c>
      <c r="AK137" s="1333">
        <v>0</v>
      </c>
      <c r="AL137" s="1085">
        <v>0</v>
      </c>
      <c r="AM137" s="1333">
        <v>0</v>
      </c>
      <c r="AN137" s="1085">
        <v>0</v>
      </c>
      <c r="AO137" s="1086">
        <f t="shared" si="54"/>
        <v>89</v>
      </c>
      <c r="AP137" s="1087">
        <f t="shared" si="54"/>
        <v>0</v>
      </c>
      <c r="AQ137" s="1088">
        <v>0</v>
      </c>
      <c r="AR137" s="1089">
        <v>0</v>
      </c>
      <c r="AS137" s="1633">
        <v>89</v>
      </c>
      <c r="AT137" s="1648">
        <v>0</v>
      </c>
      <c r="AU137" s="1085">
        <v>65</v>
      </c>
      <c r="AV137" s="1093">
        <v>0</v>
      </c>
      <c r="AW137" s="1093">
        <v>174</v>
      </c>
      <c r="AX137" s="1093">
        <v>0</v>
      </c>
      <c r="AY137" s="1093">
        <v>0</v>
      </c>
      <c r="AZ137" s="1093">
        <v>154</v>
      </c>
      <c r="BA137" s="1093">
        <v>0</v>
      </c>
      <c r="BB137" s="1093">
        <v>0</v>
      </c>
      <c r="BC137" s="1093">
        <v>0</v>
      </c>
      <c r="BD137" s="1093">
        <v>0</v>
      </c>
      <c r="BE137" s="1093">
        <v>0</v>
      </c>
      <c r="BF137" s="1093">
        <v>0</v>
      </c>
      <c r="BG137" s="1093">
        <v>0</v>
      </c>
      <c r="BH137" s="1093">
        <v>0</v>
      </c>
      <c r="BI137" s="1093">
        <v>0</v>
      </c>
      <c r="BJ137" s="1093">
        <v>0</v>
      </c>
      <c r="BK137" s="1093">
        <v>0</v>
      </c>
      <c r="BL137" s="1150">
        <f t="shared" si="53"/>
        <v>482</v>
      </c>
      <c r="BM137" s="1638">
        <v>0</v>
      </c>
      <c r="BN137" s="1635"/>
      <c r="BO137" s="892"/>
      <c r="BP137" s="966"/>
      <c r="BQ137" s="966"/>
      <c r="BR137" s="966"/>
    </row>
    <row r="138" spans="1:70" ht="24.95" hidden="1" customHeight="1">
      <c r="A138" s="1061"/>
      <c r="B138" s="1084" t="s">
        <v>7</v>
      </c>
      <c r="C138" s="1332"/>
      <c r="D138" s="1101"/>
      <c r="E138" s="1332"/>
      <c r="F138" s="1101"/>
      <c r="G138" s="1332"/>
      <c r="H138" s="1101"/>
      <c r="I138" s="1332"/>
      <c r="J138" s="1101"/>
      <c r="K138" s="1332"/>
      <c r="L138" s="1101"/>
      <c r="M138" s="1332"/>
      <c r="N138" s="1101"/>
      <c r="O138" s="1332"/>
      <c r="P138" s="1101"/>
      <c r="Q138" s="1332"/>
      <c r="R138" s="1101"/>
      <c r="S138" s="1332"/>
      <c r="T138" s="1101"/>
      <c r="U138" s="1332"/>
      <c r="V138" s="1101"/>
      <c r="W138" s="1332"/>
      <c r="X138" s="1101"/>
      <c r="Y138" s="1332"/>
      <c r="Z138" s="1101"/>
      <c r="AA138" s="1332"/>
      <c r="AB138" s="1101"/>
      <c r="AC138" s="1332"/>
      <c r="AD138" s="1101"/>
      <c r="AE138" s="1332"/>
      <c r="AF138" s="1101"/>
      <c r="AG138" s="1332"/>
      <c r="AH138" s="1101"/>
      <c r="AI138" s="1332"/>
      <c r="AJ138" s="1101"/>
      <c r="AK138" s="1332"/>
      <c r="AL138" s="1101"/>
      <c r="AM138" s="1332"/>
      <c r="AN138" s="1101"/>
      <c r="AO138" s="1073"/>
      <c r="AP138" s="1074"/>
      <c r="AQ138" s="1102"/>
      <c r="AR138" s="1103"/>
      <c r="AS138" s="1632"/>
      <c r="AT138" s="1650"/>
      <c r="AU138" s="1652"/>
      <c r="AV138" s="1090"/>
      <c r="AW138" s="1090"/>
      <c r="AX138" s="1090"/>
      <c r="AY138" s="1090"/>
      <c r="AZ138" s="1090"/>
      <c r="BA138" s="1090"/>
      <c r="BB138" s="1090"/>
      <c r="BC138" s="1090"/>
      <c r="BD138" s="1090"/>
      <c r="BE138" s="1090"/>
      <c r="BF138" s="1090"/>
      <c r="BG138" s="1090"/>
      <c r="BH138" s="1090"/>
      <c r="BI138" s="1090"/>
      <c r="BJ138" s="1090"/>
      <c r="BK138" s="1090"/>
      <c r="BL138" s="1152"/>
      <c r="BM138" s="1639"/>
      <c r="BN138" s="1635"/>
      <c r="BO138" s="892"/>
      <c r="BP138" s="966"/>
      <c r="BQ138" s="966"/>
      <c r="BR138" s="966"/>
    </row>
    <row r="139" spans="1:70" ht="21.95" hidden="1" customHeight="1">
      <c r="A139" s="1083">
        <v>11</v>
      </c>
      <c r="B139" s="1100" t="s">
        <v>90</v>
      </c>
      <c r="C139" s="1333">
        <v>387.4</v>
      </c>
      <c r="D139" s="1085">
        <v>0</v>
      </c>
      <c r="E139" s="1333">
        <v>0</v>
      </c>
      <c r="F139" s="1085">
        <v>0</v>
      </c>
      <c r="G139" s="1333">
        <v>243.5</v>
      </c>
      <c r="H139" s="1085">
        <v>0</v>
      </c>
      <c r="I139" s="1333">
        <v>0</v>
      </c>
      <c r="J139" s="1085">
        <v>0</v>
      </c>
      <c r="K139" s="1333">
        <v>405.3</v>
      </c>
      <c r="L139" s="1085">
        <v>0</v>
      </c>
      <c r="M139" s="1333">
        <v>0</v>
      </c>
      <c r="N139" s="1085">
        <v>0</v>
      </c>
      <c r="O139" s="1333">
        <v>0</v>
      </c>
      <c r="P139" s="1085">
        <v>0</v>
      </c>
      <c r="Q139" s="1333">
        <v>536</v>
      </c>
      <c r="R139" s="1085">
        <v>3.2</v>
      </c>
      <c r="S139" s="1333">
        <v>0</v>
      </c>
      <c r="T139" s="1085">
        <v>0</v>
      </c>
      <c r="U139" s="1333">
        <v>0</v>
      </c>
      <c r="V139" s="1085">
        <v>0</v>
      </c>
      <c r="W139" s="1333">
        <v>0</v>
      </c>
      <c r="X139" s="1085">
        <v>0</v>
      </c>
      <c r="Y139" s="1333">
        <v>0</v>
      </c>
      <c r="Z139" s="1085">
        <v>0</v>
      </c>
      <c r="AA139" s="1333">
        <v>0</v>
      </c>
      <c r="AB139" s="1085">
        <v>0</v>
      </c>
      <c r="AC139" s="1333">
        <v>0</v>
      </c>
      <c r="AD139" s="1085">
        <v>0</v>
      </c>
      <c r="AE139" s="1333">
        <v>0</v>
      </c>
      <c r="AF139" s="1085">
        <v>0</v>
      </c>
      <c r="AG139" s="1333">
        <v>0</v>
      </c>
      <c r="AH139" s="1085">
        <v>0</v>
      </c>
      <c r="AI139" s="1333">
        <v>151.44</v>
      </c>
      <c r="AJ139" s="1085">
        <v>1.08</v>
      </c>
      <c r="AK139" s="1333">
        <v>548.5</v>
      </c>
      <c r="AL139" s="1085">
        <v>0.65</v>
      </c>
      <c r="AM139" s="1333">
        <v>277</v>
      </c>
      <c r="AN139" s="1085">
        <v>0</v>
      </c>
      <c r="AO139" s="1086">
        <f t="shared" ref="AO139:AP142" si="55">SUMIF($C$71:$AN$71,AO$71,$C139:$AN139)</f>
        <v>2549.1400000000003</v>
      </c>
      <c r="AP139" s="1087">
        <f t="shared" si="55"/>
        <v>4.9300000000000006</v>
      </c>
      <c r="AQ139" s="1088">
        <v>0</v>
      </c>
      <c r="AR139" s="1089">
        <v>0</v>
      </c>
      <c r="AS139" s="1633">
        <v>65</v>
      </c>
      <c r="AT139" s="1648">
        <v>0</v>
      </c>
      <c r="AU139" s="1085">
        <v>59</v>
      </c>
      <c r="AV139" s="1093">
        <v>0</v>
      </c>
      <c r="AW139" s="1093">
        <v>163</v>
      </c>
      <c r="AX139" s="1093">
        <v>0</v>
      </c>
      <c r="AY139" s="1093">
        <v>0</v>
      </c>
      <c r="AZ139" s="1093">
        <v>120</v>
      </c>
      <c r="BA139" s="1093">
        <v>0</v>
      </c>
      <c r="BB139" s="1093">
        <v>0</v>
      </c>
      <c r="BC139" s="1093">
        <v>0</v>
      </c>
      <c r="BD139" s="1093">
        <v>0</v>
      </c>
      <c r="BE139" s="1093">
        <v>0</v>
      </c>
      <c r="BF139" s="1093">
        <v>0</v>
      </c>
      <c r="BG139" s="1093">
        <v>0</v>
      </c>
      <c r="BH139" s="1093">
        <v>162</v>
      </c>
      <c r="BI139" s="1093">
        <v>0</v>
      </c>
      <c r="BJ139" s="1093">
        <v>0</v>
      </c>
      <c r="BK139" s="1093">
        <v>0</v>
      </c>
      <c r="BL139" s="1150">
        <f t="shared" ref="BL139:BL142" si="56">SUM(AS139:BK139)</f>
        <v>569</v>
      </c>
      <c r="BM139" s="1638">
        <v>0</v>
      </c>
      <c r="BN139" s="1635"/>
      <c r="BO139" s="892"/>
      <c r="BP139" s="966"/>
      <c r="BQ139" s="966"/>
      <c r="BR139" s="966"/>
    </row>
    <row r="140" spans="1:70" ht="21.95" hidden="1" customHeight="1">
      <c r="A140" s="1083">
        <v>12</v>
      </c>
      <c r="B140" s="1100" t="s">
        <v>20</v>
      </c>
      <c r="C140" s="1333">
        <v>55.3</v>
      </c>
      <c r="D140" s="1085">
        <v>0</v>
      </c>
      <c r="E140" s="1333">
        <v>0</v>
      </c>
      <c r="F140" s="1085">
        <v>0</v>
      </c>
      <c r="G140" s="1333">
        <v>0</v>
      </c>
      <c r="H140" s="1085">
        <v>0</v>
      </c>
      <c r="I140" s="1333">
        <v>0</v>
      </c>
      <c r="J140" s="1085">
        <v>0</v>
      </c>
      <c r="K140" s="1333">
        <v>0</v>
      </c>
      <c r="L140" s="1085">
        <v>0</v>
      </c>
      <c r="M140" s="1333">
        <v>0</v>
      </c>
      <c r="N140" s="1085">
        <v>0</v>
      </c>
      <c r="O140" s="1333">
        <v>0</v>
      </c>
      <c r="P140" s="1085">
        <v>0</v>
      </c>
      <c r="Q140" s="1333">
        <v>0</v>
      </c>
      <c r="R140" s="1085">
        <v>0</v>
      </c>
      <c r="S140" s="1333">
        <v>0</v>
      </c>
      <c r="T140" s="1085">
        <v>0</v>
      </c>
      <c r="U140" s="1333">
        <v>0</v>
      </c>
      <c r="V140" s="1085">
        <v>0</v>
      </c>
      <c r="W140" s="1333">
        <v>0</v>
      </c>
      <c r="X140" s="1085">
        <v>0</v>
      </c>
      <c r="Y140" s="1333">
        <v>0</v>
      </c>
      <c r="Z140" s="1085">
        <v>0</v>
      </c>
      <c r="AA140" s="1333">
        <v>0</v>
      </c>
      <c r="AB140" s="1085">
        <v>0</v>
      </c>
      <c r="AC140" s="1333">
        <v>94</v>
      </c>
      <c r="AD140" s="1085">
        <v>0</v>
      </c>
      <c r="AE140" s="1333">
        <v>0</v>
      </c>
      <c r="AF140" s="1085">
        <v>0</v>
      </c>
      <c r="AG140" s="1333">
        <v>0</v>
      </c>
      <c r="AH140" s="1085">
        <v>0</v>
      </c>
      <c r="AI140" s="1333">
        <v>0</v>
      </c>
      <c r="AJ140" s="1085">
        <v>0</v>
      </c>
      <c r="AK140" s="1333">
        <v>0</v>
      </c>
      <c r="AL140" s="1085">
        <v>0</v>
      </c>
      <c r="AM140" s="1333">
        <v>0</v>
      </c>
      <c r="AN140" s="1085">
        <v>0</v>
      </c>
      <c r="AO140" s="1086">
        <f t="shared" si="55"/>
        <v>149.30000000000001</v>
      </c>
      <c r="AP140" s="1087">
        <f t="shared" si="55"/>
        <v>0</v>
      </c>
      <c r="AQ140" s="1088">
        <v>0</v>
      </c>
      <c r="AR140" s="1089">
        <v>0</v>
      </c>
      <c r="AS140" s="1633">
        <v>0</v>
      </c>
      <c r="AT140" s="1648">
        <v>0</v>
      </c>
      <c r="AU140" s="1085">
        <v>14</v>
      </c>
      <c r="AV140" s="1093">
        <v>0</v>
      </c>
      <c r="AW140" s="1093">
        <v>0</v>
      </c>
      <c r="AX140" s="1093">
        <v>0</v>
      </c>
      <c r="AY140" s="1093">
        <v>0</v>
      </c>
      <c r="AZ140" s="1093">
        <v>14</v>
      </c>
      <c r="BA140" s="1093">
        <v>0</v>
      </c>
      <c r="BB140" s="1093">
        <v>0</v>
      </c>
      <c r="BC140" s="1093">
        <v>0</v>
      </c>
      <c r="BD140" s="1093">
        <v>0</v>
      </c>
      <c r="BE140" s="1093">
        <v>0</v>
      </c>
      <c r="BF140" s="1093">
        <v>0</v>
      </c>
      <c r="BG140" s="1093">
        <v>0</v>
      </c>
      <c r="BH140" s="1093">
        <v>0</v>
      </c>
      <c r="BI140" s="1093">
        <v>0</v>
      </c>
      <c r="BJ140" s="1093">
        <v>0</v>
      </c>
      <c r="BK140" s="1093">
        <v>0</v>
      </c>
      <c r="BL140" s="1150">
        <f t="shared" si="56"/>
        <v>28</v>
      </c>
      <c r="BM140" s="1638">
        <v>0</v>
      </c>
      <c r="BN140" s="1635"/>
      <c r="BO140" s="892"/>
      <c r="BP140" s="966"/>
      <c r="BQ140" s="966"/>
      <c r="BR140" s="966"/>
    </row>
    <row r="141" spans="1:70" ht="21.95" hidden="1" customHeight="1">
      <c r="A141" s="1083">
        <v>13</v>
      </c>
      <c r="B141" s="1100" t="s">
        <v>21</v>
      </c>
      <c r="C141" s="1333">
        <v>0</v>
      </c>
      <c r="D141" s="1085">
        <v>0</v>
      </c>
      <c r="E141" s="1333">
        <v>0</v>
      </c>
      <c r="F141" s="1085">
        <v>0</v>
      </c>
      <c r="G141" s="1333">
        <v>0</v>
      </c>
      <c r="H141" s="1085">
        <v>0</v>
      </c>
      <c r="I141" s="1333">
        <v>0</v>
      </c>
      <c r="J141" s="1085">
        <v>0</v>
      </c>
      <c r="K141" s="1333">
        <v>352</v>
      </c>
      <c r="L141" s="1085">
        <v>0</v>
      </c>
      <c r="M141" s="1333">
        <v>0</v>
      </c>
      <c r="N141" s="1085">
        <v>0</v>
      </c>
      <c r="O141" s="1333">
        <v>0</v>
      </c>
      <c r="P141" s="1085">
        <v>0</v>
      </c>
      <c r="Q141" s="1333">
        <v>0</v>
      </c>
      <c r="R141" s="1085">
        <v>0</v>
      </c>
      <c r="S141" s="1333">
        <v>0</v>
      </c>
      <c r="T141" s="1085">
        <v>0</v>
      </c>
      <c r="U141" s="1333">
        <v>0</v>
      </c>
      <c r="V141" s="1085">
        <v>0</v>
      </c>
      <c r="W141" s="1333">
        <v>0</v>
      </c>
      <c r="X141" s="1085">
        <v>0</v>
      </c>
      <c r="Y141" s="1333">
        <v>0</v>
      </c>
      <c r="Z141" s="1085">
        <v>0</v>
      </c>
      <c r="AA141" s="1333">
        <v>0</v>
      </c>
      <c r="AB141" s="1085">
        <v>0</v>
      </c>
      <c r="AC141" s="1333">
        <v>0</v>
      </c>
      <c r="AD141" s="1085">
        <v>0</v>
      </c>
      <c r="AE141" s="1333">
        <v>0</v>
      </c>
      <c r="AF141" s="1085">
        <v>0</v>
      </c>
      <c r="AG141" s="1333">
        <v>0</v>
      </c>
      <c r="AH141" s="1085">
        <v>0</v>
      </c>
      <c r="AI141" s="1333">
        <v>0</v>
      </c>
      <c r="AJ141" s="1085">
        <v>0</v>
      </c>
      <c r="AK141" s="1333">
        <v>0</v>
      </c>
      <c r="AL141" s="1085">
        <v>0</v>
      </c>
      <c r="AM141" s="1333">
        <v>0</v>
      </c>
      <c r="AN141" s="1085">
        <v>0</v>
      </c>
      <c r="AO141" s="1086">
        <f t="shared" si="55"/>
        <v>352</v>
      </c>
      <c r="AP141" s="1087">
        <f t="shared" si="55"/>
        <v>0</v>
      </c>
      <c r="AQ141" s="1088">
        <v>0</v>
      </c>
      <c r="AR141" s="1089">
        <v>0</v>
      </c>
      <c r="AS141" s="1633">
        <v>0</v>
      </c>
      <c r="AT141" s="1648">
        <v>0</v>
      </c>
      <c r="AU141" s="1085">
        <v>0</v>
      </c>
      <c r="AV141" s="1093">
        <v>0</v>
      </c>
      <c r="AW141" s="1093">
        <v>0</v>
      </c>
      <c r="AX141" s="1093">
        <v>0</v>
      </c>
      <c r="AY141" s="1093">
        <v>0</v>
      </c>
      <c r="AZ141" s="1093">
        <v>0</v>
      </c>
      <c r="BA141" s="1093">
        <v>0</v>
      </c>
      <c r="BB141" s="1093">
        <v>0</v>
      </c>
      <c r="BC141" s="1093">
        <v>0</v>
      </c>
      <c r="BD141" s="1093">
        <v>0</v>
      </c>
      <c r="BE141" s="1093">
        <v>0</v>
      </c>
      <c r="BF141" s="1093">
        <v>0</v>
      </c>
      <c r="BG141" s="1093">
        <v>0</v>
      </c>
      <c r="BH141" s="1093">
        <v>0</v>
      </c>
      <c r="BI141" s="1093">
        <v>0</v>
      </c>
      <c r="BJ141" s="1093">
        <v>0</v>
      </c>
      <c r="BK141" s="1093">
        <v>0</v>
      </c>
      <c r="BL141" s="1150">
        <f t="shared" si="56"/>
        <v>0</v>
      </c>
      <c r="BM141" s="1638">
        <v>0</v>
      </c>
      <c r="BN141" s="1635"/>
      <c r="BO141" s="892"/>
      <c r="BP141" s="966"/>
      <c r="BQ141" s="966"/>
      <c r="BR141" s="966"/>
    </row>
    <row r="142" spans="1:70" ht="21.95" hidden="1" customHeight="1">
      <c r="A142" s="1083">
        <v>14</v>
      </c>
      <c r="B142" s="1100" t="s">
        <v>22</v>
      </c>
      <c r="C142" s="1333">
        <v>0</v>
      </c>
      <c r="D142" s="1085">
        <v>0</v>
      </c>
      <c r="E142" s="1333">
        <v>0</v>
      </c>
      <c r="F142" s="1085">
        <v>0</v>
      </c>
      <c r="G142" s="1333">
        <v>0</v>
      </c>
      <c r="H142" s="1085">
        <v>0</v>
      </c>
      <c r="I142" s="1333">
        <v>0</v>
      </c>
      <c r="J142" s="1085">
        <v>0</v>
      </c>
      <c r="K142" s="1333">
        <v>0</v>
      </c>
      <c r="L142" s="1085">
        <v>0</v>
      </c>
      <c r="M142" s="1333">
        <v>0</v>
      </c>
      <c r="N142" s="1085">
        <v>0</v>
      </c>
      <c r="O142" s="1333">
        <v>0</v>
      </c>
      <c r="P142" s="1085">
        <v>0</v>
      </c>
      <c r="Q142" s="1333">
        <v>87</v>
      </c>
      <c r="R142" s="1085">
        <v>2.4</v>
      </c>
      <c r="S142" s="1333">
        <v>0</v>
      </c>
      <c r="T142" s="1085">
        <v>0</v>
      </c>
      <c r="U142" s="1333">
        <v>0</v>
      </c>
      <c r="V142" s="1085">
        <v>0</v>
      </c>
      <c r="W142" s="1333">
        <v>0</v>
      </c>
      <c r="X142" s="1085">
        <v>0</v>
      </c>
      <c r="Y142" s="1333">
        <v>0</v>
      </c>
      <c r="Z142" s="1085">
        <v>0</v>
      </c>
      <c r="AA142" s="1333">
        <v>0</v>
      </c>
      <c r="AB142" s="1085">
        <v>0</v>
      </c>
      <c r="AC142" s="1333">
        <v>0</v>
      </c>
      <c r="AD142" s="1085">
        <v>0</v>
      </c>
      <c r="AE142" s="1333">
        <v>0</v>
      </c>
      <c r="AF142" s="1085">
        <v>0</v>
      </c>
      <c r="AG142" s="1333">
        <v>0</v>
      </c>
      <c r="AH142" s="1085">
        <v>0</v>
      </c>
      <c r="AI142" s="1333">
        <v>0</v>
      </c>
      <c r="AJ142" s="1085">
        <v>0</v>
      </c>
      <c r="AK142" s="1333">
        <v>0</v>
      </c>
      <c r="AL142" s="1085">
        <v>0</v>
      </c>
      <c r="AM142" s="1333">
        <v>0</v>
      </c>
      <c r="AN142" s="1085">
        <v>0</v>
      </c>
      <c r="AO142" s="1086">
        <f t="shared" si="55"/>
        <v>87</v>
      </c>
      <c r="AP142" s="1087">
        <f t="shared" si="55"/>
        <v>2.4</v>
      </c>
      <c r="AQ142" s="1088">
        <v>0</v>
      </c>
      <c r="AR142" s="1089">
        <v>0</v>
      </c>
      <c r="AS142" s="1633">
        <v>13</v>
      </c>
      <c r="AT142" s="1648">
        <v>0</v>
      </c>
      <c r="AU142" s="1085">
        <v>17</v>
      </c>
      <c r="AV142" s="1093">
        <v>0</v>
      </c>
      <c r="AW142" s="1093">
        <v>13</v>
      </c>
      <c r="AX142" s="1093">
        <v>0</v>
      </c>
      <c r="AY142" s="1093">
        <v>0</v>
      </c>
      <c r="AZ142" s="1093">
        <v>8</v>
      </c>
      <c r="BA142" s="1093">
        <v>0</v>
      </c>
      <c r="BB142" s="1093">
        <v>0</v>
      </c>
      <c r="BC142" s="1093">
        <v>0</v>
      </c>
      <c r="BD142" s="1093">
        <v>0</v>
      </c>
      <c r="BE142" s="1093">
        <v>0</v>
      </c>
      <c r="BF142" s="1093">
        <v>0</v>
      </c>
      <c r="BG142" s="1093">
        <v>0</v>
      </c>
      <c r="BH142" s="1093">
        <v>0</v>
      </c>
      <c r="BI142" s="1093">
        <v>20.07</v>
      </c>
      <c r="BJ142" s="1093">
        <v>18</v>
      </c>
      <c r="BK142" s="1093">
        <v>0</v>
      </c>
      <c r="BL142" s="1150">
        <f t="shared" si="56"/>
        <v>89.07</v>
      </c>
      <c r="BM142" s="1638">
        <v>0</v>
      </c>
      <c r="BN142" s="1635"/>
      <c r="BO142" s="892"/>
      <c r="BP142" s="966"/>
      <c r="BQ142" s="966"/>
      <c r="BR142" s="966"/>
    </row>
    <row r="143" spans="1:70" ht="24.95" hidden="1" customHeight="1">
      <c r="A143" s="1061"/>
      <c r="B143" s="1084" t="s">
        <v>81</v>
      </c>
      <c r="C143" s="1328"/>
      <c r="D143" s="1105"/>
      <c r="E143" s="1328"/>
      <c r="F143" s="1105"/>
      <c r="G143" s="1328"/>
      <c r="H143" s="1105"/>
      <c r="I143" s="1328"/>
      <c r="J143" s="1105"/>
      <c r="K143" s="1328"/>
      <c r="L143" s="1105"/>
      <c r="M143" s="1328"/>
      <c r="N143" s="1105"/>
      <c r="O143" s="1328"/>
      <c r="P143" s="1105"/>
      <c r="Q143" s="1328"/>
      <c r="R143" s="1105"/>
      <c r="S143" s="1328"/>
      <c r="T143" s="1105"/>
      <c r="U143" s="1328"/>
      <c r="V143" s="1105"/>
      <c r="W143" s="1328"/>
      <c r="X143" s="1105"/>
      <c r="Y143" s="1328"/>
      <c r="Z143" s="1105"/>
      <c r="AA143" s="1328"/>
      <c r="AB143" s="1105"/>
      <c r="AC143" s="1328"/>
      <c r="AD143" s="1105"/>
      <c r="AE143" s="1328"/>
      <c r="AF143" s="1105"/>
      <c r="AG143" s="1328"/>
      <c r="AH143" s="1105"/>
      <c r="AI143" s="1328"/>
      <c r="AJ143" s="1105"/>
      <c r="AK143" s="1328"/>
      <c r="AL143" s="1105"/>
      <c r="AM143" s="1328"/>
      <c r="AN143" s="1105"/>
      <c r="AO143" s="1073"/>
      <c r="AP143" s="1074"/>
      <c r="AQ143" s="1106"/>
      <c r="AR143" s="1107"/>
      <c r="AS143" s="1634"/>
      <c r="AT143" s="1651"/>
      <c r="AU143" s="1147"/>
      <c r="AV143" s="1098"/>
      <c r="AW143" s="1147"/>
      <c r="AX143" s="1147"/>
      <c r="AY143" s="1147"/>
      <c r="AZ143" s="1147"/>
      <c r="BA143" s="1147"/>
      <c r="BB143" s="1147"/>
      <c r="BC143" s="1147"/>
      <c r="BD143" s="1147"/>
      <c r="BE143" s="1147"/>
      <c r="BF143" s="1147"/>
      <c r="BG143" s="1147"/>
      <c r="BH143" s="1147"/>
      <c r="BI143" s="1147"/>
      <c r="BJ143" s="1147"/>
      <c r="BK143" s="1147"/>
      <c r="BL143" s="1074"/>
      <c r="BM143" s="1142"/>
      <c r="BN143" s="1635"/>
      <c r="BO143" s="892"/>
      <c r="BP143" s="966"/>
      <c r="BQ143" s="966"/>
      <c r="BR143" s="966"/>
    </row>
    <row r="144" spans="1:70" ht="24.95" hidden="1" customHeight="1">
      <c r="A144" s="1083">
        <v>15</v>
      </c>
      <c r="B144" s="1100" t="s">
        <v>293</v>
      </c>
      <c r="C144" s="1333">
        <v>0</v>
      </c>
      <c r="D144" s="1085">
        <v>0</v>
      </c>
      <c r="E144" s="1333">
        <v>0</v>
      </c>
      <c r="F144" s="1085">
        <v>0</v>
      </c>
      <c r="G144" s="1333">
        <v>1209.5</v>
      </c>
      <c r="H144" s="1085">
        <v>0</v>
      </c>
      <c r="I144" s="1333">
        <v>1657</v>
      </c>
      <c r="J144" s="1085">
        <v>0</v>
      </c>
      <c r="K144" s="1333">
        <v>0</v>
      </c>
      <c r="L144" s="1085">
        <v>0</v>
      </c>
      <c r="M144" s="1333">
        <v>1433.16</v>
      </c>
      <c r="N144" s="1085">
        <v>14.56</v>
      </c>
      <c r="O144" s="1333">
        <v>0</v>
      </c>
      <c r="P144" s="1085">
        <v>0</v>
      </c>
      <c r="Q144" s="1333">
        <v>0</v>
      </c>
      <c r="R144" s="1085">
        <v>0</v>
      </c>
      <c r="S144" s="1333">
        <v>0</v>
      </c>
      <c r="T144" s="1085">
        <v>0</v>
      </c>
      <c r="U144" s="1333">
        <v>0</v>
      </c>
      <c r="V144" s="1085">
        <v>0</v>
      </c>
      <c r="W144" s="1333">
        <v>0</v>
      </c>
      <c r="X144" s="1085">
        <v>0</v>
      </c>
      <c r="Y144" s="1333">
        <v>0</v>
      </c>
      <c r="Z144" s="1085">
        <v>0</v>
      </c>
      <c r="AA144" s="1333">
        <v>812</v>
      </c>
      <c r="AB144" s="1085">
        <v>0</v>
      </c>
      <c r="AC144" s="1333">
        <v>0</v>
      </c>
      <c r="AD144" s="1085">
        <v>0</v>
      </c>
      <c r="AE144" s="1333">
        <v>0</v>
      </c>
      <c r="AF144" s="1085">
        <v>0</v>
      </c>
      <c r="AG144" s="1333">
        <v>0</v>
      </c>
      <c r="AH144" s="1085">
        <v>0</v>
      </c>
      <c r="AI144" s="1333">
        <v>974.86</v>
      </c>
      <c r="AJ144" s="1085">
        <v>0</v>
      </c>
      <c r="AK144" s="1333">
        <v>0</v>
      </c>
      <c r="AL144" s="1085">
        <v>0</v>
      </c>
      <c r="AM144" s="1333">
        <v>1978</v>
      </c>
      <c r="AN144" s="1085">
        <v>0</v>
      </c>
      <c r="AO144" s="1086">
        <f>SUMIF($C$71:$AN$71,AO$71,$C144:$AN144)</f>
        <v>8064.5199999999995</v>
      </c>
      <c r="AP144" s="1087">
        <f>SUMIF($C$71:$AN$71,AP$71,$C144:$AN144)</f>
        <v>14.56</v>
      </c>
      <c r="AQ144" s="1088">
        <v>0</v>
      </c>
      <c r="AR144" s="1089">
        <v>0</v>
      </c>
      <c r="AS144" s="1632"/>
      <c r="AT144" s="1648"/>
      <c r="AU144" s="1151"/>
      <c r="AV144" s="1090"/>
      <c r="AW144" s="1151"/>
      <c r="AX144" s="1151"/>
      <c r="AY144" s="1151"/>
      <c r="AZ144" s="1151"/>
      <c r="BA144" s="1151"/>
      <c r="BB144" s="1151"/>
      <c r="BC144" s="1792"/>
      <c r="BD144" s="1151"/>
      <c r="BE144" s="1151"/>
      <c r="BF144" s="1151"/>
      <c r="BG144" s="1151"/>
      <c r="BH144" s="1151"/>
      <c r="BI144" s="1151"/>
      <c r="BJ144" s="1151"/>
      <c r="BK144" s="1151"/>
      <c r="BL144" s="1641"/>
      <c r="BM144" s="1143"/>
      <c r="BN144" s="1635"/>
      <c r="BO144" s="1635"/>
      <c r="BP144" s="966"/>
      <c r="BQ144" s="966"/>
      <c r="BR144" s="966"/>
    </row>
    <row r="145" spans="1:70" ht="24.95" hidden="1" customHeight="1">
      <c r="A145" s="1083">
        <v>16</v>
      </c>
      <c r="B145" s="1100" t="s">
        <v>291</v>
      </c>
      <c r="C145" s="1333">
        <v>0</v>
      </c>
      <c r="D145" s="1085">
        <v>0</v>
      </c>
      <c r="E145" s="1333">
        <v>96</v>
      </c>
      <c r="F145" s="1085">
        <v>3.9</v>
      </c>
      <c r="G145" s="1333">
        <v>0</v>
      </c>
      <c r="H145" s="1085">
        <v>0</v>
      </c>
      <c r="I145" s="1333">
        <v>0</v>
      </c>
      <c r="J145" s="1085">
        <v>0</v>
      </c>
      <c r="K145" s="1333">
        <v>100</v>
      </c>
      <c r="L145" s="1085">
        <v>0</v>
      </c>
      <c r="M145" s="1333">
        <v>169</v>
      </c>
      <c r="N145" s="1085">
        <v>2.5</v>
      </c>
      <c r="O145" s="1333">
        <v>0</v>
      </c>
      <c r="P145" s="1085">
        <v>0</v>
      </c>
      <c r="Q145" s="1333">
        <v>129</v>
      </c>
      <c r="R145" s="1085">
        <v>0.16700000000000001</v>
      </c>
      <c r="S145" s="1333">
        <v>0</v>
      </c>
      <c r="T145" s="1085">
        <v>0</v>
      </c>
      <c r="U145" s="1333">
        <v>0</v>
      </c>
      <c r="V145" s="1085">
        <v>0</v>
      </c>
      <c r="W145" s="1333">
        <v>0</v>
      </c>
      <c r="X145" s="1085">
        <v>0</v>
      </c>
      <c r="Y145" s="1333">
        <v>99</v>
      </c>
      <c r="Z145" s="1085">
        <v>0.83</v>
      </c>
      <c r="AA145" s="1333">
        <v>64</v>
      </c>
      <c r="AB145" s="1085">
        <v>0</v>
      </c>
      <c r="AC145" s="1333">
        <v>0</v>
      </c>
      <c r="AD145" s="1085">
        <v>0</v>
      </c>
      <c r="AE145" s="1333">
        <v>0</v>
      </c>
      <c r="AF145" s="1085">
        <v>0</v>
      </c>
      <c r="AG145" s="1333">
        <v>0</v>
      </c>
      <c r="AH145" s="1085">
        <v>0</v>
      </c>
      <c r="AI145" s="1333">
        <v>0</v>
      </c>
      <c r="AJ145" s="1085">
        <v>0</v>
      </c>
      <c r="AK145" s="1333">
        <v>0</v>
      </c>
      <c r="AL145" s="1085">
        <v>0</v>
      </c>
      <c r="AM145" s="1333">
        <v>0</v>
      </c>
      <c r="AN145" s="1085">
        <v>0</v>
      </c>
      <c r="AO145" s="1086">
        <f>SUMIF($C$71:$AN$71,AO$71,$C145:$AN145)</f>
        <v>657</v>
      </c>
      <c r="AP145" s="1087">
        <f>SUMIF($C$71:$AN$71,AP$71,$C145:$AN145)</f>
        <v>7.3970000000000002</v>
      </c>
      <c r="AQ145" s="1088">
        <v>0</v>
      </c>
      <c r="AR145" s="1089">
        <v>0</v>
      </c>
      <c r="AS145" s="1632"/>
      <c r="AT145" s="1648"/>
      <c r="AU145" s="1147"/>
      <c r="AV145" s="1090"/>
      <c r="AW145" s="1147"/>
      <c r="AX145" s="1147"/>
      <c r="AY145" s="1147"/>
      <c r="AZ145" s="1147"/>
      <c r="BA145" s="1147"/>
      <c r="BB145" s="1147"/>
      <c r="BC145" s="1147"/>
      <c r="BD145" s="1147"/>
      <c r="BE145" s="1147"/>
      <c r="BF145" s="1147"/>
      <c r="BG145" s="1147"/>
      <c r="BH145" s="1147"/>
      <c r="BI145" s="1147"/>
      <c r="BJ145" s="1147"/>
      <c r="BK145" s="1147"/>
      <c r="BL145" s="1074"/>
      <c r="BM145" s="1142"/>
      <c r="BN145" s="1635"/>
      <c r="BO145" s="892"/>
      <c r="BP145" s="966"/>
      <c r="BQ145" s="966"/>
      <c r="BR145" s="966"/>
    </row>
    <row r="146" spans="1:70" ht="24.95" hidden="1" customHeight="1">
      <c r="A146" s="1061"/>
      <c r="B146" s="1080" t="s">
        <v>82</v>
      </c>
      <c r="C146" s="1330"/>
      <c r="D146" s="1072"/>
      <c r="E146" s="1330"/>
      <c r="F146" s="1072"/>
      <c r="G146" s="1330"/>
      <c r="H146" s="1072"/>
      <c r="I146" s="1330"/>
      <c r="J146" s="1072"/>
      <c r="K146" s="1330"/>
      <c r="L146" s="1072"/>
      <c r="M146" s="1330"/>
      <c r="N146" s="1072"/>
      <c r="O146" s="1330"/>
      <c r="P146" s="1072"/>
      <c r="Q146" s="1330"/>
      <c r="R146" s="1072"/>
      <c r="S146" s="1330"/>
      <c r="T146" s="1072"/>
      <c r="U146" s="1330"/>
      <c r="V146" s="1072"/>
      <c r="W146" s="1330"/>
      <c r="X146" s="1072"/>
      <c r="Y146" s="1330"/>
      <c r="Z146" s="1072"/>
      <c r="AA146" s="1330"/>
      <c r="AB146" s="1072"/>
      <c r="AC146" s="1330"/>
      <c r="AD146" s="1072"/>
      <c r="AE146" s="1330"/>
      <c r="AF146" s="1072"/>
      <c r="AG146" s="1330"/>
      <c r="AH146" s="1072"/>
      <c r="AI146" s="1330"/>
      <c r="AJ146" s="1072"/>
      <c r="AK146" s="1330"/>
      <c r="AL146" s="1072"/>
      <c r="AM146" s="1330"/>
      <c r="AN146" s="1072"/>
      <c r="AO146" s="1073"/>
      <c r="AP146" s="1074"/>
      <c r="AQ146" s="1075"/>
      <c r="AR146" s="1076"/>
      <c r="AS146" s="1632"/>
      <c r="AT146" s="1646"/>
      <c r="AU146" s="1147"/>
      <c r="AV146" s="1090"/>
      <c r="AW146" s="1147"/>
      <c r="AX146" s="1147"/>
      <c r="AY146" s="1147"/>
      <c r="AZ146" s="1147"/>
      <c r="BA146" s="1147"/>
      <c r="BB146" s="1147"/>
      <c r="BC146" s="1147"/>
      <c r="BD146" s="1147"/>
      <c r="BE146" s="1147"/>
      <c r="BF146" s="1147"/>
      <c r="BG146" s="1147"/>
      <c r="BH146" s="1147"/>
      <c r="BI146" s="1147"/>
      <c r="BJ146" s="1147"/>
      <c r="BK146" s="1147"/>
      <c r="BL146" s="1074"/>
      <c r="BM146" s="1142"/>
      <c r="BN146" s="1635"/>
      <c r="BO146" s="892"/>
      <c r="BP146" s="966"/>
      <c r="BQ146" s="966"/>
      <c r="BR146" s="966"/>
    </row>
    <row r="147" spans="1:70" ht="24.95" hidden="1" customHeight="1">
      <c r="A147" s="1083">
        <v>17</v>
      </c>
      <c r="B147" s="1084" t="s">
        <v>87</v>
      </c>
      <c r="C147" s="1333">
        <v>2854.7</v>
      </c>
      <c r="D147" s="1085">
        <v>72.7</v>
      </c>
      <c r="E147" s="1333">
        <v>1709.8</v>
      </c>
      <c r="F147" s="1085">
        <v>70.8</v>
      </c>
      <c r="G147" s="1333">
        <v>2010.8</v>
      </c>
      <c r="H147" s="1085">
        <v>13.27</v>
      </c>
      <c r="I147" s="1333">
        <v>3027.6</v>
      </c>
      <c r="J147" s="1085">
        <v>108.1</v>
      </c>
      <c r="K147" s="1333">
        <v>3850.9266666666767</v>
      </c>
      <c r="L147" s="1085">
        <v>54.95583333333331</v>
      </c>
      <c r="M147" s="1333">
        <v>2895.9</v>
      </c>
      <c r="N147" s="1085">
        <v>321.24</v>
      </c>
      <c r="O147" s="1333">
        <v>133</v>
      </c>
      <c r="P147" s="1085">
        <v>0</v>
      </c>
      <c r="Q147" s="1333">
        <v>4883.3100000000004</v>
      </c>
      <c r="R147" s="1085">
        <v>11.045500000000001</v>
      </c>
      <c r="S147" s="1333">
        <v>2763.73</v>
      </c>
      <c r="T147" s="1085">
        <v>14.72</v>
      </c>
      <c r="U147" s="1333">
        <v>1629.3</v>
      </c>
      <c r="V147" s="1085">
        <v>363.4</v>
      </c>
      <c r="W147" s="1333">
        <v>0</v>
      </c>
      <c r="X147" s="1085">
        <v>3040.3339999999998</v>
      </c>
      <c r="Y147" s="1333">
        <v>341.5</v>
      </c>
      <c r="Z147" s="1085">
        <v>9.4700000000000006</v>
      </c>
      <c r="AA147" s="1333">
        <v>1382.44</v>
      </c>
      <c r="AB147" s="1085">
        <v>72.539999999999992</v>
      </c>
      <c r="AC147" s="1333">
        <v>0</v>
      </c>
      <c r="AD147" s="1085">
        <v>0</v>
      </c>
      <c r="AE147" s="1333">
        <v>1005</v>
      </c>
      <c r="AF147" s="1085">
        <v>69.099999999999994</v>
      </c>
      <c r="AG147" s="1333">
        <v>1279.126</v>
      </c>
      <c r="AH147" s="1085">
        <v>2.1659999999999999</v>
      </c>
      <c r="AI147" s="1333">
        <v>1973.3</v>
      </c>
      <c r="AJ147" s="1085">
        <v>45.37</v>
      </c>
      <c r="AK147" s="1333">
        <v>5407.7</v>
      </c>
      <c r="AL147" s="1085">
        <v>8.9</v>
      </c>
      <c r="AM147" s="1333">
        <v>3082.5</v>
      </c>
      <c r="AN147" s="1085">
        <v>89.166666666666671</v>
      </c>
      <c r="AO147" s="1086">
        <f>SUMIF($C$71:$AN$71,AO$71,$C147:$AN147)</f>
        <v>40230.632666666672</v>
      </c>
      <c r="AP147" s="1087">
        <f>SUMIF($C$71:$AN$71,AP$71,$C147:$AN147)</f>
        <v>4367.2780000000002</v>
      </c>
      <c r="AQ147" s="1088">
        <v>0</v>
      </c>
      <c r="AR147" s="1089">
        <v>2032.3</v>
      </c>
      <c r="AS147" s="1632"/>
      <c r="AT147" s="1648"/>
      <c r="AU147" s="1147"/>
      <c r="AV147" s="1090"/>
      <c r="AW147" s="1147"/>
      <c r="AX147" s="1147"/>
      <c r="AY147" s="1147"/>
      <c r="AZ147" s="1147"/>
      <c r="BA147" s="1147"/>
      <c r="BB147" s="1147"/>
      <c r="BC147" s="1147"/>
      <c r="BD147" s="1147"/>
      <c r="BE147" s="1147"/>
      <c r="BF147" s="1147"/>
      <c r="BG147" s="1147"/>
      <c r="BH147" s="1147"/>
      <c r="BI147" s="1147"/>
      <c r="BJ147" s="1147"/>
      <c r="BK147" s="1147"/>
      <c r="BL147" s="1074"/>
      <c r="BM147" s="1142"/>
      <c r="BN147" s="1635"/>
      <c r="BO147" s="892"/>
      <c r="BP147" s="966"/>
      <c r="BQ147" s="966"/>
      <c r="BR147" s="966"/>
    </row>
    <row r="148" spans="1:70" ht="24.95" hidden="1" customHeight="1">
      <c r="A148" s="1083">
        <v>18</v>
      </c>
      <c r="B148" s="1084" t="s">
        <v>85</v>
      </c>
      <c r="C148" s="1333">
        <v>3739.7</v>
      </c>
      <c r="D148" s="1085">
        <v>259.8</v>
      </c>
      <c r="E148" s="1333">
        <v>1239.8</v>
      </c>
      <c r="F148" s="1085">
        <v>53</v>
      </c>
      <c r="G148" s="1333">
        <v>3344.5</v>
      </c>
      <c r="H148" s="1085">
        <v>340</v>
      </c>
      <c r="I148" s="1333">
        <v>3641.4</v>
      </c>
      <c r="J148" s="1085">
        <v>454.7</v>
      </c>
      <c r="K148" s="1333">
        <v>4812</v>
      </c>
      <c r="L148" s="1085">
        <v>210.49166666666534</v>
      </c>
      <c r="M148" s="1333">
        <v>5630.11</v>
      </c>
      <c r="N148" s="1085">
        <v>384.41</v>
      </c>
      <c r="O148" s="1333">
        <v>862.5</v>
      </c>
      <c r="P148" s="1085">
        <v>6.8</v>
      </c>
      <c r="Q148" s="1333">
        <v>6285.7909999999902</v>
      </c>
      <c r="R148" s="1085">
        <v>216.97749999999999</v>
      </c>
      <c r="S148" s="1333">
        <v>1873.8</v>
      </c>
      <c r="T148" s="1085">
        <v>7.2350000000000003</v>
      </c>
      <c r="U148" s="1333">
        <v>3368.9</v>
      </c>
      <c r="V148" s="1085">
        <v>737.1</v>
      </c>
      <c r="W148" s="1333">
        <v>0</v>
      </c>
      <c r="X148" s="1085">
        <v>4187.9579999999996</v>
      </c>
      <c r="Y148" s="1333">
        <v>2137.5</v>
      </c>
      <c r="Z148" s="1085">
        <v>73.84</v>
      </c>
      <c r="AA148" s="1333">
        <v>4627.5</v>
      </c>
      <c r="AB148" s="1085">
        <v>118.17</v>
      </c>
      <c r="AC148" s="1333">
        <v>468</v>
      </c>
      <c r="AD148" s="1085">
        <v>0</v>
      </c>
      <c r="AE148" s="1333">
        <v>242</v>
      </c>
      <c r="AF148" s="1085">
        <v>23.2</v>
      </c>
      <c r="AG148" s="1333">
        <v>1306.8565000000001</v>
      </c>
      <c r="AH148" s="1085">
        <v>3.915</v>
      </c>
      <c r="AI148" s="1333">
        <v>3123.54</v>
      </c>
      <c r="AJ148" s="1085">
        <v>141.44999999999999</v>
      </c>
      <c r="AK148" s="1333">
        <v>5224.3</v>
      </c>
      <c r="AL148" s="1085">
        <v>110.3</v>
      </c>
      <c r="AM148" s="1333">
        <v>5101.5</v>
      </c>
      <c r="AN148" s="1085">
        <v>182.1666666666666</v>
      </c>
      <c r="AO148" s="1086">
        <f>SUMIF($C$71:$AN$71,AO$71,$C148:$AN148)</f>
        <v>57029.697499999995</v>
      </c>
      <c r="AP148" s="1087">
        <f>SUMIF($C$71:$AN$71,AP$71,$C148:$AN148)</f>
        <v>7511.5138333333316</v>
      </c>
      <c r="AQ148" s="1088">
        <v>0</v>
      </c>
      <c r="AR148" s="1089">
        <v>2864.7</v>
      </c>
      <c r="AS148" s="1632"/>
      <c r="AT148" s="1648"/>
      <c r="AU148" s="1147"/>
      <c r="AV148" s="1090"/>
      <c r="AW148" s="1147"/>
      <c r="AX148" s="1147"/>
      <c r="AY148" s="1147"/>
      <c r="AZ148" s="1147"/>
      <c r="BA148" s="1147"/>
      <c r="BB148" s="1147"/>
      <c r="BC148" s="1147"/>
      <c r="BD148" s="1147"/>
      <c r="BE148" s="1147"/>
      <c r="BF148" s="1147"/>
      <c r="BG148" s="1147"/>
      <c r="BH148" s="1147"/>
      <c r="BI148" s="1147"/>
      <c r="BJ148" s="1147"/>
      <c r="BK148" s="1147"/>
      <c r="BL148" s="1074"/>
      <c r="BM148" s="1142"/>
      <c r="BN148" s="1635"/>
      <c r="BO148" s="892"/>
      <c r="BP148" s="966"/>
      <c r="BQ148" s="966"/>
      <c r="BR148" s="966"/>
    </row>
    <row r="149" spans="1:70" ht="30" hidden="1" customHeight="1">
      <c r="A149" s="1041"/>
      <c r="B149" s="1080" t="s">
        <v>2</v>
      </c>
      <c r="C149" s="1086">
        <f t="shared" ref="C149:D149" si="57">SUM(C134:C137,C139:C142,C144:C145,C147:C148)</f>
        <v>7735.2999999999993</v>
      </c>
      <c r="D149" s="1086">
        <f t="shared" si="57"/>
        <v>336</v>
      </c>
      <c r="E149" s="1086">
        <f t="shared" ref="E149:L149" si="58">SUM(E134:E137,E139:E142,E144:E145,E147:E148)</f>
        <v>3045.6</v>
      </c>
      <c r="F149" s="1086">
        <f t="shared" si="58"/>
        <v>127.7</v>
      </c>
      <c r="G149" s="1086">
        <f t="shared" si="58"/>
        <v>7585.8</v>
      </c>
      <c r="H149" s="1086">
        <f t="shared" si="58"/>
        <v>353.27</v>
      </c>
      <c r="I149" s="1086">
        <f t="shared" si="58"/>
        <v>8326</v>
      </c>
      <c r="J149" s="1086">
        <f t="shared" si="58"/>
        <v>562.79999999999995</v>
      </c>
      <c r="K149" s="1086">
        <f t="shared" si="58"/>
        <v>10133.976666666676</v>
      </c>
      <c r="L149" s="1086">
        <f t="shared" si="58"/>
        <v>265.44749999999863</v>
      </c>
      <c r="M149" s="1086">
        <f t="shared" ref="M149:AB149" si="59">SUM(M134:M137,M139:M142,M144:M145,M147:M148)</f>
        <v>10128.17</v>
      </c>
      <c r="N149" s="1086">
        <f t="shared" si="59"/>
        <v>722.71</v>
      </c>
      <c r="O149" s="1086">
        <f t="shared" si="59"/>
        <v>995.5</v>
      </c>
      <c r="P149" s="1086">
        <f t="shared" si="59"/>
        <v>6.8</v>
      </c>
      <c r="Q149" s="1086">
        <f t="shared" si="59"/>
        <v>13092.100999999991</v>
      </c>
      <c r="R149" s="1086">
        <f t="shared" si="59"/>
        <v>233.79</v>
      </c>
      <c r="S149" s="1086">
        <f t="shared" si="59"/>
        <v>4637.53</v>
      </c>
      <c r="T149" s="1086">
        <f t="shared" si="59"/>
        <v>21.955000000000002</v>
      </c>
      <c r="U149" s="1086">
        <f t="shared" si="59"/>
        <v>4998.2</v>
      </c>
      <c r="V149" s="1086">
        <f t="shared" si="59"/>
        <v>1100.5</v>
      </c>
      <c r="W149" s="1086">
        <f t="shared" si="59"/>
        <v>0</v>
      </c>
      <c r="X149" s="1086">
        <f t="shared" si="59"/>
        <v>7228.2919999999995</v>
      </c>
      <c r="Y149" s="1086">
        <f t="shared" si="59"/>
        <v>2578</v>
      </c>
      <c r="Z149" s="1086">
        <f t="shared" si="59"/>
        <v>84.14</v>
      </c>
      <c r="AA149" s="1086">
        <f t="shared" si="59"/>
        <v>6885.9400000000005</v>
      </c>
      <c r="AB149" s="1086">
        <f t="shared" si="59"/>
        <v>190.70999999999998</v>
      </c>
      <c r="AC149" s="1086">
        <f t="shared" ref="AC149:AH149" si="60">SUM(AC134:AC137,AC139:AC142,AC144:AC145,AC147:AC148)</f>
        <v>562</v>
      </c>
      <c r="AD149" s="1086">
        <f t="shared" si="60"/>
        <v>0</v>
      </c>
      <c r="AE149" s="1086">
        <f t="shared" si="60"/>
        <v>1247</v>
      </c>
      <c r="AF149" s="1086">
        <f t="shared" si="60"/>
        <v>92.3</v>
      </c>
      <c r="AG149" s="1086">
        <f t="shared" si="60"/>
        <v>2767.4825000000001</v>
      </c>
      <c r="AH149" s="1086">
        <f t="shared" si="60"/>
        <v>6.0809999999999995</v>
      </c>
      <c r="AI149" s="1086">
        <f t="shared" ref="AI149:AP149" si="61">SUM(AI134:AI137,AI139:AI142,AI144:AI145,AI147:AI148)</f>
        <v>6223.1399999999994</v>
      </c>
      <c r="AJ149" s="1086">
        <f t="shared" si="61"/>
        <v>187.89999999999998</v>
      </c>
      <c r="AK149" s="1086">
        <f t="shared" si="61"/>
        <v>11180.5</v>
      </c>
      <c r="AL149" s="1086">
        <f t="shared" si="61"/>
        <v>119.85</v>
      </c>
      <c r="AM149" s="1086">
        <f t="shared" si="61"/>
        <v>10439</v>
      </c>
      <c r="AN149" s="1086">
        <f t="shared" si="61"/>
        <v>271.33333333333326</v>
      </c>
      <c r="AO149" s="1086">
        <f t="shared" si="61"/>
        <v>112561.24016666667</v>
      </c>
      <c r="AP149" s="1087">
        <f t="shared" si="61"/>
        <v>11911.578833333333</v>
      </c>
      <c r="AQ149" s="1096">
        <f t="shared" ref="AQ149:AR149" si="62">SUM(AQ134:AQ137,AQ139:AQ142,AQ144:AQ145,AQ147:AQ148)</f>
        <v>0</v>
      </c>
      <c r="AR149" s="1087">
        <f t="shared" si="62"/>
        <v>4897</v>
      </c>
      <c r="AS149" s="1632"/>
      <c r="AT149" s="1649"/>
      <c r="AU149" s="1147"/>
      <c r="AV149" s="1090"/>
      <c r="AW149" s="1147"/>
      <c r="AX149" s="1147"/>
      <c r="AY149" s="1147"/>
      <c r="AZ149" s="1147"/>
      <c r="BA149" s="1147"/>
      <c r="BB149" s="1147"/>
      <c r="BC149" s="1147"/>
      <c r="BD149" s="1147"/>
      <c r="BE149" s="1147"/>
      <c r="BF149" s="1147"/>
      <c r="BG149" s="1147"/>
      <c r="BH149" s="1147"/>
      <c r="BI149" s="1147"/>
      <c r="BJ149" s="1147"/>
      <c r="BK149" s="1147"/>
      <c r="BL149" s="1074"/>
      <c r="BM149" s="1142"/>
      <c r="BN149" s="892"/>
      <c r="BO149" s="892"/>
      <c r="BP149" s="966"/>
      <c r="BQ149" s="966"/>
      <c r="BR149" s="966"/>
    </row>
    <row r="150" spans="1:70" ht="30" hidden="1" customHeight="1" thickBot="1">
      <c r="A150" s="1110">
        <v>19</v>
      </c>
      <c r="B150" s="1128" t="s">
        <v>88</v>
      </c>
      <c r="C150" s="1112">
        <f t="shared" ref="C150:D150" si="63">SUM(C119,C124,C130,C149)</f>
        <v>8969.7999999999993</v>
      </c>
      <c r="D150" s="1112">
        <f t="shared" si="63"/>
        <v>634.6</v>
      </c>
      <c r="E150" s="1112">
        <f t="shared" ref="E150:L150" si="64">SUM(E119,E124,E130,E149)</f>
        <v>3151.6</v>
      </c>
      <c r="F150" s="1112">
        <f t="shared" si="64"/>
        <v>237.10000000000002</v>
      </c>
      <c r="G150" s="1112">
        <f t="shared" si="64"/>
        <v>8616.7000000000007</v>
      </c>
      <c r="H150" s="1112">
        <f t="shared" si="64"/>
        <v>1371.3220000000001</v>
      </c>
      <c r="I150" s="1112">
        <f t="shared" si="64"/>
        <v>9065</v>
      </c>
      <c r="J150" s="1112">
        <f t="shared" si="64"/>
        <v>826.5</v>
      </c>
      <c r="K150" s="1112">
        <f t="shared" si="64"/>
        <v>12460.126666666676</v>
      </c>
      <c r="L150" s="1112">
        <f t="shared" si="64"/>
        <v>586.569722222221</v>
      </c>
      <c r="M150" s="1112">
        <f t="shared" ref="M150:AB150" si="65">SUM(M119,M124,M130,M149)</f>
        <v>10689.77</v>
      </c>
      <c r="N150" s="1112">
        <f t="shared" si="65"/>
        <v>942.32</v>
      </c>
      <c r="O150" s="1112">
        <f t="shared" si="65"/>
        <v>1238.5</v>
      </c>
      <c r="P150" s="1112">
        <f t="shared" si="65"/>
        <v>28.7</v>
      </c>
      <c r="Q150" s="1112">
        <f t="shared" si="65"/>
        <v>15739.600999999991</v>
      </c>
      <c r="R150" s="1112">
        <f t="shared" si="65"/>
        <v>920.71931299999972</v>
      </c>
      <c r="S150" s="1112">
        <f t="shared" si="65"/>
        <v>5504.94</v>
      </c>
      <c r="T150" s="1112">
        <f t="shared" si="65"/>
        <v>118.735</v>
      </c>
      <c r="U150" s="1112">
        <f t="shared" si="65"/>
        <v>5190.03</v>
      </c>
      <c r="V150" s="1112">
        <f t="shared" si="65"/>
        <v>1228.43</v>
      </c>
      <c r="W150" s="1112">
        <f t="shared" si="65"/>
        <v>0</v>
      </c>
      <c r="X150" s="1112">
        <f t="shared" si="65"/>
        <v>7356.2919999999995</v>
      </c>
      <c r="Y150" s="1112">
        <f t="shared" si="65"/>
        <v>2845</v>
      </c>
      <c r="Z150" s="1112">
        <f t="shared" si="65"/>
        <v>278.19</v>
      </c>
      <c r="AA150" s="1112">
        <f t="shared" si="65"/>
        <v>7083.4400000000005</v>
      </c>
      <c r="AB150" s="1112">
        <f t="shared" si="65"/>
        <v>399.16999999999996</v>
      </c>
      <c r="AC150" s="1112">
        <f t="shared" ref="AC150:AH150" si="66">SUM(AC119,AC124,AC130,AC149)</f>
        <v>647.5</v>
      </c>
      <c r="AD150" s="1112">
        <f t="shared" si="66"/>
        <v>12</v>
      </c>
      <c r="AE150" s="1112">
        <f t="shared" si="66"/>
        <v>1318</v>
      </c>
      <c r="AF150" s="1112">
        <f t="shared" si="66"/>
        <v>112</v>
      </c>
      <c r="AG150" s="1112">
        <f t="shared" si="66"/>
        <v>3644.4825000000001</v>
      </c>
      <c r="AH150" s="1112">
        <f t="shared" si="66"/>
        <v>69.659000000000006</v>
      </c>
      <c r="AI150" s="1112">
        <f t="shared" ref="AI150:AP150" si="67">SUM(AI119,AI124,AI130,AI149)</f>
        <v>6759.2899999999991</v>
      </c>
      <c r="AJ150" s="1112">
        <f t="shared" si="67"/>
        <v>512.04</v>
      </c>
      <c r="AK150" s="1112">
        <f t="shared" si="67"/>
        <v>13367.66</v>
      </c>
      <c r="AL150" s="1112">
        <f t="shared" si="67"/>
        <v>499.61</v>
      </c>
      <c r="AM150" s="1112">
        <f t="shared" si="67"/>
        <v>11366</v>
      </c>
      <c r="AN150" s="1112">
        <f t="shared" si="67"/>
        <v>606.91666666666652</v>
      </c>
      <c r="AO150" s="1112">
        <f t="shared" si="67"/>
        <v>127657.44016666667</v>
      </c>
      <c r="AP150" s="1113">
        <f t="shared" si="67"/>
        <v>16740.87370188889</v>
      </c>
      <c r="AQ150" s="1114">
        <f t="shared" ref="AQ150:AR150" si="68">SUM(AQ119,AQ124,AQ130,AQ149)</f>
        <v>0</v>
      </c>
      <c r="AR150" s="1113">
        <f t="shared" si="68"/>
        <v>4995.1000000000004</v>
      </c>
      <c r="AS150" s="1115"/>
      <c r="AT150" s="1112"/>
      <c r="AU150" s="1153"/>
      <c r="AV150" s="1115"/>
      <c r="AW150" s="1153"/>
      <c r="AX150" s="1153"/>
      <c r="AY150" s="1153"/>
      <c r="AZ150" s="1153"/>
      <c r="BA150" s="1153"/>
      <c r="BB150" s="1153"/>
      <c r="BC150" s="1153"/>
      <c r="BD150" s="1153"/>
      <c r="BE150" s="1153"/>
      <c r="BF150" s="1153"/>
      <c r="BG150" s="1153"/>
      <c r="BH150" s="1153"/>
      <c r="BI150" s="1153"/>
      <c r="BJ150" s="1153"/>
      <c r="BK150" s="1153"/>
      <c r="BL150" s="1642"/>
      <c r="BM150" s="1144"/>
      <c r="BN150" s="892"/>
      <c r="BO150" s="892"/>
      <c r="BP150" s="966"/>
      <c r="BQ150" s="966"/>
      <c r="BR150" s="966"/>
    </row>
    <row r="151" spans="1:70" ht="24.95" hidden="1" customHeight="1">
      <c r="A151" s="1120" t="s">
        <v>98</v>
      </c>
      <c r="B151" s="1129"/>
      <c r="C151" s="1121">
        <v>8969.7999999999993</v>
      </c>
      <c r="D151" s="1122">
        <v>634.6</v>
      </c>
      <c r="E151" s="1121">
        <v>3151.6</v>
      </c>
      <c r="F151" s="1122">
        <v>237.10000000000002</v>
      </c>
      <c r="G151" s="1121">
        <v>8616.7000000000007</v>
      </c>
      <c r="H151" s="1122">
        <v>1371.3220000000001</v>
      </c>
      <c r="I151" s="1121">
        <v>9065</v>
      </c>
      <c r="J151" s="1122">
        <v>826.5</v>
      </c>
      <c r="K151" s="1121">
        <v>12460.126666666676</v>
      </c>
      <c r="L151" s="1122">
        <v>586.569722222221</v>
      </c>
      <c r="M151" s="1121">
        <v>10689.77</v>
      </c>
      <c r="N151" s="1122">
        <v>942.32</v>
      </c>
      <c r="O151" s="1121">
        <v>1238.5</v>
      </c>
      <c r="P151" s="1122">
        <v>28.7</v>
      </c>
      <c r="Q151" s="1121">
        <v>15739.600999999991</v>
      </c>
      <c r="R151" s="1122">
        <v>920.71931299999972</v>
      </c>
      <c r="S151" s="1121">
        <v>5504.94</v>
      </c>
      <c r="T151" s="1122">
        <v>118.735</v>
      </c>
      <c r="U151" s="1121">
        <v>5190.03</v>
      </c>
      <c r="V151" s="1122">
        <v>1228.43</v>
      </c>
      <c r="W151" s="1121">
        <v>0</v>
      </c>
      <c r="X151" s="1122">
        <v>7356.2919999999995</v>
      </c>
      <c r="Y151" s="1121">
        <v>2845</v>
      </c>
      <c r="Z151" s="1122">
        <v>278.19</v>
      </c>
      <c r="AA151" s="1121">
        <v>7083.4400000000005</v>
      </c>
      <c r="AB151" s="1122">
        <v>399.16999999999996</v>
      </c>
      <c r="AC151" s="1121">
        <v>647.5</v>
      </c>
      <c r="AD151" s="1122">
        <v>12</v>
      </c>
      <c r="AE151" s="1121">
        <v>1318</v>
      </c>
      <c r="AF151" s="1122">
        <v>112</v>
      </c>
      <c r="AG151" s="1121">
        <v>3644.4825000000001</v>
      </c>
      <c r="AH151" s="1122">
        <v>69.659000000000006</v>
      </c>
      <c r="AI151" s="1121">
        <v>6759.2899999999991</v>
      </c>
      <c r="AJ151" s="1122">
        <v>512.04</v>
      </c>
      <c r="AK151" s="1121">
        <v>13367.66</v>
      </c>
      <c r="AL151" s="1122">
        <v>499.61</v>
      </c>
      <c r="AM151" s="1121">
        <v>11366</v>
      </c>
      <c r="AN151" s="1122">
        <v>606.91666666666652</v>
      </c>
      <c r="AO151" s="1121">
        <v>127657.44016666667</v>
      </c>
      <c r="AP151" s="1121">
        <v>16740.87370188889</v>
      </c>
      <c r="AQ151" s="1121">
        <v>0</v>
      </c>
      <c r="AR151" s="1121">
        <v>4995.1000000000004</v>
      </c>
      <c r="AS151" s="1122"/>
      <c r="AT151" s="1122"/>
      <c r="AU151" s="892"/>
      <c r="AV151" s="892"/>
      <c r="AW151" s="892"/>
      <c r="AX151" s="892"/>
      <c r="AY151" s="892"/>
      <c r="AZ151" s="892"/>
      <c r="BA151" s="892"/>
      <c r="BB151" s="892"/>
      <c r="BC151" s="892"/>
      <c r="BD151" s="892"/>
      <c r="BE151" s="892"/>
      <c r="BF151" s="892"/>
      <c r="BG151" s="892"/>
      <c r="BH151" s="892"/>
      <c r="BI151" s="892"/>
      <c r="BJ151" s="892"/>
      <c r="BK151" s="892"/>
      <c r="BL151" s="892"/>
      <c r="BM151" s="892"/>
      <c r="BN151" s="892"/>
      <c r="BO151" s="892"/>
      <c r="BP151" s="966"/>
      <c r="BQ151" s="966"/>
      <c r="BR151" s="966"/>
    </row>
    <row r="152" spans="1:70" ht="20.100000000000001" hidden="1" customHeight="1">
      <c r="A152" s="1120" t="s">
        <v>289</v>
      </c>
      <c r="C152" s="1122">
        <f t="shared" ref="C152:D152" si="69">C151-C150</f>
        <v>0</v>
      </c>
      <c r="D152" s="1122">
        <f t="shared" si="69"/>
        <v>0</v>
      </c>
      <c r="E152" s="1122">
        <f t="shared" ref="E152:L152" si="70">E151-E150</f>
        <v>0</v>
      </c>
      <c r="F152" s="1122">
        <f t="shared" si="70"/>
        <v>0</v>
      </c>
      <c r="G152" s="1122">
        <f t="shared" si="70"/>
        <v>0</v>
      </c>
      <c r="H152" s="1122">
        <f t="shared" si="70"/>
        <v>0</v>
      </c>
      <c r="I152" s="1122">
        <f t="shared" si="70"/>
        <v>0</v>
      </c>
      <c r="J152" s="1122">
        <f t="shared" si="70"/>
        <v>0</v>
      </c>
      <c r="K152" s="1122">
        <f t="shared" si="70"/>
        <v>0</v>
      </c>
      <c r="L152" s="1122">
        <f t="shared" si="70"/>
        <v>0</v>
      </c>
      <c r="M152" s="1122">
        <f t="shared" ref="M152:AB152" si="71">M151-M150</f>
        <v>0</v>
      </c>
      <c r="N152" s="1122">
        <f t="shared" si="71"/>
        <v>0</v>
      </c>
      <c r="O152" s="1122">
        <f t="shared" si="71"/>
        <v>0</v>
      </c>
      <c r="P152" s="1122">
        <f t="shared" si="71"/>
        <v>0</v>
      </c>
      <c r="Q152" s="1122">
        <f t="shared" si="71"/>
        <v>0</v>
      </c>
      <c r="R152" s="1122">
        <f t="shared" si="71"/>
        <v>0</v>
      </c>
      <c r="S152" s="1122">
        <f t="shared" si="71"/>
        <v>0</v>
      </c>
      <c r="T152" s="1122">
        <f t="shared" si="71"/>
        <v>0</v>
      </c>
      <c r="U152" s="1122">
        <f t="shared" si="71"/>
        <v>0</v>
      </c>
      <c r="V152" s="1122">
        <f t="shared" si="71"/>
        <v>0</v>
      </c>
      <c r="W152" s="1122">
        <f t="shared" si="71"/>
        <v>0</v>
      </c>
      <c r="X152" s="1122">
        <f t="shared" si="71"/>
        <v>0</v>
      </c>
      <c r="Y152" s="1122">
        <f t="shared" si="71"/>
        <v>0</v>
      </c>
      <c r="Z152" s="1122">
        <f t="shared" si="71"/>
        <v>0</v>
      </c>
      <c r="AA152" s="1122">
        <f t="shared" si="71"/>
        <v>0</v>
      </c>
      <c r="AB152" s="1122">
        <f t="shared" si="71"/>
        <v>0</v>
      </c>
      <c r="AC152" s="1122">
        <f t="shared" ref="AC152:AH152" si="72">AC151-AC150</f>
        <v>0</v>
      </c>
      <c r="AD152" s="1122">
        <f t="shared" si="72"/>
        <v>0</v>
      </c>
      <c r="AE152" s="1122">
        <f t="shared" si="72"/>
        <v>0</v>
      </c>
      <c r="AF152" s="1122">
        <f t="shared" si="72"/>
        <v>0</v>
      </c>
      <c r="AG152" s="1122">
        <f t="shared" si="72"/>
        <v>0</v>
      </c>
      <c r="AH152" s="1122">
        <f t="shared" si="72"/>
        <v>0</v>
      </c>
      <c r="AI152" s="1122">
        <f t="shared" ref="AI152:AP152" si="73">AI151-AI150</f>
        <v>0</v>
      </c>
      <c r="AJ152" s="1122">
        <f t="shared" si="73"/>
        <v>0</v>
      </c>
      <c r="AK152" s="1122">
        <f t="shared" si="73"/>
        <v>0</v>
      </c>
      <c r="AL152" s="1122">
        <f t="shared" si="73"/>
        <v>0</v>
      </c>
      <c r="AM152" s="1122">
        <f t="shared" si="73"/>
        <v>0</v>
      </c>
      <c r="AN152" s="1122">
        <f t="shared" si="73"/>
        <v>0</v>
      </c>
      <c r="AO152" s="1122">
        <f t="shared" si="73"/>
        <v>0</v>
      </c>
      <c r="AP152" s="1122">
        <f t="shared" si="73"/>
        <v>0</v>
      </c>
      <c r="AQ152" s="1122">
        <f t="shared" ref="AQ152:AR152" si="74">AQ151-AQ150</f>
        <v>0</v>
      </c>
      <c r="AR152" s="1122">
        <f t="shared" si="74"/>
        <v>0</v>
      </c>
      <c r="AS152" s="1122"/>
      <c r="AT152" s="1122"/>
      <c r="AU152" s="892"/>
      <c r="AV152" s="892"/>
      <c r="AW152" s="892"/>
      <c r="AX152" s="892"/>
      <c r="AY152" s="892"/>
      <c r="AZ152" s="892"/>
      <c r="BA152" s="892"/>
      <c r="BB152" s="892"/>
      <c r="BC152" s="892"/>
      <c r="BD152" s="892"/>
      <c r="BE152" s="892"/>
      <c r="BF152" s="892"/>
      <c r="BG152" s="892"/>
      <c r="BH152" s="892"/>
      <c r="BI152" s="892"/>
      <c r="BJ152" s="892"/>
      <c r="BK152" s="892"/>
      <c r="BL152" s="892"/>
      <c r="BM152" s="892"/>
      <c r="BN152" s="892"/>
      <c r="BO152" s="892"/>
    </row>
    <row r="153" spans="1:70" hidden="1"/>
  </sheetData>
  <sheetProtection password="E23E" sheet="1" objects="1" scenarios="1"/>
  <mergeCells count="57">
    <mergeCell ref="AK115:AL115"/>
    <mergeCell ref="AO115:AP115"/>
    <mergeCell ref="AQ115:AR115"/>
    <mergeCell ref="Y115:Z115"/>
    <mergeCell ref="AO70:AP70"/>
    <mergeCell ref="AQ70:AR70"/>
    <mergeCell ref="AA70:AB70"/>
    <mergeCell ref="AC70:AD70"/>
    <mergeCell ref="AM70:AN70"/>
    <mergeCell ref="AG115:AH115"/>
    <mergeCell ref="AC115:AD115"/>
    <mergeCell ref="AE115:AF115"/>
    <mergeCell ref="AE70:AF70"/>
    <mergeCell ref="AA115:AB115"/>
    <mergeCell ref="AI115:AJ115"/>
    <mergeCell ref="AM115:AN115"/>
    <mergeCell ref="A40:A41"/>
    <mergeCell ref="C70:D70"/>
    <mergeCell ref="E70:F70"/>
    <mergeCell ref="G70:H70"/>
    <mergeCell ref="I70:J70"/>
    <mergeCell ref="W70:X70"/>
    <mergeCell ref="M70:N70"/>
    <mergeCell ref="O115:P115"/>
    <mergeCell ref="Q115:R115"/>
    <mergeCell ref="S115:T115"/>
    <mergeCell ref="U115:V115"/>
    <mergeCell ref="W115:X115"/>
    <mergeCell ref="S70:T70"/>
    <mergeCell ref="M115:N115"/>
    <mergeCell ref="C115:D115"/>
    <mergeCell ref="E115:F115"/>
    <mergeCell ref="G115:H115"/>
    <mergeCell ref="I115:J115"/>
    <mergeCell ref="K115:L115"/>
    <mergeCell ref="A9:B9"/>
    <mergeCell ref="L9:N9"/>
    <mergeCell ref="C9:K9"/>
    <mergeCell ref="D38:F38"/>
    <mergeCell ref="G38:I38"/>
    <mergeCell ref="J38:U38"/>
    <mergeCell ref="AK70:AL70"/>
    <mergeCell ref="AS114:BM114"/>
    <mergeCell ref="C114:AR114"/>
    <mergeCell ref="A39:B39"/>
    <mergeCell ref="AL38:AL39"/>
    <mergeCell ref="O70:P70"/>
    <mergeCell ref="Q70:R70"/>
    <mergeCell ref="V38:AF38"/>
    <mergeCell ref="AG38:AK38"/>
    <mergeCell ref="AG70:AH70"/>
    <mergeCell ref="AI70:AJ70"/>
    <mergeCell ref="AS69:BM69"/>
    <mergeCell ref="C69:AR69"/>
    <mergeCell ref="K70:L70"/>
    <mergeCell ref="Y70:Z70"/>
    <mergeCell ref="U70:V70"/>
  </mergeCells>
  <dataValidations count="1">
    <dataValidation allowBlank="1" sqref="AO106:AP107 BN149:BN152 B119:B149 AQ77:AR87 AQ74:AR75 BM89:BM97 BJ38:BL38 T5:V30 BO143 AU145:BM151 AU143:BM143 B74:B104 W4:W29 BO120:BO133 BM74:BM87 A4 B5:B8 F10:F11 M10:M31 L9:L31 Q7 D8:H8 C8:C31 C4:C6 G10:I31 P8:S8 S5:S6 AU138:BK138 D5 G39:H39 K8:N8 E4:R6 N10:N11 BO138 T31:W31 AS74:BK87 D10:E31 AP151:AR151 BO145:BO152 N7 BM138 AN119:AN152 AU106:BO107 AS134:AS142 J10:K11 AU120:BK133 BM120:BM133 BL120:BL126 C77:AN87 C99:AN107 C89:AN97 C74:AN75 AQ99:AR107 AQ89:BK97 AS99:BK105 BL104:BL105 BM99:BM105 C134:C142 C119:C132 C144:C152 D119:D152 E144:E152 E134:E142 E119:E132 F119:F152 H119:H152 G134:G142 G119:G132 G144:G152 J119:J152 I134:I142 I119:I132 I144:I152 Q144:Q152 K134:K142 K119:K132 K144:K152 L119:L152 M144:M152 M134:M142 M119:M132 N119:N152 P119:P152 O134:O142 O119:O132 O144:O152 R119:R152 Q134:Q142 Q119:Q132 AG119:AG132 S134:S142 S119:S132 S144:S152 T119:T152 U144:U152 U134:U142 U119:U132 V119:V152 X119:X152 W134:W142 W119:W132 W144:W152 Z119:Z152 Y134:Y142 Y119:Y132 Y144:Y152 AG144:AG152 AA134:AA142 AA119:AA132 AA144:AA152 AB119:AB152 AC144:AC152 AC134:AC142 AC119:AC132 AD119:AD152 AF119:AF152 AE134:AE142 AE119:AE132 AE144:AE152 AH119:AH152 AG134:AG142 AI134:AI142 AI119:AI132 AI144:AI152 AJ119:AJ152 AK134:AK142 AK119:AK132 AK144:AK152 AL119:AL152 AM134:AM142 AM119:AM132 AM144:AM152 AT119:AT151 AS144:AS151 AS119:AS132 E7 H7 K7 AO151:AO152 AP152:BM152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3"/>
  <sheetViews>
    <sheetView zoomScale="75" zoomScaleNormal="75" workbookViewId="0"/>
  </sheetViews>
  <sheetFormatPr defaultColWidth="9.140625" defaultRowHeight="15"/>
  <cols>
    <col min="1" max="1" width="2.7109375" style="1234" customWidth="1"/>
    <col min="2" max="2" width="63.7109375" style="1234" customWidth="1"/>
    <col min="3" max="3" width="14.7109375" style="1234" customWidth="1"/>
    <col min="4" max="13" width="13.28515625" style="1234" customWidth="1"/>
    <col min="14" max="14" width="5.7109375" style="1235" customWidth="1"/>
    <col min="15" max="17" width="13.28515625" style="1234" customWidth="1"/>
    <col min="18" max="18" width="5.7109375" style="1234" customWidth="1"/>
    <col min="19" max="19" width="16.7109375" style="1234" customWidth="1"/>
    <col min="20" max="20" width="2.7109375" style="1234" customWidth="1"/>
    <col min="21" max="21" width="6.7109375" style="1234" customWidth="1"/>
    <col min="22" max="29" width="13.7109375" style="1234" customWidth="1"/>
    <col min="30" max="31" width="6.7109375" style="1234" customWidth="1"/>
    <col min="32" max="39" width="13.7109375" style="1234" customWidth="1"/>
    <col min="40" max="41" width="9.140625" style="1234"/>
    <col min="42" max="42" width="14.7109375" style="1234" hidden="1" customWidth="1"/>
    <col min="43" max="16384" width="9.140625" style="1234"/>
  </cols>
  <sheetData>
    <row r="1" spans="1:42" s="1236" customFormat="1" ht="24.95" customHeight="1">
      <c r="A1" s="1166"/>
      <c r="B1" s="1167" t="s">
        <v>319</v>
      </c>
      <c r="C1" s="1168"/>
      <c r="D1" s="1169"/>
      <c r="E1" s="1168"/>
      <c r="F1" s="1170"/>
      <c r="G1" s="1170"/>
      <c r="H1" s="1170"/>
      <c r="I1" s="1170"/>
      <c r="J1" s="1170"/>
      <c r="K1" s="1170"/>
      <c r="L1" s="1170"/>
      <c r="M1" s="1170"/>
      <c r="N1" s="1171"/>
      <c r="O1" s="1170"/>
      <c r="P1" s="1170"/>
      <c r="Q1" s="1170"/>
      <c r="R1" s="1170"/>
      <c r="S1" s="1172"/>
      <c r="T1" s="1173"/>
      <c r="U1" s="1174"/>
      <c r="V1" s="1175"/>
      <c r="W1" s="895"/>
      <c r="X1" s="895"/>
      <c r="Y1" s="895"/>
      <c r="Z1" s="1175"/>
      <c r="AA1" s="903"/>
      <c r="AB1" s="903"/>
      <c r="AC1" s="903"/>
      <c r="AD1" s="1176"/>
      <c r="AE1" s="1154"/>
      <c r="AF1" s="1154"/>
      <c r="AG1" s="1154"/>
      <c r="AH1" s="1154"/>
      <c r="AI1" s="1154"/>
      <c r="AJ1" s="1154"/>
      <c r="AK1" s="1154"/>
      <c r="AL1" s="1219"/>
      <c r="AM1" s="1154" t="s">
        <v>60</v>
      </c>
      <c r="AN1" s="1177"/>
    </row>
    <row r="2" spans="1:42" s="1236" customFormat="1" ht="15" customHeight="1" thickBot="1">
      <c r="A2" s="1178"/>
      <c r="B2" s="632"/>
      <c r="C2" s="175"/>
      <c r="D2" s="176"/>
      <c r="E2" s="177"/>
      <c r="F2" s="177"/>
      <c r="G2" s="177"/>
      <c r="H2" s="177"/>
      <c r="I2" s="177"/>
      <c r="J2" s="177"/>
      <c r="K2" s="177"/>
      <c r="L2" s="177"/>
      <c r="M2" s="177"/>
      <c r="N2" s="178"/>
      <c r="O2" s="177"/>
      <c r="P2" s="177"/>
      <c r="Q2" s="177"/>
      <c r="R2" s="177"/>
      <c r="S2" s="179"/>
      <c r="T2" s="674"/>
      <c r="U2" s="1179"/>
      <c r="V2" s="180"/>
      <c r="W2" s="181"/>
      <c r="X2" s="181"/>
      <c r="Y2" s="181"/>
      <c r="Z2" s="182"/>
      <c r="AA2" s="182"/>
      <c r="AB2" s="182"/>
      <c r="AC2" s="182"/>
      <c r="AD2" s="675"/>
      <c r="AE2" s="183"/>
      <c r="AF2" s="183"/>
      <c r="AG2" s="183"/>
      <c r="AH2" s="183"/>
      <c r="AI2" s="183"/>
      <c r="AJ2" s="183"/>
      <c r="AK2" s="183"/>
      <c r="AL2" s="183"/>
      <c r="AM2" s="183"/>
      <c r="AN2" s="1180"/>
    </row>
    <row r="3" spans="1:42" s="1236" customFormat="1" ht="30" customHeight="1" thickBot="1">
      <c r="A3" s="1178"/>
      <c r="B3" s="670" t="s">
        <v>0</v>
      </c>
      <c r="C3" s="1804" t="str">
        <f>VLOOKUP('Background Data'!$C$2,Inst_Tables,2,FALSE)</f>
        <v>Glasgow, University of</v>
      </c>
      <c r="D3" s="1805"/>
      <c r="E3" s="1806"/>
      <c r="F3" s="809"/>
      <c r="G3" s="177"/>
      <c r="H3" s="177"/>
      <c r="I3" s="177"/>
      <c r="J3" s="177"/>
      <c r="K3" s="177"/>
      <c r="L3" s="177"/>
      <c r="M3" s="177"/>
      <c r="N3" s="178"/>
      <c r="O3" s="177"/>
      <c r="P3" s="177"/>
      <c r="Q3" s="177"/>
      <c r="R3" s="177"/>
      <c r="S3" s="179"/>
      <c r="T3" s="674"/>
      <c r="U3" s="1179"/>
      <c r="V3" s="180"/>
      <c r="W3" s="180"/>
      <c r="X3" s="180"/>
      <c r="Y3" s="180"/>
      <c r="Z3" s="180"/>
      <c r="AA3" s="180"/>
      <c r="AB3" s="180"/>
      <c r="AC3" s="180"/>
      <c r="AD3" s="676"/>
      <c r="AE3" s="184"/>
      <c r="AF3" s="184"/>
      <c r="AG3" s="184"/>
      <c r="AH3" s="184"/>
      <c r="AI3" s="184"/>
      <c r="AJ3" s="184"/>
      <c r="AK3" s="184"/>
      <c r="AL3" s="184"/>
      <c r="AM3" s="184"/>
      <c r="AN3" s="1180"/>
    </row>
    <row r="4" spans="1:42" s="1237" customFormat="1" ht="30" customHeight="1">
      <c r="A4" s="1181"/>
      <c r="B4" s="671" t="s">
        <v>407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8"/>
      <c r="O4" s="179"/>
      <c r="P4" s="179"/>
      <c r="Q4" s="179"/>
      <c r="R4" s="179"/>
      <c r="S4" s="179"/>
      <c r="T4" s="677"/>
      <c r="U4" s="1182"/>
      <c r="V4" s="1853" t="s">
        <v>324</v>
      </c>
      <c r="W4" s="1853"/>
      <c r="X4" s="1853"/>
      <c r="Y4" s="1853"/>
      <c r="Z4" s="1853"/>
      <c r="AA4" s="1853"/>
      <c r="AB4" s="1853"/>
      <c r="AC4" s="1853"/>
      <c r="AD4" s="678"/>
      <c r="AE4" s="185"/>
      <c r="AF4" s="1840" t="s">
        <v>325</v>
      </c>
      <c r="AG4" s="1840"/>
      <c r="AH4" s="1840"/>
      <c r="AI4" s="1840"/>
      <c r="AJ4" s="1840"/>
      <c r="AK4" s="1840"/>
      <c r="AL4" s="1840"/>
      <c r="AM4" s="185"/>
      <c r="AN4" s="1183"/>
    </row>
    <row r="5" spans="1:42" s="1237" customFormat="1" ht="15" customHeight="1" thickBot="1">
      <c r="A5" s="1181"/>
      <c r="B5" s="672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677"/>
      <c r="U5" s="1182"/>
      <c r="V5" s="186"/>
      <c r="W5" s="186"/>
      <c r="X5" s="186"/>
      <c r="Y5" s="186"/>
      <c r="Z5" s="187"/>
      <c r="AA5" s="187"/>
      <c r="AB5" s="187"/>
      <c r="AC5" s="187"/>
      <c r="AD5" s="678"/>
      <c r="AE5" s="185"/>
      <c r="AF5" s="185"/>
      <c r="AG5" s="185"/>
      <c r="AH5" s="185"/>
      <c r="AI5" s="185"/>
      <c r="AJ5" s="185"/>
      <c r="AK5" s="185"/>
      <c r="AL5" s="185"/>
      <c r="AM5" s="185"/>
      <c r="AN5" s="1183"/>
    </row>
    <row r="6" spans="1:42" s="1237" customFormat="1" ht="35.1" customHeight="1" thickBot="1">
      <c r="A6" s="668"/>
      <c r="B6" s="188"/>
      <c r="C6" s="1841" t="s">
        <v>320</v>
      </c>
      <c r="D6" s="1819"/>
      <c r="E6" s="1819"/>
      <c r="F6" s="1819"/>
      <c r="G6" s="1819"/>
      <c r="H6" s="1819"/>
      <c r="I6" s="1819"/>
      <c r="J6" s="1819"/>
      <c r="K6" s="1819"/>
      <c r="L6" s="1819"/>
      <c r="M6" s="1820"/>
      <c r="N6" s="189"/>
      <c r="O6" s="1842" t="s">
        <v>321</v>
      </c>
      <c r="P6" s="1843"/>
      <c r="Q6" s="1844"/>
      <c r="R6" s="179"/>
      <c r="S6" s="1813" t="s">
        <v>322</v>
      </c>
      <c r="T6" s="677"/>
      <c r="U6" s="1184"/>
      <c r="V6" s="1811" t="s">
        <v>290</v>
      </c>
      <c r="W6" s="1812"/>
      <c r="X6" s="1812"/>
      <c r="Y6" s="1848" t="s">
        <v>323</v>
      </c>
      <c r="Z6" s="1850" t="s">
        <v>187</v>
      </c>
      <c r="AA6" s="1851"/>
      <c r="AB6" s="1851"/>
      <c r="AC6" s="1852"/>
      <c r="AD6" s="679"/>
      <c r="AE6" s="190"/>
      <c r="AF6" s="1828" t="s">
        <v>290</v>
      </c>
      <c r="AG6" s="1829"/>
      <c r="AH6" s="1829"/>
      <c r="AI6" s="1834" t="s">
        <v>323</v>
      </c>
      <c r="AJ6" s="1837" t="s">
        <v>187</v>
      </c>
      <c r="AK6" s="1838"/>
      <c r="AL6" s="1838"/>
      <c r="AM6" s="1839"/>
      <c r="AN6" s="1183"/>
      <c r="AP6" s="1826" t="s">
        <v>326</v>
      </c>
    </row>
    <row r="7" spans="1:42" ht="45" customHeight="1" thickBot="1">
      <c r="A7" s="669"/>
      <c r="B7" s="191"/>
      <c r="C7" s="1815" t="s">
        <v>77</v>
      </c>
      <c r="D7" s="1816"/>
      <c r="E7" s="1816"/>
      <c r="F7" s="1816"/>
      <c r="G7" s="1817"/>
      <c r="H7" s="1818" t="s">
        <v>78</v>
      </c>
      <c r="I7" s="1819"/>
      <c r="J7" s="1820"/>
      <c r="K7" s="1841" t="s">
        <v>2</v>
      </c>
      <c r="L7" s="1819"/>
      <c r="M7" s="1820"/>
      <c r="N7" s="189"/>
      <c r="O7" s="1845"/>
      <c r="P7" s="1846"/>
      <c r="Q7" s="1847"/>
      <c r="R7" s="192"/>
      <c r="S7" s="1814"/>
      <c r="T7" s="680"/>
      <c r="U7" s="1185"/>
      <c r="V7" s="1807" t="s">
        <v>264</v>
      </c>
      <c r="W7" s="1809" t="s">
        <v>265</v>
      </c>
      <c r="X7" s="1186" t="s">
        <v>2</v>
      </c>
      <c r="Y7" s="1849"/>
      <c r="Z7" s="1854" t="s">
        <v>76</v>
      </c>
      <c r="AA7" s="1855"/>
      <c r="AB7" s="1856"/>
      <c r="AC7" s="1857" t="s">
        <v>266</v>
      </c>
      <c r="AD7" s="681"/>
      <c r="AE7" s="193"/>
      <c r="AF7" s="1830" t="s">
        <v>264</v>
      </c>
      <c r="AG7" s="1832" t="s">
        <v>265</v>
      </c>
      <c r="AH7" s="1203" t="s">
        <v>2</v>
      </c>
      <c r="AI7" s="1835"/>
      <c r="AJ7" s="1830" t="s">
        <v>264</v>
      </c>
      <c r="AK7" s="1832" t="s">
        <v>265</v>
      </c>
      <c r="AL7" s="1203" t="s">
        <v>2</v>
      </c>
      <c r="AM7" s="1836" t="s">
        <v>266</v>
      </c>
      <c r="AN7" s="1187"/>
      <c r="AP7" s="1826"/>
    </row>
    <row r="8" spans="1:42" ht="39.950000000000003" customHeight="1">
      <c r="A8" s="669"/>
      <c r="B8" s="194"/>
      <c r="C8" s="1729" t="s">
        <v>399</v>
      </c>
      <c r="D8" s="1823" t="s">
        <v>79</v>
      </c>
      <c r="E8" s="1824"/>
      <c r="F8" s="1825"/>
      <c r="G8" s="1654" t="s">
        <v>2</v>
      </c>
      <c r="H8" s="1827" t="s">
        <v>65</v>
      </c>
      <c r="I8" s="1694" t="s">
        <v>1</v>
      </c>
      <c r="J8" s="1695" t="s">
        <v>2</v>
      </c>
      <c r="K8" s="1821" t="s">
        <v>65</v>
      </c>
      <c r="L8" s="195" t="s">
        <v>1</v>
      </c>
      <c r="M8" s="327" t="s">
        <v>2</v>
      </c>
      <c r="N8" s="196"/>
      <c r="O8" s="1822" t="s">
        <v>65</v>
      </c>
      <c r="P8" s="1189" t="s">
        <v>1</v>
      </c>
      <c r="Q8" s="1190" t="s">
        <v>2</v>
      </c>
      <c r="R8" s="192"/>
      <c r="S8" s="1814"/>
      <c r="T8" s="680"/>
      <c r="U8" s="1184"/>
      <c r="V8" s="1808"/>
      <c r="W8" s="1810"/>
      <c r="X8" s="907"/>
      <c r="Y8" s="1849"/>
      <c r="Z8" s="1807" t="s">
        <v>264</v>
      </c>
      <c r="AA8" s="1809" t="s">
        <v>265</v>
      </c>
      <c r="AB8" s="1186" t="s">
        <v>2</v>
      </c>
      <c r="AC8" s="1849"/>
      <c r="AD8" s="679"/>
      <c r="AE8" s="190"/>
      <c r="AF8" s="1831"/>
      <c r="AG8" s="1833"/>
      <c r="AH8" s="1204"/>
      <c r="AI8" s="1835"/>
      <c r="AJ8" s="1831"/>
      <c r="AK8" s="1833"/>
      <c r="AL8" s="1204"/>
      <c r="AM8" s="1835"/>
      <c r="AN8" s="1187"/>
      <c r="AP8" s="1826"/>
    </row>
    <row r="9" spans="1:42" ht="90" customHeight="1">
      <c r="A9" s="669"/>
      <c r="B9" s="197" t="s">
        <v>202</v>
      </c>
      <c r="C9" s="1728" t="s">
        <v>65</v>
      </c>
      <c r="D9" s="1665" t="s">
        <v>65</v>
      </c>
      <c r="E9" s="1661" t="s">
        <v>1</v>
      </c>
      <c r="F9" s="1188" t="s">
        <v>2</v>
      </c>
      <c r="G9" s="203"/>
      <c r="H9" s="1827"/>
      <c r="I9" s="198"/>
      <c r="J9" s="199"/>
      <c r="K9" s="1821"/>
      <c r="L9" s="200"/>
      <c r="M9" s="201"/>
      <c r="N9" s="192"/>
      <c r="O9" s="1821"/>
      <c r="P9" s="200"/>
      <c r="Q9" s="201"/>
      <c r="R9" s="192"/>
      <c r="S9" s="1814"/>
      <c r="T9" s="680"/>
      <c r="U9" s="1191"/>
      <c r="V9" s="1808"/>
      <c r="W9" s="1810"/>
      <c r="X9" s="907"/>
      <c r="Y9" s="1849"/>
      <c r="Z9" s="1808"/>
      <c r="AA9" s="1810"/>
      <c r="AB9" s="900"/>
      <c r="AC9" s="1849"/>
      <c r="AD9" s="682"/>
      <c r="AE9" s="202"/>
      <c r="AF9" s="1831"/>
      <c r="AG9" s="1833"/>
      <c r="AH9" s="1204"/>
      <c r="AI9" s="1835"/>
      <c r="AJ9" s="1831"/>
      <c r="AK9" s="1833"/>
      <c r="AL9" s="1204"/>
      <c r="AM9" s="1835"/>
      <c r="AN9" s="1187"/>
      <c r="AP9" s="1826"/>
    </row>
    <row r="10" spans="1:42" ht="30" customHeight="1">
      <c r="A10" s="669"/>
      <c r="B10" s="203"/>
      <c r="C10" s="204" t="s">
        <v>17</v>
      </c>
      <c r="D10" s="204" t="s">
        <v>17</v>
      </c>
      <c r="E10" s="1666" t="s">
        <v>17</v>
      </c>
      <c r="F10" s="206" t="s">
        <v>17</v>
      </c>
      <c r="G10" s="209" t="s">
        <v>17</v>
      </c>
      <c r="H10" s="204" t="s">
        <v>17</v>
      </c>
      <c r="I10" s="1192" t="s">
        <v>17</v>
      </c>
      <c r="J10" s="206" t="s">
        <v>17</v>
      </c>
      <c r="K10" s="205" t="s">
        <v>17</v>
      </c>
      <c r="L10" s="205" t="s">
        <v>17</v>
      </c>
      <c r="M10" s="206" t="s">
        <v>17</v>
      </c>
      <c r="N10" s="207"/>
      <c r="O10" s="208" t="s">
        <v>17</v>
      </c>
      <c r="P10" s="205" t="s">
        <v>17</v>
      </c>
      <c r="Q10" s="209" t="s">
        <v>17</v>
      </c>
      <c r="R10" s="192"/>
      <c r="S10" s="210" t="s">
        <v>17</v>
      </c>
      <c r="T10" s="680"/>
      <c r="U10" s="1191"/>
      <c r="V10" s="211" t="s">
        <v>17</v>
      </c>
      <c r="W10" s="212" t="s">
        <v>17</v>
      </c>
      <c r="X10" s="212" t="s">
        <v>17</v>
      </c>
      <c r="Y10" s="896" t="s">
        <v>17</v>
      </c>
      <c r="Z10" s="211"/>
      <c r="AA10" s="212"/>
      <c r="AB10" s="896"/>
      <c r="AC10" s="902"/>
      <c r="AD10" s="682"/>
      <c r="AE10" s="202"/>
      <c r="AF10" s="213" t="s">
        <v>17</v>
      </c>
      <c r="AG10" s="214" t="s">
        <v>17</v>
      </c>
      <c r="AH10" s="1155" t="s">
        <v>17</v>
      </c>
      <c r="AI10" s="1217" t="s">
        <v>17</v>
      </c>
      <c r="AJ10" s="213"/>
      <c r="AK10" s="214"/>
      <c r="AL10" s="1155"/>
      <c r="AM10" s="288"/>
      <c r="AN10" s="1187"/>
    </row>
    <row r="11" spans="1:42" ht="39.950000000000003" customHeight="1">
      <c r="A11" s="669"/>
      <c r="B11" s="203"/>
      <c r="C11" s="215" t="s">
        <v>30</v>
      </c>
      <c r="D11" s="217" t="s">
        <v>30</v>
      </c>
      <c r="E11" s="1667" t="s">
        <v>91</v>
      </c>
      <c r="F11" s="218" t="s">
        <v>30</v>
      </c>
      <c r="G11" s="219" t="s">
        <v>55</v>
      </c>
      <c r="H11" s="217" t="s">
        <v>30</v>
      </c>
      <c r="I11" s="216" t="s">
        <v>30</v>
      </c>
      <c r="J11" s="218" t="s">
        <v>91</v>
      </c>
      <c r="K11" s="219" t="s">
        <v>55</v>
      </c>
      <c r="L11" s="1193" t="s">
        <v>55</v>
      </c>
      <c r="M11" s="218" t="s">
        <v>55</v>
      </c>
      <c r="N11" s="207"/>
      <c r="O11" s="217" t="s">
        <v>30</v>
      </c>
      <c r="P11" s="216" t="s">
        <v>30</v>
      </c>
      <c r="Q11" s="218" t="s">
        <v>55</v>
      </c>
      <c r="R11" s="192"/>
      <c r="S11" s="220" t="s">
        <v>55</v>
      </c>
      <c r="T11" s="680"/>
      <c r="U11" s="1191"/>
      <c r="V11" s="221" t="s">
        <v>56</v>
      </c>
      <c r="W11" s="222" t="s">
        <v>56</v>
      </c>
      <c r="X11" s="222" t="s">
        <v>56</v>
      </c>
      <c r="Y11" s="897" t="s">
        <v>56</v>
      </c>
      <c r="Z11" s="221" t="s">
        <v>56</v>
      </c>
      <c r="AA11" s="222" t="s">
        <v>56</v>
      </c>
      <c r="AB11" s="901" t="s">
        <v>56</v>
      </c>
      <c r="AC11" s="223" t="s">
        <v>56</v>
      </c>
      <c r="AD11" s="682"/>
      <c r="AE11" s="202"/>
      <c r="AF11" s="224" t="s">
        <v>56</v>
      </c>
      <c r="AG11" s="225" t="s">
        <v>56</v>
      </c>
      <c r="AH11" s="1205" t="s">
        <v>56</v>
      </c>
      <c r="AI11" s="226" t="s">
        <v>56</v>
      </c>
      <c r="AJ11" s="224" t="s">
        <v>56</v>
      </c>
      <c r="AK11" s="225" t="s">
        <v>56</v>
      </c>
      <c r="AL11" s="1205" t="s">
        <v>56</v>
      </c>
      <c r="AM11" s="226" t="s">
        <v>56</v>
      </c>
      <c r="AN11" s="1187"/>
    </row>
    <row r="12" spans="1:42" ht="30" customHeight="1" thickBot="1">
      <c r="A12" s="669"/>
      <c r="B12" s="203"/>
      <c r="C12" s="918">
        <v>1</v>
      </c>
      <c r="D12" s="921">
        <v>2</v>
      </c>
      <c r="E12" s="920">
        <v>3</v>
      </c>
      <c r="F12" s="922">
        <v>4</v>
      </c>
      <c r="G12" s="1662">
        <v>5</v>
      </c>
      <c r="H12" s="921">
        <v>6</v>
      </c>
      <c r="I12" s="919">
        <v>7</v>
      </c>
      <c r="J12" s="922">
        <v>8</v>
      </c>
      <c r="K12" s="919">
        <v>9</v>
      </c>
      <c r="L12" s="919">
        <v>10</v>
      </c>
      <c r="M12" s="922">
        <v>11</v>
      </c>
      <c r="N12" s="207"/>
      <c r="O12" s="921">
        <v>12</v>
      </c>
      <c r="P12" s="919">
        <v>13</v>
      </c>
      <c r="Q12" s="922">
        <v>14</v>
      </c>
      <c r="R12" s="192"/>
      <c r="S12" s="923">
        <v>15</v>
      </c>
      <c r="T12" s="680"/>
      <c r="U12" s="1191"/>
      <c r="V12" s="1158">
        <v>16</v>
      </c>
      <c r="W12" s="1159">
        <v>17</v>
      </c>
      <c r="X12" s="1159">
        <v>18</v>
      </c>
      <c r="Y12" s="1160">
        <v>19</v>
      </c>
      <c r="Z12" s="1161">
        <v>20</v>
      </c>
      <c r="AA12" s="1159">
        <v>21</v>
      </c>
      <c r="AB12" s="1159">
        <v>22</v>
      </c>
      <c r="AC12" s="1162">
        <v>23</v>
      </c>
      <c r="AD12" s="682"/>
      <c r="AE12" s="202"/>
      <c r="AF12" s="1163">
        <v>24</v>
      </c>
      <c r="AG12" s="1164">
        <v>25</v>
      </c>
      <c r="AH12" s="1165">
        <v>26</v>
      </c>
      <c r="AI12" s="1209">
        <v>27</v>
      </c>
      <c r="AJ12" s="1163">
        <v>28</v>
      </c>
      <c r="AK12" s="1164">
        <v>29</v>
      </c>
      <c r="AL12" s="1165">
        <v>30</v>
      </c>
      <c r="AM12" s="1209">
        <v>31</v>
      </c>
      <c r="AN12" s="1187"/>
    </row>
    <row r="13" spans="1:42" ht="35.1" customHeight="1" thickBot="1">
      <c r="A13" s="669"/>
      <c r="B13" s="227" t="s">
        <v>12</v>
      </c>
      <c r="C13" s="1674"/>
      <c r="D13" s="1793">
        <v>1416</v>
      </c>
      <c r="E13" s="1794"/>
      <c r="F13" s="1668">
        <f>SUM(D13:E13)</f>
        <v>1416</v>
      </c>
      <c r="G13" s="1693">
        <f>F13</f>
        <v>1416</v>
      </c>
      <c r="H13" s="228">
        <v>216.4</v>
      </c>
      <c r="I13" s="229">
        <v>4.5999999999999996</v>
      </c>
      <c r="J13" s="230">
        <f>SUM(H13:I13)</f>
        <v>221</v>
      </c>
      <c r="K13" s="231">
        <f>SUM(D13,H13)</f>
        <v>1632.4</v>
      </c>
      <c r="L13" s="232">
        <f>SUM(E13,I13)</f>
        <v>4.5999999999999996</v>
      </c>
      <c r="M13" s="266">
        <f>SUM(K13:L13)</f>
        <v>1637</v>
      </c>
      <c r="N13" s="192"/>
      <c r="O13" s="234"/>
      <c r="P13" s="235"/>
      <c r="Q13" s="236"/>
      <c r="R13" s="192"/>
      <c r="S13" s="237"/>
      <c r="T13" s="680"/>
      <c r="U13" s="1191"/>
      <c r="V13" s="238">
        <f>VLOOKUP($AP13,Early_Stats_Last_Year,VLOOKUP('Background Data'!$C$2,Inst_Tables,12,FALSE),FALSE)</f>
        <v>1220</v>
      </c>
      <c r="W13" s="239">
        <f>VLOOKUP($AP13,Early_Stats_Last_Year,VLOOKUP('Background Data'!$C$2,Inst_Tables,13,FALSE),FALSE)</f>
        <v>214.47</v>
      </c>
      <c r="X13" s="319">
        <f>SUM(V13:W13)</f>
        <v>1434.47</v>
      </c>
      <c r="Y13" s="913"/>
      <c r="Z13" s="914">
        <f>IF(V13&gt;0,(G13-V13)/V13,"")</f>
        <v>0.16065573770491803</v>
      </c>
      <c r="AA13" s="915">
        <f>IF(W13&gt;0,(J13-W13)/W13,"")</f>
        <v>3.0447148785377912E-2</v>
      </c>
      <c r="AB13" s="916">
        <f>IF(X13&gt;0,(M13-X13)/X13,"")</f>
        <v>0.14118803460511545</v>
      </c>
      <c r="AC13" s="917"/>
      <c r="AD13" s="682"/>
      <c r="AE13" s="202"/>
      <c r="AF13" s="240">
        <f>VLOOKUP($AP13,Final_Figures_Last_Year,VLOOKUP('Background Data'!$C$2,Inst_Tables,12,FALSE),FALSE)</f>
        <v>1210</v>
      </c>
      <c r="AG13" s="241">
        <f>VLOOKUP($AP13,Final_Figures_Last_Year,VLOOKUP('Background Data'!$C$2,Inst_Tables,13,FALSE),FALSE)</f>
        <v>221.04</v>
      </c>
      <c r="AH13" s="1210">
        <f>SUM(AF13:AG13)</f>
        <v>1431.04</v>
      </c>
      <c r="AI13" s="242"/>
      <c r="AJ13" s="1220">
        <f>IF(AF13&gt;0,(G13-AF13)/AF13,"")</f>
        <v>0.17024793388429751</v>
      </c>
      <c r="AK13" s="1221">
        <f>IF(AG13&gt;0,(J13-AG13)/AG13,"")</f>
        <v>-1.8096272167929806E-4</v>
      </c>
      <c r="AL13" s="1222">
        <f>IF(AH13&gt;0,(M13-AH13)/AH13,"")</f>
        <v>0.14392330053667265</v>
      </c>
      <c r="AM13" s="1223"/>
      <c r="AN13" s="1187"/>
      <c r="AP13" s="1238">
        <v>1</v>
      </c>
    </row>
    <row r="14" spans="1:42" ht="35.1" customHeight="1">
      <c r="A14" s="669"/>
      <c r="B14" s="243" t="s">
        <v>9</v>
      </c>
      <c r="C14" s="1675"/>
      <c r="D14" s="1678"/>
      <c r="E14" s="1679"/>
      <c r="F14" s="1680"/>
      <c r="G14" s="1681"/>
      <c r="H14" s="1678"/>
      <c r="I14" s="1682"/>
      <c r="J14" s="1683"/>
      <c r="K14" s="1684"/>
      <c r="L14" s="1684"/>
      <c r="M14" s="1683"/>
      <c r="N14" s="192"/>
      <c r="O14" s="234"/>
      <c r="P14" s="235"/>
      <c r="Q14" s="236"/>
      <c r="R14" s="192"/>
      <c r="S14" s="244"/>
      <c r="T14" s="680"/>
      <c r="U14" s="1191"/>
      <c r="V14" s="255"/>
      <c r="W14" s="256"/>
      <c r="X14" s="256"/>
      <c r="Y14" s="258"/>
      <c r="Z14" s="257"/>
      <c r="AA14" s="256"/>
      <c r="AB14" s="322"/>
      <c r="AC14" s="287"/>
      <c r="AD14" s="682"/>
      <c r="AE14" s="202"/>
      <c r="AF14" s="259"/>
      <c r="AG14" s="260"/>
      <c r="AH14" s="1214"/>
      <c r="AI14" s="1224"/>
      <c r="AJ14" s="261"/>
      <c r="AK14" s="260"/>
      <c r="AL14" s="202"/>
      <c r="AM14" s="288"/>
      <c r="AN14" s="1187"/>
      <c r="AP14" s="1239"/>
    </row>
    <row r="15" spans="1:42" ht="30" customHeight="1">
      <c r="A15" s="669"/>
      <c r="B15" s="252" t="s">
        <v>80</v>
      </c>
      <c r="C15" s="1676"/>
      <c r="D15" s="1685"/>
      <c r="E15" s="1686"/>
      <c r="F15" s="1687"/>
      <c r="G15" s="1688"/>
      <c r="H15" s="1689"/>
      <c r="I15" s="1690"/>
      <c r="J15" s="1691"/>
      <c r="K15" s="1692"/>
      <c r="L15" s="1692"/>
      <c r="M15" s="1691"/>
      <c r="N15" s="192"/>
      <c r="O15" s="253"/>
      <c r="P15" s="200"/>
      <c r="Q15" s="254"/>
      <c r="R15" s="192"/>
      <c r="S15" s="237"/>
      <c r="T15" s="680"/>
      <c r="U15" s="1191"/>
      <c r="V15" s="255"/>
      <c r="W15" s="256"/>
      <c r="X15" s="310"/>
      <c r="Y15" s="258"/>
      <c r="Z15" s="257"/>
      <c r="AA15" s="256"/>
      <c r="AB15" s="322"/>
      <c r="AC15" s="287"/>
      <c r="AD15" s="682"/>
      <c r="AE15" s="202"/>
      <c r="AF15" s="259"/>
      <c r="AG15" s="260"/>
      <c r="AH15" s="1212"/>
      <c r="AI15" s="1225"/>
      <c r="AJ15" s="261"/>
      <c r="AK15" s="260"/>
      <c r="AL15" s="202"/>
      <c r="AM15" s="288"/>
      <c r="AN15" s="1187"/>
      <c r="AP15" s="1239"/>
    </row>
    <row r="16" spans="1:42" ht="30" customHeight="1">
      <c r="A16" s="669"/>
      <c r="B16" s="262" t="s">
        <v>154</v>
      </c>
      <c r="C16" s="1677"/>
      <c r="D16" s="264"/>
      <c r="E16" s="263"/>
      <c r="F16" s="1672">
        <f>SUM(D16:E16)</f>
        <v>0</v>
      </c>
      <c r="G16" s="1663">
        <f>F16</f>
        <v>0</v>
      </c>
      <c r="H16" s="264"/>
      <c r="I16" s="263"/>
      <c r="J16" s="1194">
        <f>SUM(H16:I16)</f>
        <v>0</v>
      </c>
      <c r="K16" s="265">
        <f>SUM(D16,H16)</f>
        <v>0</v>
      </c>
      <c r="L16" s="232">
        <f>SUM(E16,I16)</f>
        <v>0</v>
      </c>
      <c r="M16" s="266">
        <f>SUM(K16:L16)</f>
        <v>0</v>
      </c>
      <c r="N16" s="192"/>
      <c r="O16" s="304"/>
      <c r="P16" s="263"/>
      <c r="Q16" s="290">
        <f>SUM(O16:P16)</f>
        <v>0</v>
      </c>
      <c r="R16" s="192"/>
      <c r="S16" s="291">
        <f>SUM(M16,Q16)</f>
        <v>0</v>
      </c>
      <c r="T16" s="680"/>
      <c r="U16" s="1191"/>
      <c r="V16" s="267">
        <f>VLOOKUP($AP16,Early_Stats_Last_Year,VLOOKUP('Background Data'!$C$2,Inst_Tables,12,FALSE),FALSE)</f>
        <v>0</v>
      </c>
      <c r="W16" s="268">
        <f>VLOOKUP($AP16,Early_Stats_Last_Year,VLOOKUP('Background Data'!$C$2,Inst_Tables,13,FALSE),FALSE)</f>
        <v>0</v>
      </c>
      <c r="X16" s="1195">
        <f>SUM(V16:W16)</f>
        <v>0</v>
      </c>
      <c r="Y16" s="932"/>
      <c r="Z16" s="269" t="str">
        <f>IF(V16&gt;0,(G16-V16)/V16,"")</f>
        <v/>
      </c>
      <c r="AA16" s="270" t="str">
        <f>IF(W16&gt;0,(J16-W16)/W16,"")</f>
        <v/>
      </c>
      <c r="AB16" s="908" t="str">
        <f>IF(X16&gt;0,(M16-X16)/X16,"")</f>
        <v/>
      </c>
      <c r="AC16" s="910"/>
      <c r="AD16" s="682"/>
      <c r="AE16" s="202"/>
      <c r="AF16" s="271">
        <f>VLOOKUP($AP16,Final_Figures_Last_Year,VLOOKUP('Background Data'!$C$2,Inst_Tables,12,FALSE),FALSE)</f>
        <v>0</v>
      </c>
      <c r="AG16" s="272">
        <f>VLOOKUP($AP16,Final_Figures_Last_Year,VLOOKUP('Background Data'!$C$2,Inst_Tables,13,FALSE),FALSE)</f>
        <v>0</v>
      </c>
      <c r="AH16" s="1213">
        <f>SUM(AF16:AG16)</f>
        <v>0</v>
      </c>
      <c r="AI16" s="1225"/>
      <c r="AJ16" s="1196" t="str">
        <f>IF(AF16&gt;0,(G16-AF16)/AF16,"")</f>
        <v/>
      </c>
      <c r="AK16" s="273" t="str">
        <f>IF(AG16&gt;0,(J16-AG16)/AG16,"")</f>
        <v/>
      </c>
      <c r="AL16" s="1196" t="str">
        <f>IF(AH16&gt;0,(M16-AH16)/AH16,"")</f>
        <v/>
      </c>
      <c r="AM16" s="288"/>
      <c r="AN16" s="1187"/>
      <c r="AP16" s="1238">
        <v>2</v>
      </c>
    </row>
    <row r="17" spans="1:42" ht="30" customHeight="1">
      <c r="A17" s="669"/>
      <c r="B17" s="252" t="s">
        <v>82</v>
      </c>
      <c r="C17" s="304"/>
      <c r="D17" s="264">
        <v>1095</v>
      </c>
      <c r="E17" s="263"/>
      <c r="F17" s="1672">
        <f>SUM(D17:E17)</f>
        <v>1095</v>
      </c>
      <c r="G17" s="1663">
        <f>SUM(C17,F17)</f>
        <v>1095</v>
      </c>
      <c r="H17" s="264">
        <v>209.66</v>
      </c>
      <c r="I17" s="263">
        <v>65.8</v>
      </c>
      <c r="J17" s="1194">
        <f>SUM(H17:I17)</f>
        <v>275.45999999999998</v>
      </c>
      <c r="K17" s="265">
        <f>SUM(C17,D17,H17)</f>
        <v>1304.6600000000001</v>
      </c>
      <c r="L17" s="232">
        <f>SUM(E17,I17)</f>
        <v>65.8</v>
      </c>
      <c r="M17" s="266">
        <f>SUM(K17:L17)</f>
        <v>1370.46</v>
      </c>
      <c r="N17" s="192"/>
      <c r="O17" s="253"/>
      <c r="P17" s="200"/>
      <c r="Q17" s="254"/>
      <c r="R17" s="192"/>
      <c r="S17" s="237"/>
      <c r="T17" s="680"/>
      <c r="U17" s="1191"/>
      <c r="V17" s="267">
        <f>VLOOKUP($AP17,Early_Stats_Last_Year,VLOOKUP('Background Data'!$C$2,Inst_Tables,12,FALSE),FALSE)</f>
        <v>1073</v>
      </c>
      <c r="W17" s="268">
        <f>VLOOKUP($AP17,Early_Stats_Last_Year,VLOOKUP('Background Data'!$C$2,Inst_Tables,13,FALSE),FALSE)</f>
        <v>320.19</v>
      </c>
      <c r="X17" s="1195">
        <f>SUM(V17:W17)</f>
        <v>1393.19</v>
      </c>
      <c r="Y17" s="932"/>
      <c r="Z17" s="269">
        <f>IF(V17&gt;0,(G17-V17)/V17,"")</f>
        <v>2.0503261882572229E-2</v>
      </c>
      <c r="AA17" s="270">
        <f>IF(W17&gt;0,(J17-W17)/W17,"")</f>
        <v>-0.13969830413192172</v>
      </c>
      <c r="AB17" s="908">
        <f>IF(X17&gt;0,(M17-X17)/X17,"")</f>
        <v>-1.6315075474271291E-2</v>
      </c>
      <c r="AC17" s="910"/>
      <c r="AD17" s="682"/>
      <c r="AE17" s="202"/>
      <c r="AF17" s="363">
        <f>VLOOKUP($AP17,Final_Figures_Last_Year,VLOOKUP('Background Data'!$C$2,Inst_Tables,12,FALSE),FALSE)</f>
        <v>1076.5</v>
      </c>
      <c r="AG17" s="272">
        <f>VLOOKUP($AP17,Final_Figures_Last_Year,VLOOKUP('Background Data'!$C$2,Inst_Tables,13,FALSE),FALSE)</f>
        <v>275.51799999999997</v>
      </c>
      <c r="AH17" s="1213">
        <f>SUM(AF17:AG17)</f>
        <v>1352.018</v>
      </c>
      <c r="AI17" s="1225"/>
      <c r="AJ17" s="1197">
        <f>IF(AF17&gt;0,(G17-AF17)/AF17,"")</f>
        <v>1.7185322805387832E-2</v>
      </c>
      <c r="AK17" s="273">
        <f>IF(AG17&gt;0,(J17-AG17)/AG17,"")</f>
        <v>-2.1051256179266956E-4</v>
      </c>
      <c r="AL17" s="1206">
        <f>IF(AH17&gt;0,(M17-AH17)/AH17,"")</f>
        <v>1.3640350942073262E-2</v>
      </c>
      <c r="AM17" s="288"/>
      <c r="AN17" s="1187"/>
      <c r="AP17" s="1238">
        <v>3</v>
      </c>
    </row>
    <row r="18" spans="1:42" ht="35.1" customHeight="1" thickBot="1">
      <c r="A18" s="669"/>
      <c r="B18" s="274" t="s">
        <v>2</v>
      </c>
      <c r="C18" s="275">
        <f>C17</f>
        <v>0</v>
      </c>
      <c r="D18" s="1669">
        <f t="shared" ref="D18:M18" si="0">SUM(D16:D17)</f>
        <v>1095</v>
      </c>
      <c r="E18" s="1670">
        <f t="shared" si="0"/>
        <v>0</v>
      </c>
      <c r="F18" s="1671">
        <f t="shared" si="0"/>
        <v>1095</v>
      </c>
      <c r="G18" s="292">
        <f t="shared" si="0"/>
        <v>1095</v>
      </c>
      <c r="H18" s="276">
        <f t="shared" si="0"/>
        <v>209.66</v>
      </c>
      <c r="I18" s="276">
        <f t="shared" si="0"/>
        <v>65.8</v>
      </c>
      <c r="J18" s="277">
        <f t="shared" si="0"/>
        <v>275.45999999999998</v>
      </c>
      <c r="K18" s="276">
        <f t="shared" si="0"/>
        <v>1304.6600000000001</v>
      </c>
      <c r="L18" s="276">
        <f t="shared" si="0"/>
        <v>65.8</v>
      </c>
      <c r="M18" s="277">
        <f t="shared" si="0"/>
        <v>1370.46</v>
      </c>
      <c r="N18" s="192"/>
      <c r="O18" s="279"/>
      <c r="P18" s="280"/>
      <c r="Q18" s="281"/>
      <c r="R18" s="192"/>
      <c r="S18" s="282"/>
      <c r="T18" s="680"/>
      <c r="U18" s="1191"/>
      <c r="V18" s="294">
        <f>SUM(V16:V17)</f>
        <v>1073</v>
      </c>
      <c r="W18" s="295">
        <f>SUM(W16:W17)</f>
        <v>320.19</v>
      </c>
      <c r="X18" s="295">
        <f>SUM(X16:X17)</f>
        <v>1393.19</v>
      </c>
      <c r="Y18" s="933"/>
      <c r="Z18" s="284">
        <f>IF(V18&gt;0,(G18-V18)/V18,"")</f>
        <v>2.0503261882572229E-2</v>
      </c>
      <c r="AA18" s="285">
        <f>IF(W18&gt;0,(J18-W18)/W18,"")</f>
        <v>-0.13969830413192172</v>
      </c>
      <c r="AB18" s="909">
        <f>IF(X18&gt;0,(M18-X18)/X18,"")</f>
        <v>-1.6315075474271291E-2</v>
      </c>
      <c r="AC18" s="912"/>
      <c r="AD18" s="682"/>
      <c r="AE18" s="202"/>
      <c r="AF18" s="1746">
        <f>SUM(AF16:AF17)</f>
        <v>1076.5</v>
      </c>
      <c r="AG18" s="1747">
        <f>SUM(AG16:AG17)</f>
        <v>275.51799999999997</v>
      </c>
      <c r="AH18" s="1748">
        <f>SUM(AH16:AH17)</f>
        <v>1352.018</v>
      </c>
      <c r="AI18" s="1225"/>
      <c r="AJ18" s="1207">
        <f>IF(AF18&gt;0,(G18-AF18)/AF18,"")</f>
        <v>1.7185322805387832E-2</v>
      </c>
      <c r="AK18" s="300">
        <f>IF(AG18&gt;0,(J18-AG18)/AG18,"")</f>
        <v>-2.1051256179266956E-4</v>
      </c>
      <c r="AL18" s="1207">
        <f>IF(AH18&gt;0,(M18-AH18)/AH18,"")</f>
        <v>1.3640350942073262E-2</v>
      </c>
      <c r="AM18" s="288"/>
      <c r="AN18" s="1187"/>
      <c r="AP18" s="1239"/>
    </row>
    <row r="19" spans="1:42" ht="35.1" customHeight="1">
      <c r="A19" s="669"/>
      <c r="B19" s="243" t="s">
        <v>10</v>
      </c>
      <c r="C19" s="1675"/>
      <c r="D19" s="1697"/>
      <c r="E19" s="1698"/>
      <c r="F19" s="1699"/>
      <c r="G19" s="1700"/>
      <c r="H19" s="1697"/>
      <c r="I19" s="1701"/>
      <c r="J19" s="1702"/>
      <c r="K19" s="1703"/>
      <c r="L19" s="1703"/>
      <c r="M19" s="1704"/>
      <c r="N19" s="192"/>
      <c r="O19" s="253"/>
      <c r="P19" s="200"/>
      <c r="Q19" s="254"/>
      <c r="R19" s="192"/>
      <c r="S19" s="237"/>
      <c r="T19" s="680"/>
      <c r="U19" s="1191"/>
      <c r="V19" s="255"/>
      <c r="W19" s="256"/>
      <c r="X19" s="256"/>
      <c r="Y19" s="258"/>
      <c r="Z19" s="257"/>
      <c r="AA19" s="256"/>
      <c r="AB19" s="322"/>
      <c r="AC19" s="287"/>
      <c r="AD19" s="682"/>
      <c r="AE19" s="202"/>
      <c r="AF19" s="249"/>
      <c r="AG19" s="250"/>
      <c r="AH19" s="1211"/>
      <c r="AI19" s="251"/>
      <c r="AJ19" s="1156"/>
      <c r="AK19" s="250"/>
      <c r="AL19" s="1156"/>
      <c r="AM19" s="251"/>
      <c r="AN19" s="1187"/>
      <c r="AP19" s="1239"/>
    </row>
    <row r="20" spans="1:42" ht="30" customHeight="1">
      <c r="A20" s="669"/>
      <c r="B20" s="252" t="s">
        <v>80</v>
      </c>
      <c r="C20" s="1676"/>
      <c r="D20" s="1705"/>
      <c r="E20" s="1706"/>
      <c r="F20" s="1707"/>
      <c r="G20" s="1708"/>
      <c r="H20" s="1705"/>
      <c r="I20" s="1709"/>
      <c r="J20" s="1710"/>
      <c r="K20" s="1711"/>
      <c r="L20" s="1711"/>
      <c r="M20" s="1710"/>
      <c r="N20" s="192"/>
      <c r="O20" s="253"/>
      <c r="P20" s="200"/>
      <c r="Q20" s="254"/>
      <c r="R20" s="192"/>
      <c r="S20" s="237"/>
      <c r="T20" s="680"/>
      <c r="U20" s="1191"/>
      <c r="V20" s="255"/>
      <c r="W20" s="256"/>
      <c r="X20" s="310"/>
      <c r="Y20" s="258"/>
      <c r="Z20" s="257"/>
      <c r="AA20" s="256"/>
      <c r="AB20" s="322"/>
      <c r="AC20" s="287"/>
      <c r="AD20" s="682"/>
      <c r="AE20" s="202"/>
      <c r="AF20" s="259"/>
      <c r="AG20" s="260"/>
      <c r="AH20" s="1212"/>
      <c r="AI20" s="288"/>
      <c r="AJ20" s="202"/>
      <c r="AK20" s="260"/>
      <c r="AL20" s="202"/>
      <c r="AM20" s="288"/>
      <c r="AN20" s="1187"/>
      <c r="AP20" s="1239"/>
    </row>
    <row r="21" spans="1:42" ht="30" customHeight="1">
      <c r="A21" s="669"/>
      <c r="B21" s="262" t="s">
        <v>83</v>
      </c>
      <c r="C21" s="1696"/>
      <c r="D21" s="264">
        <v>211</v>
      </c>
      <c r="E21" s="263"/>
      <c r="F21" s="1672">
        <f>SUM(D21:E21)</f>
        <v>211</v>
      </c>
      <c r="G21" s="1663">
        <f>F21</f>
        <v>211</v>
      </c>
      <c r="H21" s="264"/>
      <c r="I21" s="263"/>
      <c r="J21" s="289">
        <f>SUM(H21:I21)</f>
        <v>0</v>
      </c>
      <c r="K21" s="265">
        <f>SUM(D21,H21)</f>
        <v>211</v>
      </c>
      <c r="L21" s="232">
        <f>SUM(E21,I21)</f>
        <v>0</v>
      </c>
      <c r="M21" s="266">
        <f>SUM(K21:L21)</f>
        <v>211</v>
      </c>
      <c r="N21" s="192"/>
      <c r="O21" s="304"/>
      <c r="P21" s="263">
        <v>2</v>
      </c>
      <c r="Q21" s="290">
        <f>SUM(O21:P21)</f>
        <v>2</v>
      </c>
      <c r="R21" s="192"/>
      <c r="S21" s="291">
        <f>SUM(M21,Q21)</f>
        <v>213</v>
      </c>
      <c r="T21" s="680"/>
      <c r="U21" s="1191"/>
      <c r="V21" s="267">
        <f>VLOOKUP($AP21,Early_Stats_Last_Year,VLOOKUP('Background Data'!$C$2,Inst_Tables,12,FALSE),FALSE)</f>
        <v>168</v>
      </c>
      <c r="W21" s="268">
        <f>VLOOKUP($AP21,Early_Stats_Last_Year,VLOOKUP('Background Data'!$C$2,Inst_Tables,13,FALSE),FALSE)</f>
        <v>2</v>
      </c>
      <c r="X21" s="1195">
        <f>SUM(V21:W21)</f>
        <v>170</v>
      </c>
      <c r="Y21" s="268">
        <f>VLOOKUP($AP21,Early_Stats_Last_Year,VLOOKUP('Background Data'!$C$2,Inst_Tables,14,FALSE),FALSE)</f>
        <v>2</v>
      </c>
      <c r="Z21" s="269">
        <f>IF(V21&gt;0,(G21-V21)/V21,"")</f>
        <v>0.25595238095238093</v>
      </c>
      <c r="AA21" s="270">
        <f>IF(W21&gt;0,(J21-W21)/W21,"")</f>
        <v>-1</v>
      </c>
      <c r="AB21" s="270">
        <f>IF(X21&gt;0,(M21-X21)/X21,"")</f>
        <v>0.2411764705882353</v>
      </c>
      <c r="AC21" s="1227">
        <f>IF(Y21&gt;0,(Q21-Y21)/Y21,"")</f>
        <v>0</v>
      </c>
      <c r="AD21" s="682"/>
      <c r="AE21" s="202"/>
      <c r="AF21" s="271">
        <f>VLOOKUP($AP21,Final_Figures_Last_Year,VLOOKUP('Background Data'!$C$2,Inst_Tables,12,FALSE),FALSE)</f>
        <v>168</v>
      </c>
      <c r="AG21" s="272">
        <f>VLOOKUP($AP21,Final_Figures_Last_Year,VLOOKUP('Background Data'!$C$2,Inst_Tables,13,FALSE),FALSE)</f>
        <v>2</v>
      </c>
      <c r="AH21" s="1213">
        <f>SUM(AF21:AG21)</f>
        <v>170</v>
      </c>
      <c r="AI21" s="1226">
        <f>VLOOKUP($AP21,Final_Figures_Last_Year,VLOOKUP('Background Data'!$C$2,Inst_Tables,14,FALSE),FALSE)</f>
        <v>2</v>
      </c>
      <c r="AJ21" s="1196">
        <f>IF(AF21&gt;0,(G21-AF21)/AF21,"")</f>
        <v>0.25595238095238093</v>
      </c>
      <c r="AK21" s="273">
        <f>IF(AG21&gt;0,(J21-AG21)/AG21,"")</f>
        <v>-1</v>
      </c>
      <c r="AL21" s="1196">
        <f>IF(AH21&gt;0,(M21-AH21)/AH21,"")</f>
        <v>0.2411764705882353</v>
      </c>
      <c r="AM21" s="364">
        <f>IF(AI21&gt;0,(Q21-AI21)/AI21,"")</f>
        <v>0</v>
      </c>
      <c r="AN21" s="1187"/>
      <c r="AP21" s="1238">
        <v>4</v>
      </c>
    </row>
    <row r="22" spans="1:42" ht="30" customHeight="1">
      <c r="A22" s="669"/>
      <c r="B22" s="262" t="s">
        <v>84</v>
      </c>
      <c r="C22" s="1677"/>
      <c r="D22" s="264">
        <v>204</v>
      </c>
      <c r="E22" s="263"/>
      <c r="F22" s="1672">
        <f>SUM(D22:E22)</f>
        <v>204</v>
      </c>
      <c r="G22" s="1663">
        <f>F22</f>
        <v>204</v>
      </c>
      <c r="H22" s="264">
        <v>0.5</v>
      </c>
      <c r="I22" s="263"/>
      <c r="J22" s="289">
        <f>SUM(H22:I22)</f>
        <v>0.5</v>
      </c>
      <c r="K22" s="265">
        <f>SUM(D22,H22)</f>
        <v>204.5</v>
      </c>
      <c r="L22" s="232">
        <f>SUM(E22,I22)</f>
        <v>0</v>
      </c>
      <c r="M22" s="266">
        <f>SUM(K22:L22)</f>
        <v>204.5</v>
      </c>
      <c r="N22" s="192"/>
      <c r="O22" s="304">
        <v>4</v>
      </c>
      <c r="P22" s="263">
        <v>2</v>
      </c>
      <c r="Q22" s="290">
        <f>SUM(O22:P22)</f>
        <v>6</v>
      </c>
      <c r="R22" s="192"/>
      <c r="S22" s="291">
        <f>SUM(M22,Q22)</f>
        <v>210.5</v>
      </c>
      <c r="T22" s="680"/>
      <c r="U22" s="1191"/>
      <c r="V22" s="267">
        <f>VLOOKUP($AP22,Early_Stats_Last_Year,VLOOKUP('Background Data'!$C$2,Inst_Tables,12,FALSE),FALSE)</f>
        <v>194</v>
      </c>
      <c r="W22" s="268">
        <f>VLOOKUP($AP22,Early_Stats_Last_Year,VLOOKUP('Background Data'!$C$2,Inst_Tables,13,FALSE),FALSE)</f>
        <v>0.5</v>
      </c>
      <c r="X22" s="1195">
        <f>SUM(V22:W22)</f>
        <v>194.5</v>
      </c>
      <c r="Y22" s="268">
        <f>VLOOKUP($AP22,Early_Stats_Last_Year,VLOOKUP('Background Data'!$C$2,Inst_Tables,14,FALSE),FALSE)</f>
        <v>6</v>
      </c>
      <c r="Z22" s="269">
        <f>IF(V22&gt;0,(G22-V22)/V22,"")</f>
        <v>5.1546391752577317E-2</v>
      </c>
      <c r="AA22" s="270">
        <f>IF(W22&gt;0,(J22-W22)/W22,"")</f>
        <v>0</v>
      </c>
      <c r="AB22" s="270">
        <f>IF(X22&gt;0,(M22-X22)/X22,"")</f>
        <v>5.1413881748071981E-2</v>
      </c>
      <c r="AC22" s="1227">
        <f>IF(Y22&gt;0,(Q22-Y22)/Y22,"")</f>
        <v>0</v>
      </c>
      <c r="AD22" s="682"/>
      <c r="AE22" s="202"/>
      <c r="AF22" s="271">
        <f>VLOOKUP($AP22,Final_Figures_Last_Year,VLOOKUP('Background Data'!$C$2,Inst_Tables,12,FALSE),FALSE)</f>
        <v>190</v>
      </c>
      <c r="AG22" s="272">
        <f>VLOOKUP($AP22,Final_Figures_Last_Year,VLOOKUP('Background Data'!$C$2,Inst_Tables,13,FALSE),FALSE)</f>
        <v>2</v>
      </c>
      <c r="AH22" s="1213">
        <f>SUM(AF22:AG22)</f>
        <v>192</v>
      </c>
      <c r="AI22" s="1226">
        <f>VLOOKUP($AP22,Final_Figures_Last_Year,VLOOKUP('Background Data'!$C$2,Inst_Tables,14,FALSE),FALSE)</f>
        <v>6</v>
      </c>
      <c r="AJ22" s="1196">
        <f>IF(AF22&gt;0,(G22-AF22)/AF22,"")</f>
        <v>7.3684210526315783E-2</v>
      </c>
      <c r="AK22" s="273">
        <f>IF(AG22&gt;0,(J22-AG22)/AG22,"")</f>
        <v>-0.75</v>
      </c>
      <c r="AL22" s="1196">
        <f>IF(AH22&gt;0,(M22-AH22)/AH22,"")</f>
        <v>6.5104166666666671E-2</v>
      </c>
      <c r="AM22" s="364">
        <f>IF(AI22&gt;0,(Q22-AI22)/AI22,"")</f>
        <v>0</v>
      </c>
      <c r="AN22" s="1187"/>
      <c r="AP22" s="1238">
        <v>5</v>
      </c>
    </row>
    <row r="23" spans="1:42" ht="30" customHeight="1">
      <c r="A23" s="669"/>
      <c r="B23" s="252" t="s">
        <v>82</v>
      </c>
      <c r="C23" s="304"/>
      <c r="D23" s="264">
        <v>8</v>
      </c>
      <c r="E23" s="263"/>
      <c r="F23" s="1672">
        <f>SUM(D23:E23)</f>
        <v>8</v>
      </c>
      <c r="G23" s="1663">
        <f>SUM(C23,F23)</f>
        <v>8</v>
      </c>
      <c r="H23" s="264">
        <v>153.09</v>
      </c>
      <c r="I23" s="263">
        <v>31.9</v>
      </c>
      <c r="J23" s="289">
        <f>SUM(H23:I23)</f>
        <v>184.99</v>
      </c>
      <c r="K23" s="265">
        <f>SUM(C23,D23,H23)</f>
        <v>161.09</v>
      </c>
      <c r="L23" s="232">
        <f>SUM(E23,I23)</f>
        <v>31.9</v>
      </c>
      <c r="M23" s="266">
        <f>SUM(K23:L23)</f>
        <v>192.99</v>
      </c>
      <c r="N23" s="192"/>
      <c r="O23" s="1731"/>
      <c r="P23" s="1703"/>
      <c r="Q23" s="1716"/>
      <c r="R23" s="1732"/>
      <c r="S23" s="1733"/>
      <c r="T23" s="680"/>
      <c r="U23" s="1191"/>
      <c r="V23" s="267">
        <f>VLOOKUP($AP23,Early_Stats_Last_Year,VLOOKUP('Background Data'!$C$2,Inst_Tables,12,FALSE),FALSE)</f>
        <v>9</v>
      </c>
      <c r="W23" s="268">
        <f>VLOOKUP($AP23,Early_Stats_Last_Year,VLOOKUP('Background Data'!$C$2,Inst_Tables,13,FALSE),FALSE)</f>
        <v>227.06</v>
      </c>
      <c r="X23" s="1195">
        <f>SUM(V23:W23)</f>
        <v>236.06</v>
      </c>
      <c r="Y23" s="1199"/>
      <c r="Z23" s="269">
        <f>IF(V23&gt;0,(G23-V23)/V23,"")</f>
        <v>-0.1111111111111111</v>
      </c>
      <c r="AA23" s="270">
        <f>IF(W23&gt;0,(J23-W23)/W23,"")</f>
        <v>-0.18528142341231391</v>
      </c>
      <c r="AB23" s="908">
        <f>IF(X23&gt;0,(M23-X23)/X23,"")</f>
        <v>-0.18245361348809622</v>
      </c>
      <c r="AC23" s="910"/>
      <c r="AD23" s="682"/>
      <c r="AE23" s="202"/>
      <c r="AF23" s="271">
        <f>VLOOKUP($AP23,Final_Figures_Last_Year,VLOOKUP('Background Data'!$C$2,Inst_Tables,12,FALSE),FALSE)</f>
        <v>3</v>
      </c>
      <c r="AG23" s="272">
        <f>VLOOKUP($AP23,Final_Figures_Last_Year,VLOOKUP('Background Data'!$C$2,Inst_Tables,13,FALSE),FALSE)</f>
        <v>186.37131299999976</v>
      </c>
      <c r="AH23" s="1213">
        <f>SUM(AF23:AG23)</f>
        <v>189.37131299999976</v>
      </c>
      <c r="AI23" s="1226"/>
      <c r="AJ23" s="1196">
        <f>IF(AF23&gt;0,(G23-AF23)/AF23,"")</f>
        <v>1.6666666666666667</v>
      </c>
      <c r="AK23" s="273">
        <f>IF(AG23&gt;0,(J23-AG23)/AG23,"")</f>
        <v>-7.4116181174285756E-3</v>
      </c>
      <c r="AL23" s="1196">
        <f>IF(AH23&gt;0,(M23-AH23)/AH23,"")</f>
        <v>1.9108950255840782E-2</v>
      </c>
      <c r="AM23" s="288"/>
      <c r="AN23" s="1187"/>
      <c r="AP23" s="1238">
        <v>6</v>
      </c>
    </row>
    <row r="24" spans="1:42" ht="35.1" customHeight="1" thickBot="1">
      <c r="A24" s="669"/>
      <c r="B24" s="274" t="s">
        <v>2</v>
      </c>
      <c r="C24" s="275">
        <f>C23</f>
        <v>0</v>
      </c>
      <c r="D24" s="293">
        <f t="shared" ref="D24:L24" si="1">SUM(D21:D23)</f>
        <v>423</v>
      </c>
      <c r="E24" s="278">
        <f t="shared" si="1"/>
        <v>0</v>
      </c>
      <c r="F24" s="277">
        <f t="shared" si="1"/>
        <v>423</v>
      </c>
      <c r="G24" s="292">
        <f t="shared" si="1"/>
        <v>423</v>
      </c>
      <c r="H24" s="276">
        <f t="shared" si="1"/>
        <v>153.59</v>
      </c>
      <c r="I24" s="276">
        <f t="shared" si="1"/>
        <v>31.9</v>
      </c>
      <c r="J24" s="278">
        <f t="shared" si="1"/>
        <v>185.49</v>
      </c>
      <c r="K24" s="293">
        <f t="shared" si="1"/>
        <v>576.59</v>
      </c>
      <c r="L24" s="276">
        <f t="shared" si="1"/>
        <v>31.9</v>
      </c>
      <c r="M24" s="277">
        <f t="shared" ref="M24" si="2">SUM(M21:M23)</f>
        <v>608.49</v>
      </c>
      <c r="N24" s="192"/>
      <c r="O24" s="1731"/>
      <c r="P24" s="1703"/>
      <c r="Q24" s="1716"/>
      <c r="R24" s="1732"/>
      <c r="S24" s="1733"/>
      <c r="T24" s="680"/>
      <c r="U24" s="1191"/>
      <c r="V24" s="294">
        <f>SUM(V21:V23)</f>
        <v>371</v>
      </c>
      <c r="W24" s="295">
        <f>SUM(W21:W23)</f>
        <v>229.56</v>
      </c>
      <c r="X24" s="283">
        <f>SUM(X21:X23)</f>
        <v>600.55999999999995</v>
      </c>
      <c r="Y24" s="906"/>
      <c r="Z24" s="296">
        <f>IF(V24&gt;0,(G24-V24)/V24,"")</f>
        <v>0.14016172506738545</v>
      </c>
      <c r="AA24" s="297">
        <f>IF(W24&gt;0,(J24-W24)/W24,"")</f>
        <v>-0.19197595399895448</v>
      </c>
      <c r="AB24" s="904">
        <f>IF(X24&gt;0,(M24-X24)/X24,"")</f>
        <v>1.3204342613560785E-2</v>
      </c>
      <c r="AC24" s="912"/>
      <c r="AD24" s="682"/>
      <c r="AE24" s="202"/>
      <c r="AF24" s="298">
        <f>SUM(AF21:AF23)</f>
        <v>361</v>
      </c>
      <c r="AG24" s="299">
        <f>SUM(AG21:AG23)</f>
        <v>190.37131299999976</v>
      </c>
      <c r="AH24" s="1215">
        <f>SUM(AH21:AH23)</f>
        <v>551.37131299999976</v>
      </c>
      <c r="AI24" s="1750"/>
      <c r="AJ24" s="365">
        <f>IF(AF24&gt;0,(G24-AF24)/AF24,"")</f>
        <v>0.17174515235457063</v>
      </c>
      <c r="AK24" s="286">
        <f>IF(AG24&gt;0,(J24-AG24)/AG24,"")</f>
        <v>-2.5641011363932528E-2</v>
      </c>
      <c r="AL24" s="365">
        <f>IF(AH24&gt;0,(M24-AH24)/AH24,"")</f>
        <v>0.10359386796752024</v>
      </c>
      <c r="AM24" s="1208"/>
      <c r="AN24" s="1187"/>
      <c r="AP24" s="1239"/>
    </row>
    <row r="25" spans="1:42" ht="35.1" customHeight="1">
      <c r="A25" s="669"/>
      <c r="B25" s="301" t="s">
        <v>11</v>
      </c>
      <c r="C25" s="1675"/>
      <c r="D25" s="1697"/>
      <c r="E25" s="1698"/>
      <c r="F25" s="1699"/>
      <c r="G25" s="1700"/>
      <c r="H25" s="1697"/>
      <c r="I25" s="1701"/>
      <c r="J25" s="1702"/>
      <c r="K25" s="1712"/>
      <c r="L25" s="1712"/>
      <c r="M25" s="1702"/>
      <c r="N25" s="192"/>
      <c r="O25" s="1734"/>
      <c r="P25" s="1712"/>
      <c r="Q25" s="1700"/>
      <c r="R25" s="1732"/>
      <c r="S25" s="1735"/>
      <c r="T25" s="680"/>
      <c r="U25" s="1191"/>
      <c r="V25" s="245"/>
      <c r="W25" s="246"/>
      <c r="X25" s="246"/>
      <c r="Y25" s="248"/>
      <c r="Z25" s="247"/>
      <c r="AA25" s="246"/>
      <c r="AB25" s="898"/>
      <c r="AC25" s="287"/>
      <c r="AD25" s="682"/>
      <c r="AE25" s="202"/>
      <c r="AF25" s="259"/>
      <c r="AG25" s="260"/>
      <c r="AH25" s="1749"/>
      <c r="AI25" s="288"/>
      <c r="AJ25" s="202"/>
      <c r="AK25" s="260"/>
      <c r="AL25" s="202"/>
      <c r="AM25" s="288"/>
      <c r="AN25" s="1187"/>
      <c r="AP25" s="1239"/>
    </row>
    <row r="26" spans="1:42" ht="30" customHeight="1">
      <c r="A26" s="669"/>
      <c r="B26" s="252" t="s">
        <v>80</v>
      </c>
      <c r="C26" s="1676"/>
      <c r="D26" s="1713"/>
      <c r="E26" s="1714"/>
      <c r="F26" s="1715"/>
      <c r="G26" s="1716"/>
      <c r="H26" s="1713"/>
      <c r="I26" s="1717"/>
      <c r="J26" s="1704"/>
      <c r="K26" s="1703"/>
      <c r="L26" s="1703"/>
      <c r="M26" s="1704"/>
      <c r="N26" s="192"/>
      <c r="O26" s="1731"/>
      <c r="P26" s="1703"/>
      <c r="Q26" s="1716"/>
      <c r="R26" s="1732"/>
      <c r="S26" s="1733"/>
      <c r="T26" s="680"/>
      <c r="U26" s="1191"/>
      <c r="V26" s="255"/>
      <c r="W26" s="256"/>
      <c r="X26" s="256"/>
      <c r="Y26" s="258"/>
      <c r="Z26" s="257"/>
      <c r="AA26" s="256"/>
      <c r="AB26" s="322"/>
      <c r="AC26" s="287"/>
      <c r="AD26" s="682"/>
      <c r="AE26" s="202"/>
      <c r="AF26" s="259"/>
      <c r="AG26" s="260"/>
      <c r="AH26" s="1214"/>
      <c r="AI26" s="288"/>
      <c r="AJ26" s="202"/>
      <c r="AK26" s="260"/>
      <c r="AL26" s="202"/>
      <c r="AM26" s="288"/>
      <c r="AN26" s="1187"/>
      <c r="AP26" s="1239"/>
    </row>
    <row r="27" spans="1:42" ht="30" customHeight="1">
      <c r="A27" s="669"/>
      <c r="B27" s="302" t="s">
        <v>86</v>
      </c>
      <c r="C27" s="1718"/>
      <c r="D27" s="1705"/>
      <c r="E27" s="1706"/>
      <c r="F27" s="1707"/>
      <c r="G27" s="1708"/>
      <c r="H27" s="1705"/>
      <c r="I27" s="1709"/>
      <c r="J27" s="1710"/>
      <c r="K27" s="1711"/>
      <c r="L27" s="1711"/>
      <c r="M27" s="1710"/>
      <c r="N27" s="192"/>
      <c r="O27" s="1718"/>
      <c r="P27" s="1709"/>
      <c r="Q27" s="1708"/>
      <c r="R27" s="1732"/>
      <c r="S27" s="1736"/>
      <c r="T27" s="680"/>
      <c r="U27" s="1191"/>
      <c r="V27" s="255"/>
      <c r="W27" s="256"/>
      <c r="X27" s="310"/>
      <c r="Y27" s="258"/>
      <c r="Z27" s="257"/>
      <c r="AA27" s="256"/>
      <c r="AB27" s="322"/>
      <c r="AC27" s="287"/>
      <c r="AD27" s="682"/>
      <c r="AE27" s="202"/>
      <c r="AF27" s="259"/>
      <c r="AG27" s="260"/>
      <c r="AH27" s="1212"/>
      <c r="AI27" s="288"/>
      <c r="AJ27" s="202"/>
      <c r="AK27" s="260"/>
      <c r="AL27" s="202"/>
      <c r="AM27" s="288"/>
      <c r="AN27" s="1187"/>
      <c r="AP27" s="1239"/>
    </row>
    <row r="28" spans="1:42" ht="30" customHeight="1">
      <c r="A28" s="669"/>
      <c r="B28" s="303" t="s">
        <v>32</v>
      </c>
      <c r="C28" s="304">
        <v>8</v>
      </c>
      <c r="D28" s="264">
        <v>522</v>
      </c>
      <c r="E28" s="263"/>
      <c r="F28" s="1672">
        <f>SUM(D28:E28)</f>
        <v>522</v>
      </c>
      <c r="G28" s="1663">
        <f>SUM(C28,F28)</f>
        <v>530</v>
      </c>
      <c r="H28" s="264"/>
      <c r="I28" s="263"/>
      <c r="J28" s="289">
        <f>SUM(H28:I28)</f>
        <v>0</v>
      </c>
      <c r="K28" s="265">
        <f>SUM(C28,D28,H28)</f>
        <v>530</v>
      </c>
      <c r="L28" s="232">
        <f>SUM(E28,I28)</f>
        <v>0</v>
      </c>
      <c r="M28" s="266">
        <f>SUM(K28:L28)</f>
        <v>530</v>
      </c>
      <c r="N28" s="192"/>
      <c r="O28" s="304">
        <v>173</v>
      </c>
      <c r="P28" s="263"/>
      <c r="Q28" s="290">
        <f>SUM(O28:P28)</f>
        <v>173</v>
      </c>
      <c r="R28" s="192"/>
      <c r="S28" s="291">
        <f>SUM(M28,Q28)</f>
        <v>703</v>
      </c>
      <c r="T28" s="680"/>
      <c r="U28" s="1191"/>
      <c r="V28" s="267">
        <f>VLOOKUP($AP28,Early_Stats_Last_Year,VLOOKUP('Background Data'!$C$2,Inst_Tables,12,FALSE),FALSE)</f>
        <v>553</v>
      </c>
      <c r="W28" s="268">
        <f>VLOOKUP($AP28,Early_Stats_Last_Year,VLOOKUP('Background Data'!$C$2,Inst_Tables,13,FALSE),FALSE)</f>
        <v>0</v>
      </c>
      <c r="X28" s="1195">
        <f>SUM(V28:W28)</f>
        <v>553</v>
      </c>
      <c r="Y28" s="268">
        <f>VLOOKUP($AP28,Early_Stats_Last_Year,VLOOKUP('Background Data'!$C$2,Inst_Tables,14,FALSE),FALSE)</f>
        <v>154</v>
      </c>
      <c r="Z28" s="269">
        <f>IF(V28&gt;0,(G28-V28)/V28,"")</f>
        <v>-4.1591320072332731E-2</v>
      </c>
      <c r="AA28" s="270" t="str">
        <f>IF(W28&gt;0,(J28-W28)/W28,"")</f>
        <v/>
      </c>
      <c r="AB28" s="270">
        <f>IF(X28&gt;0,(M28-X28)/X28,"")</f>
        <v>-4.1591320072332731E-2</v>
      </c>
      <c r="AC28" s="1227">
        <f>IF(Y28&gt;0,(Q28-Y28)/Y28,"")</f>
        <v>0.12337662337662338</v>
      </c>
      <c r="AD28" s="682"/>
      <c r="AE28" s="202"/>
      <c r="AF28" s="271">
        <f>VLOOKUP($AP28,Final_Figures_Last_Year,VLOOKUP('Background Data'!$C$2,Inst_Tables,12,FALSE),FALSE)</f>
        <v>551</v>
      </c>
      <c r="AG28" s="272">
        <f>VLOOKUP($AP28,Final_Figures_Last_Year,VLOOKUP('Background Data'!$C$2,Inst_Tables,13,FALSE),FALSE)</f>
        <v>0</v>
      </c>
      <c r="AH28" s="1213">
        <f>SUM(AF28:AG28)</f>
        <v>551</v>
      </c>
      <c r="AI28" s="1226">
        <f>VLOOKUP($AP28,Final_Figures_Last_Year,VLOOKUP('Background Data'!$C$2,Inst_Tables,14,FALSE),FALSE)</f>
        <v>0</v>
      </c>
      <c r="AJ28" s="1196">
        <f>IF(AF28&gt;0,(G28-AF28)/AF28,"")</f>
        <v>-3.8112522686025406E-2</v>
      </c>
      <c r="AK28" s="273" t="str">
        <f>IF(AG28&gt;0,(J28-AG28)/AG28,"")</f>
        <v/>
      </c>
      <c r="AL28" s="1196">
        <f>IF(AH28&gt;0,(M28-AH28)/AH28,"")</f>
        <v>-3.8112522686025406E-2</v>
      </c>
      <c r="AM28" s="364" t="str">
        <f t="shared" ref="AM28:AM35" si="3">IF(AI28&gt;0,(Q28-AI28)/AI28,"")</f>
        <v/>
      </c>
      <c r="AN28" s="1187"/>
      <c r="AP28" s="1238">
        <v>7</v>
      </c>
    </row>
    <row r="29" spans="1:42" ht="30" customHeight="1">
      <c r="A29" s="669"/>
      <c r="B29" s="303" t="s">
        <v>33</v>
      </c>
      <c r="C29" s="304">
        <v>1</v>
      </c>
      <c r="D29" s="264">
        <v>226</v>
      </c>
      <c r="E29" s="263"/>
      <c r="F29" s="1672">
        <f>SUM(D29:E29)</f>
        <v>226</v>
      </c>
      <c r="G29" s="1663">
        <f>SUM(C29,F29)</f>
        <v>227</v>
      </c>
      <c r="H29" s="264"/>
      <c r="I29" s="263"/>
      <c r="J29" s="289">
        <f>SUM(H29:I29)</f>
        <v>0</v>
      </c>
      <c r="K29" s="265">
        <f>SUM(C29,D29,H29)</f>
        <v>227</v>
      </c>
      <c r="L29" s="232">
        <f>SUM(E29,I29)</f>
        <v>0</v>
      </c>
      <c r="M29" s="266">
        <f>SUM(K29:L29)</f>
        <v>227</v>
      </c>
      <c r="N29" s="192"/>
      <c r="O29" s="304">
        <v>58</v>
      </c>
      <c r="P29" s="263"/>
      <c r="Q29" s="290">
        <f>SUM(O29:P29)</f>
        <v>58</v>
      </c>
      <c r="R29" s="192"/>
      <c r="S29" s="291">
        <f>SUM(M29,Q29)</f>
        <v>285</v>
      </c>
      <c r="T29" s="680"/>
      <c r="U29" s="1191"/>
      <c r="V29" s="267">
        <f>VLOOKUP($AP29,Early_Stats_Last_Year,VLOOKUP('Background Data'!$C$2,Inst_Tables,12,FALSE),FALSE)</f>
        <v>242</v>
      </c>
      <c r="W29" s="268">
        <f>VLOOKUP($AP29,Early_Stats_Last_Year,VLOOKUP('Background Data'!$C$2,Inst_Tables,13,FALSE),FALSE)</f>
        <v>0</v>
      </c>
      <c r="X29" s="1195">
        <f>SUM(V29:W29)</f>
        <v>242</v>
      </c>
      <c r="Y29" s="268">
        <f>VLOOKUP($AP29,Early_Stats_Last_Year,VLOOKUP('Background Data'!$C$2,Inst_Tables,14,FALSE),FALSE)</f>
        <v>54</v>
      </c>
      <c r="Z29" s="269">
        <f>IF(V29&gt;0,(G29-V29)/V29,"")</f>
        <v>-6.1983471074380167E-2</v>
      </c>
      <c r="AA29" s="270" t="str">
        <f>IF(W29&gt;0,(J29-W29)/W29,"")</f>
        <v/>
      </c>
      <c r="AB29" s="270">
        <f>IF(X29&gt;0,(M29-X29)/X29,"")</f>
        <v>-6.1983471074380167E-2</v>
      </c>
      <c r="AC29" s="1227">
        <f t="shared" ref="AC29:AC31" si="4">IF(Y29&gt;0,(Q29-Y29)/Y29,"")</f>
        <v>7.407407407407407E-2</v>
      </c>
      <c r="AD29" s="682"/>
      <c r="AE29" s="202"/>
      <c r="AF29" s="271">
        <f>VLOOKUP($AP29,Final_Figures_Last_Year,VLOOKUP('Background Data'!$C$2,Inst_Tables,12,FALSE),FALSE)</f>
        <v>242</v>
      </c>
      <c r="AG29" s="272">
        <f>VLOOKUP($AP29,Final_Figures_Last_Year,VLOOKUP('Background Data'!$C$2,Inst_Tables,13,FALSE),FALSE)</f>
        <v>0</v>
      </c>
      <c r="AH29" s="1213">
        <f>SUM(AF29:AG29)</f>
        <v>242</v>
      </c>
      <c r="AI29" s="1226">
        <f>VLOOKUP($AP29,Final_Figures_Last_Year,VLOOKUP('Background Data'!$C$2,Inst_Tables,14,FALSE),FALSE)</f>
        <v>0</v>
      </c>
      <c r="AJ29" s="1196">
        <f>IF(AF29&gt;0,(G29-AF29)/AF29,"")</f>
        <v>-6.1983471074380167E-2</v>
      </c>
      <c r="AK29" s="273" t="str">
        <f>IF(AG29&gt;0,(J29-AG29)/AG29,"")</f>
        <v/>
      </c>
      <c r="AL29" s="1196">
        <f>IF(AH29&gt;0,(M29-AH29)/AH29,"")</f>
        <v>-6.1983471074380167E-2</v>
      </c>
      <c r="AM29" s="364" t="str">
        <f t="shared" si="3"/>
        <v/>
      </c>
      <c r="AN29" s="1187"/>
      <c r="AP29" s="1238">
        <v>8</v>
      </c>
    </row>
    <row r="30" spans="1:42" ht="30" customHeight="1">
      <c r="A30" s="669"/>
      <c r="B30" s="303" t="s">
        <v>5</v>
      </c>
      <c r="C30" s="304"/>
      <c r="D30" s="264">
        <v>330</v>
      </c>
      <c r="E30" s="263"/>
      <c r="F30" s="1672">
        <f>SUM(D30:E30)</f>
        <v>330</v>
      </c>
      <c r="G30" s="1663">
        <f>SUM(C30,F30)</f>
        <v>330</v>
      </c>
      <c r="H30" s="264"/>
      <c r="I30" s="263"/>
      <c r="J30" s="289">
        <f>SUM(H30:I30)</f>
        <v>0</v>
      </c>
      <c r="K30" s="265">
        <f>SUM(C30,D30,H30)</f>
        <v>330</v>
      </c>
      <c r="L30" s="232">
        <f>SUM(E30,I30)</f>
        <v>0</v>
      </c>
      <c r="M30" s="266">
        <f>SUM(K30:L30)</f>
        <v>330</v>
      </c>
      <c r="N30" s="192"/>
      <c r="O30" s="304">
        <v>114</v>
      </c>
      <c r="P30" s="263">
        <v>6</v>
      </c>
      <c r="Q30" s="290">
        <f>SUM(O30:P30)</f>
        <v>120</v>
      </c>
      <c r="R30" s="192"/>
      <c r="S30" s="291">
        <f>SUM(M30,Q30)</f>
        <v>450</v>
      </c>
      <c r="T30" s="680"/>
      <c r="U30" s="1191"/>
      <c r="V30" s="267">
        <f>VLOOKUP($AP30,Early_Stats_Last_Year,VLOOKUP('Background Data'!$C$2,Inst_Tables,12,FALSE),FALSE)</f>
        <v>324</v>
      </c>
      <c r="W30" s="268">
        <f>VLOOKUP($AP30,Early_Stats_Last_Year,VLOOKUP('Background Data'!$C$2,Inst_Tables,13,FALSE),FALSE)</f>
        <v>0</v>
      </c>
      <c r="X30" s="1195">
        <f>SUM(V30:W30)</f>
        <v>324</v>
      </c>
      <c r="Y30" s="268">
        <f>VLOOKUP($AP30,Early_Stats_Last_Year,VLOOKUP('Background Data'!$C$2,Inst_Tables,14,FALSE),FALSE)</f>
        <v>120</v>
      </c>
      <c r="Z30" s="269">
        <f>IF(V30&gt;0,(G30-V30)/V30,"")</f>
        <v>1.8518518518518517E-2</v>
      </c>
      <c r="AA30" s="270" t="str">
        <f>IF(W30&gt;0,(J30-W30)/W30,"")</f>
        <v/>
      </c>
      <c r="AB30" s="270">
        <f>IF(X30&gt;0,(M30-X30)/X30,"")</f>
        <v>1.8518518518518517E-2</v>
      </c>
      <c r="AC30" s="1227">
        <f t="shared" si="4"/>
        <v>0</v>
      </c>
      <c r="AD30" s="682"/>
      <c r="AE30" s="202"/>
      <c r="AF30" s="271">
        <f>VLOOKUP($AP30,Final_Figures_Last_Year,VLOOKUP('Background Data'!$C$2,Inst_Tables,12,FALSE),FALSE)</f>
        <v>324</v>
      </c>
      <c r="AG30" s="272">
        <f>VLOOKUP($AP30,Final_Figures_Last_Year,VLOOKUP('Background Data'!$C$2,Inst_Tables,13,FALSE),FALSE)</f>
        <v>0</v>
      </c>
      <c r="AH30" s="1213">
        <f>SUM(AF30:AG30)</f>
        <v>324</v>
      </c>
      <c r="AI30" s="1226">
        <f>VLOOKUP($AP30,Final_Figures_Last_Year,VLOOKUP('Background Data'!$C$2,Inst_Tables,14,FALSE),FALSE)</f>
        <v>0</v>
      </c>
      <c r="AJ30" s="1196">
        <f>IF(AF30&gt;0,(G30-AF30)/AF30,"")</f>
        <v>1.8518518518518517E-2</v>
      </c>
      <c r="AK30" s="273" t="str">
        <f>IF(AG30&gt;0,(J30-AG30)/AG30,"")</f>
        <v/>
      </c>
      <c r="AL30" s="1196">
        <f>IF(AH30&gt;0,(M30-AH30)/AH30,"")</f>
        <v>1.8518518518518517E-2</v>
      </c>
      <c r="AM30" s="364" t="str">
        <f t="shared" si="3"/>
        <v/>
      </c>
      <c r="AN30" s="1187"/>
      <c r="AP30" s="1238">
        <v>9</v>
      </c>
    </row>
    <row r="31" spans="1:42" ht="30" customHeight="1">
      <c r="A31" s="669"/>
      <c r="B31" s="303" t="s">
        <v>6</v>
      </c>
      <c r="C31" s="1727"/>
      <c r="D31" s="264">
        <v>53</v>
      </c>
      <c r="E31" s="263"/>
      <c r="F31" s="1672">
        <f>SUM(D31:E31)</f>
        <v>53</v>
      </c>
      <c r="G31" s="1663">
        <f>F31</f>
        <v>53</v>
      </c>
      <c r="H31" s="264"/>
      <c r="I31" s="263"/>
      <c r="J31" s="289">
        <f>SUM(H31:I31)</f>
        <v>0</v>
      </c>
      <c r="K31" s="265">
        <f>SUM(D31,H31)</f>
        <v>53</v>
      </c>
      <c r="L31" s="232">
        <f>SUM(E31,I31)</f>
        <v>0</v>
      </c>
      <c r="M31" s="266">
        <f>SUM(K31:L31)</f>
        <v>53</v>
      </c>
      <c r="N31" s="192"/>
      <c r="O31" s="304">
        <v>14</v>
      </c>
      <c r="P31" s="263"/>
      <c r="Q31" s="290">
        <f>SUM(O31:P31)</f>
        <v>14</v>
      </c>
      <c r="R31" s="192"/>
      <c r="S31" s="291">
        <f>SUM(M31,Q31)</f>
        <v>67</v>
      </c>
      <c r="T31" s="680"/>
      <c r="U31" s="1191"/>
      <c r="V31" s="267">
        <f>VLOOKUP($AP31,Early_Stats_Last_Year,VLOOKUP('Background Data'!$C$2,Inst_Tables,12,FALSE),FALSE)</f>
        <v>54</v>
      </c>
      <c r="W31" s="268">
        <f>VLOOKUP($AP31,Early_Stats_Last_Year,VLOOKUP('Background Data'!$C$2,Inst_Tables,13,FALSE),FALSE)</f>
        <v>0</v>
      </c>
      <c r="X31" s="1195">
        <f>SUM(V31:W31)</f>
        <v>54</v>
      </c>
      <c r="Y31" s="268">
        <f>VLOOKUP($AP31,Early_Stats_Last_Year,VLOOKUP('Background Data'!$C$2,Inst_Tables,14,FALSE),FALSE)</f>
        <v>14</v>
      </c>
      <c r="Z31" s="269">
        <f>IF(V31&gt;0,(G31-V31)/V31,"")</f>
        <v>-1.8518518518518517E-2</v>
      </c>
      <c r="AA31" s="270" t="str">
        <f>IF(W31&gt;0,(J31-W31)/W31,"")</f>
        <v/>
      </c>
      <c r="AB31" s="270">
        <f>IF(X31&gt;0,(M31-X31)/X31,"")</f>
        <v>-1.8518518518518517E-2</v>
      </c>
      <c r="AC31" s="1227">
        <f t="shared" si="4"/>
        <v>0</v>
      </c>
      <c r="AD31" s="682"/>
      <c r="AE31" s="202"/>
      <c r="AF31" s="271">
        <f>VLOOKUP($AP31,Final_Figures_Last_Year,VLOOKUP('Background Data'!$C$2,Inst_Tables,12,FALSE),FALSE)</f>
        <v>54</v>
      </c>
      <c r="AG31" s="272">
        <f>VLOOKUP($AP31,Final_Figures_Last_Year,VLOOKUP('Background Data'!$C$2,Inst_Tables,13,FALSE),FALSE)</f>
        <v>0</v>
      </c>
      <c r="AH31" s="1213">
        <f>SUM(AF31:AG31)</f>
        <v>54</v>
      </c>
      <c r="AI31" s="1226">
        <f>VLOOKUP($AP31,Final_Figures_Last_Year,VLOOKUP('Background Data'!$C$2,Inst_Tables,14,FALSE),FALSE)</f>
        <v>154</v>
      </c>
      <c r="AJ31" s="1196">
        <f>IF(AF31&gt;0,(G31-AF31)/AF31,"")</f>
        <v>-1.8518518518518517E-2</v>
      </c>
      <c r="AK31" s="273" t="str">
        <f>IF(AG31&gt;0,(J31-AG31)/AG31,"")</f>
        <v/>
      </c>
      <c r="AL31" s="1196">
        <f>IF(AH31&gt;0,(M31-AH31)/AH31,"")</f>
        <v>-1.8518518518518517E-2</v>
      </c>
      <c r="AM31" s="364">
        <f t="shared" si="3"/>
        <v>-0.90909090909090906</v>
      </c>
      <c r="AN31" s="1187"/>
      <c r="AP31" s="1238">
        <v>10</v>
      </c>
    </row>
    <row r="32" spans="1:42" ht="30" customHeight="1">
      <c r="A32" s="669"/>
      <c r="B32" s="302" t="s">
        <v>7</v>
      </c>
      <c r="C32" s="1676"/>
      <c r="D32" s="1719"/>
      <c r="E32" s="1720"/>
      <c r="F32" s="1721"/>
      <c r="G32" s="1722"/>
      <c r="H32" s="1723"/>
      <c r="I32" s="1724"/>
      <c r="J32" s="1725"/>
      <c r="K32" s="1726"/>
      <c r="L32" s="1726"/>
      <c r="M32" s="1725"/>
      <c r="N32" s="192"/>
      <c r="O32" s="1737"/>
      <c r="P32" s="1724"/>
      <c r="Q32" s="1738"/>
      <c r="R32" s="1732"/>
      <c r="S32" s="1733"/>
      <c r="T32" s="680"/>
      <c r="U32" s="1191"/>
      <c r="V32" s="305"/>
      <c r="W32" s="306"/>
      <c r="X32" s="306"/>
      <c r="Y32" s="307"/>
      <c r="Z32" s="322"/>
      <c r="AA32" s="256"/>
      <c r="AB32" s="322"/>
      <c r="AC32" s="287"/>
      <c r="AD32" s="682"/>
      <c r="AE32" s="202"/>
      <c r="AF32" s="308"/>
      <c r="AG32" s="309"/>
      <c r="AH32" s="1216"/>
      <c r="AI32" s="288"/>
      <c r="AJ32" s="202"/>
      <c r="AK32" s="260"/>
      <c r="AL32" s="202"/>
      <c r="AM32" s="288"/>
      <c r="AN32" s="1187"/>
      <c r="AP32" s="1239"/>
    </row>
    <row r="33" spans="1:42" ht="30" customHeight="1">
      <c r="A33" s="669"/>
      <c r="B33" s="303" t="s">
        <v>90</v>
      </c>
      <c r="C33" s="1696"/>
      <c r="D33" s="264">
        <v>510</v>
      </c>
      <c r="E33" s="263"/>
      <c r="F33" s="1672">
        <f>SUM(D33:E33)</f>
        <v>510</v>
      </c>
      <c r="G33" s="1663">
        <f>F33</f>
        <v>510</v>
      </c>
      <c r="H33" s="264">
        <v>1.7430000000000001</v>
      </c>
      <c r="I33" s="263">
        <v>1.5</v>
      </c>
      <c r="J33" s="289">
        <f>SUM(H33:I33)</f>
        <v>3.2430000000000003</v>
      </c>
      <c r="K33" s="265">
        <f t="shared" ref="K33:L36" si="5">SUM(D33,H33)</f>
        <v>511.74299999999999</v>
      </c>
      <c r="L33" s="232">
        <f t="shared" si="5"/>
        <v>1.5</v>
      </c>
      <c r="M33" s="266">
        <f>SUM(K33:L33)</f>
        <v>513.24299999999994</v>
      </c>
      <c r="N33" s="192"/>
      <c r="O33" s="304">
        <v>8</v>
      </c>
      <c r="P33" s="263"/>
      <c r="Q33" s="290">
        <f>SUM(O33:P33)</f>
        <v>8</v>
      </c>
      <c r="R33" s="192"/>
      <c r="S33" s="291">
        <f>SUM(M33,Q33)</f>
        <v>521.24299999999994</v>
      </c>
      <c r="T33" s="680"/>
      <c r="U33" s="1191"/>
      <c r="V33" s="267">
        <f>VLOOKUP($AP33,Early_Stats_Last_Year,VLOOKUP('Background Data'!$C$2,Inst_Tables,12,FALSE),FALSE)</f>
        <v>547.6</v>
      </c>
      <c r="W33" s="268">
        <f>VLOOKUP($AP33,Early_Stats_Last_Year,VLOOKUP('Background Data'!$C$2,Inst_Tables,13,FALSE),FALSE)</f>
        <v>3.9000000000000004</v>
      </c>
      <c r="X33" s="1195">
        <f>SUM(V33:W33)</f>
        <v>551.5</v>
      </c>
      <c r="Y33" s="268">
        <f>VLOOKUP($AP33,Early_Stats_Last_Year,VLOOKUP('Background Data'!$C$2,Inst_Tables,14,FALSE),FALSE)</f>
        <v>8</v>
      </c>
      <c r="Z33" s="269">
        <f>IF(V33&gt;0,(G33-V33)/V33,"")</f>
        <v>-6.8663257852447077E-2</v>
      </c>
      <c r="AA33" s="270">
        <f>IF(W33&gt;0,(J33-W33)/W33,"")</f>
        <v>-0.16846153846153844</v>
      </c>
      <c r="AB33" s="270">
        <f>IF(X33&gt;0,(M33-X33)/X33,"")</f>
        <v>-6.9368993653671912E-2</v>
      </c>
      <c r="AC33" s="1227">
        <f t="shared" ref="AC33:AC36" si="6">IF(Y33&gt;0,(Q33-Y33)/Y33,"")</f>
        <v>0</v>
      </c>
      <c r="AD33" s="682"/>
      <c r="AE33" s="202"/>
      <c r="AF33" s="271">
        <f>VLOOKUP($AP33,Final_Figures_Last_Year,VLOOKUP('Background Data'!$C$2,Inst_Tables,12,FALSE),FALSE)</f>
        <v>536</v>
      </c>
      <c r="AG33" s="272">
        <f>VLOOKUP($AP33,Final_Figures_Last_Year,VLOOKUP('Background Data'!$C$2,Inst_Tables,13,FALSE),FALSE)</f>
        <v>3.2</v>
      </c>
      <c r="AH33" s="1213">
        <f>SUM(AF33:AG33)</f>
        <v>539.20000000000005</v>
      </c>
      <c r="AI33" s="1226">
        <f>VLOOKUP($AP33,Final_Figures_Last_Year,VLOOKUP('Background Data'!$C$2,Inst_Tables,14,FALSE),FALSE)</f>
        <v>120</v>
      </c>
      <c r="AJ33" s="1196">
        <f>IF(AF33&gt;0,(G33-AF33)/AF33,"")</f>
        <v>-4.8507462686567165E-2</v>
      </c>
      <c r="AK33" s="273">
        <f>IF(AG33&gt;0,(J33-AG33)/AG33,"")</f>
        <v>1.3437500000000047E-2</v>
      </c>
      <c r="AL33" s="1196">
        <f>IF(AH33&gt;0,(M33-AH33)/AH33,"")</f>
        <v>-4.8139836795252418E-2</v>
      </c>
      <c r="AM33" s="364">
        <f>IF(AI33&gt;0,(Q33-AI33)/AI33,"")</f>
        <v>-0.93333333333333335</v>
      </c>
      <c r="AN33" s="1187"/>
      <c r="AP33" s="1238">
        <v>11</v>
      </c>
    </row>
    <row r="34" spans="1:42" ht="30" customHeight="1">
      <c r="A34" s="669"/>
      <c r="B34" s="303" t="s">
        <v>20</v>
      </c>
      <c r="C34" s="1696"/>
      <c r="D34" s="264"/>
      <c r="E34" s="263"/>
      <c r="F34" s="1672">
        <f>SUM(D34:E34)</f>
        <v>0</v>
      </c>
      <c r="G34" s="1663">
        <f>F34</f>
        <v>0</v>
      </c>
      <c r="H34" s="264"/>
      <c r="I34" s="263"/>
      <c r="J34" s="289">
        <f>SUM(H34:I34)</f>
        <v>0</v>
      </c>
      <c r="K34" s="265">
        <f t="shared" si="5"/>
        <v>0</v>
      </c>
      <c r="L34" s="232">
        <f t="shared" si="5"/>
        <v>0</v>
      </c>
      <c r="M34" s="266">
        <f>SUM(K34:L34)</f>
        <v>0</v>
      </c>
      <c r="N34" s="192"/>
      <c r="O34" s="304"/>
      <c r="P34" s="263"/>
      <c r="Q34" s="290">
        <f>SUM(O34:P34)</f>
        <v>0</v>
      </c>
      <c r="R34" s="192"/>
      <c r="S34" s="291">
        <f>SUM(M34,Q34)</f>
        <v>0</v>
      </c>
      <c r="T34" s="680"/>
      <c r="U34" s="1191"/>
      <c r="V34" s="267">
        <f>VLOOKUP($AP34,Early_Stats_Last_Year,VLOOKUP('Background Data'!$C$2,Inst_Tables,12,FALSE),FALSE)</f>
        <v>0</v>
      </c>
      <c r="W34" s="268">
        <f>VLOOKUP($AP34,Early_Stats_Last_Year,VLOOKUP('Background Data'!$C$2,Inst_Tables,13,FALSE),FALSE)</f>
        <v>0</v>
      </c>
      <c r="X34" s="1195">
        <f>SUM(V34:W34)</f>
        <v>0</v>
      </c>
      <c r="Y34" s="268">
        <f>VLOOKUP($AP34,Early_Stats_Last_Year,VLOOKUP('Background Data'!$C$2,Inst_Tables,14,FALSE),FALSE)</f>
        <v>0</v>
      </c>
      <c r="Z34" s="269" t="str">
        <f>IF(V34&gt;0,(G34-V34)/V34,"")</f>
        <v/>
      </c>
      <c r="AA34" s="270" t="str">
        <f>IF(W34&gt;0,(J34-W34)/W34,"")</f>
        <v/>
      </c>
      <c r="AB34" s="270" t="str">
        <f>IF(X34&gt;0,(M34-X34)/X34,"")</f>
        <v/>
      </c>
      <c r="AC34" s="1227" t="str">
        <f t="shared" si="6"/>
        <v/>
      </c>
      <c r="AD34" s="682"/>
      <c r="AE34" s="202"/>
      <c r="AF34" s="271">
        <f>VLOOKUP($AP34,Final_Figures_Last_Year,VLOOKUP('Background Data'!$C$2,Inst_Tables,12,FALSE),FALSE)</f>
        <v>0</v>
      </c>
      <c r="AG34" s="272">
        <f>VLOOKUP($AP34,Final_Figures_Last_Year,VLOOKUP('Background Data'!$C$2,Inst_Tables,13,FALSE),FALSE)</f>
        <v>0</v>
      </c>
      <c r="AH34" s="1213">
        <f>SUM(AF34:AG34)</f>
        <v>0</v>
      </c>
      <c r="AI34" s="1226">
        <f>VLOOKUP($AP34,Final_Figures_Last_Year,VLOOKUP('Background Data'!$C$2,Inst_Tables,14,FALSE),FALSE)</f>
        <v>14</v>
      </c>
      <c r="AJ34" s="1196" t="str">
        <f>IF(AF34&gt;0,(G34-AF34)/AF34,"")</f>
        <v/>
      </c>
      <c r="AK34" s="273" t="str">
        <f>IF(AG34&gt;0,(J34-AG34)/AG34,"")</f>
        <v/>
      </c>
      <c r="AL34" s="1196" t="str">
        <f>IF(AH34&gt;0,(M34-AH34)/AH34,"")</f>
        <v/>
      </c>
      <c r="AM34" s="364">
        <f t="shared" si="3"/>
        <v>-1</v>
      </c>
      <c r="AN34" s="1187"/>
      <c r="AP34" s="1238">
        <v>12</v>
      </c>
    </row>
    <row r="35" spans="1:42" ht="30" customHeight="1">
      <c r="A35" s="669"/>
      <c r="B35" s="303" t="s">
        <v>21</v>
      </c>
      <c r="C35" s="1696"/>
      <c r="D35" s="264"/>
      <c r="E35" s="263"/>
      <c r="F35" s="1672">
        <f>SUM(D35:E35)</f>
        <v>0</v>
      </c>
      <c r="G35" s="1663">
        <f>F35</f>
        <v>0</v>
      </c>
      <c r="H35" s="264"/>
      <c r="I35" s="263"/>
      <c r="J35" s="289">
        <f>SUM(H35:I35)</f>
        <v>0</v>
      </c>
      <c r="K35" s="265">
        <f t="shared" si="5"/>
        <v>0</v>
      </c>
      <c r="L35" s="232">
        <f t="shared" si="5"/>
        <v>0</v>
      </c>
      <c r="M35" s="266">
        <f>SUM(K35:L35)</f>
        <v>0</v>
      </c>
      <c r="N35" s="192"/>
      <c r="O35" s="304"/>
      <c r="P35" s="263"/>
      <c r="Q35" s="290">
        <f>SUM(O35:P35)</f>
        <v>0</v>
      </c>
      <c r="R35" s="192"/>
      <c r="S35" s="291">
        <f>SUM(M35,Q35)</f>
        <v>0</v>
      </c>
      <c r="T35" s="680"/>
      <c r="U35" s="1191"/>
      <c r="V35" s="267">
        <f>VLOOKUP($AP35,Early_Stats_Last_Year,VLOOKUP('Background Data'!$C$2,Inst_Tables,12,FALSE),FALSE)</f>
        <v>0</v>
      </c>
      <c r="W35" s="268">
        <f>VLOOKUP($AP35,Early_Stats_Last_Year,VLOOKUP('Background Data'!$C$2,Inst_Tables,13,FALSE),FALSE)</f>
        <v>0</v>
      </c>
      <c r="X35" s="1195">
        <f>SUM(V35:W35)</f>
        <v>0</v>
      </c>
      <c r="Y35" s="268">
        <f>VLOOKUP($AP35,Early_Stats_Last_Year,VLOOKUP('Background Data'!$C$2,Inst_Tables,14,FALSE),FALSE)</f>
        <v>0</v>
      </c>
      <c r="Z35" s="269" t="str">
        <f>IF(V35&gt;0,(G35-V35)/V35,"")</f>
        <v/>
      </c>
      <c r="AA35" s="270" t="str">
        <f>IF(W35&gt;0,(J35-W35)/W35,"")</f>
        <v/>
      </c>
      <c r="AB35" s="270" t="str">
        <f>IF(X35&gt;0,(M35-X35)/X35,"")</f>
        <v/>
      </c>
      <c r="AC35" s="1227" t="str">
        <f t="shared" si="6"/>
        <v/>
      </c>
      <c r="AD35" s="682"/>
      <c r="AE35" s="202"/>
      <c r="AF35" s="271">
        <f>VLOOKUP($AP35,Final_Figures_Last_Year,VLOOKUP('Background Data'!$C$2,Inst_Tables,12,FALSE),FALSE)</f>
        <v>0</v>
      </c>
      <c r="AG35" s="272">
        <f>VLOOKUP($AP35,Final_Figures_Last_Year,VLOOKUP('Background Data'!$C$2,Inst_Tables,13,FALSE),FALSE)</f>
        <v>0</v>
      </c>
      <c r="AH35" s="1213">
        <f>SUM(AF35:AG35)</f>
        <v>0</v>
      </c>
      <c r="AI35" s="1226">
        <f>VLOOKUP($AP35,Final_Figures_Last_Year,VLOOKUP('Background Data'!$C$2,Inst_Tables,14,FALSE),FALSE)</f>
        <v>0</v>
      </c>
      <c r="AJ35" s="1196" t="str">
        <f>IF(AF35&gt;0,(G35-AF35)/AF35,"")</f>
        <v/>
      </c>
      <c r="AK35" s="273" t="str">
        <f>IF(AG35&gt;0,(J35-AG35)/AG35,"")</f>
        <v/>
      </c>
      <c r="AL35" s="1196" t="str">
        <f>IF(AH35&gt;0,(M35-AH35)/AH35,"")</f>
        <v/>
      </c>
      <c r="AM35" s="364" t="str">
        <f t="shared" si="3"/>
        <v/>
      </c>
      <c r="AN35" s="1187"/>
      <c r="AP35" s="1238">
        <v>13</v>
      </c>
    </row>
    <row r="36" spans="1:42" ht="30" customHeight="1">
      <c r="A36" s="669"/>
      <c r="B36" s="303" t="s">
        <v>22</v>
      </c>
      <c r="C36" s="1696"/>
      <c r="D36" s="264">
        <v>87</v>
      </c>
      <c r="E36" s="263"/>
      <c r="F36" s="1672">
        <f>SUM(D36:E36)</f>
        <v>87</v>
      </c>
      <c r="G36" s="1663">
        <f>F36</f>
        <v>87</v>
      </c>
      <c r="H36" s="264"/>
      <c r="I36" s="263">
        <v>2.4</v>
      </c>
      <c r="J36" s="289">
        <f>SUM(H36:I36)</f>
        <v>2.4</v>
      </c>
      <c r="K36" s="265">
        <f t="shared" si="5"/>
        <v>87</v>
      </c>
      <c r="L36" s="232">
        <f t="shared" si="5"/>
        <v>2.4</v>
      </c>
      <c r="M36" s="266">
        <f>SUM(K36:L36)</f>
        <v>89.4</v>
      </c>
      <c r="N36" s="192"/>
      <c r="O36" s="304"/>
      <c r="P36" s="263"/>
      <c r="Q36" s="290">
        <f>SUM(O36:P36)</f>
        <v>0</v>
      </c>
      <c r="R36" s="192"/>
      <c r="S36" s="291">
        <f>SUM(M36,Q36)</f>
        <v>89.4</v>
      </c>
      <c r="T36" s="680"/>
      <c r="U36" s="1191"/>
      <c r="V36" s="267">
        <f>VLOOKUP($AP36,Early_Stats_Last_Year,VLOOKUP('Background Data'!$C$2,Inst_Tables,12,FALSE),FALSE)</f>
        <v>86.2</v>
      </c>
      <c r="W36" s="268">
        <f>VLOOKUP($AP36,Early_Stats_Last_Year,VLOOKUP('Background Data'!$C$2,Inst_Tables,13,FALSE),FALSE)</f>
        <v>2.4</v>
      </c>
      <c r="X36" s="1195">
        <f>SUM(V36:W36)</f>
        <v>88.600000000000009</v>
      </c>
      <c r="Y36" s="268">
        <f>VLOOKUP($AP36,Early_Stats_Last_Year,VLOOKUP('Background Data'!$C$2,Inst_Tables,14,FALSE),FALSE)</f>
        <v>0</v>
      </c>
      <c r="Z36" s="269">
        <f>IF(V36&gt;0,(G36-V36)/V36,"")</f>
        <v>9.2807424593967184E-3</v>
      </c>
      <c r="AA36" s="270">
        <f>IF(W36&gt;0,(J36-W36)/W36,"")</f>
        <v>0</v>
      </c>
      <c r="AB36" s="270">
        <f>IF(X36&gt;0,(M36-X36)/X36,"")</f>
        <v>9.0293453724604629E-3</v>
      </c>
      <c r="AC36" s="1227" t="str">
        <f t="shared" si="6"/>
        <v/>
      </c>
      <c r="AD36" s="682"/>
      <c r="AE36" s="202"/>
      <c r="AF36" s="271">
        <f>VLOOKUP($AP36,Final_Figures_Last_Year,VLOOKUP('Background Data'!$C$2,Inst_Tables,12,FALSE),FALSE)</f>
        <v>87</v>
      </c>
      <c r="AG36" s="272">
        <f>VLOOKUP($AP36,Final_Figures_Last_Year,VLOOKUP('Background Data'!$C$2,Inst_Tables,13,FALSE),FALSE)</f>
        <v>2.4</v>
      </c>
      <c r="AH36" s="1213">
        <f>SUM(AF36:AG36)</f>
        <v>89.4</v>
      </c>
      <c r="AI36" s="1226">
        <f>VLOOKUP($AP36,Final_Figures_Last_Year,VLOOKUP('Background Data'!$C$2,Inst_Tables,14,FALSE),FALSE)</f>
        <v>8</v>
      </c>
      <c r="AJ36" s="1196">
        <f>IF(AF36&gt;0,(G36-AF36)/AF36,"")</f>
        <v>0</v>
      </c>
      <c r="AK36" s="273">
        <f>IF(AG36&gt;0,(J36-AG36)/AG36,"")</f>
        <v>0</v>
      </c>
      <c r="AL36" s="1196">
        <f>IF(AH36&gt;0,(M36-AH36)/AH36,"")</f>
        <v>0</v>
      </c>
      <c r="AM36" s="364">
        <f>IF(AI36&gt;0,(Q36-AI36)/AI36,"")</f>
        <v>-1</v>
      </c>
      <c r="AN36" s="1187"/>
      <c r="AP36" s="1238">
        <v>14</v>
      </c>
    </row>
    <row r="37" spans="1:42" ht="30" customHeight="1">
      <c r="A37" s="669"/>
      <c r="B37" s="302" t="s">
        <v>154</v>
      </c>
      <c r="C37" s="1676"/>
      <c r="D37" s="1719"/>
      <c r="E37" s="1720"/>
      <c r="F37" s="1721"/>
      <c r="G37" s="1722"/>
      <c r="H37" s="1723"/>
      <c r="I37" s="1724"/>
      <c r="J37" s="1725"/>
      <c r="K37" s="1726"/>
      <c r="L37" s="1726"/>
      <c r="M37" s="1725"/>
      <c r="N37" s="192"/>
      <c r="O37" s="1739"/>
      <c r="P37" s="1740"/>
      <c r="Q37" s="1741"/>
      <c r="R37" s="1732"/>
      <c r="S37" s="1733"/>
      <c r="T37" s="680"/>
      <c r="U37" s="1191"/>
      <c r="V37" s="267"/>
      <c r="W37" s="268"/>
      <c r="X37" s="1195"/>
      <c r="Y37" s="1199"/>
      <c r="Z37" s="269"/>
      <c r="AA37" s="270"/>
      <c r="AB37" s="908"/>
      <c r="AC37" s="910"/>
      <c r="AD37" s="682"/>
      <c r="AE37" s="202"/>
      <c r="AF37" s="271"/>
      <c r="AG37" s="272"/>
      <c r="AH37" s="1213"/>
      <c r="AI37" s="1218"/>
      <c r="AJ37" s="1196"/>
      <c r="AK37" s="273"/>
      <c r="AL37" s="1196"/>
      <c r="AM37" s="288"/>
      <c r="AN37" s="1187"/>
      <c r="AP37" s="1238"/>
    </row>
    <row r="38" spans="1:42" ht="30" customHeight="1">
      <c r="A38" s="669"/>
      <c r="B38" s="303" t="s">
        <v>280</v>
      </c>
      <c r="C38" s="1676"/>
      <c r="D38" s="264"/>
      <c r="E38" s="263"/>
      <c r="F38" s="1672">
        <f>SUM(D38:E38)</f>
        <v>0</v>
      </c>
      <c r="G38" s="1673">
        <f>F38</f>
        <v>0</v>
      </c>
      <c r="H38" s="1198"/>
      <c r="I38" s="263"/>
      <c r="J38" s="289">
        <f>SUM(H38:I38)</f>
        <v>0</v>
      </c>
      <c r="K38" s="265">
        <f>SUM(D38,H38)</f>
        <v>0</v>
      </c>
      <c r="L38" s="232">
        <f>SUM(E38,I38)</f>
        <v>0</v>
      </c>
      <c r="M38" s="266">
        <f>SUM(K38:L38)</f>
        <v>0</v>
      </c>
      <c r="N38" s="192"/>
      <c r="O38" s="304"/>
      <c r="P38" s="263"/>
      <c r="Q38" s="290">
        <f>SUM(O38:P38)</f>
        <v>0</v>
      </c>
      <c r="R38" s="192"/>
      <c r="S38" s="291">
        <f>SUM(M38,Q38)</f>
        <v>0</v>
      </c>
      <c r="T38" s="680"/>
      <c r="U38" s="1191"/>
      <c r="V38" s="267">
        <f>VLOOKUP($AP38,Early_Stats_Last_Year,VLOOKUP('Background Data'!$C$2,Inst_Tables,12,FALSE),FALSE)</f>
        <v>0</v>
      </c>
      <c r="W38" s="268">
        <f>VLOOKUP($AP38,Early_Stats_Last_Year,VLOOKUP('Background Data'!$C$2,Inst_Tables,13,FALSE),FALSE)</f>
        <v>0</v>
      </c>
      <c r="X38" s="1195">
        <f>SUM(V38:W38)</f>
        <v>0</v>
      </c>
      <c r="Y38" s="931"/>
      <c r="Z38" s="269" t="str">
        <f>IF(V38&gt;0,(G38-V38)/V38,"")</f>
        <v/>
      </c>
      <c r="AA38" s="270" t="str">
        <f>IF(W38&gt;0,(J38-W38)/W38,"")</f>
        <v/>
      </c>
      <c r="AB38" s="908" t="str">
        <f>IF(X38&gt;0,(M38-X38)/X38,"")</f>
        <v/>
      </c>
      <c r="AC38" s="910"/>
      <c r="AD38" s="682"/>
      <c r="AE38" s="202"/>
      <c r="AF38" s="271">
        <f>VLOOKUP($AP38,Final_Figures_Last_Year,VLOOKUP('Background Data'!$C$2,Inst_Tables,12,FALSE),FALSE)</f>
        <v>0</v>
      </c>
      <c r="AG38" s="272">
        <f>VLOOKUP($AP38,Final_Figures_Last_Year,VLOOKUP('Background Data'!$C$2,Inst_Tables,13,FALSE),FALSE)</f>
        <v>0</v>
      </c>
      <c r="AH38" s="1213">
        <f>SUM(AF38:AG38)</f>
        <v>0</v>
      </c>
      <c r="AI38" s="1218"/>
      <c r="AJ38" s="1196" t="str">
        <f>IF(AF38&gt;0,(G38-AF38)/AF38,"")</f>
        <v/>
      </c>
      <c r="AK38" s="273" t="str">
        <f>IF(AG38&gt;0,(J38-AG38)/AG38,"")</f>
        <v/>
      </c>
      <c r="AL38" s="1196" t="str">
        <f>IF(AH38&gt;0,(M38-AH38)/AH38,"")</f>
        <v/>
      </c>
      <c r="AM38" s="288"/>
      <c r="AN38" s="1187"/>
      <c r="AP38" s="1238">
        <v>15</v>
      </c>
    </row>
    <row r="39" spans="1:42" ht="30" customHeight="1">
      <c r="A39" s="669"/>
      <c r="B39" s="303" t="s">
        <v>352</v>
      </c>
      <c r="C39" s="1676"/>
      <c r="D39" s="264">
        <v>162</v>
      </c>
      <c r="E39" s="263"/>
      <c r="F39" s="1672">
        <f>SUM(D39:E39)</f>
        <v>162</v>
      </c>
      <c r="G39" s="1673">
        <f>F39</f>
        <v>162</v>
      </c>
      <c r="H39" s="1198">
        <v>0.75</v>
      </c>
      <c r="I39" s="263"/>
      <c r="J39" s="289">
        <f>SUM(H39:I39)</f>
        <v>0.75</v>
      </c>
      <c r="K39" s="265">
        <f>SUM(D39,H39)</f>
        <v>162.75</v>
      </c>
      <c r="L39" s="232">
        <f>SUM(E39,I39)</f>
        <v>0</v>
      </c>
      <c r="M39" s="266">
        <f>SUM(K39:L39)</f>
        <v>162.75</v>
      </c>
      <c r="N39" s="192"/>
      <c r="O39" s="304">
        <v>3</v>
      </c>
      <c r="P39" s="263"/>
      <c r="Q39" s="290">
        <f>SUM(O39:P39)</f>
        <v>3</v>
      </c>
      <c r="R39" s="192"/>
      <c r="S39" s="291">
        <f>SUM(M39,Q39)</f>
        <v>165.75</v>
      </c>
      <c r="T39" s="680"/>
      <c r="U39" s="1191"/>
      <c r="V39" s="267">
        <f>VLOOKUP($AP39,Early_Stats_Last_Year,VLOOKUP('Background Data'!$C$2,Inst_Tables,12,FALSE),FALSE)</f>
        <v>130</v>
      </c>
      <c r="W39" s="268">
        <f>VLOOKUP($AP39,Early_Stats_Last_Year,VLOOKUP('Background Data'!$C$2,Inst_Tables,13,FALSE),FALSE)</f>
        <v>0.17</v>
      </c>
      <c r="X39" s="1195">
        <f>SUM(V39:W39)</f>
        <v>130.16999999999999</v>
      </c>
      <c r="Y39" s="906"/>
      <c r="Z39" s="269">
        <f>IF(V39&gt;0,(G39-V39)/V39,"")</f>
        <v>0.24615384615384617</v>
      </c>
      <c r="AA39" s="270">
        <f>IF(W39&gt;0,(J39-W39)/W39,"")</f>
        <v>3.4117647058823524</v>
      </c>
      <c r="AB39" s="908">
        <f>IF(X39&gt;0,(M39-X39)/X39,"")</f>
        <v>0.2502880848121688</v>
      </c>
      <c r="AC39" s="910"/>
      <c r="AD39" s="682"/>
      <c r="AE39" s="202"/>
      <c r="AF39" s="271">
        <f>VLOOKUP($AP39,Final_Figures_Last_Year,VLOOKUP('Background Data'!$C$2,Inst_Tables,12,FALSE),FALSE)</f>
        <v>129</v>
      </c>
      <c r="AG39" s="272">
        <f>VLOOKUP($AP39,Final_Figures_Last_Year,VLOOKUP('Background Data'!$C$2,Inst_Tables,13,FALSE),FALSE)</f>
        <v>0.16700000000000001</v>
      </c>
      <c r="AH39" s="1213">
        <f>SUM(AF39:AG39)</f>
        <v>129.167</v>
      </c>
      <c r="AI39" s="1218"/>
      <c r="AJ39" s="1196">
        <f>IF(AF39&gt;0,(G39-AF39)/AF39,"")</f>
        <v>0.2558139534883721</v>
      </c>
      <c r="AK39" s="273">
        <f>IF(AG39&gt;0,(J39-AG39)/AG39,"")</f>
        <v>3.4910179640718559</v>
      </c>
      <c r="AL39" s="1196">
        <f>IF(AH39&gt;0,(M39-AH39)/AH39,"")</f>
        <v>0.25999674839548798</v>
      </c>
      <c r="AM39" s="288"/>
      <c r="AN39" s="1187"/>
      <c r="AP39" s="1238">
        <v>16</v>
      </c>
    </row>
    <row r="40" spans="1:42" ht="30" customHeight="1">
      <c r="A40" s="669"/>
      <c r="B40" s="252" t="s">
        <v>82</v>
      </c>
      <c r="C40" s="1676"/>
      <c r="D40" s="1719"/>
      <c r="E40" s="1720"/>
      <c r="F40" s="1721"/>
      <c r="G40" s="1722"/>
      <c r="H40" s="1723"/>
      <c r="I40" s="1724"/>
      <c r="J40" s="1725"/>
      <c r="K40" s="1726"/>
      <c r="L40" s="1726"/>
      <c r="M40" s="1725"/>
      <c r="N40" s="192"/>
      <c r="O40" s="253"/>
      <c r="P40" s="200"/>
      <c r="Q40" s="254"/>
      <c r="R40" s="192"/>
      <c r="S40" s="237"/>
      <c r="T40" s="680"/>
      <c r="U40" s="1191"/>
      <c r="V40" s="1742"/>
      <c r="W40" s="1743"/>
      <c r="X40" s="1743"/>
      <c r="Y40" s="258"/>
      <c r="Z40" s="257"/>
      <c r="AA40" s="256"/>
      <c r="AB40" s="322"/>
      <c r="AC40" s="287"/>
      <c r="AD40" s="682"/>
      <c r="AE40" s="202"/>
      <c r="AF40" s="1744"/>
      <c r="AG40" s="1745"/>
      <c r="AH40" s="1745"/>
      <c r="AI40" s="288"/>
      <c r="AJ40" s="202"/>
      <c r="AK40" s="260"/>
      <c r="AL40" s="202"/>
      <c r="AM40" s="288"/>
      <c r="AN40" s="1187"/>
      <c r="AP40" s="1239"/>
    </row>
    <row r="41" spans="1:42" ht="30" customHeight="1">
      <c r="A41" s="669"/>
      <c r="B41" s="262" t="s">
        <v>397</v>
      </c>
      <c r="C41" s="1718"/>
      <c r="D41" s="264">
        <v>21</v>
      </c>
      <c r="E41" s="263"/>
      <c r="F41" s="1672">
        <f>SUM(D41:E41)</f>
        <v>21</v>
      </c>
      <c r="G41" s="1673">
        <f>F41</f>
        <v>21</v>
      </c>
      <c r="H41" s="1198"/>
      <c r="I41" s="263"/>
      <c r="J41" s="289">
        <f>SUM(H41:I41)</f>
        <v>0</v>
      </c>
      <c r="K41" s="265">
        <f>SUM(D41,H41)</f>
        <v>21</v>
      </c>
      <c r="L41" s="232">
        <f>SUM(E41,I41)</f>
        <v>0</v>
      </c>
      <c r="M41" s="266">
        <f>SUM(K41:L41)</f>
        <v>21</v>
      </c>
      <c r="N41" s="192"/>
      <c r="O41" s="253"/>
      <c r="P41" s="200"/>
      <c r="Q41" s="254"/>
      <c r="R41" s="192"/>
      <c r="S41" s="237"/>
      <c r="T41" s="1655"/>
      <c r="U41" s="1656"/>
      <c r="V41" s="1657"/>
      <c r="W41" s="310"/>
      <c r="X41" s="310"/>
      <c r="Y41" s="258"/>
      <c r="Z41" s="257"/>
      <c r="AA41" s="256"/>
      <c r="AB41" s="322"/>
      <c r="AC41" s="287"/>
      <c r="AD41" s="1658"/>
      <c r="AE41" s="202"/>
      <c r="AF41" s="1659"/>
      <c r="AG41" s="311"/>
      <c r="AH41" s="311"/>
      <c r="AI41" s="288"/>
      <c r="AJ41" s="202"/>
      <c r="AK41" s="260"/>
      <c r="AL41" s="202"/>
      <c r="AM41" s="288"/>
      <c r="AN41" s="1660"/>
      <c r="AP41" s="1239"/>
    </row>
    <row r="42" spans="1:42" ht="30" customHeight="1">
      <c r="A42" s="669"/>
      <c r="B42" s="262" t="s">
        <v>398</v>
      </c>
      <c r="C42" s="304"/>
      <c r="D42" s="264">
        <v>4942.1840000000002</v>
      </c>
      <c r="E42" s="263"/>
      <c r="F42" s="1672">
        <f>SUM(D42:E42)</f>
        <v>4942.1840000000002</v>
      </c>
      <c r="G42" s="1663">
        <f>SUM(C42,F42)</f>
        <v>4942.1840000000002</v>
      </c>
      <c r="H42" s="264">
        <v>10.92</v>
      </c>
      <c r="I42" s="263"/>
      <c r="J42" s="289">
        <f>SUM(H42:I42)</f>
        <v>10.92</v>
      </c>
      <c r="K42" s="265">
        <f>SUM(C42,D42,H42)</f>
        <v>4953.1040000000003</v>
      </c>
      <c r="L42" s="232">
        <f>SUM(E42,I42)</f>
        <v>0</v>
      </c>
      <c r="M42" s="266">
        <f>SUM(K42:L42)</f>
        <v>4953.1040000000003</v>
      </c>
      <c r="N42" s="192"/>
      <c r="O42" s="253"/>
      <c r="P42" s="200"/>
      <c r="Q42" s="254"/>
      <c r="R42" s="192"/>
      <c r="S42" s="237"/>
      <c r="T42" s="680"/>
      <c r="U42" s="1191"/>
      <c r="V42" s="267">
        <f>VLOOKUP($AP42,Early_Stats_Last_Year,VLOOKUP('Background Data'!$C$2,Inst_Tables,12,FALSE),FALSE)</f>
        <v>4883.8</v>
      </c>
      <c r="W42" s="268">
        <f>VLOOKUP($AP42,Early_Stats_Last_Year,VLOOKUP('Background Data'!$C$2,Inst_Tables,13,FALSE),FALSE)</f>
        <v>9.4700000000000006</v>
      </c>
      <c r="X42" s="1195">
        <f>SUM(V42:W42)</f>
        <v>4893.2700000000004</v>
      </c>
      <c r="Y42" s="931"/>
      <c r="Z42" s="269">
        <f>IF(V42&gt;0,(G42-V42)/V42,"")</f>
        <v>1.1954625496539582E-2</v>
      </c>
      <c r="AA42" s="270">
        <f>IF(W42&gt;0,(J42-W42)/W42,"")</f>
        <v>0.15311510031678977</v>
      </c>
      <c r="AB42" s="908">
        <f>IF(X42&gt;0,(M42-X42)/X42,"")</f>
        <v>1.222781493765924E-2</v>
      </c>
      <c r="AC42" s="910"/>
      <c r="AD42" s="682"/>
      <c r="AE42" s="202"/>
      <c r="AF42" s="271">
        <f>VLOOKUP($AP42,Final_Figures_Last_Year,VLOOKUP('Background Data'!$C$2,Inst_Tables,12,FALSE),FALSE)</f>
        <v>4883.3100000000004</v>
      </c>
      <c r="AG42" s="272">
        <f>VLOOKUP($AP42,Final_Figures_Last_Year,VLOOKUP('Background Data'!$C$2,Inst_Tables,13,FALSE),FALSE)</f>
        <v>11.045500000000001</v>
      </c>
      <c r="AH42" s="1213">
        <f>SUM(AF42:AG42)</f>
        <v>4894.3555000000006</v>
      </c>
      <c r="AI42" s="1218"/>
      <c r="AJ42" s="1196">
        <f>IF(AF42&gt;0,(G42-AF42)/AF42,"")</f>
        <v>1.2056166821274871E-2</v>
      </c>
      <c r="AK42" s="273">
        <f>IF(AG42&gt;0,(J42-AG42)/AG42,"")</f>
        <v>-1.1362093160110507E-2</v>
      </c>
      <c r="AL42" s="1196">
        <f>IF(AH42&gt;0,(M42-AH42)/AH42,"")</f>
        <v>1.2003316882069496E-2</v>
      </c>
      <c r="AM42" s="288"/>
      <c r="AN42" s="1187"/>
      <c r="AP42" s="1238">
        <v>17</v>
      </c>
    </row>
    <row r="43" spans="1:42" ht="30" customHeight="1">
      <c r="A43" s="669"/>
      <c r="B43" s="262" t="s">
        <v>157</v>
      </c>
      <c r="C43" s="304">
        <v>1</v>
      </c>
      <c r="D43" s="264">
        <v>6289.7160000000003</v>
      </c>
      <c r="E43" s="263"/>
      <c r="F43" s="1672">
        <f>SUM(D43:E43)</f>
        <v>6289.7160000000003</v>
      </c>
      <c r="G43" s="1663">
        <f>SUM(C43,F43)</f>
        <v>6290.7160000000003</v>
      </c>
      <c r="H43" s="264">
        <v>211.911</v>
      </c>
      <c r="I43" s="263">
        <v>5.0999999999999996</v>
      </c>
      <c r="J43" s="289">
        <f>SUM(H43:I43)</f>
        <v>217.011</v>
      </c>
      <c r="K43" s="265">
        <f>SUM(C43,D43,H43)</f>
        <v>6502.6270000000004</v>
      </c>
      <c r="L43" s="232">
        <f>SUM(E43,I43)</f>
        <v>5.0999999999999996</v>
      </c>
      <c r="M43" s="266">
        <f>SUM(K43:L43)</f>
        <v>6507.7270000000008</v>
      </c>
      <c r="N43" s="192"/>
      <c r="O43" s="253"/>
      <c r="P43" s="200"/>
      <c r="Q43" s="254"/>
      <c r="R43" s="192"/>
      <c r="S43" s="237"/>
      <c r="T43" s="680"/>
      <c r="U43" s="1191"/>
      <c r="V43" s="267">
        <f>VLOOKUP($AP43,Early_Stats_Last_Year,VLOOKUP('Background Data'!$C$2,Inst_Tables,12,FALSE),FALSE)</f>
        <v>6345.0050000000001</v>
      </c>
      <c r="W43" s="268">
        <f>VLOOKUP($AP43,Early_Stats_Last_Year,VLOOKUP('Background Data'!$C$2,Inst_Tables,13,FALSE),FALSE)</f>
        <v>213.35999999999999</v>
      </c>
      <c r="X43" s="1195">
        <f>SUM(V43:W43)</f>
        <v>6558.3649999999998</v>
      </c>
      <c r="Y43" s="931"/>
      <c r="Z43" s="269">
        <f>IF(V43&gt;0,(G43-V43)/V43,"")</f>
        <v>-8.5561792307491894E-3</v>
      </c>
      <c r="AA43" s="270">
        <f>IF(W43&gt;0,(J43-W43)/W43,"")</f>
        <v>1.7111923509561356E-2</v>
      </c>
      <c r="AB43" s="908">
        <f>IF(X43&gt;0,(M43-X43)/X43,"")</f>
        <v>-7.7211317149928392E-3</v>
      </c>
      <c r="AC43" s="910"/>
      <c r="AD43" s="682"/>
      <c r="AE43" s="202"/>
      <c r="AF43" s="271">
        <f>VLOOKUP($AP43,Final_Figures_Last_Year,VLOOKUP('Background Data'!$C$2,Inst_Tables,12,FALSE),FALSE)</f>
        <v>6285.7909999999902</v>
      </c>
      <c r="AG43" s="272">
        <f>VLOOKUP($AP43,Final_Figures_Last_Year,VLOOKUP('Background Data'!$C$2,Inst_Tables,13,FALSE),FALSE)</f>
        <v>216.97749999999999</v>
      </c>
      <c r="AH43" s="1213">
        <f>SUM(AF43:AG43)</f>
        <v>6502.7684999999901</v>
      </c>
      <c r="AI43" s="1218"/>
      <c r="AJ43" s="1196">
        <f>IF(AF43&gt;0,(G43-AF43)/AF43,"")</f>
        <v>7.8351316485231442E-4</v>
      </c>
      <c r="AK43" s="273">
        <f>IF(AG43&gt;0,(J43-AG43)/AG43,"")</f>
        <v>1.5439388876728526E-4</v>
      </c>
      <c r="AL43" s="1196">
        <f>IF(AH43&gt;0,(M43-AH43)/AH43,"")</f>
        <v>7.6252137839608655E-4</v>
      </c>
      <c r="AM43" s="288"/>
      <c r="AN43" s="1187"/>
      <c r="AP43" s="1238">
        <v>18</v>
      </c>
    </row>
    <row r="44" spans="1:42" ht="35.1" customHeight="1" thickBot="1">
      <c r="A44" s="669"/>
      <c r="B44" s="312" t="s">
        <v>2</v>
      </c>
      <c r="C44" s="275">
        <f>SUM(C28:C30,C42:C43)</f>
        <v>10</v>
      </c>
      <c r="D44" s="293">
        <f t="shared" ref="D44:M44" si="7">SUM(D28:D31,D33:D36,D38:D39,D41:D43)</f>
        <v>13142.900000000001</v>
      </c>
      <c r="E44" s="278">
        <f t="shared" si="7"/>
        <v>0</v>
      </c>
      <c r="F44" s="277">
        <f t="shared" si="7"/>
        <v>13142.900000000001</v>
      </c>
      <c r="G44" s="292">
        <f t="shared" si="7"/>
        <v>13152.900000000001</v>
      </c>
      <c r="H44" s="275">
        <f t="shared" si="7"/>
        <v>225.32400000000001</v>
      </c>
      <c r="I44" s="276">
        <f t="shared" si="7"/>
        <v>9</v>
      </c>
      <c r="J44" s="278">
        <f t="shared" si="7"/>
        <v>234.32400000000001</v>
      </c>
      <c r="K44" s="275">
        <f t="shared" si="7"/>
        <v>13378.224</v>
      </c>
      <c r="L44" s="276">
        <f t="shared" si="7"/>
        <v>9</v>
      </c>
      <c r="M44" s="277">
        <f t="shared" si="7"/>
        <v>13387.224000000002</v>
      </c>
      <c r="N44" s="192"/>
      <c r="O44" s="279"/>
      <c r="P44" s="280"/>
      <c r="Q44" s="281"/>
      <c r="R44" s="192"/>
      <c r="S44" s="282"/>
      <c r="T44" s="680"/>
      <c r="U44" s="1191"/>
      <c r="V44" s="313">
        <f>SUM(V28:V31,V33:V36,V38:V39,V42:V43)</f>
        <v>13165.605</v>
      </c>
      <c r="W44" s="283">
        <f>SUM(W28:W31,W33:W36,W38:W39,W42:W43)</f>
        <v>229.29999999999998</v>
      </c>
      <c r="X44" s="283">
        <f>SUM(X28:X31,X33:X36,X38:X39,X42:X43)</f>
        <v>13394.905000000001</v>
      </c>
      <c r="Y44" s="905"/>
      <c r="Z44" s="284">
        <f>IF(V44&gt;0,(G44-V44)/V44,"")</f>
        <v>-9.6501452079096313E-4</v>
      </c>
      <c r="AA44" s="285">
        <f>IF(W44&gt;0,(J44-W44)/W44,"")</f>
        <v>2.1910161360663018E-2</v>
      </c>
      <c r="AB44" s="909">
        <f>IF(X44&gt;0,(M44-X44)/X44,"")</f>
        <v>-5.7342698585758354E-4</v>
      </c>
      <c r="AC44" s="911"/>
      <c r="AD44" s="682"/>
      <c r="AE44" s="202"/>
      <c r="AF44" s="1751">
        <f>SUM(AF28:AF31,AF33:AF36,AF38:AF39,AF42:AF43)</f>
        <v>13092.100999999991</v>
      </c>
      <c r="AG44" s="1752">
        <f>SUM(AG28:AG31,AG33:AG36,AG38:AG39,AG42:AG43)</f>
        <v>233.79</v>
      </c>
      <c r="AH44" s="1752">
        <f>SUM(AH28:AH31,AH33:AH36,AH38:AH39,AH42:AH43)</f>
        <v>13325.890999999991</v>
      </c>
      <c r="AI44" s="1218"/>
      <c r="AJ44" s="1207">
        <f>IF(AF44&gt;0,(G44-AF44)/AF44,"")</f>
        <v>4.6439452307929811E-3</v>
      </c>
      <c r="AK44" s="300">
        <f>IF(AG44&gt;0,(J44-AG44)/AG44,"")</f>
        <v>2.2841011163865872E-3</v>
      </c>
      <c r="AL44" s="1207">
        <f>IF(AH44&gt;0,(M44-AH44)/AH44,"")</f>
        <v>4.6025440250120229E-3</v>
      </c>
      <c r="AM44" s="288"/>
      <c r="AN44" s="1187"/>
      <c r="AP44" s="1240"/>
    </row>
    <row r="45" spans="1:42" ht="35.1" customHeight="1" thickBot="1">
      <c r="A45" s="669"/>
      <c r="B45" s="227" t="s">
        <v>88</v>
      </c>
      <c r="C45" s="1730">
        <f>SUM(C18,C24,C44)</f>
        <v>10</v>
      </c>
      <c r="D45" s="315">
        <f t="shared" ref="D45:M45" si="8">SUM(D13,D18,D24,D44)</f>
        <v>16076.900000000001</v>
      </c>
      <c r="E45" s="314">
        <f t="shared" si="8"/>
        <v>0</v>
      </c>
      <c r="F45" s="233">
        <f t="shared" si="8"/>
        <v>16076.900000000001</v>
      </c>
      <c r="G45" s="1664">
        <f t="shared" si="8"/>
        <v>16086.900000000001</v>
      </c>
      <c r="H45" s="315">
        <f t="shared" si="8"/>
        <v>804.97399999999993</v>
      </c>
      <c r="I45" s="316">
        <f t="shared" si="8"/>
        <v>111.29999999999998</v>
      </c>
      <c r="J45" s="314">
        <f t="shared" si="8"/>
        <v>916.27400000000011</v>
      </c>
      <c r="K45" s="317">
        <f t="shared" si="8"/>
        <v>16891.874</v>
      </c>
      <c r="L45" s="316">
        <f t="shared" si="8"/>
        <v>111.29999999999998</v>
      </c>
      <c r="M45" s="233">
        <f t="shared" si="8"/>
        <v>17003.174000000003</v>
      </c>
      <c r="N45" s="192"/>
      <c r="O45" s="279"/>
      <c r="P45" s="280"/>
      <c r="Q45" s="281"/>
      <c r="R45" s="192"/>
      <c r="S45" s="282"/>
      <c r="T45" s="680"/>
      <c r="U45" s="1191"/>
      <c r="V45" s="318">
        <f>SUM(V13,V18,V24,V44)</f>
        <v>15829.605</v>
      </c>
      <c r="W45" s="319">
        <f>SUM(W13,W18,W24,W44)</f>
        <v>993.52</v>
      </c>
      <c r="X45" s="319">
        <f>SUM(X13,X18,X24,X44)</f>
        <v>16823.125</v>
      </c>
      <c r="Y45" s="905"/>
      <c r="Z45" s="284">
        <f>IF(V45&gt;0,(G45-V45)/V45,"")</f>
        <v>1.6254037924509291E-2</v>
      </c>
      <c r="AA45" s="285">
        <f>IF(W45&gt;0,(J45-W45)/W45,"")</f>
        <v>-7.7749818825992301E-2</v>
      </c>
      <c r="AB45" s="909">
        <f>IF(X45&gt;0,(M45-X45)/X45,"")</f>
        <v>1.0702470557640315E-2</v>
      </c>
      <c r="AC45" s="934"/>
      <c r="AD45" s="682"/>
      <c r="AE45" s="202"/>
      <c r="AF45" s="320">
        <f>SUM(AF13,AF18,AF24,AF44)</f>
        <v>15739.600999999991</v>
      </c>
      <c r="AG45" s="321">
        <f>SUM(AG13,AG18,AG24,AG44)</f>
        <v>920.71931299999972</v>
      </c>
      <c r="AH45" s="1210">
        <f>SUM(AH13,AH18,AH24,AH44)</f>
        <v>16660.320312999989</v>
      </c>
      <c r="AI45" s="242"/>
      <c r="AJ45" s="1753">
        <f>IF(AF45&gt;0,(G45-AF45)/AF45,"")</f>
        <v>2.206529885986374E-2</v>
      </c>
      <c r="AK45" s="1754">
        <f>IF(AG45&gt;0,(J45-AG45)/AG45,"")</f>
        <v>-4.8280870589271566E-3</v>
      </c>
      <c r="AL45" s="1753">
        <f>IF(AH45&gt;0,(M45-AH45)/AH45,"")</f>
        <v>2.0579057338560646E-2</v>
      </c>
      <c r="AM45" s="1223"/>
      <c r="AN45" s="1187"/>
      <c r="AP45" s="1235"/>
    </row>
    <row r="46" spans="1:42">
      <c r="A46" s="1200"/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680"/>
      <c r="U46" s="1191"/>
      <c r="V46" s="322"/>
      <c r="W46" s="322"/>
      <c r="X46" s="322"/>
      <c r="Y46" s="322"/>
      <c r="Z46" s="322"/>
      <c r="AA46" s="322"/>
      <c r="AB46" s="322"/>
      <c r="AC46" s="322"/>
      <c r="AD46" s="682"/>
      <c r="AE46" s="202"/>
      <c r="AF46" s="202"/>
      <c r="AG46" s="202"/>
      <c r="AH46" s="202"/>
      <c r="AI46" s="202"/>
      <c r="AJ46" s="202"/>
      <c r="AK46" s="202"/>
      <c r="AL46" s="202"/>
      <c r="AM46" s="202"/>
      <c r="AN46" s="1187"/>
      <c r="AP46" s="1235"/>
    </row>
    <row r="47" spans="1:42">
      <c r="A47" s="1200"/>
      <c r="B47" s="323"/>
      <c r="C47" s="874" t="s">
        <v>263</v>
      </c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680"/>
      <c r="U47" s="1191"/>
      <c r="V47" s="930"/>
      <c r="W47" s="930"/>
      <c r="X47" s="324"/>
      <c r="Y47" s="324"/>
      <c r="Z47" s="322"/>
      <c r="AA47" s="322"/>
      <c r="AB47" s="322"/>
      <c r="AC47" s="322"/>
      <c r="AD47" s="682"/>
      <c r="AE47" s="202"/>
      <c r="AF47" s="325"/>
      <c r="AG47" s="325"/>
      <c r="AH47" s="325"/>
      <c r="AI47" s="325"/>
      <c r="AJ47" s="202"/>
      <c r="AK47" s="202"/>
      <c r="AL47" s="202"/>
      <c r="AM47" s="202"/>
      <c r="AN47" s="1187"/>
      <c r="AP47" s="1241">
        <v>19</v>
      </c>
    </row>
    <row r="48" spans="1:42">
      <c r="A48" s="1200"/>
      <c r="B48" s="323"/>
      <c r="C48" s="874" t="s">
        <v>418</v>
      </c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680"/>
      <c r="U48" s="1191"/>
      <c r="V48" s="324"/>
      <c r="W48" s="324"/>
      <c r="X48" s="324"/>
      <c r="Y48" s="324"/>
      <c r="Z48" s="322"/>
      <c r="AA48" s="322"/>
      <c r="AB48" s="322"/>
      <c r="AC48" s="322"/>
      <c r="AD48" s="682"/>
      <c r="AE48" s="202"/>
      <c r="AF48" s="325"/>
      <c r="AG48" s="325"/>
      <c r="AH48" s="325"/>
      <c r="AI48" s="325"/>
      <c r="AJ48" s="202"/>
      <c r="AK48" s="202"/>
      <c r="AL48" s="202"/>
      <c r="AM48" s="202"/>
      <c r="AN48" s="1187"/>
      <c r="AP48" s="1241"/>
    </row>
    <row r="49" spans="1:40" ht="24.95" customHeight="1">
      <c r="A49" s="1200"/>
      <c r="B49" s="192"/>
      <c r="C49" s="875" t="s">
        <v>89</v>
      </c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680"/>
      <c r="U49" s="1191"/>
      <c r="V49" s="326"/>
      <c r="W49" s="326"/>
      <c r="X49" s="326"/>
      <c r="Y49" s="326"/>
      <c r="Z49" s="322"/>
      <c r="AA49" s="322"/>
      <c r="AB49" s="322"/>
      <c r="AC49" s="322"/>
      <c r="AD49" s="682"/>
      <c r="AE49" s="202"/>
      <c r="AF49" s="202"/>
      <c r="AG49" s="202"/>
      <c r="AH49" s="202"/>
      <c r="AI49" s="202"/>
      <c r="AJ49" s="202"/>
      <c r="AK49" s="202"/>
      <c r="AL49" s="202"/>
      <c r="AM49" s="202"/>
      <c r="AN49" s="1187"/>
    </row>
    <row r="50" spans="1:40">
      <c r="A50" s="673"/>
      <c r="B50" s="1201"/>
      <c r="C50" s="876"/>
      <c r="D50" s="1201"/>
      <c r="E50" s="1201"/>
      <c r="F50" s="1201"/>
      <c r="G50" s="1201"/>
      <c r="H50" s="1201"/>
      <c r="I50" s="1201"/>
      <c r="J50" s="1201"/>
      <c r="K50" s="1201"/>
      <c r="L50" s="1201"/>
      <c r="M50" s="1201"/>
      <c r="N50" s="1201"/>
      <c r="O50" s="1201"/>
      <c r="P50" s="1201"/>
      <c r="Q50" s="1201"/>
      <c r="R50" s="1201"/>
      <c r="S50" s="1201"/>
      <c r="T50" s="683"/>
      <c r="U50" s="684"/>
      <c r="V50" s="899"/>
      <c r="W50" s="899"/>
      <c r="X50" s="899"/>
      <c r="Y50" s="899"/>
      <c r="Z50" s="899"/>
      <c r="AA50" s="899"/>
      <c r="AB50" s="899"/>
      <c r="AC50" s="899"/>
      <c r="AD50" s="685"/>
      <c r="AE50" s="1157"/>
      <c r="AF50" s="1157"/>
      <c r="AG50" s="1157"/>
      <c r="AH50" s="1157"/>
      <c r="AI50" s="1157"/>
      <c r="AJ50" s="1157"/>
      <c r="AK50" s="1157"/>
      <c r="AL50" s="1157"/>
      <c r="AM50" s="1157"/>
      <c r="AN50" s="1202"/>
    </row>
    <row r="53" spans="1:40" ht="18.75" customHeight="1"/>
  </sheetData>
  <sheetProtection password="E23E" sheet="1" objects="1" scenarios="1"/>
  <mergeCells count="31">
    <mergeCell ref="AF4:AL4"/>
    <mergeCell ref="C6:M6"/>
    <mergeCell ref="O6:Q7"/>
    <mergeCell ref="K7:M7"/>
    <mergeCell ref="Y6:Y9"/>
    <mergeCell ref="Z6:AC6"/>
    <mergeCell ref="V4:AC4"/>
    <mergeCell ref="Z8:Z9"/>
    <mergeCell ref="AA8:AA9"/>
    <mergeCell ref="Z7:AB7"/>
    <mergeCell ref="AC7:AC9"/>
    <mergeCell ref="AP6:AP9"/>
    <mergeCell ref="H8:H9"/>
    <mergeCell ref="AF6:AH6"/>
    <mergeCell ref="AF7:AF9"/>
    <mergeCell ref="AG7:AG9"/>
    <mergeCell ref="AJ7:AJ9"/>
    <mergeCell ref="AK7:AK9"/>
    <mergeCell ref="AI6:AI9"/>
    <mergeCell ref="AM7:AM9"/>
    <mergeCell ref="AJ6:AM6"/>
    <mergeCell ref="C3:E3"/>
    <mergeCell ref="V7:V9"/>
    <mergeCell ref="W7:W9"/>
    <mergeCell ref="V6:X6"/>
    <mergeCell ref="S6:S9"/>
    <mergeCell ref="C7:G7"/>
    <mergeCell ref="H7:J7"/>
    <mergeCell ref="K8:K9"/>
    <mergeCell ref="O8:O9"/>
    <mergeCell ref="D8:F8"/>
  </mergeCells>
  <dataValidations count="3">
    <dataValidation allowBlank="1" sqref="B6 G1:G3 H10:H12 V1:V4 B9 O1:Q3 R7:R12 R1:R4 P4:Q5 G4:J4 I1:J3 D8 K1:L4 K10:K12 V47:W48 H45:M45 R5:T6 T1:T4 O4:O6 AC7 V6:V7 O8 P8:Q11 Z6:Z8 Z5:AC5 AA8:AB8 H7:H8 AF4 K7:K8 AK7:AL7 AF47:AI47 AN1:EA3 AF6:AF7 AJ6:AJ7 AF5:AL5 L8:N12 O12:Q12 O10:O11 AG7:AH7 AP10:AP12 G5:N5 W7:X7 AF48:AG48 AN4:DX6 AM4:AM5 AF10:AL45 AM7:AO45 AQ7:DY45 S10:S45 H44:I44 V10:AC45 T7:T45 U1:U45 AD4:AE45 C31:C41 B13:B45 H37:I37 O37:P37 N13:N45 Q13:R45 O40:P45 O32:P32 H32:I32 H24:I27 O17:P20 H18:I20 O23:P27 O13:P15 C18:C22 H14:I15 I8:I12 D9:F12 J8:J44 G8:G45 H40:I40 C6:C8 C10:C16 D14:F15 D18:F20 C24:F27 D32:F32 D37:F37 C44:F45 D40:F40 K13:M44"/>
    <dataValidation type="whole" operator="greaterThanOrEqual" allowBlank="1" showInputMessage="1" showErrorMessage="1" errorTitle="ERROR!" error="Invalid Entry" sqref="F38:F39 F23 F41:F43 F33:F36 F21:F22 F16:F17 F28:F31 F13">
      <formula1>0</formula1>
    </dataValidation>
    <dataValidation type="decimal" operator="greaterThanOrEqual" allowBlank="1" showInputMessage="1" showErrorMessage="1" errorTitle="ERROR!" error="Invalid Entry" sqref="D13 E13 H13 I13 D16 E16 H16 I16 O16 P16 C17 D17 E17 H17 I17 D21 E21 C42:E43 H42:I43 O33:P36 O28:P31 O38:P39 D22:E23 C23 C28:E30 H28:I31 D31:E31 D33:E36 H33:I36 D38:E39 H38:I39 D41:E41 H41:I41 H21:I23 O21:P22">
      <formula1>0</formula1>
    </dataValidation>
  </dataValidations>
  <pageMargins left="0.15748031496062992" right="0.15748031496062992" top="0.15748031496062992" bottom="0.15748031496062992" header="0.15748031496062992" footer="0.15748031496062992"/>
  <pageSetup paperSize="8" scale="55" fitToWidth="2" orientation="landscape" r:id="rId1"/>
  <headerFooter alignWithMargins="0"/>
  <colBreaks count="1" manualBreakCount="1">
    <brk id="20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7"/>
  <sheetViews>
    <sheetView zoomScale="75" zoomScaleNormal="75" workbookViewId="0"/>
  </sheetViews>
  <sheetFormatPr defaultColWidth="9.140625" defaultRowHeight="15"/>
  <cols>
    <col min="1" max="1" width="2.7109375" style="1242" customWidth="1"/>
    <col min="2" max="2" width="40.7109375" style="1242" customWidth="1"/>
    <col min="3" max="6" width="12.7109375" style="1242" customWidth="1"/>
    <col min="7" max="12" width="11.7109375" style="1242" customWidth="1"/>
    <col min="13" max="14" width="4.7109375" style="1248" customWidth="1"/>
    <col min="15" max="15" width="25.28515625" style="1242" customWidth="1"/>
    <col min="16" max="16" width="34.42578125" style="1242" customWidth="1"/>
    <col min="17" max="18" width="12.7109375" style="1242" customWidth="1"/>
    <col min="19" max="19" width="25.7109375" style="1242" customWidth="1"/>
    <col min="20" max="20" width="6" style="1242" customWidth="1"/>
    <col min="21" max="21" width="10.5703125" style="1242" customWidth="1"/>
    <col min="22" max="28" width="11.7109375" style="1242" hidden="1" customWidth="1"/>
    <col min="29" max="29" width="9.140625" style="1242" hidden="1" customWidth="1"/>
    <col min="30" max="30" width="11.7109375" style="1242" hidden="1" customWidth="1"/>
    <col min="31" max="34" width="9.140625" style="1242" hidden="1" customWidth="1"/>
    <col min="35" max="35" width="0" style="1242" hidden="1" customWidth="1"/>
    <col min="36" max="16384" width="9.140625" style="1242"/>
  </cols>
  <sheetData>
    <row r="1" spans="1:32" ht="39.950000000000003" customHeight="1">
      <c r="A1" s="1137"/>
      <c r="B1" s="366" t="str">
        <f>IF(F4=0,"Your Institution Does Not Complete This Table","")</f>
        <v/>
      </c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7"/>
      <c r="P1" s="7"/>
      <c r="Q1" s="7"/>
      <c r="R1" s="7"/>
      <c r="S1" s="7"/>
      <c r="T1" s="7"/>
    </row>
    <row r="2" spans="1:32" ht="30" customHeight="1">
      <c r="A2" s="688"/>
      <c r="B2" s="629" t="s">
        <v>327</v>
      </c>
      <c r="C2" s="9"/>
      <c r="D2" s="9"/>
      <c r="E2" s="9"/>
      <c r="F2" s="1305"/>
      <c r="G2" s="9"/>
      <c r="H2" s="9"/>
      <c r="I2" s="9"/>
      <c r="J2" s="9"/>
      <c r="K2" s="9"/>
      <c r="L2" s="10"/>
      <c r="M2" s="11"/>
      <c r="N2" s="651"/>
      <c r="O2" s="12"/>
      <c r="P2" s="12"/>
      <c r="Q2" s="12"/>
      <c r="R2" s="12"/>
      <c r="S2" s="12"/>
      <c r="T2" s="12"/>
    </row>
    <row r="3" spans="1:32" ht="15" customHeight="1" thickBot="1">
      <c r="A3" s="636"/>
      <c r="B3" s="686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  <c r="N3" s="28"/>
      <c r="O3" s="12"/>
      <c r="P3" s="12"/>
      <c r="Q3" s="12"/>
      <c r="R3" s="12"/>
      <c r="S3" s="12"/>
      <c r="T3" s="12"/>
    </row>
    <row r="4" spans="1:32" ht="35.1" customHeight="1" thickBot="1">
      <c r="A4" s="636"/>
      <c r="B4" s="1619" t="s">
        <v>0</v>
      </c>
      <c r="C4" s="1877" t="str">
        <f>VLOOKUP('Background Data'!$C$2,Inst_Tables,2,FALSE)</f>
        <v>Glasgow, University of</v>
      </c>
      <c r="D4" s="1878"/>
      <c r="E4" s="1879"/>
      <c r="F4" s="1618">
        <f>VLOOKUP('Background Data'!$C$2,Inst_Tables,3,FALSE)</f>
        <v>1</v>
      </c>
      <c r="G4" s="15"/>
      <c r="H4" s="334"/>
      <c r="I4" s="13"/>
      <c r="J4" s="13"/>
      <c r="K4" s="13"/>
      <c r="L4" s="13"/>
      <c r="M4" s="14"/>
      <c r="N4" s="28"/>
      <c r="O4" s="12"/>
      <c r="P4" s="12"/>
      <c r="Q4" s="12"/>
      <c r="R4" s="12"/>
      <c r="S4" s="12"/>
      <c r="T4" s="12"/>
    </row>
    <row r="5" spans="1:32" ht="30" customHeight="1">
      <c r="A5" s="636"/>
      <c r="B5" s="19" t="s">
        <v>309</v>
      </c>
      <c r="C5" s="16"/>
      <c r="D5" s="16"/>
      <c r="E5" s="17"/>
      <c r="F5" s="17"/>
      <c r="G5" s="18"/>
      <c r="H5" s="13"/>
      <c r="I5" s="13"/>
      <c r="J5" s="13"/>
      <c r="K5" s="13"/>
      <c r="L5" s="13"/>
      <c r="M5" s="14"/>
      <c r="N5" s="28"/>
      <c r="O5" s="12"/>
      <c r="P5" s="12"/>
      <c r="Q5" s="12"/>
      <c r="R5" s="12"/>
      <c r="S5" s="12"/>
      <c r="T5" s="12"/>
    </row>
    <row r="6" spans="1:32" ht="24.95" customHeight="1">
      <c r="A6" s="636"/>
      <c r="B6" s="19" t="s">
        <v>419</v>
      </c>
      <c r="C6" s="16"/>
      <c r="D6" s="16"/>
      <c r="E6" s="17"/>
      <c r="F6" s="17"/>
      <c r="G6" s="18"/>
      <c r="H6" s="13"/>
      <c r="I6" s="13"/>
      <c r="J6" s="13"/>
      <c r="K6" s="13"/>
      <c r="L6" s="13"/>
      <c r="M6" s="14"/>
      <c r="N6" s="28"/>
      <c r="O6" s="12"/>
      <c r="P6" s="12"/>
      <c r="Q6" s="12"/>
      <c r="R6" s="12"/>
      <c r="S6" s="12"/>
      <c r="T6" s="12"/>
    </row>
    <row r="7" spans="1:32" ht="15" customHeight="1" thickBot="1">
      <c r="A7" s="636"/>
      <c r="B7" s="687"/>
      <c r="C7" s="13"/>
      <c r="D7" s="13"/>
      <c r="E7" s="654"/>
      <c r="F7" s="13"/>
      <c r="G7" s="13"/>
      <c r="H7" s="13"/>
      <c r="I7" s="13"/>
      <c r="J7" s="13"/>
      <c r="K7" s="13"/>
      <c r="L7" s="13"/>
      <c r="M7" s="14"/>
      <c r="N7" s="28"/>
      <c r="O7" s="12"/>
      <c r="P7" s="12"/>
      <c r="Q7" s="12"/>
      <c r="R7" s="12"/>
      <c r="S7" s="12"/>
      <c r="T7" s="12"/>
    </row>
    <row r="8" spans="1:32" ht="35.1" customHeight="1">
      <c r="A8" s="636"/>
      <c r="B8" s="689"/>
      <c r="C8" s="1867" t="s">
        <v>328</v>
      </c>
      <c r="D8" s="1868"/>
      <c r="E8" s="1869"/>
      <c r="F8" s="1865" t="s">
        <v>303</v>
      </c>
      <c r="G8" s="1883" t="s">
        <v>320</v>
      </c>
      <c r="H8" s="1884"/>
      <c r="I8" s="1884"/>
      <c r="J8" s="1884"/>
      <c r="K8" s="1884"/>
      <c r="L8" s="1885"/>
      <c r="M8" s="14"/>
      <c r="N8" s="28"/>
      <c r="O8" s="12"/>
      <c r="P8" s="12"/>
      <c r="Q8" s="12"/>
      <c r="R8" s="12"/>
      <c r="S8" s="12"/>
      <c r="T8" s="12"/>
      <c r="V8" s="1859" t="s">
        <v>195</v>
      </c>
      <c r="W8" s="1859" t="s">
        <v>196</v>
      </c>
      <c r="X8" s="1859" t="s">
        <v>197</v>
      </c>
      <c r="Y8" s="1859" t="s">
        <v>178</v>
      </c>
      <c r="Z8" s="1859" t="s">
        <v>198</v>
      </c>
      <c r="AA8" s="1859" t="s">
        <v>199</v>
      </c>
      <c r="AB8" s="1859" t="s">
        <v>200</v>
      </c>
    </row>
    <row r="9" spans="1:32" ht="35.1" customHeight="1">
      <c r="A9" s="636"/>
      <c r="B9" s="1858" t="s">
        <v>192</v>
      </c>
      <c r="C9" s="1860" t="s">
        <v>301</v>
      </c>
      <c r="D9" s="1862" t="s">
        <v>152</v>
      </c>
      <c r="E9" s="1863" t="s">
        <v>302</v>
      </c>
      <c r="F9" s="1866"/>
      <c r="G9" s="1880" t="s">
        <v>27</v>
      </c>
      <c r="H9" s="1881"/>
      <c r="I9" s="1881"/>
      <c r="J9" s="1881"/>
      <c r="K9" s="1881"/>
      <c r="L9" s="1882"/>
      <c r="M9" s="14"/>
      <c r="N9" s="28"/>
      <c r="O9" s="12"/>
      <c r="P9" s="12"/>
      <c r="Q9" s="12"/>
      <c r="R9" s="12"/>
      <c r="S9" s="12"/>
      <c r="T9" s="12"/>
      <c r="V9" s="1859"/>
      <c r="W9" s="1859"/>
      <c r="X9" s="1859"/>
      <c r="Y9" s="1859"/>
      <c r="Z9" s="1859"/>
      <c r="AA9" s="1859"/>
      <c r="AB9" s="1859"/>
    </row>
    <row r="10" spans="1:32" ht="69.95" customHeight="1" thickBot="1">
      <c r="A10" s="636"/>
      <c r="B10" s="1858"/>
      <c r="C10" s="1861"/>
      <c r="D10" s="1862"/>
      <c r="E10" s="1864"/>
      <c r="F10" s="1866"/>
      <c r="G10" s="20">
        <v>1</v>
      </c>
      <c r="H10" s="20" t="s">
        <v>13</v>
      </c>
      <c r="I10" s="20" t="s">
        <v>14</v>
      </c>
      <c r="J10" s="20" t="s">
        <v>15</v>
      </c>
      <c r="K10" s="21" t="s">
        <v>16</v>
      </c>
      <c r="L10" s="627" t="s">
        <v>171</v>
      </c>
      <c r="M10" s="23"/>
      <c r="N10" s="63"/>
      <c r="O10" s="12"/>
      <c r="P10" s="12"/>
      <c r="Q10" s="12"/>
      <c r="R10" s="12"/>
      <c r="S10" s="12"/>
      <c r="T10" s="12"/>
      <c r="V10" s="1859"/>
      <c r="W10" s="1859"/>
      <c r="X10" s="1859"/>
      <c r="Y10" s="1243"/>
      <c r="Z10" s="1859"/>
      <c r="AA10" s="1859"/>
      <c r="AB10" s="1859"/>
      <c r="AE10" s="1244" t="s">
        <v>72</v>
      </c>
      <c r="AF10" s="1244"/>
    </row>
    <row r="11" spans="1:32" ht="24.95" customHeight="1">
      <c r="A11" s="636"/>
      <c r="B11" s="691"/>
      <c r="C11" s="24" t="s">
        <v>17</v>
      </c>
      <c r="D11" s="25" t="s">
        <v>17</v>
      </c>
      <c r="E11" s="26" t="s">
        <v>17</v>
      </c>
      <c r="F11" s="1315" t="s">
        <v>26</v>
      </c>
      <c r="G11" s="25" t="s">
        <v>17</v>
      </c>
      <c r="H11" s="25" t="s">
        <v>17</v>
      </c>
      <c r="I11" s="25" t="s">
        <v>17</v>
      </c>
      <c r="J11" s="25" t="s">
        <v>17</v>
      </c>
      <c r="K11" s="27" t="s">
        <v>17</v>
      </c>
      <c r="L11" s="26" t="s">
        <v>17</v>
      </c>
      <c r="M11" s="23"/>
      <c r="N11" s="23"/>
      <c r="O11" s="1872" t="s">
        <v>182</v>
      </c>
      <c r="P11" s="1873" t="s">
        <v>181</v>
      </c>
      <c r="Q11" s="1874" t="s">
        <v>193</v>
      </c>
      <c r="R11" s="1875"/>
      <c r="S11" s="1876"/>
      <c r="T11" s="12"/>
      <c r="V11" s="1245" t="s">
        <v>71</v>
      </c>
      <c r="W11" s="1245" t="s">
        <v>71</v>
      </c>
      <c r="X11" s="1245" t="s">
        <v>71</v>
      </c>
      <c r="Y11" s="1245" t="s">
        <v>71</v>
      </c>
      <c r="Z11" s="1245" t="s">
        <v>71</v>
      </c>
      <c r="AA11" s="1245" t="s">
        <v>71</v>
      </c>
      <c r="AB11" s="1245" t="s">
        <v>71</v>
      </c>
      <c r="AE11" s="1244" t="s">
        <v>185</v>
      </c>
    </row>
    <row r="12" spans="1:32" ht="24.95" customHeight="1">
      <c r="A12" s="636"/>
      <c r="B12" s="692"/>
      <c r="C12" s="98" t="s">
        <v>30</v>
      </c>
      <c r="D12" s="873" t="s">
        <v>30</v>
      </c>
      <c r="E12" s="99" t="s">
        <v>3</v>
      </c>
      <c r="F12" s="1316" t="s">
        <v>30</v>
      </c>
      <c r="G12" s="94" t="s">
        <v>30</v>
      </c>
      <c r="H12" s="94" t="s">
        <v>30</v>
      </c>
      <c r="I12" s="94" t="s">
        <v>30</v>
      </c>
      <c r="J12" s="94" t="s">
        <v>30</v>
      </c>
      <c r="K12" s="94" t="s">
        <v>30</v>
      </c>
      <c r="L12" s="99" t="s">
        <v>3</v>
      </c>
      <c r="M12" s="14"/>
      <c r="N12" s="28"/>
      <c r="O12" s="1861"/>
      <c r="P12" s="1862"/>
      <c r="Q12" s="101" t="s">
        <v>60</v>
      </c>
      <c r="R12" s="1870" t="s">
        <v>194</v>
      </c>
      <c r="S12" s="29" t="s">
        <v>75</v>
      </c>
      <c r="T12" s="30"/>
      <c r="AE12" s="1244" t="s">
        <v>74</v>
      </c>
    </row>
    <row r="13" spans="1:32" ht="24.95" customHeight="1" thickBot="1">
      <c r="A13" s="636"/>
      <c r="B13" s="693"/>
      <c r="C13" s="948">
        <v>1</v>
      </c>
      <c r="D13" s="949">
        <v>2</v>
      </c>
      <c r="E13" s="950">
        <v>3</v>
      </c>
      <c r="F13" s="1317">
        <v>4</v>
      </c>
      <c r="G13" s="949">
        <v>5</v>
      </c>
      <c r="H13" s="949">
        <v>6</v>
      </c>
      <c r="I13" s="949">
        <v>7</v>
      </c>
      <c r="J13" s="949">
        <v>8</v>
      </c>
      <c r="K13" s="949">
        <v>9</v>
      </c>
      <c r="L13" s="950">
        <v>10</v>
      </c>
      <c r="M13" s="14"/>
      <c r="N13" s="28"/>
      <c r="O13" s="95"/>
      <c r="P13" s="96"/>
      <c r="Q13" s="96"/>
      <c r="R13" s="1871"/>
      <c r="S13" s="97"/>
      <c r="T13" s="30"/>
      <c r="AE13" s="1244"/>
    </row>
    <row r="14" spans="1:32" ht="30" customHeight="1">
      <c r="A14" s="636"/>
      <c r="B14" s="694" t="s">
        <v>18</v>
      </c>
      <c r="C14" s="1319"/>
      <c r="D14" s="1307"/>
      <c r="E14" s="1312"/>
      <c r="F14" s="1318"/>
      <c r="G14" s="37"/>
      <c r="H14" s="38"/>
      <c r="I14" s="38"/>
      <c r="J14" s="38"/>
      <c r="K14" s="39"/>
      <c r="L14" s="31"/>
      <c r="M14" s="14"/>
      <c r="N14" s="28"/>
      <c r="O14" s="33"/>
      <c r="P14" s="34"/>
      <c r="Q14" s="34"/>
      <c r="R14" s="35"/>
      <c r="S14" s="36"/>
      <c r="T14" s="30"/>
      <c r="AE14" s="1244" t="s">
        <v>184</v>
      </c>
    </row>
    <row r="15" spans="1:32" ht="24.95" customHeight="1">
      <c r="A15" s="636"/>
      <c r="B15" s="695" t="s">
        <v>108</v>
      </c>
      <c r="C15" s="717"/>
      <c r="D15" s="1307"/>
      <c r="E15" s="1313"/>
      <c r="F15" s="1318"/>
      <c r="G15" s="37"/>
      <c r="H15" s="38"/>
      <c r="I15" s="38"/>
      <c r="J15" s="38"/>
      <c r="K15" s="39"/>
      <c r="L15" s="31"/>
      <c r="M15" s="14"/>
      <c r="N15" s="28"/>
      <c r="O15" s="40"/>
      <c r="P15" s="41"/>
      <c r="Q15" s="41"/>
      <c r="R15" s="41"/>
      <c r="S15" s="42"/>
      <c r="T15" s="30"/>
      <c r="AE15" s="1244"/>
    </row>
    <row r="16" spans="1:32" ht="24.95" customHeight="1">
      <c r="A16" s="636"/>
      <c r="B16" s="696" t="s">
        <v>42</v>
      </c>
      <c r="C16" s="1320">
        <v>210</v>
      </c>
      <c r="D16" s="1308"/>
      <c r="E16" s="48">
        <f>SUM(C16:D16)</f>
        <v>210</v>
      </c>
      <c r="F16" s="1325">
        <v>1</v>
      </c>
      <c r="G16" s="44">
        <v>211</v>
      </c>
      <c r="H16" s="45"/>
      <c r="I16" s="46"/>
      <c r="J16" s="46"/>
      <c r="K16" s="47"/>
      <c r="L16" s="48">
        <f>G16</f>
        <v>211</v>
      </c>
      <c r="M16" s="652"/>
      <c r="N16" s="49"/>
      <c r="O16" s="50" t="str">
        <f>IF(V16=1,Only_intake_recorded,IF(OR(W16=1,AB16=1),Intake_missing,"OK"))</f>
        <v>OK</v>
      </c>
      <c r="P16" s="51" t="str">
        <f>IF(OR(X16=1,AA16=1),Intake_inconsistent,"OK")</f>
        <v>OK</v>
      </c>
      <c r="Q16" s="461">
        <f>'Table 1 (Main)'!$G$21</f>
        <v>211</v>
      </c>
      <c r="R16" s="471">
        <f>L16-Q16</f>
        <v>0</v>
      </c>
      <c r="S16" s="52" t="str">
        <f>IF(ABS(R16)&gt;0.1,"Does not equal Table 1","OK")</f>
        <v>OK</v>
      </c>
      <c r="T16" s="12"/>
      <c r="V16" s="1246">
        <f>IF(AND(C16&gt;0,L16=0),1,0)</f>
        <v>0</v>
      </c>
      <c r="W16" s="1246">
        <f>IF(AND(C16=0,L16&gt;0),1,0)</f>
        <v>0</v>
      </c>
      <c r="X16" s="1245">
        <f>IF(C16&gt;L16,1,0)</f>
        <v>0</v>
      </c>
      <c r="Y16" s="1245">
        <f>IF(SUM(H16:K16)&gt;0,1,0)</f>
        <v>0</v>
      </c>
      <c r="Z16" s="1245">
        <f>IF(C16=L16,1,0)</f>
        <v>0</v>
      </c>
      <c r="AA16" s="1245">
        <f>Y16*Z16</f>
        <v>0</v>
      </c>
      <c r="AB16" s="1246">
        <f>IF(AND(C16=0,F16&gt;0),1,0)</f>
        <v>0</v>
      </c>
      <c r="AC16" s="1244"/>
    </row>
    <row r="17" spans="1:28" ht="24.95" customHeight="1">
      <c r="A17" s="636"/>
      <c r="B17" s="696" t="s">
        <v>31</v>
      </c>
      <c r="C17" s="1320"/>
      <c r="D17" s="1308"/>
      <c r="E17" s="48">
        <f t="shared" ref="E17" si="0">SUM(C17:D17)</f>
        <v>0</v>
      </c>
      <c r="F17" s="1325"/>
      <c r="G17" s="44"/>
      <c r="H17" s="43"/>
      <c r="I17" s="46"/>
      <c r="J17" s="46"/>
      <c r="K17" s="47"/>
      <c r="L17" s="48">
        <f>SUM(G17:H17)</f>
        <v>0</v>
      </c>
      <c r="M17" s="652"/>
      <c r="N17" s="49"/>
      <c r="O17" s="50" t="str">
        <f>IF(V17=1,Only_intake_recorded,IF(OR(W17=1,AB17=1),Intake_missing,"OK"))</f>
        <v>OK</v>
      </c>
      <c r="P17" s="51" t="str">
        <f>IF(OR(X17=1,AA17=1),Intake_inconsistent,"OK")</f>
        <v>OK</v>
      </c>
      <c r="Q17" s="461">
        <f>'Table 1 (Main)'!$J$21</f>
        <v>0</v>
      </c>
      <c r="R17" s="471">
        <f>L17-Q17</f>
        <v>0</v>
      </c>
      <c r="S17" s="52" t="str">
        <f>IF(ABS(R17)&gt;0.1,"Does not equal Table 1","OK")</f>
        <v>OK</v>
      </c>
      <c r="T17" s="12"/>
      <c r="V17" s="1246">
        <f>IF(AND(C17&gt;0,L17=0),1,0)</f>
        <v>0</v>
      </c>
      <c r="W17" s="1246">
        <f>IF(AND(C17=0,L17&gt;0),1,0)</f>
        <v>0</v>
      </c>
      <c r="X17" s="1245">
        <f>IF(C17&gt;L17,1,0)</f>
        <v>0</v>
      </c>
      <c r="Y17" s="1245">
        <f>IF(SUM(H17:K17)&gt;0,1,0)</f>
        <v>0</v>
      </c>
      <c r="Z17" s="1245">
        <f>IF(C17=L17,1,0)</f>
        <v>1</v>
      </c>
      <c r="AA17" s="1245">
        <f>Y17*Z17</f>
        <v>0</v>
      </c>
      <c r="AB17" s="1246">
        <f>IF(AND(C17=0,F17&gt;0),1,0)</f>
        <v>0</v>
      </c>
    </row>
    <row r="18" spans="1:28" ht="24.95" customHeight="1">
      <c r="A18" s="636"/>
      <c r="B18" s="697" t="s">
        <v>2</v>
      </c>
      <c r="C18" s="1321">
        <f>SUM(C16:C17)</f>
        <v>210</v>
      </c>
      <c r="D18" s="1309">
        <f>SUM(D16:D17)</f>
        <v>0</v>
      </c>
      <c r="E18" s="48">
        <f>SUM(C18:D18)</f>
        <v>210</v>
      </c>
      <c r="F18" s="1326">
        <f>SUM(F16:F17)</f>
        <v>1</v>
      </c>
      <c r="G18" s="54">
        <f>SUM(G16:G17)</f>
        <v>211</v>
      </c>
      <c r="H18" s="53">
        <f>H17</f>
        <v>0</v>
      </c>
      <c r="I18" s="46"/>
      <c r="J18" s="46"/>
      <c r="K18" s="47"/>
      <c r="L18" s="48">
        <f>SUM(G18:H18)</f>
        <v>211</v>
      </c>
      <c r="M18" s="652"/>
      <c r="N18" s="49"/>
      <c r="O18" s="55"/>
      <c r="P18" s="56"/>
      <c r="Q18" s="470"/>
      <c r="R18" s="57"/>
      <c r="S18" s="58"/>
      <c r="T18" s="12"/>
      <c r="V18" s="1245"/>
      <c r="W18" s="1245"/>
      <c r="X18" s="1245"/>
      <c r="Y18" s="1245"/>
      <c r="Z18" s="1245"/>
      <c r="AA18" s="1245"/>
      <c r="AB18" s="1245"/>
    </row>
    <row r="19" spans="1:28" ht="9.9499999999999993" customHeight="1">
      <c r="A19" s="636"/>
      <c r="B19" s="698"/>
      <c r="C19" s="1322"/>
      <c r="D19" s="1310"/>
      <c r="E19" s="1314"/>
      <c r="F19" s="60"/>
      <c r="G19" s="61"/>
      <c r="H19" s="59"/>
      <c r="I19" s="59"/>
      <c r="J19" s="59"/>
      <c r="K19" s="62"/>
      <c r="L19" s="60"/>
      <c r="M19" s="23"/>
      <c r="N19" s="63"/>
      <c r="O19" s="82"/>
      <c r="P19" s="458"/>
      <c r="Q19" s="458"/>
      <c r="R19" s="459"/>
      <c r="S19" s="460"/>
      <c r="T19" s="12"/>
      <c r="V19" s="1245"/>
      <c r="W19" s="1245"/>
      <c r="X19" s="1245"/>
      <c r="Y19" s="1245"/>
      <c r="Z19" s="1245"/>
      <c r="AA19" s="1245"/>
      <c r="AB19" s="1245"/>
    </row>
    <row r="20" spans="1:28" ht="30" customHeight="1" thickBot="1">
      <c r="A20" s="636"/>
      <c r="B20" s="699" t="s">
        <v>90</v>
      </c>
      <c r="C20" s="1323">
        <v>137</v>
      </c>
      <c r="D20" s="86">
        <v>1</v>
      </c>
      <c r="E20" s="67">
        <f>SUM(C20:D20)</f>
        <v>138</v>
      </c>
      <c r="F20" s="1232"/>
      <c r="G20" s="65">
        <v>138.5</v>
      </c>
      <c r="H20" s="64">
        <v>128</v>
      </c>
      <c r="I20" s="64">
        <v>129.08000000000001</v>
      </c>
      <c r="J20" s="64">
        <v>117.66</v>
      </c>
      <c r="K20" s="66"/>
      <c r="L20" s="67">
        <f>SUM(G20:J20)</f>
        <v>513.24</v>
      </c>
      <c r="M20" s="652"/>
      <c r="N20" s="49"/>
      <c r="O20" s="50" t="str">
        <f>IF(V20=1,Only_intake_recorded,IF(OR(W20=1,AB20=1),Intake_missing,"OK"))</f>
        <v>OK</v>
      </c>
      <c r="P20" s="51" t="str">
        <f>IF(OR(X20=1,AA20=1),Intake_inconsistent,"OK")</f>
        <v>OK</v>
      </c>
      <c r="Q20" s="461">
        <f>'Table 1 (Main)'!$M$33</f>
        <v>513.24299999999994</v>
      </c>
      <c r="R20" s="471">
        <f>L20-Q20</f>
        <v>-2.9999999999290594E-3</v>
      </c>
      <c r="S20" s="52" t="str">
        <f>IF(ABS(R20)&gt;0.1,"Does not equal Table 1","OK")</f>
        <v>OK</v>
      </c>
      <c r="T20" s="12"/>
      <c r="V20" s="1246">
        <f>IF(AND(C20&gt;0,L20=0),1,0)</f>
        <v>0</v>
      </c>
      <c r="W20" s="1246">
        <f>IF(AND(C20=0,L20&gt;0),1,0)</f>
        <v>0</v>
      </c>
      <c r="X20" s="1245">
        <f>IF(C20&gt;L20,1,0)</f>
        <v>0</v>
      </c>
      <c r="Y20" s="1245">
        <f>IF(SUM(H20:K20)&gt;0,1,0)</f>
        <v>1</v>
      </c>
      <c r="Z20" s="1245">
        <f>IF(C20=L20,1,0)</f>
        <v>0</v>
      </c>
      <c r="AA20" s="1245">
        <f>Y20*Z20</f>
        <v>0</v>
      </c>
      <c r="AB20" s="1246">
        <f>IF(AND(C20=0,F20&gt;0),1,0)</f>
        <v>0</v>
      </c>
    </row>
    <row r="21" spans="1:28" ht="30" customHeight="1">
      <c r="A21" s="636"/>
      <c r="B21" s="694" t="s">
        <v>19</v>
      </c>
      <c r="C21" s="1322"/>
      <c r="D21" s="1310"/>
      <c r="E21" s="1314"/>
      <c r="F21" s="60"/>
      <c r="G21" s="61"/>
      <c r="H21" s="59"/>
      <c r="I21" s="59"/>
      <c r="J21" s="59"/>
      <c r="K21" s="1310"/>
      <c r="L21" s="60"/>
      <c r="M21" s="14"/>
      <c r="N21" s="28"/>
      <c r="O21" s="462"/>
      <c r="P21" s="463"/>
      <c r="Q21" s="463"/>
      <c r="R21" s="464"/>
      <c r="S21" s="465"/>
      <c r="T21" s="12"/>
      <c r="V21" s="1245"/>
      <c r="W21" s="1245"/>
      <c r="X21" s="1245"/>
      <c r="Y21" s="1245"/>
      <c r="Z21" s="1245"/>
      <c r="AA21" s="1245"/>
      <c r="AB21" s="1245"/>
    </row>
    <row r="22" spans="1:28" ht="24.95" customHeight="1">
      <c r="A22" s="636"/>
      <c r="B22" s="695" t="s">
        <v>109</v>
      </c>
      <c r="C22" s="1322"/>
      <c r="D22" s="1310"/>
      <c r="E22" s="1314"/>
      <c r="F22" s="60"/>
      <c r="G22" s="61"/>
      <c r="H22" s="59"/>
      <c r="I22" s="59"/>
      <c r="J22" s="59"/>
      <c r="K22" s="62"/>
      <c r="L22" s="60"/>
      <c r="M22" s="14"/>
      <c r="N22" s="28"/>
      <c r="O22" s="466"/>
      <c r="P22" s="467"/>
      <c r="Q22" s="467"/>
      <c r="R22" s="468"/>
      <c r="S22" s="469"/>
      <c r="T22" s="12"/>
      <c r="V22" s="1245"/>
      <c r="W22" s="1245"/>
      <c r="X22" s="1245"/>
      <c r="Y22" s="1245"/>
      <c r="Z22" s="1245"/>
      <c r="AA22" s="1245"/>
      <c r="AB22" s="1245"/>
    </row>
    <row r="23" spans="1:28" ht="24.95" customHeight="1">
      <c r="A23" s="636"/>
      <c r="B23" s="696" t="s">
        <v>42</v>
      </c>
      <c r="C23" s="1320">
        <v>202</v>
      </c>
      <c r="D23" s="1308">
        <v>4</v>
      </c>
      <c r="E23" s="48">
        <f>SUM(C23:D23)</f>
        <v>206</v>
      </c>
      <c r="F23" s="1325">
        <v>1</v>
      </c>
      <c r="G23" s="44">
        <v>204</v>
      </c>
      <c r="H23" s="46"/>
      <c r="I23" s="46"/>
      <c r="J23" s="46"/>
      <c r="K23" s="68"/>
      <c r="L23" s="48">
        <f>G23</f>
        <v>204</v>
      </c>
      <c r="M23" s="652"/>
      <c r="N23" s="49"/>
      <c r="O23" s="50" t="str">
        <f>IF(V23=1,Only_intake_recorded,IF(OR(W23=1,AB23=1),Intake_missing,"OK"))</f>
        <v>OK</v>
      </c>
      <c r="P23" s="51" t="str">
        <f>IF(OR(X23=1,AA23=1),Intake_inconsistent,"OK")</f>
        <v>OK</v>
      </c>
      <c r="Q23" s="461">
        <f>'Table 1 (Main)'!$G$22</f>
        <v>204</v>
      </c>
      <c r="R23" s="471">
        <f t="shared" ref="R23:R24" si="1">L23-Q23</f>
        <v>0</v>
      </c>
      <c r="S23" s="52" t="str">
        <f>IF(ABS(R23)&gt;0.1,"Does not equal Table 1","OK")</f>
        <v>OK</v>
      </c>
      <c r="T23" s="12"/>
      <c r="V23" s="1246">
        <f>IF(AND(C23&gt;0,L23=0),1,0)</f>
        <v>0</v>
      </c>
      <c r="W23" s="1246">
        <f>IF(AND(C23=0,L23&gt;0),1,0)</f>
        <v>0</v>
      </c>
      <c r="X23" s="1245">
        <f>IF(C23&gt;L23,1,0)</f>
        <v>0</v>
      </c>
      <c r="Y23" s="1245">
        <f>IF(SUM(H23:K23)&gt;0,1,0)</f>
        <v>0</v>
      </c>
      <c r="Z23" s="1245">
        <f>IF(C23=L23,1,0)</f>
        <v>0</v>
      </c>
      <c r="AA23" s="1245">
        <f>Y23*Z23</f>
        <v>0</v>
      </c>
      <c r="AB23" s="1246">
        <f>IF(AND(C23=0,F23&gt;0),1,0)</f>
        <v>0</v>
      </c>
    </row>
    <row r="24" spans="1:28" ht="24.95" customHeight="1">
      <c r="A24" s="636"/>
      <c r="B24" s="696" t="s">
        <v>31</v>
      </c>
      <c r="C24" s="1320"/>
      <c r="D24" s="1308"/>
      <c r="E24" s="48">
        <f t="shared" ref="E24:E25" si="2">SUM(C24:D24)</f>
        <v>0</v>
      </c>
      <c r="F24" s="1325"/>
      <c r="G24" s="44"/>
      <c r="H24" s="43">
        <v>0.5</v>
      </c>
      <c r="I24" s="46"/>
      <c r="J24" s="46"/>
      <c r="K24" s="68"/>
      <c r="L24" s="48">
        <f>SUM(G24:H24)</f>
        <v>0.5</v>
      </c>
      <c r="M24" s="652"/>
      <c r="N24" s="49"/>
      <c r="O24" s="69" t="str">
        <f>IF(V24=1,Only_intake_recorded,IF(OR(W24=1,AB24=1),Intake_missing,"OK"))</f>
        <v>Intake missing?</v>
      </c>
      <c r="P24" s="70" t="str">
        <f>IF(OR(X24=1,AA24=1),Intake_inconsistent,"OK")</f>
        <v>OK</v>
      </c>
      <c r="Q24" s="461">
        <f>'Table 1 (Main)'!$J$22</f>
        <v>0.5</v>
      </c>
      <c r="R24" s="471">
        <f t="shared" si="1"/>
        <v>0</v>
      </c>
      <c r="S24" s="71" t="str">
        <f>IF(ABS(R24)&gt;0.1,"Does not equal Table 1","OK")</f>
        <v>OK</v>
      </c>
      <c r="T24" s="12"/>
      <c r="V24" s="1246">
        <f>IF(AND(C24&gt;0,L24=0),1,0)</f>
        <v>0</v>
      </c>
      <c r="W24" s="1246">
        <f>IF(AND(C24=0,L24&gt;0),1,0)</f>
        <v>1</v>
      </c>
      <c r="X24" s="1245">
        <f>IF(C24&gt;L24,1,0)</f>
        <v>0</v>
      </c>
      <c r="Y24" s="1245">
        <f>IF(SUM(H24:K24)&gt;0,1,0)</f>
        <v>1</v>
      </c>
      <c r="Z24" s="1245">
        <f>IF(C24=L24,1,0)</f>
        <v>0</v>
      </c>
      <c r="AA24" s="1245">
        <f>Y24*Z24</f>
        <v>0</v>
      </c>
      <c r="AB24" s="1246">
        <f>IF(AND(C24=0,F24&gt;0),1,0)</f>
        <v>0</v>
      </c>
    </row>
    <row r="25" spans="1:28" ht="24.95" customHeight="1">
      <c r="A25" s="636"/>
      <c r="B25" s="697" t="s">
        <v>2</v>
      </c>
      <c r="C25" s="1321">
        <f>SUM(C23:C24)</f>
        <v>202</v>
      </c>
      <c r="D25" s="1309">
        <f>SUM(D23:D24)</f>
        <v>4</v>
      </c>
      <c r="E25" s="48">
        <f t="shared" si="2"/>
        <v>206</v>
      </c>
      <c r="F25" s="1326">
        <f>SUM(F23:F24)</f>
        <v>1</v>
      </c>
      <c r="G25" s="54">
        <f>SUM(G23:G24)</f>
        <v>204</v>
      </c>
      <c r="H25" s="53">
        <f>H24</f>
        <v>0.5</v>
      </c>
      <c r="I25" s="46"/>
      <c r="J25" s="46"/>
      <c r="K25" s="68"/>
      <c r="L25" s="48">
        <f>SUM(G25:H25)</f>
        <v>204.5</v>
      </c>
      <c r="M25" s="652"/>
      <c r="N25" s="49"/>
      <c r="O25" s="455"/>
      <c r="P25" s="456"/>
      <c r="Q25" s="456"/>
      <c r="R25" s="456"/>
      <c r="S25" s="457"/>
      <c r="T25" s="3"/>
      <c r="V25" s="1245"/>
      <c r="W25" s="1245"/>
      <c r="X25" s="1245"/>
      <c r="Y25" s="1245"/>
      <c r="Z25" s="1245"/>
      <c r="AA25" s="1245"/>
      <c r="AB25" s="1245"/>
    </row>
    <row r="26" spans="1:28" ht="9.9499999999999993" customHeight="1">
      <c r="A26" s="636"/>
      <c r="B26" s="697"/>
      <c r="C26" s="1321"/>
      <c r="D26" s="1309"/>
      <c r="E26" s="1314"/>
      <c r="F26" s="1233"/>
      <c r="G26" s="54"/>
      <c r="H26" s="53"/>
      <c r="I26" s="46"/>
      <c r="J26" s="46"/>
      <c r="K26" s="68"/>
      <c r="L26" s="48"/>
      <c r="M26" s="652"/>
      <c r="N26" s="49"/>
      <c r="O26" s="4"/>
      <c r="P26" s="5"/>
      <c r="Q26" s="5"/>
      <c r="R26" s="5"/>
      <c r="S26" s="6"/>
      <c r="T26" s="3"/>
      <c r="V26" s="1245"/>
      <c r="W26" s="1245"/>
      <c r="X26" s="1245"/>
      <c r="Y26" s="1245"/>
      <c r="Z26" s="1245"/>
      <c r="AA26" s="1245"/>
      <c r="AB26" s="1245"/>
    </row>
    <row r="27" spans="1:28" ht="30" customHeight="1">
      <c r="A27" s="636"/>
      <c r="B27" s="695" t="s">
        <v>20</v>
      </c>
      <c r="C27" s="1320"/>
      <c r="D27" s="1308"/>
      <c r="E27" s="48">
        <f>SUM(C27:D27)</f>
        <v>0</v>
      </c>
      <c r="F27" s="1327"/>
      <c r="G27" s="44"/>
      <c r="H27" s="43"/>
      <c r="I27" s="43"/>
      <c r="J27" s="43"/>
      <c r="K27" s="68"/>
      <c r="L27" s="48">
        <f>SUM(G27:J27)</f>
        <v>0</v>
      </c>
      <c r="M27" s="652"/>
      <c r="N27" s="49"/>
      <c r="O27" s="72" t="str">
        <f>IF(V27=1,Only_intake_recorded,IF(OR(W27=1,AB27=1),Intake_missing,"OK"))</f>
        <v>OK</v>
      </c>
      <c r="P27" s="73" t="str">
        <f>IF(OR(X27=1,AA27=1),Intake_inconsistent,"OK")</f>
        <v>OK</v>
      </c>
      <c r="Q27" s="461">
        <f>'Table 1 (Main)'!$M$34</f>
        <v>0</v>
      </c>
      <c r="R27" s="471">
        <f t="shared" ref="R27:R29" si="3">L27-Q27</f>
        <v>0</v>
      </c>
      <c r="S27" s="74" t="str">
        <f>IF(ABS(R27)&gt;0.1,"Does not equal Table 1","OK")</f>
        <v>OK</v>
      </c>
      <c r="T27" s="12"/>
      <c r="V27" s="1246">
        <f>IF(AND(C27&gt;0,L27=0),1,0)</f>
        <v>0</v>
      </c>
      <c r="W27" s="1246">
        <f>IF(AND(C27=0,L27&gt;0),1,0)</f>
        <v>0</v>
      </c>
      <c r="X27" s="1245">
        <f>IF(C27&gt;L27,1,0)</f>
        <v>0</v>
      </c>
      <c r="Y27" s="1245">
        <f>IF(SUM(H27:K27)&gt;0,1,0)</f>
        <v>0</v>
      </c>
      <c r="Z27" s="1245">
        <f>IF(C27=L27,1,0)</f>
        <v>1</v>
      </c>
      <c r="AA27" s="1245">
        <f>Y27*Z27</f>
        <v>0</v>
      </c>
      <c r="AB27" s="1246"/>
    </row>
    <row r="28" spans="1:28" ht="30" customHeight="1">
      <c r="A28" s="636"/>
      <c r="B28" s="695" t="s">
        <v>21</v>
      </c>
      <c r="C28" s="1320"/>
      <c r="D28" s="1308"/>
      <c r="E28" s="48">
        <f>SUM(C28:D28)</f>
        <v>0</v>
      </c>
      <c r="F28" s="60"/>
      <c r="G28" s="44"/>
      <c r="H28" s="43"/>
      <c r="I28" s="43"/>
      <c r="J28" s="43"/>
      <c r="K28" s="68"/>
      <c r="L28" s="48">
        <f>SUM(G28:J28)</f>
        <v>0</v>
      </c>
      <c r="M28" s="652"/>
      <c r="N28" s="49"/>
      <c r="O28" s="76" t="str">
        <f>IF(V28=1,Only_intake_recorded,IF(OR(W28=1,AB28=1),Intake_missing,"OK"))</f>
        <v>OK</v>
      </c>
      <c r="P28" s="77" t="str">
        <f>IF(OR(X28=1,AA28=1),Intake_inconsistent,"OK")</f>
        <v>OK</v>
      </c>
      <c r="Q28" s="461">
        <f>'Table 1 (Main)'!$M$35</f>
        <v>0</v>
      </c>
      <c r="R28" s="471">
        <f t="shared" si="3"/>
        <v>0</v>
      </c>
      <c r="S28" s="78" t="str">
        <f>IF(ABS(R28)&gt;0.1,"Does not equal Table 1","OK")</f>
        <v>OK</v>
      </c>
      <c r="T28" s="12"/>
      <c r="V28" s="1246">
        <f>IF(AND(C28&gt;0,L28=0),1,0)</f>
        <v>0</v>
      </c>
      <c r="W28" s="1246">
        <f>IF(AND(C28=0,L28&gt;0),1,0)</f>
        <v>0</v>
      </c>
      <c r="X28" s="1245">
        <f>IF(C28&gt;L28,1,0)</f>
        <v>0</v>
      </c>
      <c r="Y28" s="1245">
        <f>IF(SUM(H28:K28)&gt;0,1,0)</f>
        <v>0</v>
      </c>
      <c r="Z28" s="1245">
        <f>IF(C28=L28,1,0)</f>
        <v>1</v>
      </c>
      <c r="AA28" s="1245">
        <f>Y28*Z28</f>
        <v>0</v>
      </c>
      <c r="AB28" s="1246"/>
    </row>
    <row r="29" spans="1:28" ht="30" customHeight="1">
      <c r="A29" s="636"/>
      <c r="B29" s="695" t="s">
        <v>22</v>
      </c>
      <c r="C29" s="1320">
        <v>20</v>
      </c>
      <c r="D29" s="1308"/>
      <c r="E29" s="48">
        <f>SUM(C29:D29)</f>
        <v>20</v>
      </c>
      <c r="F29" s="80"/>
      <c r="G29" s="44">
        <v>23.4</v>
      </c>
      <c r="H29" s="43">
        <v>23</v>
      </c>
      <c r="I29" s="43">
        <v>24</v>
      </c>
      <c r="J29" s="43">
        <v>19</v>
      </c>
      <c r="K29" s="68"/>
      <c r="L29" s="48">
        <f>SUM(G29:J29)</f>
        <v>89.4</v>
      </c>
      <c r="M29" s="652"/>
      <c r="N29" s="49"/>
      <c r="O29" s="76" t="str">
        <f>IF(V29=1,Only_intake_recorded,IF(OR(W29=1,AB29=1),Intake_missing,"OK"))</f>
        <v>OK</v>
      </c>
      <c r="P29" s="77" t="str">
        <f>IF(OR(X29=1,AA29=1),Intake_inconsistent,"OK")</f>
        <v>OK</v>
      </c>
      <c r="Q29" s="461">
        <f>'Table 1 (Main)'!$M$36</f>
        <v>89.4</v>
      </c>
      <c r="R29" s="471">
        <f t="shared" si="3"/>
        <v>0</v>
      </c>
      <c r="S29" s="78" t="str">
        <f>IF(ABS(R29)&gt;0.1,"Does not equal Table 1","OK")</f>
        <v>OK</v>
      </c>
      <c r="T29" s="12"/>
      <c r="V29" s="1246">
        <f>IF(AND(C29&gt;0,L29=0),1,0)</f>
        <v>0</v>
      </c>
      <c r="W29" s="1246">
        <f>IF(AND(C29=0,L29&gt;0),1,0)</f>
        <v>0</v>
      </c>
      <c r="X29" s="1245">
        <f>IF(C29&gt;L29,1,0)</f>
        <v>0</v>
      </c>
      <c r="Y29" s="1245">
        <f>IF(SUM(H29:K29)&gt;0,1,0)</f>
        <v>1</v>
      </c>
      <c r="Z29" s="1245">
        <f>IF(C29=L29,1,0)</f>
        <v>0</v>
      </c>
      <c r="AA29" s="1245">
        <f>Y29*Z29</f>
        <v>0</v>
      </c>
      <c r="AB29" s="1246"/>
    </row>
    <row r="30" spans="1:28" ht="9.9499999999999993" customHeight="1">
      <c r="A30" s="636"/>
      <c r="B30" s="690"/>
      <c r="C30" s="1324"/>
      <c r="D30" s="1311"/>
      <c r="E30" s="1314"/>
      <c r="F30" s="80"/>
      <c r="G30" s="81"/>
      <c r="H30" s="79"/>
      <c r="I30" s="79"/>
      <c r="J30" s="79"/>
      <c r="K30" s="62"/>
      <c r="L30" s="80"/>
      <c r="M30" s="14"/>
      <c r="N30" s="28"/>
      <c r="O30" s="82"/>
      <c r="P30" s="83"/>
      <c r="Q30" s="100"/>
      <c r="R30" s="84"/>
      <c r="S30" s="85"/>
      <c r="T30" s="12"/>
      <c r="V30" s="1245"/>
      <c r="W30" s="1245"/>
      <c r="X30" s="1245"/>
      <c r="Y30" s="1245"/>
      <c r="Z30" s="1245"/>
      <c r="AA30" s="1245"/>
      <c r="AB30" s="1245"/>
    </row>
    <row r="31" spans="1:28" ht="30" customHeight="1" thickBot="1">
      <c r="A31" s="636"/>
      <c r="B31" s="699" t="s">
        <v>23</v>
      </c>
      <c r="C31" s="1323">
        <v>76</v>
      </c>
      <c r="D31" s="86">
        <v>1</v>
      </c>
      <c r="E31" s="48">
        <f>SUM(C31:D31)</f>
        <v>77</v>
      </c>
      <c r="F31" s="1232">
        <v>1</v>
      </c>
      <c r="G31" s="65">
        <v>75</v>
      </c>
      <c r="H31" s="64">
        <v>57</v>
      </c>
      <c r="I31" s="64">
        <v>42.640999999999998</v>
      </c>
      <c r="J31" s="64">
        <v>45.8</v>
      </c>
      <c r="K31" s="86"/>
      <c r="L31" s="67">
        <f>SUM(G31:K31)</f>
        <v>220.44099999999997</v>
      </c>
      <c r="M31" s="652"/>
      <c r="N31" s="49"/>
      <c r="O31" s="87" t="str">
        <f>IF(V31=1,Only_intake_recorded,IF(OR(W31=1,AB31=1),Intake_missing,"OK"))</f>
        <v>OK</v>
      </c>
      <c r="P31" s="88" t="str">
        <f>IF(OR(X31=1,AA31=1),Intake_inconsistent,"OK")</f>
        <v>OK</v>
      </c>
      <c r="Q31" s="88"/>
      <c r="R31" s="89"/>
      <c r="S31" s="90"/>
      <c r="T31" s="12"/>
      <c r="V31" s="1246">
        <f>IF(AND(C31&gt;0,L31=0),1,0)</f>
        <v>0</v>
      </c>
      <c r="W31" s="1246">
        <f>IF(AND(C31=0,L31&gt;0),1,0)</f>
        <v>0</v>
      </c>
      <c r="X31" s="1245">
        <f>IF(C31&gt;L31,1,0)</f>
        <v>0</v>
      </c>
      <c r="Y31" s="1245">
        <f>IF(SUM(H31:K31)&gt;0,1,0)</f>
        <v>1</v>
      </c>
      <c r="Z31" s="1245">
        <f>IF(C31=L31,1,0)</f>
        <v>0</v>
      </c>
      <c r="AA31" s="1245">
        <f>Y31*Z31</f>
        <v>0</v>
      </c>
      <c r="AB31" s="1246">
        <f>IF(AND(C31=0,F31&gt;0),1,0)</f>
        <v>0</v>
      </c>
    </row>
    <row r="32" spans="1:28" ht="30" customHeight="1">
      <c r="A32" s="636"/>
      <c r="B32" s="700" t="s">
        <v>61</v>
      </c>
      <c r="C32" s="91"/>
      <c r="D32" s="91"/>
      <c r="E32" s="655"/>
      <c r="F32" s="63"/>
      <c r="G32" s="63"/>
      <c r="H32" s="63"/>
      <c r="I32" s="63"/>
      <c r="J32" s="63"/>
      <c r="K32" s="63"/>
      <c r="L32" s="63"/>
      <c r="M32" s="23"/>
      <c r="N32" s="63"/>
      <c r="O32" s="92"/>
      <c r="P32" s="12"/>
      <c r="Q32" s="12"/>
      <c r="R32" s="12"/>
      <c r="S32" s="12"/>
      <c r="T32" s="12"/>
      <c r="U32" s="1245"/>
      <c r="V32" s="1245"/>
      <c r="W32" s="1245"/>
      <c r="X32" s="1245"/>
      <c r="Y32" s="1245"/>
      <c r="Z32" s="1245"/>
      <c r="AA32" s="1245"/>
      <c r="AB32" s="1245"/>
    </row>
    <row r="33" spans="1:20" ht="20.100000000000001" customHeight="1">
      <c r="A33" s="649"/>
      <c r="B33" s="150"/>
      <c r="C33" s="93"/>
      <c r="D33" s="93"/>
      <c r="E33" s="93"/>
      <c r="F33" s="1306"/>
      <c r="G33" s="93"/>
      <c r="H33" s="93"/>
      <c r="I33" s="93"/>
      <c r="J33" s="93"/>
      <c r="K33" s="93"/>
      <c r="L33" s="93"/>
      <c r="M33" s="653"/>
      <c r="N33" s="63"/>
      <c r="O33" s="92"/>
      <c r="P33" s="12"/>
      <c r="Q33" s="12"/>
      <c r="R33" s="12"/>
      <c r="S33" s="12"/>
      <c r="T33" s="12"/>
    </row>
    <row r="34" spans="1:20" ht="12.75" customHeight="1">
      <c r="B34" s="1240"/>
      <c r="C34" s="1247"/>
      <c r="D34" s="1247"/>
      <c r="E34" s="1247"/>
      <c r="F34" s="1247"/>
      <c r="G34" s="1247"/>
      <c r="H34" s="1247"/>
      <c r="I34" s="1247"/>
      <c r="J34" s="1247"/>
      <c r="K34" s="1247"/>
      <c r="L34" s="1247"/>
      <c r="M34" s="1247"/>
      <c r="N34" s="1247"/>
      <c r="O34" s="1247"/>
    </row>
    <row r="35" spans="1:20">
      <c r="C35" s="1247"/>
      <c r="D35" s="1247"/>
      <c r="E35" s="1247"/>
      <c r="F35" s="1247"/>
      <c r="G35" s="1247"/>
      <c r="H35" s="1247"/>
      <c r="I35" s="1247"/>
      <c r="J35" s="1247"/>
      <c r="K35" s="1247"/>
      <c r="L35" s="1247"/>
      <c r="M35" s="1247"/>
      <c r="N35" s="1247"/>
      <c r="O35" s="1247"/>
    </row>
    <row r="36" spans="1:20">
      <c r="C36" s="1247"/>
      <c r="D36" s="1247"/>
      <c r="E36" s="1247"/>
      <c r="F36" s="1247"/>
      <c r="G36" s="1247"/>
      <c r="H36" s="1247"/>
      <c r="I36" s="1247"/>
      <c r="J36" s="1247"/>
      <c r="K36" s="1247"/>
      <c r="L36" s="1247"/>
      <c r="M36" s="1247"/>
      <c r="N36" s="1247"/>
      <c r="O36" s="1247"/>
    </row>
    <row r="37" spans="1:20">
      <c r="C37" s="1247"/>
      <c r="D37" s="1247"/>
      <c r="E37" s="1247"/>
      <c r="F37" s="1247"/>
      <c r="G37" s="1247"/>
      <c r="H37" s="1247"/>
      <c r="I37" s="1247"/>
      <c r="J37" s="1247"/>
      <c r="K37" s="1247"/>
      <c r="L37" s="1247"/>
      <c r="M37" s="1247"/>
      <c r="N37" s="1247"/>
      <c r="O37" s="1247"/>
    </row>
  </sheetData>
  <sheetProtection password="E23E" sheet="1" objects="1" scenarios="1"/>
  <mergeCells count="20">
    <mergeCell ref="R12:R13"/>
    <mergeCell ref="O11:O12"/>
    <mergeCell ref="P11:P12"/>
    <mergeCell ref="Q11:S11"/>
    <mergeCell ref="C4:E4"/>
    <mergeCell ref="G9:L9"/>
    <mergeCell ref="G8:L8"/>
    <mergeCell ref="B9:B10"/>
    <mergeCell ref="Z8:Z10"/>
    <mergeCell ref="AA8:AA10"/>
    <mergeCell ref="AB8:AB10"/>
    <mergeCell ref="C9:C10"/>
    <mergeCell ref="D9:D10"/>
    <mergeCell ref="E9:E10"/>
    <mergeCell ref="X8:X10"/>
    <mergeCell ref="V8:V10"/>
    <mergeCell ref="W8:W10"/>
    <mergeCell ref="Y8:Y9"/>
    <mergeCell ref="F8:F10"/>
    <mergeCell ref="C8:E8"/>
  </mergeCells>
  <conditionalFormatting sqref="G16 G17:H17 H24 C27:D29 C31:D31 C23:D24 F23:G24 C20:D20 C16:D17 F16:F17 G27:J29 F31:K31 F20:J20">
    <cfRule type="expression" dxfId="84" priority="119" stopIfTrue="1">
      <formula>$F$4=0</formula>
    </cfRule>
  </conditionalFormatting>
  <conditionalFormatting sqref="O31:S31 O16:S17 O20:S20 O23:S24 O27:S29">
    <cfRule type="expression" dxfId="83" priority="133" stopIfTrue="1">
      <formula>$F$4=0</formula>
    </cfRule>
  </conditionalFormatting>
  <conditionalFormatting sqref="A1:T1">
    <cfRule type="expression" dxfId="82" priority="138" stopIfTrue="1">
      <formula>$F$4=0</formula>
    </cfRule>
  </conditionalFormatting>
  <dataValidations count="2">
    <dataValidation type="decimal" operator="greaterThanOrEqual" allowBlank="1" showInputMessage="1" showErrorMessage="1" errorTitle="ERROR!" error="Invalid Entry" sqref="C16:D17 G16 G17 H17 C20:D20 G31:K31 C23:D24 G23 G24 H24 C27:D29 C31:D31 G27:J29 G20:J20">
      <formula1>0</formula1>
    </dataValidation>
    <dataValidation type="whole" operator="greaterThanOrEqual" allowBlank="1" showInputMessage="1" showErrorMessage="1" sqref="F16:F17 F20 F23:F24 F31">
      <formula1>0</formula1>
    </dataValidation>
  </dataValidations>
  <printOptions horizontalCentered="1" verticalCentered="1"/>
  <pageMargins left="0.19685039370078741" right="0.19685039370078741" top="0.19685039370078741" bottom="0.15748031496062992" header="0.15748031496062992" footer="0.1574803149606299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zoomScale="80" zoomScaleNormal="80" workbookViewId="0"/>
  </sheetViews>
  <sheetFormatPr defaultColWidth="9.140625" defaultRowHeight="15"/>
  <cols>
    <col min="1" max="1" width="2.7109375" style="1242" customWidth="1"/>
    <col min="2" max="2" width="43.140625" style="1242" customWidth="1"/>
    <col min="3" max="16" width="10.7109375" style="1242" customWidth="1"/>
    <col min="17" max="18" width="2.7109375" style="1242" customWidth="1"/>
    <col min="19" max="24" width="15.7109375" style="1242" customWidth="1"/>
    <col min="25" max="25" width="4" style="1242" customWidth="1"/>
    <col min="26" max="16384" width="9.140625" style="1242"/>
  </cols>
  <sheetData>
    <row r="1" spans="1:25" ht="39.950000000000003" customHeight="1">
      <c r="A1" s="338"/>
      <c r="B1" s="366" t="str">
        <f>IF(G4=0,"Your Institution Does Not Complete This Table","")</f>
        <v>Your Institution Does Not Complete This Table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8"/>
      <c r="S1" s="7"/>
      <c r="T1" s="7"/>
      <c r="U1" s="7"/>
      <c r="V1" s="7"/>
      <c r="W1" s="7"/>
      <c r="X1" s="7"/>
      <c r="Y1" s="7"/>
    </row>
    <row r="2" spans="1:25" ht="30" customHeight="1">
      <c r="A2" s="688"/>
      <c r="B2" s="629" t="s">
        <v>329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104"/>
      <c r="R2" s="28"/>
      <c r="S2" s="12"/>
      <c r="T2" s="12"/>
      <c r="U2" s="12"/>
      <c r="V2" s="12"/>
      <c r="W2" s="12"/>
      <c r="X2" s="12"/>
      <c r="Y2" s="12"/>
    </row>
    <row r="3" spans="1:25" ht="15" customHeight="1" thickBot="1">
      <c r="A3" s="636"/>
      <c r="B3" s="70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39"/>
      <c r="R3" s="28"/>
      <c r="S3" s="12"/>
      <c r="T3" s="12"/>
      <c r="U3" s="12"/>
      <c r="V3" s="12"/>
      <c r="W3" s="12"/>
      <c r="X3" s="12"/>
      <c r="Y3" s="12"/>
    </row>
    <row r="4" spans="1:25" ht="35.1" customHeight="1" thickBot="1">
      <c r="A4" s="636"/>
      <c r="B4" s="736" t="s">
        <v>0</v>
      </c>
      <c r="C4" s="1877" t="str">
        <f>VLOOKUP('Background Data'!$C$2,Inst_Tables,2,FALSE)</f>
        <v>Glasgow, University of</v>
      </c>
      <c r="D4" s="1878"/>
      <c r="E4" s="1878"/>
      <c r="F4" s="1879"/>
      <c r="G4" s="1618">
        <f>VLOOKUP('Background Data'!$C$2,Inst_Tables,4,FALSE)</f>
        <v>0</v>
      </c>
      <c r="H4" s="334"/>
      <c r="I4" s="13"/>
      <c r="J4" s="13"/>
      <c r="K4" s="13"/>
      <c r="L4" s="13"/>
      <c r="M4" s="13"/>
      <c r="N4" s="13"/>
      <c r="O4" s="13"/>
      <c r="P4" s="13"/>
      <c r="Q4" s="39"/>
      <c r="R4" s="28"/>
      <c r="S4" s="12"/>
      <c r="T4" s="12"/>
      <c r="U4" s="12"/>
      <c r="V4" s="12"/>
      <c r="W4" s="12"/>
      <c r="X4" s="12"/>
      <c r="Y4" s="12"/>
    </row>
    <row r="5" spans="1:25" ht="30" customHeight="1">
      <c r="A5" s="636"/>
      <c r="B5" s="702" t="s">
        <v>310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9"/>
      <c r="R5" s="28"/>
      <c r="S5" s="12"/>
      <c r="T5" s="12"/>
      <c r="U5" s="12"/>
      <c r="V5" s="12"/>
      <c r="W5" s="12"/>
      <c r="X5" s="12"/>
      <c r="Y5" s="12"/>
    </row>
    <row r="6" spans="1:25" ht="30" customHeight="1">
      <c r="A6" s="636"/>
      <c r="B6" s="703" t="s">
        <v>420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9"/>
      <c r="R6" s="28"/>
      <c r="S6" s="12"/>
      <c r="T6" s="12"/>
      <c r="U6" s="12"/>
      <c r="V6" s="12"/>
      <c r="W6" s="12"/>
      <c r="X6" s="12"/>
      <c r="Y6" s="12"/>
    </row>
    <row r="7" spans="1:25" ht="15" customHeight="1" thickBot="1">
      <c r="A7" s="636"/>
      <c r="B7" s="703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9"/>
      <c r="R7" s="28"/>
      <c r="S7" s="12"/>
      <c r="T7" s="12"/>
      <c r="U7" s="12"/>
      <c r="V7" s="12"/>
      <c r="W7" s="12"/>
      <c r="X7" s="12"/>
      <c r="Y7" s="12"/>
    </row>
    <row r="8" spans="1:25" ht="35.1" customHeight="1">
      <c r="A8" s="636"/>
      <c r="B8" s="706"/>
      <c r="C8" s="1888" t="s">
        <v>27</v>
      </c>
      <c r="D8" s="1868"/>
      <c r="E8" s="1868"/>
      <c r="F8" s="1868"/>
      <c r="G8" s="1868"/>
      <c r="H8" s="1868"/>
      <c r="I8" s="1868"/>
      <c r="J8" s="1868"/>
      <c r="K8" s="1868"/>
      <c r="L8" s="1868"/>
      <c r="M8" s="1868"/>
      <c r="N8" s="1869"/>
      <c r="O8" s="338"/>
      <c r="P8" s="338"/>
      <c r="Q8" s="39"/>
      <c r="R8" s="28"/>
      <c r="S8" s="12"/>
      <c r="T8" s="12"/>
      <c r="U8" s="12"/>
      <c r="V8" s="12"/>
      <c r="W8" s="12"/>
      <c r="X8" s="12"/>
      <c r="Y8" s="12"/>
    </row>
    <row r="9" spans="1:25" ht="35.1" customHeight="1">
      <c r="A9" s="636"/>
      <c r="B9" s="707" t="s">
        <v>201</v>
      </c>
      <c r="C9" s="105" t="s">
        <v>24</v>
      </c>
      <c r="D9" s="106"/>
      <c r="E9" s="105">
        <v>2</v>
      </c>
      <c r="F9" s="106"/>
      <c r="G9" s="105">
        <v>3</v>
      </c>
      <c r="H9" s="106"/>
      <c r="I9" s="105">
        <v>4</v>
      </c>
      <c r="J9" s="106"/>
      <c r="K9" s="105">
        <v>5</v>
      </c>
      <c r="L9" s="106"/>
      <c r="M9" s="1886" t="s">
        <v>2</v>
      </c>
      <c r="N9" s="1887"/>
      <c r="O9" s="338"/>
      <c r="P9" s="338"/>
      <c r="Q9" s="39"/>
      <c r="R9" s="28"/>
      <c r="S9" s="12"/>
      <c r="T9" s="12"/>
      <c r="U9" s="12"/>
      <c r="V9" s="12"/>
      <c r="W9" s="12"/>
      <c r="X9" s="12"/>
      <c r="Y9" s="12"/>
    </row>
    <row r="10" spans="1:25" ht="35.1" customHeight="1">
      <c r="A10" s="636"/>
      <c r="B10" s="708"/>
      <c r="C10" s="20" t="s">
        <v>17</v>
      </c>
      <c r="D10" s="108" t="s">
        <v>63</v>
      </c>
      <c r="E10" s="20" t="s">
        <v>17</v>
      </c>
      <c r="F10" s="108" t="s">
        <v>63</v>
      </c>
      <c r="G10" s="20" t="s">
        <v>17</v>
      </c>
      <c r="H10" s="108" t="s">
        <v>63</v>
      </c>
      <c r="I10" s="20" t="s">
        <v>17</v>
      </c>
      <c r="J10" s="108" t="s">
        <v>63</v>
      </c>
      <c r="K10" s="20" t="s">
        <v>17</v>
      </c>
      <c r="L10" s="108" t="s">
        <v>63</v>
      </c>
      <c r="M10" s="107" t="s">
        <v>17</v>
      </c>
      <c r="N10" s="109" t="s">
        <v>63</v>
      </c>
      <c r="O10" s="338"/>
      <c r="P10" s="338"/>
      <c r="Q10" s="23"/>
      <c r="R10" s="28"/>
      <c r="S10" s="110" t="s">
        <v>59</v>
      </c>
      <c r="T10" s="12"/>
      <c r="U10" s="12"/>
      <c r="V10" s="12"/>
      <c r="W10" s="12"/>
      <c r="X10" s="12"/>
      <c r="Y10" s="12"/>
    </row>
    <row r="11" spans="1:25" ht="35.1" customHeight="1">
      <c r="A11" s="636"/>
      <c r="B11" s="708"/>
      <c r="C11" s="160" t="s">
        <v>30</v>
      </c>
      <c r="D11" s="159" t="s">
        <v>30</v>
      </c>
      <c r="E11" s="160" t="s">
        <v>30</v>
      </c>
      <c r="F11" s="159" t="s">
        <v>30</v>
      </c>
      <c r="G11" s="160" t="s">
        <v>30</v>
      </c>
      <c r="H11" s="159" t="s">
        <v>30</v>
      </c>
      <c r="I11" s="160" t="s">
        <v>30</v>
      </c>
      <c r="J11" s="159" t="s">
        <v>30</v>
      </c>
      <c r="K11" s="160" t="s">
        <v>30</v>
      </c>
      <c r="L11" s="159" t="s">
        <v>30</v>
      </c>
      <c r="M11" s="161" t="s">
        <v>112</v>
      </c>
      <c r="N11" s="628" t="s">
        <v>112</v>
      </c>
      <c r="O11" s="338"/>
      <c r="P11" s="338"/>
      <c r="Q11" s="23"/>
      <c r="R11" s="28"/>
      <c r="S11" s="111" t="s">
        <v>66</v>
      </c>
      <c r="T11" s="111" t="s">
        <v>67</v>
      </c>
      <c r="U11" s="111" t="s">
        <v>68</v>
      </c>
      <c r="V11" s="111" t="s">
        <v>69</v>
      </c>
      <c r="W11" s="111" t="s">
        <v>70</v>
      </c>
      <c r="X11" s="111" t="s">
        <v>2</v>
      </c>
      <c r="Y11" s="12"/>
    </row>
    <row r="12" spans="1:25" ht="30" customHeight="1" thickBot="1">
      <c r="A12" s="636"/>
      <c r="B12" s="709"/>
      <c r="C12" s="919">
        <v>3</v>
      </c>
      <c r="D12" s="919">
        <v>4</v>
      </c>
      <c r="E12" s="919">
        <v>5</v>
      </c>
      <c r="F12" s="919">
        <v>6</v>
      </c>
      <c r="G12" s="919">
        <v>7</v>
      </c>
      <c r="H12" s="919">
        <v>8</v>
      </c>
      <c r="I12" s="919">
        <v>9</v>
      </c>
      <c r="J12" s="919">
        <v>10</v>
      </c>
      <c r="K12" s="919">
        <v>11</v>
      </c>
      <c r="L12" s="919">
        <v>12</v>
      </c>
      <c r="M12" s="919">
        <v>13</v>
      </c>
      <c r="N12" s="922">
        <v>14</v>
      </c>
      <c r="O12" s="338"/>
      <c r="P12" s="338"/>
      <c r="Q12" s="23"/>
      <c r="R12" s="28"/>
      <c r="S12" s="111"/>
      <c r="T12" s="111"/>
      <c r="U12" s="111"/>
      <c r="V12" s="111"/>
      <c r="W12" s="111"/>
      <c r="X12" s="111"/>
      <c r="Y12" s="12"/>
    </row>
    <row r="13" spans="1:25" ht="45" customHeight="1">
      <c r="A13" s="636"/>
      <c r="B13" s="719" t="s">
        <v>11</v>
      </c>
      <c r="C13" s="114"/>
      <c r="D13" s="115"/>
      <c r="E13" s="112"/>
      <c r="F13" s="113"/>
      <c r="G13" s="114"/>
      <c r="H13" s="115"/>
      <c r="I13" s="112"/>
      <c r="J13" s="113"/>
      <c r="K13" s="114"/>
      <c r="L13" s="115"/>
      <c r="M13" s="116">
        <f>SUM(C13,E13,G13,I13,K13)</f>
        <v>0</v>
      </c>
      <c r="N13" s="117">
        <f>SUM(D13,F13,H13,J13,L13)</f>
        <v>0</v>
      </c>
      <c r="O13" s="338"/>
      <c r="P13" s="338"/>
      <c r="Q13" s="39"/>
      <c r="R13" s="28"/>
      <c r="S13" s="118" t="str">
        <f>IF(C13&lt;=D13,"OK","FTE larger than Headcount")</f>
        <v>OK</v>
      </c>
      <c r="T13" s="119" t="str">
        <f>IF(E13&lt;=F13,"OK","FTE larger than Headcount")</f>
        <v>OK</v>
      </c>
      <c r="U13" s="119" t="str">
        <f>IF(G13&lt;=H13,"OK","FTE larger than Headcount")</f>
        <v>OK</v>
      </c>
      <c r="V13" s="119" t="str">
        <f>IF(I13&lt;=J13,"OK","FTE larger than Headcount")</f>
        <v>OK</v>
      </c>
      <c r="W13" s="119" t="str">
        <f>IF(K13&lt;=L13,"OK","FTE larger than Headcount")</f>
        <v>OK</v>
      </c>
      <c r="X13" s="120" t="str">
        <f>IF(M13&lt;=N13,"OK","FTE larger than Headcount")</f>
        <v>OK</v>
      </c>
      <c r="Y13" s="12"/>
    </row>
    <row r="14" spans="1:25" ht="45" customHeight="1" thickBot="1">
      <c r="A14" s="636"/>
      <c r="B14" s="746" t="s">
        <v>177</v>
      </c>
      <c r="C14" s="123"/>
      <c r="D14" s="124"/>
      <c r="E14" s="121"/>
      <c r="F14" s="122"/>
      <c r="G14" s="123"/>
      <c r="H14" s="124"/>
      <c r="I14" s="121"/>
      <c r="J14" s="122"/>
      <c r="K14" s="123"/>
      <c r="L14" s="124"/>
      <c r="M14" s="1795">
        <f>SUM(C14,E14,G14,I14,K14)</f>
        <v>0</v>
      </c>
      <c r="N14" s="1796">
        <f>SUM(D14,F14,H14,J14,L14)</f>
        <v>0</v>
      </c>
      <c r="O14" s="338"/>
      <c r="P14" s="338"/>
      <c r="Q14" s="39"/>
      <c r="R14" s="28"/>
      <c r="S14" s="125" t="str">
        <f>IF(C14&lt;=D14,"OK","FTE larger than Headcount")</f>
        <v>OK</v>
      </c>
      <c r="T14" s="126" t="str">
        <f>IF(E14&lt;=F14,"OK","FTE larger than Headcount")</f>
        <v>OK</v>
      </c>
      <c r="U14" s="126" t="str">
        <f>IF(G14&lt;=H14,"OK","FTE larger than Headcount")</f>
        <v>OK</v>
      </c>
      <c r="V14" s="126" t="str">
        <f>IF(I14&lt;=J14,"OK","FTE larger than Headcount")</f>
        <v>OK</v>
      </c>
      <c r="W14" s="126" t="str">
        <f>IF(K14&lt;=L14,"OK","FTE larger than Headcount")</f>
        <v>OK</v>
      </c>
      <c r="X14" s="127" t="str">
        <f>IF(M14&lt;=N14,"OK","FTE larger than Headcount")</f>
        <v>OK</v>
      </c>
      <c r="Y14" s="12"/>
    </row>
    <row r="15" spans="1:25" ht="30" customHeight="1">
      <c r="A15" s="649"/>
      <c r="B15" s="705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9"/>
      <c r="R15" s="28"/>
      <c r="S15" s="12"/>
      <c r="T15" s="12"/>
      <c r="U15" s="12"/>
      <c r="V15" s="12"/>
      <c r="W15" s="12"/>
      <c r="X15" s="12"/>
      <c r="Y15" s="12"/>
    </row>
    <row r="16" spans="1:25" ht="30" customHeight="1">
      <c r="A16" s="338"/>
      <c r="B16" s="71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102"/>
      <c r="Q16" s="102"/>
      <c r="R16" s="28"/>
      <c r="S16" s="110" t="s">
        <v>73</v>
      </c>
      <c r="T16" s="12"/>
      <c r="U16" s="12"/>
      <c r="V16" s="12"/>
      <c r="W16" s="12"/>
      <c r="X16" s="12"/>
      <c r="Y16" s="12"/>
    </row>
    <row r="17" spans="1:25" ht="9.9499999999999993" customHeight="1" thickBot="1">
      <c r="A17" s="338"/>
      <c r="B17" s="704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28"/>
      <c r="S17" s="12"/>
      <c r="T17" s="12"/>
      <c r="U17" s="12"/>
      <c r="V17" s="12"/>
      <c r="W17" s="12"/>
      <c r="X17" s="12"/>
      <c r="Y17" s="12"/>
    </row>
    <row r="18" spans="1:25" ht="45" customHeight="1">
      <c r="A18" s="338"/>
      <c r="B18" s="130"/>
      <c r="C18" s="130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28"/>
      <c r="S18" s="132" t="str">
        <f>IF(OR((COUNTBLANK(C13:D13)=1),AND(MAX(C13,D13)&gt;0,MIN(C13,D13)=0)),"Only one of FTE and Headcount is non-zero","OK")</f>
        <v>OK</v>
      </c>
      <c r="T18" s="133" t="str">
        <f>IF(OR((COUNTBLANK(E13:F13)=1),AND(MAX(E13,F13)&gt;0,MIN(E13,F13)=0)),"Only one of FTE and Headcount is non-zero","OK")</f>
        <v>OK</v>
      </c>
      <c r="U18" s="133" t="str">
        <f>IF(OR((COUNTBLANK(G13:H13)=1),AND(MAX(G13,H13)&gt;0,MIN(G13,H13)=0)),"Only one of FTE and Headcount is non-zero","OK")</f>
        <v>OK</v>
      </c>
      <c r="V18" s="133" t="str">
        <f>IF(OR((COUNTBLANK(I13:J13)=1),AND(MAX(I13,J13)&gt;0,MIN(I13,J13)=0)),"Only one of FTE and Headcount is non-zero","OK")</f>
        <v>OK</v>
      </c>
      <c r="W18" s="133" t="str">
        <f>IF(OR((COUNTBLANK(K13:L13)=1),AND(MAX(K13,L13)&gt;0,MIN(K13,L13)=0)),"Only one of FTE and Headcount is non-zero","OK")</f>
        <v>OK</v>
      </c>
      <c r="X18" s="134" t="str">
        <f>IF(OR((COUNTBLANK(M13:N13)=1),AND(MAX(M13,N13)&gt;0,MIN(M13,N13)=0)),"Only one of FTE and Headcount is non-zero","OK")</f>
        <v>OK</v>
      </c>
      <c r="Y18" s="12"/>
    </row>
    <row r="19" spans="1:25" ht="45" customHeight="1" thickBot="1">
      <c r="A19" s="338"/>
      <c r="B19" s="28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6" t="str">
        <f>IF(OR((COUNTBLANK(C14:D14)=1),AND(MAX(C14,D14)&gt;0,MIN(C14,D14)=0)),"Only one of FTE and Headcount is non-zero","OK")</f>
        <v>OK</v>
      </c>
      <c r="T19" s="137" t="str">
        <f>IF(OR((COUNTBLANK(E14:F14)=1),AND(MAX(E14,F14)&gt;0,MIN(E14,F14)=0)),"Only one of FTE and Headcount is non-zero","OK")</f>
        <v>OK</v>
      </c>
      <c r="U19" s="137" t="str">
        <f>IF(OR((COUNTBLANK(G14:H14)=1),AND(MAX(G14,H14)&gt;0,MIN(G14,H14)=0)),"Only one of FTE and Headcount is non-zero","OK")</f>
        <v>OK</v>
      </c>
      <c r="V19" s="137" t="str">
        <f>IF(OR((COUNTBLANK(I14:J14)=1),AND(MAX(I14,J14)&gt;0,MIN(I14,J14)=0)),"Only one of FTE and Headcount is non-zero","OK")</f>
        <v>OK</v>
      </c>
      <c r="W19" s="137" t="str">
        <f>IF(OR((COUNTBLANK(K14:L14)=1),AND(MAX(K14,L14)&gt;0,MIN(K14,L14)=0)),"Only one of FTE and Headcount is non-zero","OK")</f>
        <v>OK</v>
      </c>
      <c r="X19" s="138" t="str">
        <f>IF(OR((COUNTBLANK(M14:N14)=1),AND(MAX(M14,N14)&gt;0,MIN(M14,N14)=0)),"Only one of FTE and Headcount is non-zero","OK")</f>
        <v>OK</v>
      </c>
      <c r="Y19" s="12"/>
    </row>
    <row r="20" spans="1:25" ht="33.75" customHeight="1">
      <c r="A20" s="33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9"/>
      <c r="T20" s="139"/>
      <c r="U20" s="139"/>
      <c r="V20" s="139"/>
      <c r="W20" s="139"/>
      <c r="X20" s="139"/>
      <c r="Y20" s="12"/>
    </row>
    <row r="21" spans="1:25" ht="12.75" customHeight="1">
      <c r="B21" s="1240"/>
      <c r="C21" s="1247"/>
      <c r="D21" s="1247"/>
      <c r="E21" s="1247"/>
      <c r="F21" s="1247"/>
      <c r="G21" s="1247"/>
      <c r="H21" s="1247"/>
      <c r="I21" s="1247"/>
      <c r="J21" s="1247"/>
      <c r="K21" s="1247"/>
      <c r="L21" s="1247"/>
      <c r="M21" s="1247"/>
      <c r="N21" s="1247"/>
    </row>
    <row r="22" spans="1:25">
      <c r="C22" s="1247"/>
      <c r="D22" s="1247"/>
      <c r="E22" s="1247"/>
      <c r="F22" s="1247"/>
      <c r="G22" s="1247"/>
      <c r="H22" s="1247"/>
      <c r="I22" s="1247"/>
      <c r="J22" s="1247"/>
      <c r="K22" s="1247"/>
      <c r="L22" s="1247"/>
      <c r="M22" s="1247"/>
      <c r="N22" s="1247"/>
    </row>
    <row r="23" spans="1:25">
      <c r="C23" s="1247"/>
      <c r="D23" s="1247"/>
      <c r="E23" s="1247"/>
      <c r="F23" s="1247"/>
      <c r="G23" s="1247"/>
      <c r="H23" s="1247"/>
      <c r="I23" s="1247"/>
      <c r="J23" s="1247"/>
      <c r="K23" s="1247"/>
      <c r="L23" s="1247"/>
      <c r="M23" s="1247"/>
      <c r="N23" s="1247"/>
    </row>
  </sheetData>
  <sheetProtection password="E23E" sheet="1" objects="1" scenarios="1"/>
  <mergeCells count="3">
    <mergeCell ref="M9:N9"/>
    <mergeCell ref="C4:F4"/>
    <mergeCell ref="C8:N8"/>
  </mergeCells>
  <conditionalFormatting sqref="B3:D3 B18:D18">
    <cfRule type="expression" dxfId="81" priority="14" stopIfTrue="1">
      <formula>#REF!=0</formula>
    </cfRule>
  </conditionalFormatting>
  <conditionalFormatting sqref="B4:C4">
    <cfRule type="expression" dxfId="80" priority="18" stopIfTrue="1">
      <formula>#REF!=0</formula>
    </cfRule>
  </conditionalFormatting>
  <conditionalFormatting sqref="B5">
    <cfRule type="expression" dxfId="79" priority="1" stopIfTrue="1">
      <formula>#REF!=0</formula>
    </cfRule>
  </conditionalFormatting>
  <conditionalFormatting sqref="C13:L14">
    <cfRule type="expression" dxfId="78" priority="82" stopIfTrue="1">
      <formula>$G$4=0</formula>
    </cfRule>
  </conditionalFormatting>
  <conditionalFormatting sqref="S13:X14 S18:X19">
    <cfRule type="expression" dxfId="77" priority="83" stopIfTrue="1">
      <formula>$G$4=0</formula>
    </cfRule>
  </conditionalFormatting>
  <conditionalFormatting sqref="A1:Y1">
    <cfRule type="expression" dxfId="76" priority="85" stopIfTrue="1">
      <formula>$G$4=0</formula>
    </cfRule>
  </conditionalFormatting>
  <dataValidations count="3">
    <dataValidation allowBlank="1" sqref="S18:X20 C12:N12"/>
    <dataValidation type="whole" operator="greaterThanOrEqual" allowBlank="1" showInputMessage="1" showErrorMessage="1" errorTitle="ERROR!" error="Invalid Entry" sqref="L13:L14 J13:J14 H13:H14 F13:F14 D13:D14">
      <formula1>0</formula1>
    </dataValidation>
    <dataValidation type="decimal" operator="greaterThanOrEqual" allowBlank="1" showInputMessage="1" showErrorMessage="1" errorTitle="ERROR!" error="Invalid Entry" sqref="K13:K14 C13:C14 E13:E14 G13:G14 I13:I14">
      <formula1>0</formula1>
    </dataValidation>
  </dataValidations>
  <printOptions horizontalCentered="1" verticalCentered="1"/>
  <pageMargins left="0.19685039370078741" right="0.19685039370078741" top="0.19685039370078741" bottom="0.23622047244094491" header="0.19685039370078741" footer="0.15748031496062992"/>
  <pageSetup paperSize="9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80" zoomScaleNormal="80" workbookViewId="0"/>
  </sheetViews>
  <sheetFormatPr defaultColWidth="9.140625" defaultRowHeight="15"/>
  <cols>
    <col min="1" max="1" width="2.7109375" style="1242" customWidth="1"/>
    <col min="2" max="2" width="24.7109375" style="1242" customWidth="1"/>
    <col min="3" max="5" width="16.7109375" style="1242" customWidth="1"/>
    <col min="6" max="6" width="5.7109375" style="1242" customWidth="1"/>
    <col min="7" max="16384" width="9.140625" style="1242"/>
  </cols>
  <sheetData>
    <row r="1" spans="1:6" ht="39.950000000000003" customHeight="1">
      <c r="A1" s="338"/>
      <c r="B1" s="366" t="str">
        <f>IF(F4=0,"Your Institution Does Not Complete This Table","")</f>
        <v/>
      </c>
      <c r="C1" s="7"/>
      <c r="D1" s="7"/>
      <c r="E1" s="7"/>
      <c r="F1" s="7"/>
    </row>
    <row r="2" spans="1:6" ht="30" customHeight="1">
      <c r="A2" s="688"/>
      <c r="B2" s="629" t="s">
        <v>330</v>
      </c>
      <c r="C2" s="9"/>
      <c r="D2" s="9"/>
      <c r="E2" s="9"/>
      <c r="F2" s="452"/>
    </row>
    <row r="3" spans="1:6" ht="15" customHeight="1" thickBot="1">
      <c r="A3" s="636"/>
      <c r="B3" s="130"/>
      <c r="C3" s="141"/>
      <c r="D3" s="141"/>
      <c r="E3" s="141"/>
      <c r="F3" s="142"/>
    </row>
    <row r="4" spans="1:6" ht="35.1" customHeight="1" thickBot="1">
      <c r="A4" s="636"/>
      <c r="B4" s="712" t="s">
        <v>0</v>
      </c>
      <c r="C4" s="1877" t="str">
        <f>VLOOKUP('Background Data'!$C$2,Inst_Tables,2,FALSE)</f>
        <v>Glasgow, University of</v>
      </c>
      <c r="D4" s="1878"/>
      <c r="E4" s="1879"/>
      <c r="F4" s="451">
        <f>VLOOKUP('Background Data'!$C$2,Inst_Tables,5,FALSE)</f>
        <v>1</v>
      </c>
    </row>
    <row r="5" spans="1:6" ht="35.1" customHeight="1">
      <c r="A5" s="636"/>
      <c r="B5" s="713" t="s">
        <v>311</v>
      </c>
      <c r="C5" s="144"/>
      <c r="D5" s="32"/>
      <c r="E5" s="32"/>
      <c r="F5" s="146"/>
    </row>
    <row r="6" spans="1:6" ht="30" customHeight="1">
      <c r="A6" s="636"/>
      <c r="B6" s="703" t="s">
        <v>421</v>
      </c>
      <c r="C6" s="144"/>
      <c r="D6" s="32"/>
      <c r="E6" s="32"/>
      <c r="F6" s="146"/>
    </row>
    <row r="7" spans="1:6" ht="15" customHeight="1" thickBot="1">
      <c r="A7" s="636"/>
      <c r="B7" s="703"/>
      <c r="C7" s="144"/>
      <c r="D7" s="32"/>
      <c r="E7" s="32"/>
      <c r="F7" s="146"/>
    </row>
    <row r="8" spans="1:6" ht="60" customHeight="1">
      <c r="A8" s="636"/>
      <c r="B8" s="714"/>
      <c r="C8" s="1889" t="s">
        <v>331</v>
      </c>
      <c r="D8" s="1889"/>
      <c r="E8" s="1890"/>
      <c r="F8" s="39"/>
    </row>
    <row r="9" spans="1:6" ht="39.950000000000003" customHeight="1">
      <c r="A9" s="636"/>
      <c r="B9" s="715" t="s">
        <v>25</v>
      </c>
      <c r="C9" s="158" t="s">
        <v>278</v>
      </c>
      <c r="D9" s="107" t="s">
        <v>279</v>
      </c>
      <c r="E9" s="22" t="s">
        <v>2</v>
      </c>
      <c r="F9" s="39"/>
    </row>
    <row r="10" spans="1:6" ht="30" customHeight="1">
      <c r="A10" s="636"/>
      <c r="B10" s="716"/>
      <c r="C10" s="155" t="s">
        <v>26</v>
      </c>
      <c r="D10" s="156" t="s">
        <v>26</v>
      </c>
      <c r="E10" s="157" t="s">
        <v>26</v>
      </c>
      <c r="F10" s="39"/>
    </row>
    <row r="11" spans="1:6" ht="30" customHeight="1">
      <c r="A11" s="636"/>
      <c r="B11" s="717"/>
      <c r="C11" s="155" t="s">
        <v>30</v>
      </c>
      <c r="D11" s="156" t="s">
        <v>30</v>
      </c>
      <c r="E11" s="157" t="s">
        <v>3</v>
      </c>
      <c r="F11" s="39"/>
    </row>
    <row r="12" spans="1:6" ht="30" customHeight="1" thickBot="1">
      <c r="A12" s="636"/>
      <c r="B12" s="718"/>
      <c r="C12" s="951">
        <v>1</v>
      </c>
      <c r="D12" s="951">
        <v>2</v>
      </c>
      <c r="E12" s="952">
        <v>3</v>
      </c>
      <c r="F12" s="39"/>
    </row>
    <row r="13" spans="1:6" ht="35.1" customHeight="1">
      <c r="A13" s="636"/>
      <c r="B13" s="719" t="s">
        <v>18</v>
      </c>
      <c r="C13" s="153">
        <v>359</v>
      </c>
      <c r="D13" s="154">
        <v>82</v>
      </c>
      <c r="E13" s="147">
        <f>SUM(C13,D13)</f>
        <v>441</v>
      </c>
      <c r="F13" s="23"/>
    </row>
    <row r="14" spans="1:6" ht="35.1" customHeight="1">
      <c r="A14" s="636"/>
      <c r="B14" s="720" t="s">
        <v>19</v>
      </c>
      <c r="C14" s="153">
        <v>98</v>
      </c>
      <c r="D14" s="154">
        <v>38</v>
      </c>
      <c r="E14" s="147">
        <f>SUM(C14,D14)</f>
        <v>136</v>
      </c>
      <c r="F14" s="23"/>
    </row>
    <row r="15" spans="1:6" ht="35.1" customHeight="1" thickBot="1">
      <c r="A15" s="636"/>
      <c r="B15" s="721" t="s">
        <v>2</v>
      </c>
      <c r="C15" s="148">
        <f>SUM(C13:C14)</f>
        <v>457</v>
      </c>
      <c r="D15" s="148">
        <f>SUM(D13:D14)</f>
        <v>120</v>
      </c>
      <c r="E15" s="149">
        <f>SUM(E13:E14)</f>
        <v>577</v>
      </c>
      <c r="F15" s="23"/>
    </row>
    <row r="16" spans="1:6" ht="24.95" customHeight="1">
      <c r="A16" s="649"/>
      <c r="B16" s="150"/>
      <c r="C16" s="150"/>
      <c r="D16" s="151"/>
      <c r="E16" s="151"/>
      <c r="F16" s="152"/>
    </row>
    <row r="17" spans="2:10" s="1248" customFormat="1" ht="12" customHeight="1">
      <c r="B17" s="1249"/>
    </row>
    <row r="18" spans="2:10">
      <c r="D18" s="1247"/>
      <c r="E18" s="1247"/>
      <c r="F18" s="1247"/>
      <c r="G18" s="1247"/>
      <c r="H18" s="1247"/>
      <c r="I18" s="1247"/>
      <c r="J18" s="1247"/>
    </row>
    <row r="19" spans="2:10">
      <c r="D19" s="1247"/>
      <c r="E19" s="1247"/>
      <c r="F19" s="1247"/>
      <c r="G19" s="1247"/>
      <c r="H19" s="1247"/>
      <c r="I19" s="1247"/>
      <c r="J19" s="1247"/>
    </row>
    <row r="20" spans="2:10">
      <c r="D20" s="1247"/>
      <c r="E20" s="1247"/>
      <c r="F20" s="1247"/>
      <c r="G20" s="1247"/>
      <c r="H20" s="1247"/>
      <c r="I20" s="1247"/>
      <c r="J20" s="1247"/>
    </row>
    <row r="25" spans="2:10" ht="12.75" customHeight="1"/>
  </sheetData>
  <sheetProtection password="E23E" sheet="1" objects="1" scenarios="1"/>
  <mergeCells count="2">
    <mergeCell ref="C8:E8"/>
    <mergeCell ref="C4:E4"/>
  </mergeCells>
  <conditionalFormatting sqref="B2">
    <cfRule type="expression" dxfId="75" priority="1" stopIfTrue="1">
      <formula>#REF!=0</formula>
    </cfRule>
  </conditionalFormatting>
  <conditionalFormatting sqref="A1:F1">
    <cfRule type="expression" dxfId="74" priority="86" stopIfTrue="1">
      <formula>$F$4=0</formula>
    </cfRule>
  </conditionalFormatting>
  <conditionalFormatting sqref="C13:D14">
    <cfRule type="expression" dxfId="73" priority="88" stopIfTrue="1">
      <formula>$F$4=0</formula>
    </cfRule>
  </conditionalFormatting>
  <dataValidations count="1">
    <dataValidation type="whole" operator="greaterThanOrEqual" allowBlank="1" showInputMessage="1" showErrorMessage="1" errorTitle="ERROR!" error="Invalid Entry" sqref="C13:D14">
      <formula1>0</formula1>
    </dataValidation>
  </dataValidations>
  <printOptions horizontalCentered="1" verticalCentered="1"/>
  <pageMargins left="0.2" right="0.19" top="0.2" bottom="0.25" header="0.17" footer="0.1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8"/>
  <sheetViews>
    <sheetView zoomScale="80" zoomScaleNormal="80" workbookViewId="0"/>
  </sheetViews>
  <sheetFormatPr defaultColWidth="9.140625" defaultRowHeight="15"/>
  <cols>
    <col min="1" max="1" width="2.7109375" style="1242" customWidth="1"/>
    <col min="2" max="2" width="35.7109375" style="1242" customWidth="1"/>
    <col min="3" max="14" width="12.7109375" style="1242" customWidth="1"/>
    <col min="15" max="15" width="13.7109375" style="1242" customWidth="1"/>
    <col min="16" max="22" width="12.7109375" style="1242" customWidth="1"/>
    <col min="23" max="23" width="15.7109375" style="1242" customWidth="1"/>
    <col min="24" max="25" width="13.7109375" style="1242" customWidth="1"/>
    <col min="26" max="26" width="15.7109375" style="1242" customWidth="1"/>
    <col min="27" max="28" width="4.7109375" style="1242" customWidth="1"/>
    <col min="29" max="30" width="14.7109375" style="1242" customWidth="1"/>
    <col min="31" max="31" width="29.7109375" style="1242" customWidth="1"/>
    <col min="32" max="32" width="5.7109375" style="1242" customWidth="1"/>
    <col min="33" max="16384" width="9.140625" style="1242"/>
  </cols>
  <sheetData>
    <row r="1" spans="1:32" ht="39.950000000000003" customHeight="1">
      <c r="A1" s="338"/>
      <c r="B1" s="366" t="str">
        <f>IF(G4=0,"Your Institution Does Not Complete This Table","")</f>
        <v/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7"/>
      <c r="AE1" s="7"/>
      <c r="AF1" s="7"/>
    </row>
    <row r="2" spans="1:32" ht="30" customHeight="1">
      <c r="A2" s="688"/>
      <c r="B2" s="629" t="s">
        <v>332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103"/>
      <c r="R2" s="103"/>
      <c r="S2" s="103"/>
      <c r="T2" s="103"/>
      <c r="U2" s="1376"/>
      <c r="V2" s="103"/>
      <c r="W2" s="103"/>
      <c r="X2" s="103"/>
      <c r="Y2" s="103"/>
      <c r="Z2" s="103"/>
      <c r="AA2" s="140"/>
      <c r="AB2" s="32"/>
      <c r="AC2" s="28"/>
      <c r="AD2" s="12"/>
      <c r="AE2" s="12"/>
      <c r="AF2" s="12"/>
    </row>
    <row r="3" spans="1:32" ht="15" customHeight="1" thickBot="1">
      <c r="A3" s="743"/>
      <c r="B3" s="70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791"/>
      <c r="AB3" s="32"/>
      <c r="AC3" s="28"/>
      <c r="AD3" s="12"/>
      <c r="AE3" s="12"/>
      <c r="AF3" s="12"/>
    </row>
    <row r="4" spans="1:32" ht="35.1" customHeight="1" thickBot="1">
      <c r="A4" s="743"/>
      <c r="B4" s="736" t="s">
        <v>0</v>
      </c>
      <c r="C4" s="1877" t="str">
        <f>VLOOKUP('Background Data'!$C$2,Inst_Tables,2,FALSE)</f>
        <v>Glasgow, University of</v>
      </c>
      <c r="D4" s="1878"/>
      <c r="E4" s="1878"/>
      <c r="F4" s="1879"/>
      <c r="G4" s="1618">
        <f>VLOOKUP('Background Data'!$C$2,Inst_Tables,6,FALSE)</f>
        <v>1</v>
      </c>
      <c r="H4" s="334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791"/>
      <c r="AB4" s="32"/>
      <c r="AC4" s="28"/>
      <c r="AD4" s="12"/>
      <c r="AE4" s="12"/>
      <c r="AF4" s="12"/>
    </row>
    <row r="5" spans="1:32" ht="30" customHeight="1">
      <c r="A5" s="743"/>
      <c r="B5" s="702" t="s">
        <v>333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9"/>
      <c r="AB5" s="32"/>
      <c r="AC5" s="28"/>
      <c r="AD5" s="12"/>
      <c r="AE5" s="12"/>
      <c r="AF5" s="12"/>
    </row>
    <row r="6" spans="1:32" ht="30" customHeight="1">
      <c r="A6" s="743"/>
      <c r="B6" s="703" t="s">
        <v>422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9"/>
      <c r="AB6" s="32"/>
      <c r="AC6" s="32"/>
      <c r="AD6" s="32"/>
      <c r="AE6" s="32"/>
      <c r="AF6" s="32"/>
    </row>
    <row r="7" spans="1:32" ht="15" customHeight="1" thickBot="1">
      <c r="A7" s="743"/>
      <c r="B7" s="703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9"/>
      <c r="AB7" s="32"/>
      <c r="AC7" s="28"/>
      <c r="AD7" s="12"/>
      <c r="AE7" s="12"/>
      <c r="AF7" s="12"/>
    </row>
    <row r="8" spans="1:32" ht="35.1" customHeight="1">
      <c r="A8" s="743"/>
      <c r="B8" s="750"/>
      <c r="C8" s="831" t="s">
        <v>240</v>
      </c>
      <c r="D8" s="1867" t="s">
        <v>241</v>
      </c>
      <c r="E8" s="1868"/>
      <c r="F8" s="1868"/>
      <c r="G8" s="1868"/>
      <c r="H8" s="1868"/>
      <c r="I8" s="1868"/>
      <c r="J8" s="1868"/>
      <c r="K8" s="1868"/>
      <c r="L8" s="1868"/>
      <c r="M8" s="1868"/>
      <c r="N8" s="1868"/>
      <c r="O8" s="1868"/>
      <c r="P8" s="1868"/>
      <c r="Q8" s="1868"/>
      <c r="R8" s="1868"/>
      <c r="S8" s="1868"/>
      <c r="T8" s="1868"/>
      <c r="U8" s="1868"/>
      <c r="V8" s="1868"/>
      <c r="W8" s="1868"/>
      <c r="X8" s="1869"/>
      <c r="Y8" s="752" t="s">
        <v>2</v>
      </c>
      <c r="Z8" s="1891" t="s">
        <v>248</v>
      </c>
      <c r="AA8" s="792"/>
      <c r="AB8" s="32"/>
      <c r="AC8" s="28"/>
      <c r="AD8" s="12"/>
      <c r="AE8" s="12"/>
      <c r="AF8" s="12"/>
    </row>
    <row r="9" spans="1:32" ht="50.1" customHeight="1">
      <c r="A9" s="743"/>
      <c r="B9" s="747" t="s">
        <v>220</v>
      </c>
      <c r="C9" s="758"/>
      <c r="D9" s="760" t="s">
        <v>221</v>
      </c>
      <c r="E9" s="20" t="s">
        <v>222</v>
      </c>
      <c r="F9" s="107" t="s">
        <v>242</v>
      </c>
      <c r="G9" s="20" t="s">
        <v>224</v>
      </c>
      <c r="H9" s="20" t="s">
        <v>225</v>
      </c>
      <c r="I9" s="20" t="s">
        <v>226</v>
      </c>
      <c r="J9" s="20" t="s">
        <v>227</v>
      </c>
      <c r="K9" s="20" t="s">
        <v>228</v>
      </c>
      <c r="L9" s="20" t="s">
        <v>229</v>
      </c>
      <c r="M9" s="20" t="s">
        <v>230</v>
      </c>
      <c r="N9" s="107" t="s">
        <v>410</v>
      </c>
      <c r="O9" s="20" t="s">
        <v>232</v>
      </c>
      <c r="P9" s="107" t="s">
        <v>411</v>
      </c>
      <c r="Q9" s="107" t="s">
        <v>245</v>
      </c>
      <c r="R9" s="20" t="s">
        <v>235</v>
      </c>
      <c r="S9" s="107" t="s">
        <v>243</v>
      </c>
      <c r="T9" s="20" t="s">
        <v>239</v>
      </c>
      <c r="U9" s="1378" t="s">
        <v>360</v>
      </c>
      <c r="V9" s="107" t="s">
        <v>244</v>
      </c>
      <c r="W9" s="627" t="s">
        <v>247</v>
      </c>
      <c r="X9" s="772" t="s">
        <v>246</v>
      </c>
      <c r="Y9" s="751"/>
      <c r="Z9" s="1892"/>
      <c r="AA9" s="748"/>
      <c r="AB9" s="32"/>
      <c r="AC9" s="28"/>
      <c r="AD9" s="12"/>
      <c r="AE9" s="12"/>
      <c r="AF9" s="12"/>
    </row>
    <row r="10" spans="1:32" ht="30" customHeight="1">
      <c r="A10" s="743"/>
      <c r="B10" s="753"/>
      <c r="C10" s="758" t="s">
        <v>17</v>
      </c>
      <c r="D10" s="761" t="s">
        <v>17</v>
      </c>
      <c r="E10" s="156" t="s">
        <v>17</v>
      </c>
      <c r="F10" s="156" t="s">
        <v>17</v>
      </c>
      <c r="G10" s="156" t="s">
        <v>17</v>
      </c>
      <c r="H10" s="156" t="s">
        <v>17</v>
      </c>
      <c r="I10" s="156" t="s">
        <v>17</v>
      </c>
      <c r="J10" s="156" t="s">
        <v>17</v>
      </c>
      <c r="K10" s="156" t="s">
        <v>17</v>
      </c>
      <c r="L10" s="156" t="s">
        <v>17</v>
      </c>
      <c r="M10" s="156" t="s">
        <v>17</v>
      </c>
      <c r="N10" s="156" t="s">
        <v>17</v>
      </c>
      <c r="O10" s="156" t="s">
        <v>17</v>
      </c>
      <c r="P10" s="156" t="s">
        <v>17</v>
      </c>
      <c r="Q10" s="156" t="s">
        <v>17</v>
      </c>
      <c r="R10" s="156" t="s">
        <v>17</v>
      </c>
      <c r="S10" s="156" t="s">
        <v>17</v>
      </c>
      <c r="T10" s="156" t="s">
        <v>17</v>
      </c>
      <c r="U10" s="156" t="s">
        <v>17</v>
      </c>
      <c r="V10" s="156" t="s">
        <v>17</v>
      </c>
      <c r="W10" s="157" t="s">
        <v>17</v>
      </c>
      <c r="X10" s="759" t="s">
        <v>17</v>
      </c>
      <c r="Y10" s="759" t="s">
        <v>17</v>
      </c>
      <c r="Z10" s="795" t="s">
        <v>17</v>
      </c>
      <c r="AA10" s="748"/>
      <c r="AB10" s="63"/>
      <c r="AC10" s="28"/>
      <c r="AD10" s="656"/>
      <c r="AE10" s="656"/>
      <c r="AF10" s="656"/>
    </row>
    <row r="11" spans="1:32" ht="35.1" customHeight="1">
      <c r="A11" s="743"/>
      <c r="B11" s="753"/>
      <c r="C11" s="758" t="s">
        <v>30</v>
      </c>
      <c r="D11" s="762" t="s">
        <v>30</v>
      </c>
      <c r="E11" s="25" t="s">
        <v>30</v>
      </c>
      <c r="F11" s="749" t="s">
        <v>30</v>
      </c>
      <c r="G11" s="25" t="s">
        <v>30</v>
      </c>
      <c r="H11" s="749" t="s">
        <v>30</v>
      </c>
      <c r="I11" s="25" t="s">
        <v>30</v>
      </c>
      <c r="J11" s="749" t="s">
        <v>30</v>
      </c>
      <c r="K11" s="25" t="s">
        <v>30</v>
      </c>
      <c r="L11" s="749" t="s">
        <v>30</v>
      </c>
      <c r="M11" s="25" t="s">
        <v>30</v>
      </c>
      <c r="N11" s="749" t="s">
        <v>30</v>
      </c>
      <c r="O11" s="25" t="s">
        <v>30</v>
      </c>
      <c r="P11" s="25" t="s">
        <v>30</v>
      </c>
      <c r="Q11" s="25" t="s">
        <v>30</v>
      </c>
      <c r="R11" s="25" t="s">
        <v>30</v>
      </c>
      <c r="S11" s="25" t="s">
        <v>30</v>
      </c>
      <c r="T11" s="25" t="s">
        <v>30</v>
      </c>
      <c r="U11" s="25" t="s">
        <v>30</v>
      </c>
      <c r="V11" s="25" t="s">
        <v>30</v>
      </c>
      <c r="W11" s="26" t="s">
        <v>30</v>
      </c>
      <c r="X11" s="751" t="s">
        <v>112</v>
      </c>
      <c r="Y11" s="751" t="s">
        <v>112</v>
      </c>
      <c r="Z11" s="796" t="s">
        <v>112</v>
      </c>
      <c r="AA11" s="748"/>
      <c r="AB11" s="63"/>
      <c r="AC11" s="28"/>
      <c r="AD11" s="656"/>
      <c r="AE11" s="656"/>
      <c r="AF11" s="656"/>
    </row>
    <row r="12" spans="1:32" ht="30" customHeight="1" thickBot="1">
      <c r="A12" s="743"/>
      <c r="B12" s="754"/>
      <c r="C12" s="923">
        <v>1</v>
      </c>
      <c r="D12" s="921">
        <v>2</v>
      </c>
      <c r="E12" s="919">
        <v>3</v>
      </c>
      <c r="F12" s="919">
        <v>4</v>
      </c>
      <c r="G12" s="919">
        <v>5</v>
      </c>
      <c r="H12" s="919">
        <v>6</v>
      </c>
      <c r="I12" s="919">
        <v>7</v>
      </c>
      <c r="J12" s="919">
        <v>8</v>
      </c>
      <c r="K12" s="919">
        <v>9</v>
      </c>
      <c r="L12" s="919">
        <v>10</v>
      </c>
      <c r="M12" s="919">
        <v>11</v>
      </c>
      <c r="N12" s="919">
        <v>12</v>
      </c>
      <c r="O12" s="919">
        <v>13</v>
      </c>
      <c r="P12" s="919">
        <v>14</v>
      </c>
      <c r="Q12" s="919">
        <v>15</v>
      </c>
      <c r="R12" s="919">
        <v>16</v>
      </c>
      <c r="S12" s="919">
        <v>17</v>
      </c>
      <c r="T12" s="919">
        <v>18</v>
      </c>
      <c r="U12" s="919">
        <v>19</v>
      </c>
      <c r="V12" s="919">
        <v>20</v>
      </c>
      <c r="W12" s="922">
        <v>21</v>
      </c>
      <c r="X12" s="953">
        <v>22</v>
      </c>
      <c r="Y12" s="923">
        <v>23</v>
      </c>
      <c r="Z12" s="923">
        <v>24</v>
      </c>
      <c r="AA12" s="793"/>
      <c r="AB12" s="63"/>
      <c r="AC12" s="28"/>
      <c r="AD12" s="656"/>
      <c r="AE12" s="656"/>
      <c r="AF12" s="656"/>
    </row>
    <row r="13" spans="1:32" ht="24.95" customHeight="1">
      <c r="A13" s="743"/>
      <c r="B13" s="755" t="s">
        <v>221</v>
      </c>
      <c r="C13" s="777">
        <v>20</v>
      </c>
      <c r="D13" s="763"/>
      <c r="E13" s="779"/>
      <c r="F13" s="780"/>
      <c r="G13" s="781"/>
      <c r="H13" s="779"/>
      <c r="I13" s="779"/>
      <c r="J13" s="780"/>
      <c r="K13" s="781"/>
      <c r="L13" s="779"/>
      <c r="M13" s="779"/>
      <c r="N13" s="782"/>
      <c r="O13" s="783"/>
      <c r="P13" s="783"/>
      <c r="Q13" s="783"/>
      <c r="R13" s="783"/>
      <c r="S13" s="783"/>
      <c r="T13" s="783"/>
      <c r="U13" s="783"/>
      <c r="V13" s="783"/>
      <c r="W13" s="784"/>
      <c r="X13" s="804">
        <f>SUM(D13:W13)</f>
        <v>0</v>
      </c>
      <c r="Y13" s="803">
        <f>SUM(C13,X13)</f>
        <v>20</v>
      </c>
      <c r="Z13" s="789">
        <f>C13+$D$33+X13</f>
        <v>20</v>
      </c>
      <c r="AA13" s="794"/>
      <c r="AB13" s="32"/>
      <c r="AC13" s="28"/>
      <c r="AD13" s="656"/>
      <c r="AE13" s="656"/>
      <c r="AF13" s="656"/>
    </row>
    <row r="14" spans="1:32" ht="24.95" customHeight="1">
      <c r="A14" s="743"/>
      <c r="B14" s="756" t="s">
        <v>222</v>
      </c>
      <c r="C14" s="778">
        <v>17</v>
      </c>
      <c r="D14" s="773"/>
      <c r="E14" s="764"/>
      <c r="F14" s="43"/>
      <c r="G14" s="43"/>
      <c r="H14" s="43"/>
      <c r="I14" s="43"/>
      <c r="J14" s="43"/>
      <c r="K14" s="43"/>
      <c r="L14" s="43"/>
      <c r="M14" s="43"/>
      <c r="N14" s="43"/>
      <c r="O14" s="785"/>
      <c r="P14" s="785"/>
      <c r="Q14" s="785"/>
      <c r="R14" s="785"/>
      <c r="S14" s="785"/>
      <c r="T14" s="785"/>
      <c r="U14" s="785"/>
      <c r="V14" s="785"/>
      <c r="W14" s="786"/>
      <c r="X14" s="805">
        <f>SUM(D14:W14)</f>
        <v>0</v>
      </c>
      <c r="Y14" s="803">
        <f>SUM(C14,X14)</f>
        <v>17</v>
      </c>
      <c r="Z14" s="790">
        <f>C14+$E$33+X14</f>
        <v>17</v>
      </c>
      <c r="AA14" s="794"/>
      <c r="AB14" s="32"/>
      <c r="AC14" s="28"/>
      <c r="AD14" s="656"/>
      <c r="AE14" s="656"/>
      <c r="AF14" s="656"/>
    </row>
    <row r="15" spans="1:32" ht="24.95" customHeight="1">
      <c r="A15" s="743"/>
      <c r="B15" s="756" t="s">
        <v>223</v>
      </c>
      <c r="C15" s="778">
        <v>24</v>
      </c>
      <c r="D15" s="773"/>
      <c r="E15" s="764"/>
      <c r="F15" s="767"/>
      <c r="G15" s="43"/>
      <c r="H15" s="43"/>
      <c r="I15" s="43"/>
      <c r="J15" s="43"/>
      <c r="K15" s="43"/>
      <c r="L15" s="43"/>
      <c r="M15" s="43"/>
      <c r="N15" s="43"/>
      <c r="O15" s="785"/>
      <c r="P15" s="785"/>
      <c r="Q15" s="785"/>
      <c r="R15" s="785"/>
      <c r="S15" s="785"/>
      <c r="T15" s="785"/>
      <c r="U15" s="785"/>
      <c r="V15" s="785"/>
      <c r="W15" s="786"/>
      <c r="X15" s="805">
        <f>SUM(D15:W15)</f>
        <v>0</v>
      </c>
      <c r="Y15" s="803">
        <f t="shared" ref="Y15:Y31" si="0">SUM(C15,X15)</f>
        <v>24</v>
      </c>
      <c r="Z15" s="790">
        <f>C15+$F$33+X15</f>
        <v>24</v>
      </c>
      <c r="AA15" s="794"/>
      <c r="AB15" s="32"/>
      <c r="AC15" s="28"/>
      <c r="AD15" s="656"/>
      <c r="AE15" s="656"/>
      <c r="AF15" s="656"/>
    </row>
    <row r="16" spans="1:32" ht="24.95" customHeight="1">
      <c r="A16" s="743"/>
      <c r="B16" s="756" t="s">
        <v>224</v>
      </c>
      <c r="C16" s="778">
        <v>10</v>
      </c>
      <c r="D16" s="773"/>
      <c r="E16" s="764"/>
      <c r="F16" s="767"/>
      <c r="G16" s="764"/>
      <c r="H16" s="43"/>
      <c r="I16" s="43"/>
      <c r="J16" s="43"/>
      <c r="K16" s="43"/>
      <c r="L16" s="43"/>
      <c r="M16" s="43"/>
      <c r="N16" s="43"/>
      <c r="O16" s="785"/>
      <c r="P16" s="785"/>
      <c r="Q16" s="785"/>
      <c r="R16" s="785"/>
      <c r="S16" s="785"/>
      <c r="T16" s="785"/>
      <c r="U16" s="785"/>
      <c r="V16" s="785"/>
      <c r="W16" s="786"/>
      <c r="X16" s="805">
        <f t="shared" ref="X16:X31" si="1">SUM(D16:W16)</f>
        <v>0</v>
      </c>
      <c r="Y16" s="803">
        <f t="shared" si="0"/>
        <v>10</v>
      </c>
      <c r="Z16" s="790">
        <f>C16+$G$33+X16</f>
        <v>10</v>
      </c>
      <c r="AA16" s="794"/>
      <c r="AB16" s="32"/>
      <c r="AC16" s="28"/>
      <c r="AD16" s="656"/>
      <c r="AE16" s="656"/>
      <c r="AF16" s="656"/>
    </row>
    <row r="17" spans="1:32" ht="24.95" customHeight="1">
      <c r="A17" s="743"/>
      <c r="B17" s="756" t="s">
        <v>225</v>
      </c>
      <c r="C17" s="778">
        <v>16</v>
      </c>
      <c r="D17" s="773"/>
      <c r="E17" s="764"/>
      <c r="F17" s="767"/>
      <c r="G17" s="764"/>
      <c r="H17" s="767"/>
      <c r="I17" s="43"/>
      <c r="J17" s="43"/>
      <c r="K17" s="43"/>
      <c r="L17" s="43"/>
      <c r="M17" s="43"/>
      <c r="N17" s="43"/>
      <c r="O17" s="785"/>
      <c r="P17" s="785"/>
      <c r="Q17" s="785"/>
      <c r="R17" s="785"/>
      <c r="S17" s="785"/>
      <c r="T17" s="785"/>
      <c r="U17" s="785"/>
      <c r="V17" s="785"/>
      <c r="W17" s="786"/>
      <c r="X17" s="805">
        <f t="shared" si="1"/>
        <v>0</v>
      </c>
      <c r="Y17" s="803">
        <f t="shared" si="0"/>
        <v>16</v>
      </c>
      <c r="Z17" s="790">
        <f>C17+$H$33+X17</f>
        <v>16</v>
      </c>
      <c r="AA17" s="794"/>
      <c r="AB17" s="32"/>
      <c r="AC17" s="28"/>
      <c r="AD17" s="656"/>
      <c r="AE17" s="656"/>
      <c r="AF17" s="656"/>
    </row>
    <row r="18" spans="1:32" ht="24.95" customHeight="1">
      <c r="A18" s="743"/>
      <c r="B18" s="756" t="s">
        <v>226</v>
      </c>
      <c r="C18" s="778"/>
      <c r="D18" s="773"/>
      <c r="E18" s="764"/>
      <c r="F18" s="767"/>
      <c r="G18" s="764"/>
      <c r="H18" s="767"/>
      <c r="I18" s="764"/>
      <c r="J18" s="43"/>
      <c r="K18" s="43"/>
      <c r="L18" s="43"/>
      <c r="M18" s="43"/>
      <c r="N18" s="43"/>
      <c r="O18" s="785"/>
      <c r="P18" s="785"/>
      <c r="Q18" s="785"/>
      <c r="R18" s="785"/>
      <c r="S18" s="785"/>
      <c r="T18" s="785"/>
      <c r="U18" s="785"/>
      <c r="V18" s="785"/>
      <c r="W18" s="786"/>
      <c r="X18" s="805">
        <f t="shared" si="1"/>
        <v>0</v>
      </c>
      <c r="Y18" s="803">
        <f t="shared" si="0"/>
        <v>0</v>
      </c>
      <c r="Z18" s="790">
        <f>C18+$I$33+X18</f>
        <v>0</v>
      </c>
      <c r="AA18" s="794"/>
      <c r="AB18" s="32"/>
      <c r="AC18" s="28"/>
      <c r="AD18" s="656"/>
      <c r="AE18" s="656"/>
      <c r="AF18" s="656"/>
    </row>
    <row r="19" spans="1:32" ht="24.95" customHeight="1">
      <c r="A19" s="743"/>
      <c r="B19" s="756" t="s">
        <v>227</v>
      </c>
      <c r="C19" s="778">
        <v>25</v>
      </c>
      <c r="D19" s="773"/>
      <c r="E19" s="764"/>
      <c r="F19" s="767"/>
      <c r="G19" s="764"/>
      <c r="H19" s="767"/>
      <c r="I19" s="764"/>
      <c r="J19" s="767"/>
      <c r="K19" s="43"/>
      <c r="L19" s="43"/>
      <c r="M19" s="43"/>
      <c r="N19" s="43"/>
      <c r="O19" s="785"/>
      <c r="P19" s="785"/>
      <c r="Q19" s="785"/>
      <c r="R19" s="785"/>
      <c r="S19" s="785"/>
      <c r="T19" s="785"/>
      <c r="U19" s="785"/>
      <c r="V19" s="785"/>
      <c r="W19" s="786"/>
      <c r="X19" s="805">
        <f t="shared" si="1"/>
        <v>0</v>
      </c>
      <c r="Y19" s="803">
        <f t="shared" si="0"/>
        <v>25</v>
      </c>
      <c r="Z19" s="790">
        <f>C19+$J$33+X19</f>
        <v>25</v>
      </c>
      <c r="AA19" s="794"/>
      <c r="AB19" s="32"/>
      <c r="AC19" s="28"/>
      <c r="AD19" s="656"/>
      <c r="AE19" s="656"/>
      <c r="AF19" s="656"/>
    </row>
    <row r="20" spans="1:32" ht="24.95" customHeight="1">
      <c r="A20" s="743"/>
      <c r="B20" s="756" t="s">
        <v>228</v>
      </c>
      <c r="C20" s="778"/>
      <c r="D20" s="773"/>
      <c r="E20" s="764"/>
      <c r="F20" s="767"/>
      <c r="G20" s="764"/>
      <c r="H20" s="767"/>
      <c r="I20" s="764"/>
      <c r="J20" s="767"/>
      <c r="K20" s="764"/>
      <c r="L20" s="43"/>
      <c r="M20" s="43"/>
      <c r="N20" s="43"/>
      <c r="O20" s="785"/>
      <c r="P20" s="785"/>
      <c r="Q20" s="785"/>
      <c r="R20" s="785"/>
      <c r="S20" s="785"/>
      <c r="T20" s="785"/>
      <c r="U20" s="785"/>
      <c r="V20" s="785"/>
      <c r="W20" s="786"/>
      <c r="X20" s="805">
        <f t="shared" si="1"/>
        <v>0</v>
      </c>
      <c r="Y20" s="803">
        <f t="shared" si="0"/>
        <v>0</v>
      </c>
      <c r="Z20" s="790">
        <f>C20+$K$33+X20</f>
        <v>0</v>
      </c>
      <c r="AA20" s="794"/>
      <c r="AB20" s="32"/>
      <c r="AC20" s="28"/>
      <c r="AD20" s="656"/>
      <c r="AE20" s="656"/>
      <c r="AF20" s="656"/>
    </row>
    <row r="21" spans="1:32" ht="24.95" customHeight="1">
      <c r="A21" s="743"/>
      <c r="B21" s="756" t="s">
        <v>229</v>
      </c>
      <c r="C21" s="778">
        <v>5</v>
      </c>
      <c r="D21" s="773"/>
      <c r="E21" s="764"/>
      <c r="F21" s="767"/>
      <c r="G21" s="764"/>
      <c r="H21" s="767"/>
      <c r="I21" s="764"/>
      <c r="J21" s="767"/>
      <c r="K21" s="764"/>
      <c r="L21" s="767"/>
      <c r="M21" s="43"/>
      <c r="N21" s="43"/>
      <c r="O21" s="785"/>
      <c r="P21" s="785"/>
      <c r="Q21" s="785"/>
      <c r="R21" s="785"/>
      <c r="S21" s="785"/>
      <c r="T21" s="785"/>
      <c r="U21" s="785"/>
      <c r="V21" s="785"/>
      <c r="W21" s="786"/>
      <c r="X21" s="805">
        <f t="shared" si="1"/>
        <v>0</v>
      </c>
      <c r="Y21" s="803">
        <f t="shared" si="0"/>
        <v>5</v>
      </c>
      <c r="Z21" s="790">
        <f>C21+$L$33+X21</f>
        <v>5</v>
      </c>
      <c r="AA21" s="794"/>
      <c r="AB21" s="32"/>
      <c r="AC21" s="28"/>
      <c r="AD21" s="656"/>
      <c r="AE21" s="656"/>
      <c r="AF21" s="656"/>
    </row>
    <row r="22" spans="1:32" ht="24.95" customHeight="1">
      <c r="A22" s="743"/>
      <c r="B22" s="756" t="s">
        <v>230</v>
      </c>
      <c r="C22" s="778">
        <v>17</v>
      </c>
      <c r="D22" s="773"/>
      <c r="E22" s="764"/>
      <c r="F22" s="767"/>
      <c r="G22" s="764"/>
      <c r="H22" s="767"/>
      <c r="I22" s="764"/>
      <c r="J22" s="767"/>
      <c r="K22" s="764"/>
      <c r="L22" s="767"/>
      <c r="M22" s="764"/>
      <c r="N22" s="43"/>
      <c r="O22" s="785"/>
      <c r="P22" s="785"/>
      <c r="Q22" s="785"/>
      <c r="R22" s="785"/>
      <c r="S22" s="785"/>
      <c r="T22" s="785"/>
      <c r="U22" s="785"/>
      <c r="V22" s="785"/>
      <c r="W22" s="786"/>
      <c r="X22" s="805">
        <f t="shared" si="1"/>
        <v>0</v>
      </c>
      <c r="Y22" s="803">
        <f t="shared" si="0"/>
        <v>17</v>
      </c>
      <c r="Z22" s="790">
        <f>C22+$M$33+X22</f>
        <v>17</v>
      </c>
      <c r="AA22" s="794"/>
      <c r="AB22" s="32"/>
      <c r="AC22" s="28"/>
      <c r="AD22" s="656"/>
      <c r="AE22" s="656"/>
      <c r="AF22" s="656"/>
    </row>
    <row r="23" spans="1:32" ht="24.95" customHeight="1">
      <c r="A23" s="743"/>
      <c r="B23" s="756" t="s">
        <v>231</v>
      </c>
      <c r="C23" s="778"/>
      <c r="D23" s="773"/>
      <c r="E23" s="764"/>
      <c r="F23" s="767"/>
      <c r="G23" s="764"/>
      <c r="H23" s="767"/>
      <c r="I23" s="764"/>
      <c r="J23" s="767"/>
      <c r="K23" s="764"/>
      <c r="L23" s="767"/>
      <c r="M23" s="764"/>
      <c r="N23" s="767"/>
      <c r="O23" s="785"/>
      <c r="P23" s="785"/>
      <c r="Q23" s="785"/>
      <c r="R23" s="785"/>
      <c r="S23" s="785"/>
      <c r="T23" s="785"/>
      <c r="U23" s="785"/>
      <c r="V23" s="785"/>
      <c r="W23" s="786"/>
      <c r="X23" s="805">
        <f t="shared" si="1"/>
        <v>0</v>
      </c>
      <c r="Y23" s="803">
        <f t="shared" si="0"/>
        <v>0</v>
      </c>
      <c r="Z23" s="790">
        <f>C23+$N$33+X23</f>
        <v>0</v>
      </c>
      <c r="AA23" s="794"/>
      <c r="AB23" s="32"/>
      <c r="AC23" s="28"/>
      <c r="AD23" s="656"/>
      <c r="AE23" s="656"/>
      <c r="AF23" s="656"/>
    </row>
    <row r="24" spans="1:32" ht="24.95" customHeight="1">
      <c r="A24" s="743"/>
      <c r="B24" s="756" t="s">
        <v>232</v>
      </c>
      <c r="C24" s="778">
        <v>20</v>
      </c>
      <c r="D24" s="773"/>
      <c r="E24" s="764"/>
      <c r="F24" s="767"/>
      <c r="G24" s="764"/>
      <c r="H24" s="767"/>
      <c r="I24" s="764"/>
      <c r="J24" s="767"/>
      <c r="K24" s="764"/>
      <c r="L24" s="767"/>
      <c r="M24" s="764"/>
      <c r="N24" s="767"/>
      <c r="O24" s="769"/>
      <c r="P24" s="785"/>
      <c r="Q24" s="785"/>
      <c r="R24" s="785"/>
      <c r="S24" s="785"/>
      <c r="T24" s="785"/>
      <c r="U24" s="785"/>
      <c r="V24" s="785"/>
      <c r="W24" s="786"/>
      <c r="X24" s="805">
        <f t="shared" si="1"/>
        <v>0</v>
      </c>
      <c r="Y24" s="803">
        <f t="shared" si="0"/>
        <v>20</v>
      </c>
      <c r="Z24" s="790">
        <f>C24+$O$33+X24</f>
        <v>20</v>
      </c>
      <c r="AA24" s="794"/>
      <c r="AB24" s="32"/>
      <c r="AC24" s="28"/>
      <c r="AD24" s="656"/>
      <c r="AE24" s="656"/>
      <c r="AF24" s="656"/>
    </row>
    <row r="25" spans="1:32" ht="24.95" customHeight="1">
      <c r="A25" s="743"/>
      <c r="B25" s="756" t="s">
        <v>233</v>
      </c>
      <c r="C25" s="778">
        <v>21</v>
      </c>
      <c r="D25" s="773"/>
      <c r="E25" s="764"/>
      <c r="F25" s="765"/>
      <c r="G25" s="766"/>
      <c r="H25" s="767"/>
      <c r="I25" s="764"/>
      <c r="J25" s="765"/>
      <c r="K25" s="766"/>
      <c r="L25" s="767"/>
      <c r="M25" s="764"/>
      <c r="N25" s="768"/>
      <c r="O25" s="769"/>
      <c r="P25" s="770"/>
      <c r="Q25" s="785"/>
      <c r="R25" s="785"/>
      <c r="S25" s="785"/>
      <c r="T25" s="785"/>
      <c r="U25" s="785"/>
      <c r="V25" s="785"/>
      <c r="W25" s="786"/>
      <c r="X25" s="805">
        <f t="shared" si="1"/>
        <v>0</v>
      </c>
      <c r="Y25" s="803">
        <f t="shared" si="0"/>
        <v>21</v>
      </c>
      <c r="Z25" s="790">
        <f>C25+$P$33+X25</f>
        <v>21</v>
      </c>
      <c r="AA25" s="794"/>
      <c r="AB25" s="32"/>
      <c r="AC25" s="28"/>
      <c r="AD25" s="656"/>
      <c r="AE25" s="656"/>
      <c r="AF25" s="656"/>
    </row>
    <row r="26" spans="1:32" ht="24.95" customHeight="1">
      <c r="A26" s="743"/>
      <c r="B26" s="756" t="s">
        <v>234</v>
      </c>
      <c r="C26" s="778">
        <v>14</v>
      </c>
      <c r="D26" s="773"/>
      <c r="E26" s="764"/>
      <c r="F26" s="765"/>
      <c r="G26" s="766"/>
      <c r="H26" s="767"/>
      <c r="I26" s="764"/>
      <c r="J26" s="765"/>
      <c r="K26" s="766"/>
      <c r="L26" s="767"/>
      <c r="M26" s="764"/>
      <c r="N26" s="768"/>
      <c r="O26" s="769"/>
      <c r="P26" s="770"/>
      <c r="Q26" s="770"/>
      <c r="R26" s="785"/>
      <c r="S26" s="785"/>
      <c r="T26" s="785"/>
      <c r="U26" s="785"/>
      <c r="V26" s="785"/>
      <c r="W26" s="786"/>
      <c r="X26" s="805">
        <f t="shared" si="1"/>
        <v>0</v>
      </c>
      <c r="Y26" s="803">
        <f t="shared" si="0"/>
        <v>14</v>
      </c>
      <c r="Z26" s="790">
        <f>C26+$Q$33+X26</f>
        <v>14</v>
      </c>
      <c r="AA26" s="794"/>
      <c r="AB26" s="32"/>
      <c r="AC26" s="28"/>
      <c r="AD26" s="656"/>
      <c r="AE26" s="656"/>
      <c r="AF26" s="656"/>
    </row>
    <row r="27" spans="1:32" ht="24.95" customHeight="1" thickBot="1">
      <c r="A27" s="743"/>
      <c r="B27" s="756" t="s">
        <v>235</v>
      </c>
      <c r="C27" s="778"/>
      <c r="D27" s="773"/>
      <c r="E27" s="764"/>
      <c r="F27" s="765"/>
      <c r="G27" s="766"/>
      <c r="H27" s="767"/>
      <c r="I27" s="764"/>
      <c r="J27" s="765"/>
      <c r="K27" s="766"/>
      <c r="L27" s="767"/>
      <c r="M27" s="764"/>
      <c r="N27" s="768"/>
      <c r="O27" s="769"/>
      <c r="P27" s="770"/>
      <c r="Q27" s="770"/>
      <c r="R27" s="770"/>
      <c r="S27" s="785"/>
      <c r="T27" s="785"/>
      <c r="U27" s="785"/>
      <c r="V27" s="785"/>
      <c r="W27" s="786"/>
      <c r="X27" s="805">
        <f t="shared" si="1"/>
        <v>0</v>
      </c>
      <c r="Y27" s="803">
        <f t="shared" si="0"/>
        <v>0</v>
      </c>
      <c r="Z27" s="790">
        <f>C27+$R$33+X27</f>
        <v>0</v>
      </c>
      <c r="AA27" s="794"/>
      <c r="AB27" s="32"/>
      <c r="AC27" s="338"/>
      <c r="AD27" s="338"/>
      <c r="AE27" s="338"/>
      <c r="AF27" s="656"/>
    </row>
    <row r="28" spans="1:32" ht="24.95" customHeight="1">
      <c r="A28" s="743"/>
      <c r="B28" s="756" t="s">
        <v>236</v>
      </c>
      <c r="C28" s="778"/>
      <c r="D28" s="773"/>
      <c r="E28" s="764"/>
      <c r="F28" s="765"/>
      <c r="G28" s="766"/>
      <c r="H28" s="767"/>
      <c r="I28" s="764"/>
      <c r="J28" s="765"/>
      <c r="K28" s="766"/>
      <c r="L28" s="767"/>
      <c r="M28" s="764"/>
      <c r="N28" s="768"/>
      <c r="O28" s="769"/>
      <c r="P28" s="770"/>
      <c r="Q28" s="770"/>
      <c r="R28" s="770"/>
      <c r="S28" s="770"/>
      <c r="T28" s="785"/>
      <c r="U28" s="785"/>
      <c r="V28" s="785"/>
      <c r="W28" s="786"/>
      <c r="X28" s="805">
        <f t="shared" si="1"/>
        <v>0</v>
      </c>
      <c r="Y28" s="803">
        <f t="shared" si="0"/>
        <v>0</v>
      </c>
      <c r="Z28" s="790">
        <f>C28+$S$33+X28</f>
        <v>0</v>
      </c>
      <c r="AA28" s="794"/>
      <c r="AB28" s="32"/>
      <c r="AC28" s="1893" t="s">
        <v>250</v>
      </c>
      <c r="AD28" s="1894"/>
      <c r="AE28" s="1895"/>
      <c r="AF28" s="656"/>
    </row>
    <row r="29" spans="1:32" ht="24.95" customHeight="1">
      <c r="A29" s="743"/>
      <c r="B29" s="756" t="s">
        <v>239</v>
      </c>
      <c r="C29" s="778">
        <v>8</v>
      </c>
      <c r="D29" s="773"/>
      <c r="E29" s="764"/>
      <c r="F29" s="765"/>
      <c r="G29" s="766"/>
      <c r="H29" s="767"/>
      <c r="I29" s="764"/>
      <c r="J29" s="765"/>
      <c r="K29" s="766"/>
      <c r="L29" s="767"/>
      <c r="M29" s="764"/>
      <c r="N29" s="768"/>
      <c r="O29" s="769"/>
      <c r="P29" s="770"/>
      <c r="Q29" s="770"/>
      <c r="R29" s="770"/>
      <c r="S29" s="770"/>
      <c r="T29" s="770"/>
      <c r="U29" s="785"/>
      <c r="V29" s="785"/>
      <c r="W29" s="786"/>
      <c r="X29" s="805">
        <f t="shared" si="1"/>
        <v>0</v>
      </c>
      <c r="Y29" s="803">
        <f t="shared" si="0"/>
        <v>8</v>
      </c>
      <c r="Z29" s="790">
        <f>C29+$T$33+X29</f>
        <v>8</v>
      </c>
      <c r="AA29" s="794"/>
      <c r="AB29" s="32"/>
      <c r="AC29" s="801" t="s">
        <v>251</v>
      </c>
      <c r="AD29" s="1896" t="s">
        <v>252</v>
      </c>
      <c r="AE29" s="802" t="s">
        <v>75</v>
      </c>
      <c r="AF29" s="656"/>
    </row>
    <row r="30" spans="1:32" ht="24.95" customHeight="1">
      <c r="A30" s="743"/>
      <c r="B30" s="1375" t="s">
        <v>359</v>
      </c>
      <c r="C30" s="778"/>
      <c r="D30" s="773"/>
      <c r="E30" s="764"/>
      <c r="F30" s="1369"/>
      <c r="G30" s="1370"/>
      <c r="H30" s="767"/>
      <c r="I30" s="764"/>
      <c r="J30" s="1369"/>
      <c r="K30" s="1370"/>
      <c r="L30" s="767"/>
      <c r="M30" s="764"/>
      <c r="N30" s="1371"/>
      <c r="O30" s="769"/>
      <c r="P30" s="770"/>
      <c r="Q30" s="770"/>
      <c r="R30" s="770"/>
      <c r="S30" s="770"/>
      <c r="T30" s="770"/>
      <c r="U30" s="770"/>
      <c r="V30" s="785"/>
      <c r="W30" s="784"/>
      <c r="X30" s="805">
        <f t="shared" si="1"/>
        <v>0</v>
      </c>
      <c r="Y30" s="803">
        <f t="shared" si="0"/>
        <v>0</v>
      </c>
      <c r="Z30" s="790">
        <f>C30+$U$33+X30</f>
        <v>0</v>
      </c>
      <c r="AA30" s="1372"/>
      <c r="AB30" s="32"/>
      <c r="AC30" s="1373"/>
      <c r="AD30" s="1897"/>
      <c r="AE30" s="1374"/>
      <c r="AF30" s="656"/>
    </row>
    <row r="31" spans="1:32" ht="24.95" customHeight="1">
      <c r="A31" s="743"/>
      <c r="B31" s="756" t="s">
        <v>237</v>
      </c>
      <c r="C31" s="778">
        <v>9</v>
      </c>
      <c r="D31" s="773"/>
      <c r="E31" s="764"/>
      <c r="F31" s="765"/>
      <c r="G31" s="766"/>
      <c r="H31" s="767"/>
      <c r="I31" s="764"/>
      <c r="J31" s="765"/>
      <c r="K31" s="766"/>
      <c r="L31" s="767"/>
      <c r="M31" s="764"/>
      <c r="N31" s="768"/>
      <c r="O31" s="769"/>
      <c r="P31" s="770"/>
      <c r="Q31" s="770"/>
      <c r="R31" s="770"/>
      <c r="S31" s="770"/>
      <c r="T31" s="770"/>
      <c r="U31" s="770"/>
      <c r="V31" s="770"/>
      <c r="W31" s="786"/>
      <c r="X31" s="805">
        <f t="shared" si="1"/>
        <v>0</v>
      </c>
      <c r="Y31" s="803">
        <f t="shared" si="0"/>
        <v>9</v>
      </c>
      <c r="Z31" s="790">
        <f>C31+$V$33+X31</f>
        <v>9</v>
      </c>
      <c r="AA31" s="794"/>
      <c r="AB31" s="32"/>
      <c r="AC31" s="799"/>
      <c r="AD31" s="1897"/>
      <c r="AE31" s="800"/>
      <c r="AF31" s="656"/>
    </row>
    <row r="32" spans="1:32" ht="24.95" customHeight="1">
      <c r="A32" s="743"/>
      <c r="B32" s="756" t="s">
        <v>238</v>
      </c>
      <c r="C32" s="778"/>
      <c r="D32" s="773"/>
      <c r="E32" s="764"/>
      <c r="F32" s="765"/>
      <c r="G32" s="766"/>
      <c r="H32" s="767"/>
      <c r="I32" s="764"/>
      <c r="J32" s="765"/>
      <c r="K32" s="766"/>
      <c r="L32" s="767"/>
      <c r="M32" s="764"/>
      <c r="N32" s="768"/>
      <c r="O32" s="769"/>
      <c r="P32" s="770"/>
      <c r="Q32" s="770"/>
      <c r="R32" s="770"/>
      <c r="S32" s="770"/>
      <c r="T32" s="770"/>
      <c r="U32" s="770"/>
      <c r="V32" s="770"/>
      <c r="W32" s="771"/>
      <c r="X32" s="806">
        <f>SUM(D32:W32)</f>
        <v>0</v>
      </c>
      <c r="Y32" s="803">
        <f>SUM(C32,X32)</f>
        <v>0</v>
      </c>
      <c r="Z32" s="790">
        <f>C32+$W$33+X32</f>
        <v>0</v>
      </c>
      <c r="AA32" s="794"/>
      <c r="AB32" s="32"/>
      <c r="AC32" s="799"/>
      <c r="AD32" s="1897"/>
      <c r="AE32" s="800"/>
      <c r="AF32" s="656"/>
    </row>
    <row r="33" spans="1:32" ht="30" customHeight="1" thickBot="1">
      <c r="A33" s="743"/>
      <c r="B33" s="757" t="s">
        <v>2</v>
      </c>
      <c r="C33" s="774">
        <f>SUM(C13:C32)</f>
        <v>206</v>
      </c>
      <c r="D33" s="798">
        <f>SUM(D13:D32)</f>
        <v>0</v>
      </c>
      <c r="E33" s="787">
        <f t="shared" ref="E33:V33" si="2">SUM(E13:E32)</f>
        <v>0</v>
      </c>
      <c r="F33" s="787">
        <f t="shared" si="2"/>
        <v>0</v>
      </c>
      <c r="G33" s="787">
        <f>SUM(G13:G32)</f>
        <v>0</v>
      </c>
      <c r="H33" s="787">
        <f t="shared" si="2"/>
        <v>0</v>
      </c>
      <c r="I33" s="787">
        <f>SUM(I13:I32)</f>
        <v>0</v>
      </c>
      <c r="J33" s="787">
        <f t="shared" si="2"/>
        <v>0</v>
      </c>
      <c r="K33" s="787">
        <f t="shared" si="2"/>
        <v>0</v>
      </c>
      <c r="L33" s="787">
        <f t="shared" si="2"/>
        <v>0</v>
      </c>
      <c r="M33" s="787">
        <f t="shared" si="2"/>
        <v>0</v>
      </c>
      <c r="N33" s="787">
        <f t="shared" si="2"/>
        <v>0</v>
      </c>
      <c r="O33" s="787">
        <f t="shared" si="2"/>
        <v>0</v>
      </c>
      <c r="P33" s="787">
        <f t="shared" si="2"/>
        <v>0</v>
      </c>
      <c r="Q33" s="787">
        <f t="shared" si="2"/>
        <v>0</v>
      </c>
      <c r="R33" s="787">
        <f t="shared" si="2"/>
        <v>0</v>
      </c>
      <c r="S33" s="787">
        <f t="shared" si="2"/>
        <v>0</v>
      </c>
      <c r="T33" s="787">
        <f t="shared" si="2"/>
        <v>0</v>
      </c>
      <c r="U33" s="787">
        <f t="shared" si="2"/>
        <v>0</v>
      </c>
      <c r="V33" s="787">
        <f t="shared" si="2"/>
        <v>0</v>
      </c>
      <c r="W33" s="787">
        <f>SUM(W13:W32)</f>
        <v>0</v>
      </c>
      <c r="X33" s="775">
        <f>SUM(X13:X32)</f>
        <v>0</v>
      </c>
      <c r="Y33" s="775">
        <f>SUM(Y13:Y32)</f>
        <v>206</v>
      </c>
      <c r="Z33" s="788"/>
      <c r="AA33" s="794"/>
      <c r="AB33" s="32"/>
      <c r="AC33" s="776">
        <f>'Table 2a (ITE)'!$E$25</f>
        <v>206</v>
      </c>
      <c r="AD33" s="807">
        <f>Y33-AC33</f>
        <v>0</v>
      </c>
      <c r="AE33" s="808" t="str">
        <f>IF(ABS(AD33)&gt;0.1,"Does not equal Table 2a","OK")</f>
        <v>OK</v>
      </c>
      <c r="AF33" s="656"/>
    </row>
    <row r="34" spans="1:32" ht="30" customHeight="1">
      <c r="A34" s="649"/>
      <c r="B34" s="797" t="s">
        <v>249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9"/>
      <c r="AB34" s="32"/>
      <c r="AC34" s="28"/>
      <c r="AD34" s="656"/>
      <c r="AE34" s="656"/>
      <c r="AF34" s="656"/>
    </row>
    <row r="35" spans="1:32" ht="30" customHeight="1">
      <c r="A35" s="338"/>
      <c r="B35" s="71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102"/>
      <c r="Q35" s="102"/>
      <c r="R35" s="102"/>
      <c r="S35" s="102"/>
      <c r="T35" s="102"/>
      <c r="U35" s="1377"/>
      <c r="V35" s="102"/>
      <c r="W35" s="102"/>
      <c r="X35" s="102"/>
      <c r="Y35" s="102"/>
      <c r="Z35" s="102"/>
      <c r="AA35" s="32"/>
      <c r="AB35" s="32"/>
      <c r="AC35" s="28"/>
      <c r="AD35" s="656"/>
      <c r="AE35" s="656"/>
      <c r="AF35" s="656"/>
    </row>
    <row r="36" spans="1:32" ht="12.75" customHeight="1">
      <c r="B36" s="1240"/>
      <c r="C36" s="1247"/>
      <c r="D36" s="1247"/>
      <c r="E36" s="1247"/>
      <c r="F36" s="1247"/>
      <c r="G36" s="1247"/>
      <c r="H36" s="1247"/>
      <c r="I36" s="1247"/>
      <c r="J36" s="1247"/>
      <c r="K36" s="1247"/>
      <c r="L36" s="1247"/>
      <c r="M36" s="1247"/>
      <c r="N36" s="1247"/>
    </row>
    <row r="37" spans="1:32">
      <c r="C37" s="1247"/>
      <c r="D37" s="1247"/>
      <c r="E37" s="1247"/>
      <c r="F37" s="1247"/>
      <c r="G37" s="1247"/>
      <c r="H37" s="1247"/>
      <c r="I37" s="1247"/>
      <c r="J37" s="1247"/>
      <c r="K37" s="1247"/>
      <c r="L37" s="1247"/>
      <c r="M37" s="1247"/>
      <c r="N37" s="1247"/>
      <c r="AD37" s="1250"/>
    </row>
    <row r="38" spans="1:32">
      <c r="C38" s="1247"/>
      <c r="D38" s="1247"/>
      <c r="E38" s="1247"/>
      <c r="F38" s="1247"/>
      <c r="G38" s="1247"/>
      <c r="H38" s="1247"/>
      <c r="I38" s="1247"/>
      <c r="J38" s="1247"/>
      <c r="K38" s="1247"/>
      <c r="L38" s="1247"/>
      <c r="M38" s="1247"/>
      <c r="N38" s="1247"/>
    </row>
  </sheetData>
  <sheetProtection password="E23E" sheet="1" objects="1" scenarios="1"/>
  <mergeCells count="5">
    <mergeCell ref="Z8:Z9"/>
    <mergeCell ref="AC28:AE28"/>
    <mergeCell ref="AD29:AD32"/>
    <mergeCell ref="C4:F4"/>
    <mergeCell ref="D8:X8"/>
  </mergeCells>
  <conditionalFormatting sqref="C13:C32">
    <cfRule type="expression" dxfId="72" priority="26">
      <formula>$G$4=0</formula>
    </cfRule>
  </conditionalFormatting>
  <conditionalFormatting sqref="E13:W13">
    <cfRule type="expression" dxfId="71" priority="25">
      <formula>$G$4=0</formula>
    </cfRule>
  </conditionalFormatting>
  <conditionalFormatting sqref="V14:V30">
    <cfRule type="expression" dxfId="70" priority="19">
      <formula>$G$4=0</formula>
    </cfRule>
  </conditionalFormatting>
  <conditionalFormatting sqref="S14:S27">
    <cfRule type="expression" dxfId="69" priority="17">
      <formula>$G$4=0</formula>
    </cfRule>
  </conditionalFormatting>
  <conditionalFormatting sqref="W14:W31">
    <cfRule type="expression" dxfId="68" priority="20">
      <formula>$G$4=0</formula>
    </cfRule>
  </conditionalFormatting>
  <conditionalFormatting sqref="T14:U28">
    <cfRule type="expression" dxfId="67" priority="18">
      <formula>$G$4=0</formula>
    </cfRule>
  </conditionalFormatting>
  <conditionalFormatting sqref="R14:R26">
    <cfRule type="expression" dxfId="66" priority="16">
      <formula>$G$4=0</formula>
    </cfRule>
  </conditionalFormatting>
  <conditionalFormatting sqref="Q14:Q25">
    <cfRule type="expression" dxfId="65" priority="15">
      <formula>$G$4=0</formula>
    </cfRule>
  </conditionalFormatting>
  <conditionalFormatting sqref="P14:P24">
    <cfRule type="expression" dxfId="64" priority="14">
      <formula>$G$4=0</formula>
    </cfRule>
  </conditionalFormatting>
  <conditionalFormatting sqref="O14:O23">
    <cfRule type="expression" dxfId="63" priority="13">
      <formula>$G$4=0</formula>
    </cfRule>
  </conditionalFormatting>
  <conditionalFormatting sqref="F14">
    <cfRule type="expression" dxfId="62" priority="4">
      <formula>$G$4=0</formula>
    </cfRule>
  </conditionalFormatting>
  <conditionalFormatting sqref="N14:N22">
    <cfRule type="expression" dxfId="61" priority="12">
      <formula>$G$4=0</formula>
    </cfRule>
  </conditionalFormatting>
  <conditionalFormatting sqref="M14:M21">
    <cfRule type="expression" dxfId="60" priority="11">
      <formula>$G$4=0</formula>
    </cfRule>
  </conditionalFormatting>
  <conditionalFormatting sqref="L14:L20">
    <cfRule type="expression" dxfId="59" priority="10">
      <formula>$G$4=0</formula>
    </cfRule>
  </conditionalFormatting>
  <conditionalFormatting sqref="K14:K19">
    <cfRule type="expression" dxfId="58" priority="9">
      <formula>$G$4=0</formula>
    </cfRule>
  </conditionalFormatting>
  <conditionalFormatting sqref="J14:J18">
    <cfRule type="expression" dxfId="57" priority="8">
      <formula>$G$4=0</formula>
    </cfRule>
  </conditionalFormatting>
  <conditionalFormatting sqref="I14:I17">
    <cfRule type="expression" dxfId="56" priority="7">
      <formula>$G$4=0</formula>
    </cfRule>
  </conditionalFormatting>
  <conditionalFormatting sqref="H14:H16">
    <cfRule type="expression" dxfId="55" priority="6">
      <formula>$G$4=0</formula>
    </cfRule>
  </conditionalFormatting>
  <conditionalFormatting sqref="G14:G15">
    <cfRule type="expression" dxfId="54" priority="5">
      <formula>$G$4=0</formula>
    </cfRule>
  </conditionalFormatting>
  <conditionalFormatting sqref="A1:AF1">
    <cfRule type="expression" dxfId="53" priority="3">
      <formula>$G$4=0</formula>
    </cfRule>
  </conditionalFormatting>
  <conditionalFormatting sqref="AC33:AE33">
    <cfRule type="expression" dxfId="52" priority="2">
      <formula>$G$4=0</formula>
    </cfRule>
  </conditionalFormatting>
  <conditionalFormatting sqref="U29">
    <cfRule type="expression" dxfId="51" priority="1">
      <formula>$G$4=0</formula>
    </cfRule>
  </conditionalFormatting>
  <dataValidations count="3">
    <dataValidation allowBlank="1" sqref="C12:AA12"/>
    <dataValidation type="custom" allowBlank="1" showErrorMessage="1" errorTitle="Number less than 0" error="You are trying to enter a number which is less than 0, please re-enter a valid number." sqref="H17:H32 E33:Y33 L21:L32 N23:N32 K20:K32 M22:M32 F15:F32 J19:J32 G16:G32 I18:I32 E14:E32 D13:D33 C33">
      <formula1>C13&gt;=0</formula1>
    </dataValidation>
    <dataValidation type="decimal" operator="greaterThanOrEqual" allowBlank="1" showInputMessage="1" showErrorMessage="1" errorTitle="ERROR!" error="Invalid Entry" sqref="C13:C32 E13:W13 F14:W14 G15:W15 H16:W16 I17:W17 J18:W18 K19:W19 L20:W20 M20:W21 N22:W22 O23:W23 P24:W24 Q25:W25 R26:W26 S27:W27 T28:W28 U29:W29 V30:W30 W31">
      <formula1>0</formula1>
    </dataValidation>
  </dataValidations>
  <printOptions horizontalCentered="1" verticalCentered="1"/>
  <pageMargins left="0.19685039370078741" right="0.19685039370078741" top="0.19685039370078741" bottom="0.39370078740157483" header="0" footer="0"/>
  <pageSetup paperSize="9" scale="4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P41"/>
  <sheetViews>
    <sheetView zoomScale="80" zoomScaleNormal="80" workbookViewId="0"/>
  </sheetViews>
  <sheetFormatPr defaultColWidth="9.7109375" defaultRowHeight="15"/>
  <cols>
    <col min="1" max="1" width="2.7109375" style="1251" customWidth="1"/>
    <col min="2" max="2" width="56.7109375" style="1251" customWidth="1"/>
    <col min="3" max="14" width="12.7109375" style="1251" customWidth="1"/>
    <col min="15" max="15" width="12.7109375" style="1259" customWidth="1"/>
    <col min="16" max="17" width="2.7109375" style="1251" customWidth="1"/>
    <col min="18" max="18" width="23.7109375" style="1251" customWidth="1"/>
    <col min="19" max="19" width="30.7109375" style="1251" customWidth="1"/>
    <col min="20" max="21" width="12.7109375" style="1251" customWidth="1"/>
    <col min="22" max="22" width="35.7109375" style="1251" customWidth="1"/>
    <col min="23" max="23" width="8.7109375" style="1251" customWidth="1"/>
    <col min="24" max="24" width="23.7109375" style="1251" customWidth="1"/>
    <col min="25" max="25" width="30.7109375" style="1251" customWidth="1"/>
    <col min="26" max="27" width="12.7109375" style="1251" customWidth="1"/>
    <col min="28" max="28" width="35.7109375" style="1251" customWidth="1"/>
    <col min="29" max="30" width="12.7109375" style="1251" customWidth="1"/>
    <col min="31" max="31" width="9.7109375" style="1251" customWidth="1"/>
    <col min="32" max="32" width="9.7109375" style="1251" hidden="1" customWidth="1"/>
    <col min="33" max="36" width="14.7109375" style="1251" hidden="1" customWidth="1"/>
    <col min="37" max="37" width="8.7109375" style="1251" hidden="1" customWidth="1"/>
    <col min="38" max="41" width="14.7109375" style="1251" hidden="1" customWidth="1"/>
    <col min="42" max="42" width="9.7109375" style="1251" hidden="1" customWidth="1"/>
    <col min="43" max="256" width="9.7109375" style="1251" customWidth="1"/>
    <col min="257" max="16384" width="9.7109375" style="1251"/>
  </cols>
  <sheetData>
    <row r="1" spans="1:41" ht="39.950000000000003" customHeight="1">
      <c r="A1" s="722"/>
      <c r="B1" s="366" t="str">
        <f>IF(F4=0,"Your Institution Does Not Complete This Table","")</f>
        <v/>
      </c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3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</row>
    <row r="2" spans="1:41" s="1253" customFormat="1" ht="30" customHeight="1">
      <c r="A2" s="728"/>
      <c r="B2" s="629" t="s">
        <v>334</v>
      </c>
      <c r="C2" s="474"/>
      <c r="D2" s="474"/>
      <c r="E2" s="474"/>
      <c r="F2" s="474"/>
      <c r="G2" s="474"/>
      <c r="H2" s="474"/>
      <c r="I2" s="474"/>
      <c r="J2" s="474"/>
      <c r="K2" s="474"/>
      <c r="L2" s="475"/>
      <c r="M2" s="475"/>
      <c r="N2" s="476"/>
      <c r="O2" s="477"/>
      <c r="P2" s="478"/>
      <c r="Q2" s="479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1252"/>
      <c r="AF2" s="1252"/>
      <c r="AG2" s="1252"/>
      <c r="AH2" s="1252"/>
      <c r="AI2" s="1252"/>
      <c r="AJ2" s="1252"/>
      <c r="AK2" s="1252"/>
      <c r="AL2" s="1252"/>
    </row>
    <row r="3" spans="1:41" ht="15" customHeight="1" thickBot="1">
      <c r="A3" s="726"/>
      <c r="B3" s="723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2"/>
      <c r="Q3" s="483"/>
      <c r="R3" s="484"/>
      <c r="S3" s="484"/>
      <c r="T3" s="484"/>
      <c r="U3" s="484"/>
      <c r="V3" s="484"/>
      <c r="W3" s="484"/>
      <c r="X3" s="484"/>
      <c r="Y3" s="484"/>
      <c r="Z3" s="484"/>
      <c r="AA3" s="484"/>
      <c r="AB3" s="484"/>
      <c r="AC3" s="484"/>
      <c r="AD3" s="484"/>
      <c r="AE3" s="1252"/>
      <c r="AF3" s="1252"/>
      <c r="AG3" s="1252"/>
      <c r="AH3" s="1252"/>
      <c r="AI3" s="1252"/>
      <c r="AJ3" s="1248"/>
      <c r="AK3" s="1252"/>
      <c r="AL3" s="1252"/>
    </row>
    <row r="4" spans="1:41" ht="35.1" customHeight="1" thickBot="1">
      <c r="A4" s="726"/>
      <c r="B4" s="712" t="s">
        <v>0</v>
      </c>
      <c r="C4" s="1877" t="str">
        <f>VLOOKUP('Background Data'!$C$2,Inst_Tables,2,FALSE)</f>
        <v>Glasgow, University of</v>
      </c>
      <c r="D4" s="1878"/>
      <c r="E4" s="1879"/>
      <c r="F4" s="143">
        <f>VLOOKUP('Background Data'!$C$2,Inst_Tables,7,FALSE)</f>
        <v>1</v>
      </c>
      <c r="G4" s="143"/>
      <c r="H4" s="143"/>
      <c r="I4" s="143"/>
      <c r="J4" s="481"/>
      <c r="K4" s="481"/>
      <c r="L4" s="481"/>
      <c r="M4" s="481"/>
      <c r="N4" s="481"/>
      <c r="O4" s="481"/>
      <c r="P4" s="485"/>
      <c r="Q4" s="486"/>
      <c r="R4" s="484"/>
      <c r="S4" s="484"/>
      <c r="T4" s="484"/>
      <c r="U4" s="484"/>
      <c r="V4" s="484"/>
      <c r="W4" s="484"/>
      <c r="X4" s="484"/>
      <c r="Y4" s="484"/>
      <c r="Z4" s="484"/>
      <c r="AA4" s="484"/>
      <c r="AB4" s="484"/>
      <c r="AC4" s="484"/>
      <c r="AD4" s="484"/>
      <c r="AE4" s="1252"/>
      <c r="AF4" s="1248"/>
      <c r="AJ4" s="1247"/>
      <c r="AK4" s="1252"/>
      <c r="AL4" s="1248"/>
      <c r="AM4" s="1248"/>
      <c r="AN4" s="1248"/>
      <c r="AO4" s="1248"/>
    </row>
    <row r="5" spans="1:41" ht="35.1" customHeight="1">
      <c r="A5" s="726"/>
      <c r="B5" s="724" t="s">
        <v>313</v>
      </c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9"/>
      <c r="P5" s="490"/>
      <c r="Q5" s="487"/>
      <c r="R5" s="484"/>
      <c r="S5" s="484"/>
      <c r="T5" s="484"/>
      <c r="U5" s="484"/>
      <c r="V5" s="484"/>
      <c r="W5" s="484"/>
      <c r="X5" s="484"/>
      <c r="Y5" s="484"/>
      <c r="Z5" s="484"/>
      <c r="AA5" s="484"/>
      <c r="AB5" s="484"/>
      <c r="AC5" s="484"/>
      <c r="AD5" s="484"/>
      <c r="AE5" s="1252"/>
      <c r="AF5" s="1248"/>
      <c r="AG5" s="1247"/>
      <c r="AH5" s="1247"/>
      <c r="AI5" s="1247"/>
      <c r="AJ5" s="1247"/>
      <c r="AK5" s="1248"/>
      <c r="AL5" s="1248"/>
      <c r="AM5" s="1248"/>
      <c r="AN5" s="1248"/>
      <c r="AO5" s="1248"/>
    </row>
    <row r="6" spans="1:41" ht="30" customHeight="1">
      <c r="A6" s="726"/>
      <c r="B6" s="19" t="s">
        <v>423</v>
      </c>
      <c r="C6" s="1379"/>
      <c r="D6" s="488"/>
      <c r="E6" s="488"/>
      <c r="F6" s="488"/>
      <c r="G6" s="488"/>
      <c r="H6" s="488"/>
      <c r="I6" s="488"/>
      <c r="J6" s="488"/>
      <c r="K6" s="488"/>
      <c r="L6" s="488"/>
      <c r="M6" s="488"/>
      <c r="N6" s="488"/>
      <c r="O6" s="489"/>
      <c r="P6" s="490"/>
      <c r="Q6" s="487"/>
      <c r="R6" s="484"/>
      <c r="S6" s="484"/>
      <c r="T6" s="484"/>
      <c r="U6" s="484"/>
      <c r="V6" s="484"/>
      <c r="W6" s="484"/>
      <c r="X6" s="484"/>
      <c r="Y6" s="484"/>
      <c r="Z6" s="484"/>
      <c r="AA6" s="484"/>
      <c r="AB6" s="484"/>
      <c r="AC6" s="484"/>
      <c r="AD6" s="484"/>
      <c r="AE6" s="1252"/>
      <c r="AF6" s="1248"/>
      <c r="AG6" s="1247"/>
      <c r="AH6" s="1247"/>
      <c r="AI6" s="1247"/>
      <c r="AJ6" s="1247"/>
      <c r="AK6" s="1248"/>
      <c r="AL6" s="1248"/>
      <c r="AM6" s="1248"/>
      <c r="AN6" s="1248"/>
      <c r="AO6" s="1248"/>
    </row>
    <row r="7" spans="1:41" ht="15" customHeight="1" thickBot="1">
      <c r="A7" s="726"/>
      <c r="B7" s="488"/>
      <c r="C7" s="488"/>
      <c r="D7" s="488"/>
      <c r="E7" s="488"/>
      <c r="F7" s="488"/>
      <c r="G7" s="488"/>
      <c r="H7" s="488"/>
      <c r="I7" s="488"/>
      <c r="J7" s="488"/>
      <c r="K7" s="488"/>
      <c r="L7" s="488"/>
      <c r="M7" s="488"/>
      <c r="N7" s="488"/>
      <c r="O7" s="489"/>
      <c r="P7" s="490"/>
      <c r="Q7" s="487"/>
      <c r="R7" s="484"/>
      <c r="S7" s="484"/>
      <c r="T7" s="484"/>
      <c r="U7" s="484"/>
      <c r="V7" s="484"/>
      <c r="W7" s="484"/>
      <c r="X7" s="484"/>
      <c r="Y7" s="484"/>
      <c r="Z7" s="484"/>
      <c r="AA7" s="484"/>
      <c r="AB7" s="484"/>
      <c r="AC7" s="484"/>
      <c r="AD7" s="484"/>
      <c r="AE7" s="1252"/>
      <c r="AF7" s="1248"/>
      <c r="AG7" s="1247"/>
      <c r="AH7" s="1247"/>
      <c r="AI7" s="1247"/>
      <c r="AJ7" s="1247"/>
      <c r="AK7" s="1248"/>
      <c r="AL7" s="1248"/>
      <c r="AM7" s="1248"/>
      <c r="AN7" s="1248"/>
      <c r="AO7" s="1248"/>
    </row>
    <row r="8" spans="1:41" ht="35.1" customHeight="1" thickBot="1">
      <c r="A8" s="726"/>
      <c r="B8" s="1921" t="s">
        <v>28</v>
      </c>
      <c r="C8" s="1922"/>
      <c r="D8" s="1922"/>
      <c r="E8" s="1922"/>
      <c r="F8" s="1922"/>
      <c r="G8" s="1922"/>
      <c r="H8" s="1922"/>
      <c r="I8" s="1922"/>
      <c r="J8" s="1922"/>
      <c r="K8" s="1922"/>
      <c r="L8" s="1922"/>
      <c r="M8" s="1922"/>
      <c r="N8" s="1922"/>
      <c r="O8" s="1923"/>
      <c r="P8" s="490"/>
      <c r="Q8" s="487"/>
      <c r="R8" s="491"/>
      <c r="S8" s="491"/>
      <c r="T8" s="491"/>
      <c r="U8" s="491"/>
      <c r="V8" s="491"/>
      <c r="W8" s="484"/>
      <c r="X8" s="492"/>
      <c r="Y8" s="492"/>
      <c r="Z8" s="492"/>
      <c r="AA8" s="492"/>
      <c r="AB8" s="492"/>
      <c r="AC8" s="484"/>
      <c r="AD8" s="484"/>
      <c r="AE8" s="1252"/>
      <c r="AF8" s="1248"/>
      <c r="AG8" s="1254"/>
      <c r="AH8" s="1248"/>
      <c r="AI8" s="1248"/>
      <c r="AJ8" s="1248"/>
      <c r="AK8" s="1248"/>
      <c r="AM8" s="1248"/>
      <c r="AN8" s="1248"/>
      <c r="AO8" s="1248"/>
    </row>
    <row r="9" spans="1:41" ht="39.950000000000003" customHeight="1" thickBot="1">
      <c r="A9" s="726"/>
      <c r="B9" s="559"/>
      <c r="C9" s="1921" t="s">
        <v>166</v>
      </c>
      <c r="D9" s="1922"/>
      <c r="E9" s="1922"/>
      <c r="F9" s="1922"/>
      <c r="G9" s="1922"/>
      <c r="H9" s="1922"/>
      <c r="I9" s="1922"/>
      <c r="J9" s="1922"/>
      <c r="K9" s="1922"/>
      <c r="L9" s="1922"/>
      <c r="M9" s="1922"/>
      <c r="N9" s="1923"/>
      <c r="O9" s="1917" t="s">
        <v>153</v>
      </c>
      <c r="P9" s="490"/>
      <c r="Q9" s="487"/>
      <c r="R9" s="493"/>
      <c r="S9" s="493"/>
      <c r="T9" s="493"/>
      <c r="U9" s="493"/>
      <c r="V9" s="493"/>
      <c r="W9" s="484"/>
      <c r="X9" s="494"/>
      <c r="Y9" s="494"/>
      <c r="Z9" s="494"/>
      <c r="AA9" s="494"/>
      <c r="AB9" s="494"/>
      <c r="AC9" s="484"/>
      <c r="AD9" s="484"/>
      <c r="AK9" s="1248"/>
    </row>
    <row r="10" spans="1:41" ht="39.950000000000003" customHeight="1" thickBot="1">
      <c r="A10" s="726"/>
      <c r="B10" s="559"/>
      <c r="C10" s="1921" t="s">
        <v>4</v>
      </c>
      <c r="D10" s="1922"/>
      <c r="E10" s="1922"/>
      <c r="F10" s="1922"/>
      <c r="G10" s="1922"/>
      <c r="H10" s="1923"/>
      <c r="I10" s="1918" t="s">
        <v>29</v>
      </c>
      <c r="J10" s="1919"/>
      <c r="K10" s="1919"/>
      <c r="L10" s="1919"/>
      <c r="M10" s="1920"/>
      <c r="N10" s="567" t="s">
        <v>2</v>
      </c>
      <c r="O10" s="1917"/>
      <c r="P10" s="490"/>
      <c r="Q10" s="487"/>
      <c r="R10" s="622"/>
      <c r="S10" s="622"/>
      <c r="T10" s="622"/>
      <c r="U10" s="622"/>
      <c r="V10" s="622"/>
      <c r="W10" s="484"/>
      <c r="X10" s="622"/>
      <c r="Y10" s="622"/>
      <c r="Z10" s="622"/>
      <c r="AA10" s="622"/>
      <c r="AB10" s="622"/>
      <c r="AC10" s="484"/>
      <c r="AD10" s="484"/>
      <c r="AG10" s="1901" t="s">
        <v>4</v>
      </c>
      <c r="AH10" s="1902"/>
      <c r="AI10" s="1902"/>
      <c r="AJ10" s="1903"/>
      <c r="AK10" s="1248"/>
      <c r="AL10" s="1901" t="s">
        <v>29</v>
      </c>
      <c r="AM10" s="1902"/>
      <c r="AN10" s="1902"/>
      <c r="AO10" s="1903"/>
    </row>
    <row r="11" spans="1:41" ht="54.95" customHeight="1">
      <c r="A11" s="726"/>
      <c r="B11" s="560" t="s">
        <v>165</v>
      </c>
      <c r="C11" s="1386" t="s">
        <v>113</v>
      </c>
      <c r="D11" s="730" t="s">
        <v>24</v>
      </c>
      <c r="E11" s="554" t="s">
        <v>13</v>
      </c>
      <c r="F11" s="554" t="s">
        <v>14</v>
      </c>
      <c r="G11" s="554" t="s">
        <v>15</v>
      </c>
      <c r="H11" s="538" t="s">
        <v>171</v>
      </c>
      <c r="I11" s="555" t="s">
        <v>113</v>
      </c>
      <c r="J11" s="730" t="s">
        <v>14</v>
      </c>
      <c r="K11" s="554" t="s">
        <v>15</v>
      </c>
      <c r="L11" s="554" t="s">
        <v>16</v>
      </c>
      <c r="M11" s="534" t="s">
        <v>171</v>
      </c>
      <c r="N11" s="496"/>
      <c r="O11" s="1917"/>
      <c r="P11" s="490"/>
      <c r="Q11" s="487"/>
      <c r="R11" s="1913" t="s">
        <v>4</v>
      </c>
      <c r="S11" s="1914"/>
      <c r="T11" s="1914"/>
      <c r="U11" s="1914"/>
      <c r="V11" s="1915"/>
      <c r="W11" s="484"/>
      <c r="X11" s="1913" t="s">
        <v>29</v>
      </c>
      <c r="Y11" s="1914"/>
      <c r="Z11" s="1914"/>
      <c r="AA11" s="1914"/>
      <c r="AB11" s="1915"/>
      <c r="AC11" s="484"/>
      <c r="AD11" s="484"/>
      <c r="AG11" s="1904" t="s">
        <v>215</v>
      </c>
      <c r="AH11" s="1907" t="s">
        <v>205</v>
      </c>
      <c r="AI11" s="1907" t="s">
        <v>197</v>
      </c>
      <c r="AJ11" s="1910" t="s">
        <v>216</v>
      </c>
      <c r="AK11" s="1248"/>
      <c r="AL11" s="1904" t="s">
        <v>215</v>
      </c>
      <c r="AM11" s="1907" t="s">
        <v>205</v>
      </c>
      <c r="AN11" s="1907" t="s">
        <v>197</v>
      </c>
      <c r="AO11" s="1910" t="s">
        <v>216</v>
      </c>
    </row>
    <row r="12" spans="1:41" ht="30" customHeight="1">
      <c r="A12" s="726"/>
      <c r="B12" s="561"/>
      <c r="C12" s="545" t="s">
        <v>17</v>
      </c>
      <c r="D12" s="731" t="s">
        <v>17</v>
      </c>
      <c r="E12" s="495" t="s">
        <v>17</v>
      </c>
      <c r="F12" s="495" t="s">
        <v>17</v>
      </c>
      <c r="G12" s="495" t="s">
        <v>17</v>
      </c>
      <c r="H12" s="521" t="s">
        <v>17</v>
      </c>
      <c r="I12" s="545" t="s">
        <v>17</v>
      </c>
      <c r="J12" s="731" t="s">
        <v>17</v>
      </c>
      <c r="K12" s="495" t="s">
        <v>17</v>
      </c>
      <c r="L12" s="495" t="s">
        <v>17</v>
      </c>
      <c r="M12" s="519" t="s">
        <v>17</v>
      </c>
      <c r="N12" s="496" t="s">
        <v>17</v>
      </c>
      <c r="O12" s="496" t="s">
        <v>17</v>
      </c>
      <c r="P12" s="490"/>
      <c r="Q12" s="487"/>
      <c r="R12" s="1916" t="s">
        <v>180</v>
      </c>
      <c r="S12" s="1870" t="s">
        <v>181</v>
      </c>
      <c r="T12" s="1898" t="s">
        <v>193</v>
      </c>
      <c r="U12" s="1899"/>
      <c r="V12" s="1900"/>
      <c r="W12" s="484"/>
      <c r="X12" s="1916" t="s">
        <v>180</v>
      </c>
      <c r="Y12" s="1870" t="s">
        <v>181</v>
      </c>
      <c r="Z12" s="1898" t="s">
        <v>193</v>
      </c>
      <c r="AA12" s="1899"/>
      <c r="AB12" s="1900"/>
      <c r="AC12" s="484"/>
      <c r="AD12" s="484"/>
      <c r="AG12" s="1905"/>
      <c r="AH12" s="1908"/>
      <c r="AI12" s="1908"/>
      <c r="AJ12" s="1911"/>
      <c r="AL12" s="1905"/>
      <c r="AM12" s="1908"/>
      <c r="AN12" s="1908"/>
      <c r="AO12" s="1911"/>
    </row>
    <row r="13" spans="1:41" ht="39.950000000000003" customHeight="1" thickBot="1">
      <c r="A13" s="726"/>
      <c r="B13" s="561"/>
      <c r="C13" s="547" t="s">
        <v>30</v>
      </c>
      <c r="D13" s="732" t="s">
        <v>30</v>
      </c>
      <c r="E13" s="523" t="s">
        <v>30</v>
      </c>
      <c r="F13" s="523" t="s">
        <v>30</v>
      </c>
      <c r="G13" s="523" t="s">
        <v>30</v>
      </c>
      <c r="H13" s="538" t="s">
        <v>112</v>
      </c>
      <c r="I13" s="547" t="s">
        <v>30</v>
      </c>
      <c r="J13" s="732" t="s">
        <v>30</v>
      </c>
      <c r="K13" s="523" t="s">
        <v>30</v>
      </c>
      <c r="L13" s="523" t="s">
        <v>30</v>
      </c>
      <c r="M13" s="534" t="s">
        <v>112</v>
      </c>
      <c r="N13" s="650" t="s">
        <v>112</v>
      </c>
      <c r="O13" s="524" t="s">
        <v>30</v>
      </c>
      <c r="P13" s="490"/>
      <c r="Q13" s="487"/>
      <c r="R13" s="1861"/>
      <c r="S13" s="1862"/>
      <c r="T13" s="367" t="s">
        <v>60</v>
      </c>
      <c r="U13" s="1870" t="s">
        <v>194</v>
      </c>
      <c r="V13" s="29" t="s">
        <v>75</v>
      </c>
      <c r="W13" s="484"/>
      <c r="X13" s="1861"/>
      <c r="Y13" s="1862"/>
      <c r="Z13" s="367" t="s">
        <v>60</v>
      </c>
      <c r="AA13" s="1870" t="s">
        <v>194</v>
      </c>
      <c r="AB13" s="29" t="s">
        <v>75</v>
      </c>
      <c r="AC13" s="484"/>
      <c r="AD13" s="484"/>
      <c r="AG13" s="1906"/>
      <c r="AH13" s="1909"/>
      <c r="AI13" s="1909"/>
      <c r="AJ13" s="1912"/>
      <c r="AL13" s="1906"/>
      <c r="AM13" s="1909"/>
      <c r="AN13" s="1909"/>
      <c r="AO13" s="1912"/>
    </row>
    <row r="14" spans="1:41" ht="30" customHeight="1" thickBot="1">
      <c r="A14" s="726"/>
      <c r="B14" s="568"/>
      <c r="C14" s="958">
        <v>2</v>
      </c>
      <c r="D14" s="957">
        <v>3</v>
      </c>
      <c r="E14" s="954">
        <v>4</v>
      </c>
      <c r="F14" s="956">
        <v>5</v>
      </c>
      <c r="G14" s="956">
        <v>6</v>
      </c>
      <c r="H14" s="954">
        <v>7</v>
      </c>
      <c r="I14" s="958">
        <v>8</v>
      </c>
      <c r="J14" s="957">
        <v>9</v>
      </c>
      <c r="K14" s="954">
        <v>10</v>
      </c>
      <c r="L14" s="956">
        <v>11</v>
      </c>
      <c r="M14" s="959">
        <v>12</v>
      </c>
      <c r="N14" s="954">
        <v>13</v>
      </c>
      <c r="O14" s="958">
        <v>14</v>
      </c>
      <c r="P14" s="490"/>
      <c r="Q14" s="487"/>
      <c r="R14" s="605"/>
      <c r="S14" s="368"/>
      <c r="T14" s="606"/>
      <c r="U14" s="1871"/>
      <c r="V14" s="607"/>
      <c r="W14" s="484"/>
      <c r="X14" s="605"/>
      <c r="Y14" s="368"/>
      <c r="Z14" s="606"/>
      <c r="AA14" s="1871"/>
      <c r="AB14" s="607"/>
      <c r="AC14" s="484"/>
      <c r="AD14" s="484"/>
      <c r="AG14" s="1245" t="s">
        <v>71</v>
      </c>
      <c r="AH14" s="1245" t="s">
        <v>71</v>
      </c>
      <c r="AI14" s="1245" t="s">
        <v>71</v>
      </c>
      <c r="AJ14" s="1245" t="s">
        <v>71</v>
      </c>
      <c r="AK14" s="1242"/>
      <c r="AL14" s="1245" t="s">
        <v>71</v>
      </c>
      <c r="AM14" s="1245" t="s">
        <v>71</v>
      </c>
      <c r="AN14" s="1245" t="s">
        <v>71</v>
      </c>
      <c r="AO14" s="1245" t="s">
        <v>71</v>
      </c>
    </row>
    <row r="15" spans="1:41" ht="35.1" customHeight="1">
      <c r="A15" s="726"/>
      <c r="B15" s="560" t="s">
        <v>213</v>
      </c>
      <c r="C15" s="548"/>
      <c r="D15" s="1380"/>
      <c r="E15" s="497"/>
      <c r="F15" s="732"/>
      <c r="G15" s="732"/>
      <c r="H15" s="539"/>
      <c r="I15" s="548"/>
      <c r="J15" s="498"/>
      <c r="K15" s="497"/>
      <c r="L15" s="523"/>
      <c r="M15" s="650"/>
      <c r="N15" s="650"/>
      <c r="O15" s="524"/>
      <c r="P15" s="490"/>
      <c r="Q15" s="487"/>
      <c r="R15" s="617"/>
      <c r="S15" s="618"/>
      <c r="T15" s="618"/>
      <c r="U15" s="618"/>
      <c r="V15" s="619"/>
      <c r="W15" s="484"/>
      <c r="X15" s="40"/>
      <c r="Y15" s="618"/>
      <c r="Z15" s="618"/>
      <c r="AA15" s="618"/>
      <c r="AB15" s="623"/>
      <c r="AC15" s="484"/>
      <c r="AD15" s="484"/>
      <c r="AG15" s="1245"/>
      <c r="AH15" s="1245"/>
      <c r="AI15" s="1245"/>
      <c r="AJ15" s="1245"/>
      <c r="AK15" s="1242"/>
      <c r="AL15" s="1245"/>
      <c r="AM15" s="1245"/>
      <c r="AN15" s="1245"/>
      <c r="AO15" s="1245"/>
    </row>
    <row r="16" spans="1:41" ht="30" customHeight="1">
      <c r="A16" s="726"/>
      <c r="B16" s="562" t="s">
        <v>163</v>
      </c>
      <c r="C16" s="595">
        <v>163</v>
      </c>
      <c r="D16" s="1381">
        <v>167</v>
      </c>
      <c r="E16" s="594">
        <v>163</v>
      </c>
      <c r="F16" s="584"/>
      <c r="G16" s="584"/>
      <c r="H16" s="540">
        <f>SUM(D16:G16)</f>
        <v>330</v>
      </c>
      <c r="I16" s="595">
        <v>19</v>
      </c>
      <c r="J16" s="596">
        <v>175</v>
      </c>
      <c r="K16" s="594">
        <v>177</v>
      </c>
      <c r="L16" s="583">
        <v>178</v>
      </c>
      <c r="M16" s="531">
        <f>SUM(J16:L16)</f>
        <v>530</v>
      </c>
      <c r="N16" s="531">
        <f>SUM(H16,M16)</f>
        <v>860</v>
      </c>
      <c r="O16" s="586">
        <v>46</v>
      </c>
      <c r="P16" s="490"/>
      <c r="Q16" s="487"/>
      <c r="R16" s="76" t="str">
        <f>IF(AG16=1,Intake_missing,IF(AH16=1,Only_intake_recorded,"OK"))</f>
        <v>OK</v>
      </c>
      <c r="S16" s="51" t="str">
        <f>IF(OR(AI16=1,AJ16=1),Intake_inconsistent,"OK")</f>
        <v>OK</v>
      </c>
      <c r="T16" s="620">
        <f>'Table 1 (Main)'!$M$30</f>
        <v>330</v>
      </c>
      <c r="U16" s="621">
        <f>H16-T16</f>
        <v>0</v>
      </c>
      <c r="V16" s="78" t="str">
        <f>IF(ABS(U16)&gt;0.1,"Does not equal figure in Table 1","OK")</f>
        <v>OK</v>
      </c>
      <c r="W16" s="484"/>
      <c r="X16" s="76" t="str">
        <f>IF(AL16=1,Intake_missing,IF(AM16=1,Only_intake_recorded,"OK"))</f>
        <v>OK</v>
      </c>
      <c r="Y16" s="51" t="str">
        <f>IF(OR(AN16=1,AO16=1),Intake_inconsistent,"OK")</f>
        <v>OK</v>
      </c>
      <c r="Z16" s="620">
        <f>'Table 1 (Main)'!$M$28</f>
        <v>530</v>
      </c>
      <c r="AA16" s="621">
        <f>M16-Z16</f>
        <v>0</v>
      </c>
      <c r="AB16" s="78" t="str">
        <f>IF(ABS(AA16)&gt;0.1,"Does not equal figure in Table 1","OK")</f>
        <v>OK</v>
      </c>
      <c r="AC16" s="484"/>
      <c r="AD16" s="484"/>
      <c r="AG16" s="1246">
        <f>IF(AND($C16=0,$H16&gt;0),1,0)</f>
        <v>0</v>
      </c>
      <c r="AH16" s="1246">
        <f>IF(AND($C16&gt;0,$H16=0),1,0)</f>
        <v>0</v>
      </c>
      <c r="AI16" s="1246">
        <f>IF($C16&gt;$H16,1,0)</f>
        <v>0</v>
      </c>
      <c r="AJ16" s="1246">
        <f>IF(AND($C16&gt;0,$C16=$H16),1,0)</f>
        <v>0</v>
      </c>
      <c r="AK16" s="1255"/>
      <c r="AL16" s="1246">
        <f>IF(AND($I16=0,$M16&gt;0),1,0)</f>
        <v>0</v>
      </c>
      <c r="AM16" s="1246">
        <f>IF(AND($I16&gt;0,$M16=0),1,0)</f>
        <v>0</v>
      </c>
      <c r="AN16" s="1246">
        <f>IF($I16&gt;$M16,1,0)</f>
        <v>0</v>
      </c>
      <c r="AO16" s="1246">
        <f>IF(AND($I16&gt;0,$I16=$M16),1,0)</f>
        <v>0</v>
      </c>
    </row>
    <row r="17" spans="1:41" ht="30" customHeight="1">
      <c r="A17" s="726"/>
      <c r="B17" s="562" t="s">
        <v>212</v>
      </c>
      <c r="C17" s="595">
        <v>56</v>
      </c>
      <c r="D17" s="1381">
        <v>64</v>
      </c>
      <c r="E17" s="594">
        <v>56</v>
      </c>
      <c r="F17" s="584"/>
      <c r="G17" s="584"/>
      <c r="H17" s="540">
        <f>SUM(D17:G17)</f>
        <v>120</v>
      </c>
      <c r="I17" s="595">
        <v>5</v>
      </c>
      <c r="J17" s="596">
        <v>63</v>
      </c>
      <c r="K17" s="594">
        <v>53</v>
      </c>
      <c r="L17" s="583">
        <v>57</v>
      </c>
      <c r="M17" s="531">
        <f>SUM(J17:L17)</f>
        <v>173</v>
      </c>
      <c r="N17" s="531">
        <f>SUM(H17,M17)</f>
        <v>293</v>
      </c>
      <c r="O17" s="586">
        <v>22</v>
      </c>
      <c r="P17" s="490"/>
      <c r="Q17" s="487"/>
      <c r="R17" s="76" t="str">
        <f>IF(AG17=1,Intake_missing,IF(AH17=1,Only_intake_recorded,"OK"))</f>
        <v>OK</v>
      </c>
      <c r="S17" s="51" t="str">
        <f>IF(OR(AI17=1,AJ17=1),Intake_inconsistent,"OK")</f>
        <v>OK</v>
      </c>
      <c r="T17" s="620">
        <f>'Table 1 (Main)'!$Q$30</f>
        <v>120</v>
      </c>
      <c r="U17" s="621">
        <f>H17-T17</f>
        <v>0</v>
      </c>
      <c r="V17" s="78" t="str">
        <f>IF(ABS(U17)&gt;0.1,"Does not equal figure in Table 1","OK")</f>
        <v>OK</v>
      </c>
      <c r="W17" s="484"/>
      <c r="X17" s="76" t="str">
        <f>IF(AL17=1,Intake_missing,IF(AM17=1,Only_intake_recorded,"OK"))</f>
        <v>OK</v>
      </c>
      <c r="Y17" s="51" t="str">
        <f>IF(OR(AN17=1,AO17=1),Intake_inconsistent,"OK")</f>
        <v>OK</v>
      </c>
      <c r="Z17" s="620">
        <f>'Table 1 (Main)'!$Q$28</f>
        <v>173</v>
      </c>
      <c r="AA17" s="621">
        <f>M17-Z17</f>
        <v>0</v>
      </c>
      <c r="AB17" s="78" t="str">
        <f>IF(ABS(AA17)&gt;0.1,"Does not equal figure in Table 1","OK")</f>
        <v>OK</v>
      </c>
      <c r="AC17" s="484"/>
      <c r="AD17" s="484"/>
      <c r="AG17" s="1246">
        <f>IF(AND($C17=0,$H17&gt;0),1,0)</f>
        <v>0</v>
      </c>
      <c r="AH17" s="1246">
        <f>IF(AND($C17&gt;0,$H17=0),1,0)</f>
        <v>0</v>
      </c>
      <c r="AI17" s="1246">
        <f>IF($C17&gt;$H17,1,0)</f>
        <v>0</v>
      </c>
      <c r="AJ17" s="1246">
        <f>IF(AND($C17&gt;0,$C17=$H17),1,0)</f>
        <v>0</v>
      </c>
      <c r="AK17" s="1255"/>
      <c r="AL17" s="1246">
        <f>IF(AND($I17=0,$M17&gt;0),1,0)</f>
        <v>0</v>
      </c>
      <c r="AM17" s="1246">
        <f>IF(AND($I17&gt;0,$M17=0),1,0)</f>
        <v>0</v>
      </c>
      <c r="AN17" s="1246">
        <f>IF($I17&gt;$M17,1,0)</f>
        <v>0</v>
      </c>
      <c r="AO17" s="1246">
        <f>IF(AND($I17&gt;0,$I17=$M17),1,0)</f>
        <v>0</v>
      </c>
    </row>
    <row r="18" spans="1:41" ht="30" customHeight="1">
      <c r="A18" s="726"/>
      <c r="B18" s="563" t="s">
        <v>214</v>
      </c>
      <c r="C18" s="550">
        <f>SUM(C16:C17)</f>
        <v>219</v>
      </c>
      <c r="D18" s="1382">
        <f t="shared" ref="D18:G18" si="0">SUM(D16:D17)</f>
        <v>231</v>
      </c>
      <c r="E18" s="528">
        <f t="shared" si="0"/>
        <v>219</v>
      </c>
      <c r="F18" s="528">
        <f t="shared" si="0"/>
        <v>0</v>
      </c>
      <c r="G18" s="528">
        <f t="shared" si="0"/>
        <v>0</v>
      </c>
      <c r="H18" s="541">
        <f>SUM(H16:H17)</f>
        <v>450</v>
      </c>
      <c r="I18" s="550">
        <f t="shared" ref="I18:M18" si="1">SUM(I16:I17)</f>
        <v>24</v>
      </c>
      <c r="J18" s="529">
        <f t="shared" si="1"/>
        <v>238</v>
      </c>
      <c r="K18" s="528">
        <f t="shared" si="1"/>
        <v>230</v>
      </c>
      <c r="L18" s="528">
        <f t="shared" si="1"/>
        <v>235</v>
      </c>
      <c r="M18" s="530">
        <f t="shared" si="1"/>
        <v>703</v>
      </c>
      <c r="N18" s="536">
        <f>SUM(N16:N17)</f>
        <v>1153</v>
      </c>
      <c r="O18" s="536">
        <f>SUM(O16:O17)</f>
        <v>68</v>
      </c>
      <c r="P18" s="490"/>
      <c r="Q18" s="487"/>
      <c r="R18" s="69"/>
      <c r="S18" s="608"/>
      <c r="T18" s="608"/>
      <c r="U18" s="609"/>
      <c r="V18" s="71"/>
      <c r="W18" s="484"/>
      <c r="X18" s="69"/>
      <c r="Y18" s="608"/>
      <c r="Z18" s="608"/>
      <c r="AA18" s="609"/>
      <c r="AB18" s="71"/>
      <c r="AC18" s="484"/>
      <c r="AD18" s="484"/>
      <c r="AG18" s="1246"/>
      <c r="AH18" s="1246"/>
      <c r="AI18" s="1246"/>
      <c r="AJ18" s="1246"/>
      <c r="AK18" s="1255"/>
      <c r="AL18" s="1246"/>
      <c r="AM18" s="1246"/>
      <c r="AN18" s="1246"/>
      <c r="AO18" s="1246"/>
    </row>
    <row r="19" spans="1:41" ht="35.1" customHeight="1">
      <c r="A19" s="726"/>
      <c r="B19" s="564" t="s">
        <v>164</v>
      </c>
      <c r="C19" s="551"/>
      <c r="D19" s="1383"/>
      <c r="E19" s="501"/>
      <c r="F19" s="501"/>
      <c r="G19" s="501"/>
      <c r="H19" s="542"/>
      <c r="I19" s="551"/>
      <c r="J19" s="500"/>
      <c r="K19" s="501"/>
      <c r="L19" s="499"/>
      <c r="M19" s="520"/>
      <c r="N19" s="537"/>
      <c r="O19" s="502"/>
      <c r="P19" s="490"/>
      <c r="Q19" s="487"/>
      <c r="R19" s="610"/>
      <c r="S19" s="611"/>
      <c r="T19" s="509"/>
      <c r="U19" s="510"/>
      <c r="V19" s="612"/>
      <c r="W19" s="484"/>
      <c r="X19" s="610"/>
      <c r="Y19" s="611"/>
      <c r="Z19" s="509"/>
      <c r="AA19" s="510"/>
      <c r="AB19" s="612"/>
      <c r="AC19" s="484"/>
      <c r="AD19" s="484"/>
      <c r="AG19" s="1256"/>
      <c r="AH19" s="1256"/>
      <c r="AI19" s="1256"/>
      <c r="AJ19" s="1256"/>
      <c r="AK19" s="1255"/>
      <c r="AL19" s="1242"/>
    </row>
    <row r="20" spans="1:41" ht="30" customHeight="1">
      <c r="A20" s="726"/>
      <c r="B20" s="562" t="s">
        <v>169</v>
      </c>
      <c r="C20" s="1387"/>
      <c r="D20" s="1384"/>
      <c r="E20" s="583"/>
      <c r="F20" s="584"/>
      <c r="G20" s="584"/>
      <c r="H20" s="540">
        <f>SUM(D20:G20)</f>
        <v>0</v>
      </c>
      <c r="I20" s="585">
        <v>15</v>
      </c>
      <c r="J20" s="584">
        <v>15</v>
      </c>
      <c r="K20" s="583">
        <v>14</v>
      </c>
      <c r="L20" s="583">
        <v>15</v>
      </c>
      <c r="M20" s="531">
        <f t="shared" ref="M20:M22" si="2">SUM(J20:L20)</f>
        <v>44</v>
      </c>
      <c r="N20" s="531">
        <f t="shared" ref="N20:N21" si="3">SUM(H20,M20)</f>
        <v>44</v>
      </c>
      <c r="O20" s="586"/>
      <c r="P20" s="490"/>
      <c r="Q20" s="487"/>
      <c r="R20" s="76" t="str">
        <f>IF(AG20=1,Intake_missing,IF(AH20=1,Only_intake_recorded,"OK"))</f>
        <v>OK</v>
      </c>
      <c r="S20" s="51" t="str">
        <f>IF(OR(AI20=1,AJ20=1),Intake_inconsistent,"OK")</f>
        <v>OK</v>
      </c>
      <c r="T20" s="613"/>
      <c r="U20" s="510"/>
      <c r="V20" s="612"/>
      <c r="W20" s="484"/>
      <c r="X20" s="76" t="str">
        <f>IF(AL20=1,Intake_missing,IF(AM20=1,Only_intake_recorded,"OK"))</f>
        <v>OK</v>
      </c>
      <c r="Y20" s="51" t="str">
        <f>IF(OR(AN20=1,AO20=1),Intake_inconsistent,"OK")</f>
        <v>OK</v>
      </c>
      <c r="Z20" s="613"/>
      <c r="AA20" s="510"/>
      <c r="AB20" s="612"/>
      <c r="AC20" s="484"/>
      <c r="AD20" s="484"/>
      <c r="AG20" s="1246">
        <f t="shared" ref="AG20:AG22" si="4">IF(AND($C20=0,$H20&gt;0),1,0)</f>
        <v>0</v>
      </c>
      <c r="AH20" s="1246">
        <f t="shared" ref="AH20:AH22" si="5">IF(AND($C20&gt;0,$H20=0),1,0)</f>
        <v>0</v>
      </c>
      <c r="AI20" s="1246">
        <f t="shared" ref="AI20:AI22" si="6">IF($C20&gt;$H20,1,0)</f>
        <v>0</v>
      </c>
      <c r="AJ20" s="1246">
        <f t="shared" ref="AJ20:AJ22" si="7">IF(AND($C20&gt;0,$C20=$H20),1,0)</f>
        <v>0</v>
      </c>
      <c r="AK20" s="1255"/>
      <c r="AL20" s="1246">
        <f t="shared" ref="AL20:AL22" si="8">IF(AND($I20=0,$M20&gt;0),1,0)</f>
        <v>0</v>
      </c>
      <c r="AM20" s="1246">
        <f t="shared" ref="AM20:AM22" si="9">IF(AND($I20&gt;0,$M20=0),1,0)</f>
        <v>0</v>
      </c>
      <c r="AN20" s="1246">
        <f t="shared" ref="AN20:AN22" si="10">IF($I20&gt;$M20,1,0)</f>
        <v>0</v>
      </c>
      <c r="AO20" s="1246">
        <f t="shared" ref="AO20:AO22" si="11">IF(AND($I20&gt;0,$I20=$M20),1,0)</f>
        <v>0</v>
      </c>
    </row>
    <row r="21" spans="1:41" ht="30" customHeight="1">
      <c r="A21" s="726"/>
      <c r="B21" s="562" t="s">
        <v>170</v>
      </c>
      <c r="C21" s="1387"/>
      <c r="D21" s="1384"/>
      <c r="E21" s="583"/>
      <c r="F21" s="584"/>
      <c r="G21" s="584"/>
      <c r="H21" s="540">
        <f>SUM(D21:G21)</f>
        <v>0</v>
      </c>
      <c r="I21" s="585"/>
      <c r="J21" s="584"/>
      <c r="K21" s="583"/>
      <c r="L21" s="583"/>
      <c r="M21" s="531">
        <f t="shared" si="2"/>
        <v>0</v>
      </c>
      <c r="N21" s="531">
        <f t="shared" si="3"/>
        <v>0</v>
      </c>
      <c r="O21" s="586"/>
      <c r="P21" s="490"/>
      <c r="Q21" s="487"/>
      <c r="R21" s="76" t="str">
        <f>IF(AG21=1,Intake_missing,IF(AH21=1,Only_intake_recorded,"OK"))</f>
        <v>OK</v>
      </c>
      <c r="S21" s="51" t="str">
        <f>IF(OR(AI21=1,AJ21=1),Intake_inconsistent,"OK")</f>
        <v>OK</v>
      </c>
      <c r="T21" s="613"/>
      <c r="U21" s="510"/>
      <c r="V21" s="612"/>
      <c r="W21" s="484"/>
      <c r="X21" s="76" t="str">
        <f>IF(AL21=1,Intake_missing,IF(AM21=1,Only_intake_recorded,"OK"))</f>
        <v>OK</v>
      </c>
      <c r="Y21" s="51" t="str">
        <f>IF(OR(AN21=1,AO21=1),Intake_inconsistent,"OK")</f>
        <v>OK</v>
      </c>
      <c r="Z21" s="613"/>
      <c r="AA21" s="510"/>
      <c r="AB21" s="612"/>
      <c r="AC21" s="484"/>
      <c r="AD21" s="484"/>
      <c r="AG21" s="1246">
        <f t="shared" si="4"/>
        <v>0</v>
      </c>
      <c r="AH21" s="1246">
        <f t="shared" si="5"/>
        <v>0</v>
      </c>
      <c r="AI21" s="1246">
        <f t="shared" si="6"/>
        <v>0</v>
      </c>
      <c r="AJ21" s="1246">
        <f t="shared" si="7"/>
        <v>0</v>
      </c>
      <c r="AK21" s="1255"/>
      <c r="AL21" s="1246">
        <f t="shared" si="8"/>
        <v>0</v>
      </c>
      <c r="AM21" s="1246">
        <f t="shared" si="9"/>
        <v>0</v>
      </c>
      <c r="AN21" s="1246">
        <f t="shared" si="10"/>
        <v>0</v>
      </c>
      <c r="AO21" s="1246">
        <f t="shared" si="11"/>
        <v>0</v>
      </c>
    </row>
    <row r="22" spans="1:41" ht="30" customHeight="1" thickBot="1">
      <c r="A22" s="726"/>
      <c r="B22" s="562" t="s">
        <v>79</v>
      </c>
      <c r="C22" s="1387">
        <v>29</v>
      </c>
      <c r="D22" s="1384">
        <v>31</v>
      </c>
      <c r="E22" s="583">
        <v>25</v>
      </c>
      <c r="F22" s="584"/>
      <c r="G22" s="584"/>
      <c r="H22" s="540">
        <f>SUM(D22:G22)</f>
        <v>56</v>
      </c>
      <c r="I22" s="585">
        <v>3</v>
      </c>
      <c r="J22" s="584">
        <v>26</v>
      </c>
      <c r="K22" s="583">
        <v>23</v>
      </c>
      <c r="L22" s="583">
        <v>29</v>
      </c>
      <c r="M22" s="531">
        <f t="shared" si="2"/>
        <v>78</v>
      </c>
      <c r="N22" s="531">
        <f>SUM(H22,M22)</f>
        <v>134</v>
      </c>
      <c r="O22" s="586">
        <v>8</v>
      </c>
      <c r="P22" s="490"/>
      <c r="Q22" s="487"/>
      <c r="R22" s="87" t="str">
        <f>IF(AG22=1,Intake_missing,IF(AH22=1,Only_intake_recorded,"OK"))</f>
        <v>OK</v>
      </c>
      <c r="S22" s="504" t="str">
        <f>IF(OR(AI22=1,AJ22=1),Intake_inconsistent,"OK")</f>
        <v>OK</v>
      </c>
      <c r="T22" s="614"/>
      <c r="U22" s="615"/>
      <c r="V22" s="616"/>
      <c r="W22" s="484"/>
      <c r="X22" s="87" t="str">
        <f>IF(AL22=1,Intake_missing,IF(AM22=1,Only_intake_recorded,"OK"))</f>
        <v>OK</v>
      </c>
      <c r="Y22" s="504" t="str">
        <f>IF(OR(AN22=1,AO22=1),Intake_inconsistent,"OK")</f>
        <v>OK</v>
      </c>
      <c r="Z22" s="614"/>
      <c r="AA22" s="615"/>
      <c r="AB22" s="616"/>
      <c r="AC22" s="484"/>
      <c r="AD22" s="484"/>
      <c r="AG22" s="1246">
        <f t="shared" si="4"/>
        <v>0</v>
      </c>
      <c r="AH22" s="1246">
        <f t="shared" si="5"/>
        <v>0</v>
      </c>
      <c r="AI22" s="1246">
        <f t="shared" si="6"/>
        <v>0</v>
      </c>
      <c r="AJ22" s="1246">
        <f t="shared" si="7"/>
        <v>0</v>
      </c>
      <c r="AK22" s="1255"/>
      <c r="AL22" s="1246">
        <f t="shared" si="8"/>
        <v>0</v>
      </c>
      <c r="AM22" s="1246">
        <f t="shared" si="9"/>
        <v>0</v>
      </c>
      <c r="AN22" s="1246">
        <f t="shared" si="10"/>
        <v>0</v>
      </c>
      <c r="AO22" s="1246">
        <f t="shared" si="11"/>
        <v>0</v>
      </c>
    </row>
    <row r="23" spans="1:41" ht="30" customHeight="1">
      <c r="A23" s="726"/>
      <c r="B23" s="565" t="s">
        <v>179</v>
      </c>
      <c r="C23" s="1388">
        <f>SUM(C20:C22)</f>
        <v>29</v>
      </c>
      <c r="D23" s="1385">
        <f t="shared" ref="D23:L23" si="12">SUM(D20:D22)</f>
        <v>31</v>
      </c>
      <c r="E23" s="527">
        <f t="shared" si="12"/>
        <v>25</v>
      </c>
      <c r="F23" s="527">
        <f t="shared" si="12"/>
        <v>0</v>
      </c>
      <c r="G23" s="527">
        <f t="shared" si="12"/>
        <v>0</v>
      </c>
      <c r="H23" s="543">
        <f>SUM(H20:H22)</f>
        <v>56</v>
      </c>
      <c r="I23" s="552">
        <f t="shared" si="12"/>
        <v>18</v>
      </c>
      <c r="J23" s="526">
        <f t="shared" si="12"/>
        <v>41</v>
      </c>
      <c r="K23" s="527">
        <f t="shared" si="12"/>
        <v>37</v>
      </c>
      <c r="L23" s="527">
        <f t="shared" si="12"/>
        <v>44</v>
      </c>
      <c r="M23" s="535">
        <f>SUM(M20:M22)</f>
        <v>122</v>
      </c>
      <c r="N23" s="531">
        <f>SUM(N20:N22)</f>
        <v>178</v>
      </c>
      <c r="O23" s="531">
        <f>SUM(O20:O22)</f>
        <v>8</v>
      </c>
      <c r="P23" s="490"/>
      <c r="Q23" s="487"/>
      <c r="R23" s="493"/>
      <c r="S23" s="493"/>
      <c r="T23" s="493"/>
      <c r="U23" s="505"/>
      <c r="V23" s="493"/>
      <c r="W23" s="484"/>
      <c r="X23" s="484"/>
      <c r="Y23" s="484"/>
      <c r="Z23" s="484"/>
      <c r="AA23" s="484"/>
      <c r="AB23" s="484"/>
      <c r="AC23" s="484"/>
      <c r="AD23" s="484"/>
      <c r="AG23" s="1256"/>
      <c r="AH23" s="1256"/>
      <c r="AI23" s="1256"/>
      <c r="AJ23" s="1256"/>
      <c r="AK23" s="1255"/>
      <c r="AL23" s="1242"/>
    </row>
    <row r="24" spans="1:41" ht="35.1" customHeight="1" thickBot="1">
      <c r="A24" s="726"/>
      <c r="B24" s="566" t="s">
        <v>2</v>
      </c>
      <c r="C24" s="579">
        <f>SUM(C18,C23)</f>
        <v>248</v>
      </c>
      <c r="D24" s="590">
        <f>SUM(D18,D23)</f>
        <v>262</v>
      </c>
      <c r="E24" s="588">
        <f t="shared" ref="E24:M24" si="13">SUM(E18,E23)</f>
        <v>244</v>
      </c>
      <c r="F24" s="588">
        <f t="shared" si="13"/>
        <v>0</v>
      </c>
      <c r="G24" s="588">
        <f t="shared" si="13"/>
        <v>0</v>
      </c>
      <c r="H24" s="589">
        <f t="shared" si="13"/>
        <v>506</v>
      </c>
      <c r="I24" s="579">
        <f t="shared" si="13"/>
        <v>42</v>
      </c>
      <c r="J24" s="590">
        <f t="shared" si="13"/>
        <v>279</v>
      </c>
      <c r="K24" s="588">
        <f t="shared" si="13"/>
        <v>267</v>
      </c>
      <c r="L24" s="588">
        <f t="shared" si="13"/>
        <v>279</v>
      </c>
      <c r="M24" s="591">
        <f t="shared" si="13"/>
        <v>825</v>
      </c>
      <c r="N24" s="592">
        <f>SUM(N18,N23)</f>
        <v>1331</v>
      </c>
      <c r="O24" s="592">
        <f>SUM(O18,O23)</f>
        <v>76</v>
      </c>
      <c r="P24" s="490"/>
      <c r="Q24" s="487"/>
      <c r="R24" s="493"/>
      <c r="S24" s="493"/>
      <c r="T24" s="493"/>
      <c r="U24" s="505"/>
      <c r="V24" s="493"/>
      <c r="W24" s="484"/>
      <c r="X24" s="484"/>
      <c r="Y24" s="484"/>
      <c r="Z24" s="484"/>
      <c r="AA24" s="484"/>
      <c r="AB24" s="484"/>
      <c r="AC24" s="484"/>
      <c r="AD24" s="484"/>
      <c r="AG24" s="1256"/>
      <c r="AH24" s="1256"/>
      <c r="AI24" s="1256"/>
      <c r="AJ24" s="1256"/>
      <c r="AK24" s="1255"/>
      <c r="AL24" s="1242"/>
    </row>
    <row r="25" spans="1:41" ht="30" customHeight="1" thickBot="1">
      <c r="A25" s="726"/>
      <c r="B25" s="507"/>
      <c r="C25" s="507"/>
      <c r="D25" s="507"/>
      <c r="E25" s="507"/>
      <c r="F25" s="507"/>
      <c r="G25" s="507"/>
      <c r="H25" s="507"/>
      <c r="I25" s="507"/>
      <c r="J25" s="507"/>
      <c r="K25" s="507"/>
      <c r="L25" s="507"/>
      <c r="M25" s="507"/>
      <c r="N25" s="507"/>
      <c r="O25" s="507"/>
      <c r="P25" s="490"/>
      <c r="Q25" s="487"/>
      <c r="R25" s="494"/>
      <c r="S25" s="494"/>
      <c r="T25" s="494"/>
      <c r="U25" s="508"/>
      <c r="V25" s="494"/>
      <c r="W25" s="484"/>
      <c r="X25" s="484"/>
      <c r="Y25" s="484"/>
      <c r="Z25" s="484"/>
      <c r="AA25" s="484"/>
      <c r="AB25" s="484"/>
      <c r="AC25" s="484"/>
      <c r="AD25" s="484"/>
      <c r="AG25" s="1246"/>
      <c r="AH25" s="1246"/>
      <c r="AI25" s="1245"/>
      <c r="AJ25" s="1257"/>
      <c r="AK25" s="1255"/>
      <c r="AL25" s="1242"/>
    </row>
    <row r="26" spans="1:41" ht="35.1" customHeight="1" thickBot="1">
      <c r="A26" s="726"/>
      <c r="B26" s="1921" t="s">
        <v>156</v>
      </c>
      <c r="C26" s="1922"/>
      <c r="D26" s="1922"/>
      <c r="E26" s="1922"/>
      <c r="F26" s="1922"/>
      <c r="G26" s="1922"/>
      <c r="H26" s="1922"/>
      <c r="I26" s="1922"/>
      <c r="J26" s="1922"/>
      <c r="K26" s="1922"/>
      <c r="L26" s="1923"/>
      <c r="M26" s="512"/>
      <c r="N26" s="491"/>
      <c r="O26" s="491"/>
      <c r="P26" s="490"/>
      <c r="Q26" s="487"/>
      <c r="R26" s="494"/>
      <c r="S26" s="494"/>
      <c r="T26" s="494"/>
      <c r="U26" s="508"/>
      <c r="V26" s="494"/>
      <c r="W26" s="484"/>
      <c r="X26" s="484"/>
      <c r="Y26" s="484"/>
      <c r="Z26" s="484"/>
      <c r="AA26" s="484"/>
      <c r="AB26" s="484"/>
      <c r="AC26" s="484"/>
      <c r="AD26" s="484"/>
      <c r="AG26" s="1246"/>
      <c r="AH26" s="1246"/>
      <c r="AI26" s="1245"/>
      <c r="AJ26" s="1257"/>
      <c r="AK26" s="1255"/>
      <c r="AL26" s="1242"/>
    </row>
    <row r="27" spans="1:41" ht="39.950000000000003" customHeight="1" thickBot="1">
      <c r="A27" s="726"/>
      <c r="B27" s="569"/>
      <c r="C27" s="1921" t="s">
        <v>166</v>
      </c>
      <c r="D27" s="1922"/>
      <c r="E27" s="1922"/>
      <c r="F27" s="1922"/>
      <c r="G27" s="1922"/>
      <c r="H27" s="1922"/>
      <c r="I27" s="1922"/>
      <c r="J27" s="1922"/>
      <c r="K27" s="1923"/>
      <c r="L27" s="1924" t="s">
        <v>153</v>
      </c>
      <c r="M27" s="1389"/>
      <c r="N27" s="491"/>
      <c r="O27" s="491"/>
      <c r="P27" s="490"/>
      <c r="Q27" s="487"/>
      <c r="R27" s="494"/>
      <c r="S27" s="494"/>
      <c r="T27" s="494"/>
      <c r="U27" s="508"/>
      <c r="V27" s="494"/>
      <c r="W27" s="484"/>
      <c r="X27" s="484"/>
      <c r="Y27" s="484"/>
      <c r="Z27" s="484"/>
      <c r="AA27" s="484"/>
      <c r="AB27" s="484"/>
      <c r="AC27" s="484"/>
      <c r="AD27" s="484"/>
      <c r="AG27" s="1246"/>
      <c r="AH27" s="1246"/>
      <c r="AI27" s="1245"/>
      <c r="AJ27" s="1257"/>
      <c r="AK27" s="1255"/>
      <c r="AL27" s="1242"/>
    </row>
    <row r="28" spans="1:41" ht="39.950000000000003" customHeight="1" thickBot="1">
      <c r="A28" s="726"/>
      <c r="B28" s="569"/>
      <c r="C28" s="1921" t="s">
        <v>4</v>
      </c>
      <c r="D28" s="1923"/>
      <c r="E28" s="1921" t="s">
        <v>29</v>
      </c>
      <c r="F28" s="1922"/>
      <c r="G28" s="1922"/>
      <c r="H28" s="1922"/>
      <c r="I28" s="1922"/>
      <c r="J28" s="1923"/>
      <c r="K28" s="567" t="s">
        <v>2</v>
      </c>
      <c r="L28" s="1925"/>
      <c r="M28" s="722"/>
      <c r="N28" s="491"/>
      <c r="O28" s="491"/>
      <c r="P28" s="490"/>
      <c r="Q28" s="487"/>
      <c r="R28" s="622"/>
      <c r="S28" s="622"/>
      <c r="T28" s="622"/>
      <c r="U28" s="622"/>
      <c r="V28" s="622"/>
      <c r="W28" s="624"/>
      <c r="X28" s="622"/>
      <c r="Y28" s="622"/>
      <c r="Z28" s="622"/>
      <c r="AA28" s="622"/>
      <c r="AB28" s="622"/>
      <c r="AC28" s="484"/>
      <c r="AD28" s="484"/>
      <c r="AG28" s="1246"/>
      <c r="AH28" s="1246"/>
      <c r="AI28" s="1245"/>
      <c r="AJ28" s="1257"/>
      <c r="AK28" s="1255"/>
      <c r="AL28" s="1242"/>
    </row>
    <row r="29" spans="1:41" ht="54.95" customHeight="1">
      <c r="A29" s="726"/>
      <c r="B29" s="572" t="s">
        <v>165</v>
      </c>
      <c r="C29" s="1386" t="s">
        <v>113</v>
      </c>
      <c r="D29" s="1368" t="s">
        <v>361</v>
      </c>
      <c r="E29" s="539" t="s">
        <v>113</v>
      </c>
      <c r="F29" s="553" t="s">
        <v>13</v>
      </c>
      <c r="G29" s="554" t="s">
        <v>14</v>
      </c>
      <c r="H29" s="554" t="s">
        <v>15</v>
      </c>
      <c r="I29" s="554" t="s">
        <v>16</v>
      </c>
      <c r="J29" s="534" t="s">
        <v>171</v>
      </c>
      <c r="K29" s="496"/>
      <c r="L29" s="1755"/>
      <c r="M29" s="1389"/>
      <c r="N29" s="491"/>
      <c r="O29" s="491"/>
      <c r="P29" s="490"/>
      <c r="Q29" s="487"/>
      <c r="R29" s="1913" t="s">
        <v>4</v>
      </c>
      <c r="S29" s="1914"/>
      <c r="T29" s="1914"/>
      <c r="U29" s="1914"/>
      <c r="V29" s="1915"/>
      <c r="W29" s="484"/>
      <c r="X29" s="1913" t="s">
        <v>29</v>
      </c>
      <c r="Y29" s="1914"/>
      <c r="Z29" s="1914"/>
      <c r="AA29" s="1914"/>
      <c r="AB29" s="1915"/>
      <c r="AC29" s="484"/>
      <c r="AD29" s="484"/>
      <c r="AG29" s="1246"/>
      <c r="AH29" s="1246"/>
      <c r="AI29" s="1245"/>
      <c r="AJ29" s="1257"/>
      <c r="AK29" s="1255"/>
      <c r="AL29" s="1242"/>
    </row>
    <row r="30" spans="1:41" ht="30" customHeight="1">
      <c r="A30" s="726"/>
      <c r="B30" s="522"/>
      <c r="C30" s="545" t="s">
        <v>17</v>
      </c>
      <c r="D30" s="496" t="s">
        <v>17</v>
      </c>
      <c r="E30" s="556" t="s">
        <v>17</v>
      </c>
      <c r="F30" s="544" t="s">
        <v>17</v>
      </c>
      <c r="G30" s="495" t="s">
        <v>17</v>
      </c>
      <c r="H30" s="495" t="s">
        <v>17</v>
      </c>
      <c r="I30" s="495" t="s">
        <v>17</v>
      </c>
      <c r="J30" s="519" t="s">
        <v>17</v>
      </c>
      <c r="K30" s="496" t="s">
        <v>17</v>
      </c>
      <c r="L30" s="496" t="s">
        <v>17</v>
      </c>
      <c r="M30" s="1389"/>
      <c r="N30" s="491"/>
      <c r="O30" s="491"/>
      <c r="P30" s="490"/>
      <c r="Q30" s="487"/>
      <c r="R30" s="1916" t="s">
        <v>180</v>
      </c>
      <c r="S30" s="1870" t="s">
        <v>181</v>
      </c>
      <c r="T30" s="1898" t="s">
        <v>193</v>
      </c>
      <c r="U30" s="1899"/>
      <c r="V30" s="1900"/>
      <c r="W30" s="484"/>
      <c r="X30" s="1916" t="s">
        <v>180</v>
      </c>
      <c r="Y30" s="1870" t="s">
        <v>181</v>
      </c>
      <c r="Z30" s="1898" t="s">
        <v>193</v>
      </c>
      <c r="AA30" s="1899"/>
      <c r="AB30" s="1900"/>
      <c r="AC30" s="484"/>
      <c r="AD30" s="484"/>
      <c r="AG30" s="1246"/>
      <c r="AH30" s="1246"/>
      <c r="AI30" s="1245"/>
      <c r="AJ30" s="1257"/>
      <c r="AK30" s="1255"/>
      <c r="AL30" s="1242"/>
    </row>
    <row r="31" spans="1:41" ht="39.950000000000003" customHeight="1">
      <c r="A31" s="726"/>
      <c r="B31" s="522"/>
      <c r="C31" s="547" t="s">
        <v>30</v>
      </c>
      <c r="D31" s="524" t="s">
        <v>30</v>
      </c>
      <c r="E31" s="557" t="s">
        <v>30</v>
      </c>
      <c r="F31" s="546" t="s">
        <v>30</v>
      </c>
      <c r="G31" s="523" t="s">
        <v>30</v>
      </c>
      <c r="H31" s="523" t="s">
        <v>30</v>
      </c>
      <c r="I31" s="523" t="s">
        <v>30</v>
      </c>
      <c r="J31" s="534" t="s">
        <v>112</v>
      </c>
      <c r="K31" s="650" t="s">
        <v>112</v>
      </c>
      <c r="L31" s="533" t="s">
        <v>30</v>
      </c>
      <c r="M31" s="1389"/>
      <c r="N31" s="491"/>
      <c r="O31" s="493"/>
      <c r="P31" s="490"/>
      <c r="Q31" s="487"/>
      <c r="R31" s="1861"/>
      <c r="S31" s="1862"/>
      <c r="T31" s="367" t="s">
        <v>60</v>
      </c>
      <c r="U31" s="1870" t="s">
        <v>194</v>
      </c>
      <c r="V31" s="29" t="s">
        <v>75</v>
      </c>
      <c r="W31" s="484"/>
      <c r="X31" s="1861"/>
      <c r="Y31" s="1862"/>
      <c r="Z31" s="367" t="s">
        <v>60</v>
      </c>
      <c r="AA31" s="1870" t="s">
        <v>194</v>
      </c>
      <c r="AB31" s="29" t="s">
        <v>75</v>
      </c>
      <c r="AC31" s="484"/>
      <c r="AD31" s="484"/>
      <c r="AG31" s="1246"/>
      <c r="AH31" s="1246"/>
      <c r="AI31" s="1245"/>
      <c r="AJ31" s="1257"/>
      <c r="AK31" s="1255"/>
      <c r="AL31" s="1242"/>
    </row>
    <row r="32" spans="1:41" ht="30" customHeight="1" thickBot="1">
      <c r="A32" s="726"/>
      <c r="B32" s="532"/>
      <c r="C32" s="958">
        <v>1</v>
      </c>
      <c r="D32" s="960">
        <v>2</v>
      </c>
      <c r="E32" s="954">
        <v>3</v>
      </c>
      <c r="F32" s="955">
        <v>4</v>
      </c>
      <c r="G32" s="954">
        <v>5</v>
      </c>
      <c r="H32" s="956">
        <v>6</v>
      </c>
      <c r="I32" s="957">
        <v>7</v>
      </c>
      <c r="J32" s="959">
        <v>8</v>
      </c>
      <c r="K32" s="958">
        <v>9</v>
      </c>
      <c r="L32" s="960">
        <v>10</v>
      </c>
      <c r="M32" s="1389"/>
      <c r="N32" s="491"/>
      <c r="O32" s="493"/>
      <c r="P32" s="490"/>
      <c r="Q32" s="487"/>
      <c r="R32" s="605"/>
      <c r="S32" s="368"/>
      <c r="T32" s="606"/>
      <c r="U32" s="1871"/>
      <c r="V32" s="607"/>
      <c r="W32" s="484"/>
      <c r="X32" s="605"/>
      <c r="Y32" s="368"/>
      <c r="Z32" s="606"/>
      <c r="AA32" s="1871"/>
      <c r="AB32" s="607"/>
      <c r="AC32" s="484"/>
      <c r="AD32" s="484"/>
      <c r="AG32" s="1246"/>
      <c r="AH32" s="1246"/>
      <c r="AI32" s="1245"/>
      <c r="AJ32" s="1257"/>
      <c r="AK32" s="1255"/>
      <c r="AL32" s="1242"/>
    </row>
    <row r="33" spans="1:41" ht="35.1" customHeight="1">
      <c r="A33" s="726"/>
      <c r="B33" s="525" t="s">
        <v>213</v>
      </c>
      <c r="C33" s="547"/>
      <c r="D33" s="524"/>
      <c r="E33" s="557"/>
      <c r="F33" s="546"/>
      <c r="G33" s="523"/>
      <c r="H33" s="523"/>
      <c r="I33" s="523"/>
      <c r="J33" s="650"/>
      <c r="K33" s="555"/>
      <c r="L33" s="533"/>
      <c r="M33" s="1389"/>
      <c r="N33" s="491"/>
      <c r="O33" s="493"/>
      <c r="P33" s="490"/>
      <c r="Q33" s="487"/>
      <c r="R33" s="617"/>
      <c r="S33" s="618"/>
      <c r="T33" s="618"/>
      <c r="U33" s="618"/>
      <c r="V33" s="619"/>
      <c r="W33" s="484"/>
      <c r="X33" s="617"/>
      <c r="Y33" s="618"/>
      <c r="Z33" s="618"/>
      <c r="AA33" s="618"/>
      <c r="AB33" s="619"/>
      <c r="AC33" s="484"/>
      <c r="AD33" s="484"/>
      <c r="AG33" s="1246"/>
      <c r="AH33" s="1246"/>
      <c r="AI33" s="1245"/>
      <c r="AJ33" s="1257"/>
      <c r="AK33" s="1255"/>
      <c r="AL33" s="1242"/>
    </row>
    <row r="34" spans="1:41" ht="30" customHeight="1">
      <c r="A34" s="726"/>
      <c r="B34" s="503" t="s">
        <v>163</v>
      </c>
      <c r="C34" s="595">
        <v>53</v>
      </c>
      <c r="D34" s="1390">
        <v>53</v>
      </c>
      <c r="E34" s="597"/>
      <c r="F34" s="593">
        <v>54</v>
      </c>
      <c r="G34" s="594">
        <v>52</v>
      </c>
      <c r="H34" s="594">
        <v>51</v>
      </c>
      <c r="I34" s="594">
        <v>70</v>
      </c>
      <c r="J34" s="574">
        <f>SUM(F34:I34)</f>
        <v>227</v>
      </c>
      <c r="K34" s="576">
        <f>SUM(D34,J34)</f>
        <v>280</v>
      </c>
      <c r="L34" s="602"/>
      <c r="M34" s="1389"/>
      <c r="N34" s="491"/>
      <c r="O34" s="491"/>
      <c r="P34" s="490"/>
      <c r="Q34" s="487"/>
      <c r="R34" s="76" t="str">
        <f>IF(AG34=1,Intake_missing,IF(AH34=1,Only_intake_recorded,"OK"))</f>
        <v>OK</v>
      </c>
      <c r="S34" s="51" t="str">
        <f>IF(AI34,Intake_inconsistent,"OK")</f>
        <v>OK</v>
      </c>
      <c r="T34" s="620">
        <f>'Table 1 (Main)'!$M$31</f>
        <v>53</v>
      </c>
      <c r="U34" s="621">
        <f>D34-T34</f>
        <v>0</v>
      </c>
      <c r="V34" s="78" t="str">
        <f>IF(ABS(U34)&gt;0.1,"Does not equal figure in Table 1","OK")</f>
        <v>OK</v>
      </c>
      <c r="W34" s="484"/>
      <c r="X34" s="76" t="str">
        <f>IF(AM34=1,Only_intake_recorded,"OK")</f>
        <v>OK</v>
      </c>
      <c r="Y34" s="51" t="str">
        <f>IF(OR(AN34=1,AO34=1),Intake_inconsistent,"OK")</f>
        <v>OK</v>
      </c>
      <c r="Z34" s="620">
        <f>'Table 1 (Main)'!$M$29</f>
        <v>227</v>
      </c>
      <c r="AA34" s="621">
        <f>J34-Z34</f>
        <v>0</v>
      </c>
      <c r="AB34" s="78" t="str">
        <f>IF(ABS(AA34)&gt;0.1,"Does not equal figure in Table 1","OK")</f>
        <v>OK</v>
      </c>
      <c r="AC34" s="484"/>
      <c r="AD34" s="484"/>
      <c r="AG34" s="1246">
        <f>IF(AND($C34=0,$D34&gt;0),1,0)</f>
        <v>0</v>
      </c>
      <c r="AH34" s="1246">
        <f>IF(AND($C34&gt;0,$D34=0),1,0)</f>
        <v>0</v>
      </c>
      <c r="AI34" s="1246">
        <f>IF($C34&gt;$D34,1,0)</f>
        <v>0</v>
      </c>
      <c r="AJ34" s="1246"/>
      <c r="AK34" s="1255"/>
      <c r="AL34" s="1246"/>
      <c r="AM34" s="1246">
        <f>IF(AND($E34&gt;0,$J34=0),1,0)</f>
        <v>0</v>
      </c>
      <c r="AN34" s="1246">
        <f>IF($E34&gt;$J34,1,0)</f>
        <v>0</v>
      </c>
      <c r="AO34" s="1246">
        <f>IF(AND($E34&gt;0,$E34=$J34),1,0)</f>
        <v>0</v>
      </c>
    </row>
    <row r="35" spans="1:41" ht="30" customHeight="1">
      <c r="A35" s="726"/>
      <c r="B35" s="503" t="s">
        <v>212</v>
      </c>
      <c r="C35" s="1393">
        <v>14</v>
      </c>
      <c r="D35" s="1391">
        <v>14</v>
      </c>
      <c r="E35" s="598"/>
      <c r="F35" s="599">
        <v>15</v>
      </c>
      <c r="G35" s="600">
        <v>12</v>
      </c>
      <c r="H35" s="600">
        <v>15</v>
      </c>
      <c r="I35" s="600">
        <v>16</v>
      </c>
      <c r="J35" s="573">
        <f t="shared" ref="J35:J37" si="14">SUM(F35:I35)</f>
        <v>58</v>
      </c>
      <c r="K35" s="577">
        <f>SUM(D35,J35)</f>
        <v>72</v>
      </c>
      <c r="L35" s="603"/>
      <c r="M35" s="1389"/>
      <c r="N35" s="491"/>
      <c r="O35" s="491"/>
      <c r="P35" s="490"/>
      <c r="Q35" s="487"/>
      <c r="R35" s="76" t="str">
        <f>IF(AG35=1,Intake_missing,IF(AH35=1,Only_intake_recorded,"OK"))</f>
        <v>OK</v>
      </c>
      <c r="S35" s="51" t="str">
        <f>IF(AI35,Intake_inconsistent,"OK")</f>
        <v>OK</v>
      </c>
      <c r="T35" s="620">
        <f>'Table 1 (Main)'!$Q$31</f>
        <v>14</v>
      </c>
      <c r="U35" s="621">
        <f>D35-T35</f>
        <v>0</v>
      </c>
      <c r="V35" s="78" t="str">
        <f>IF(ABS(U35)&gt;0.1,"Does not equal figure in Table 1","OK")</f>
        <v>OK</v>
      </c>
      <c r="W35" s="484"/>
      <c r="X35" s="76" t="str">
        <f>IF(AM35=1,Only_intake_recorded,"OK")</f>
        <v>OK</v>
      </c>
      <c r="Y35" s="51" t="str">
        <f>IF(OR(AN35=1,AO35=1),Intake_inconsistent,"OK")</f>
        <v>OK</v>
      </c>
      <c r="Z35" s="620">
        <f>'Table 1 (Main)'!$Q$29</f>
        <v>58</v>
      </c>
      <c r="AA35" s="621">
        <f>J35-Z35</f>
        <v>0</v>
      </c>
      <c r="AB35" s="78" t="str">
        <f>IF(ABS(AA35)&gt;0.1,"Does not equal figure in Table 1","OK")</f>
        <v>OK</v>
      </c>
      <c r="AC35" s="484"/>
      <c r="AD35" s="484"/>
      <c r="AG35" s="1246">
        <f>IF(AND($C35=0,$D35&gt;0),1,0)</f>
        <v>0</v>
      </c>
      <c r="AH35" s="1246">
        <f>IF(AND($C35&gt;0,$D35=0),1,0)</f>
        <v>0</v>
      </c>
      <c r="AI35" s="1246">
        <f>IF($C35&gt;$D35,1,0)</f>
        <v>0</v>
      </c>
      <c r="AJ35" s="1246"/>
      <c r="AK35" s="1255"/>
      <c r="AL35" s="1246"/>
      <c r="AM35" s="1246">
        <f>IF(AND($E35&gt;0,$J35=0),1,0)</f>
        <v>0</v>
      </c>
      <c r="AN35" s="1246">
        <f>IF($E35&gt;$J35,1,0)</f>
        <v>0</v>
      </c>
      <c r="AO35" s="1246">
        <f>IF(AND($E35&gt;0,$E35=$J35),1,0)</f>
        <v>0</v>
      </c>
    </row>
    <row r="36" spans="1:41" ht="30" customHeight="1">
      <c r="A36" s="726"/>
      <c r="B36" s="570" t="s">
        <v>214</v>
      </c>
      <c r="C36" s="1388">
        <f>SUM(C34:C35)</f>
        <v>67</v>
      </c>
      <c r="D36" s="1392">
        <f t="shared" ref="D36" si="15">SUM(D34:D35)</f>
        <v>67</v>
      </c>
      <c r="E36" s="558">
        <f>SUM(E34:E35)</f>
        <v>0</v>
      </c>
      <c r="F36" s="549">
        <f>SUM(F34:F35)</f>
        <v>69</v>
      </c>
      <c r="G36" s="528">
        <f t="shared" ref="G36" si="16">SUM(G34:G35)</f>
        <v>64</v>
      </c>
      <c r="H36" s="528">
        <f t="shared" ref="H36" si="17">SUM(H34:H35)</f>
        <v>66</v>
      </c>
      <c r="I36" s="528">
        <f t="shared" ref="I36" si="18">SUM(I34:I35)</f>
        <v>86</v>
      </c>
      <c r="J36" s="530">
        <f>SUM(J34:J35)</f>
        <v>285</v>
      </c>
      <c r="K36" s="578">
        <f>SUM(K34:K35)</f>
        <v>352</v>
      </c>
      <c r="L36" s="575">
        <f>SUM(L34:L35)</f>
        <v>0</v>
      </c>
      <c r="M36" s="1389"/>
      <c r="N36" s="491"/>
      <c r="O36" s="491"/>
      <c r="P36" s="490"/>
      <c r="Q36" s="487"/>
      <c r="R36" s="50"/>
      <c r="S36" s="625"/>
      <c r="T36" s="608"/>
      <c r="U36" s="609"/>
      <c r="V36" s="71"/>
      <c r="W36" s="484"/>
      <c r="X36" s="50"/>
      <c r="Y36" s="625"/>
      <c r="Z36" s="608"/>
      <c r="AA36" s="609"/>
      <c r="AB36" s="71"/>
      <c r="AC36" s="484"/>
      <c r="AD36" s="484"/>
      <c r="AG36" s="1246"/>
      <c r="AH36" s="1246"/>
      <c r="AI36" s="1246"/>
      <c r="AJ36" s="1246"/>
      <c r="AK36" s="1255"/>
      <c r="AL36" s="1246"/>
      <c r="AM36" s="1246"/>
      <c r="AN36" s="1246"/>
      <c r="AO36" s="1246"/>
    </row>
    <row r="37" spans="1:41" ht="35.1" customHeight="1" thickBot="1">
      <c r="A37" s="726"/>
      <c r="B37" s="571" t="s">
        <v>164</v>
      </c>
      <c r="C37" s="1387">
        <v>11</v>
      </c>
      <c r="D37" s="1390">
        <v>11</v>
      </c>
      <c r="E37" s="581">
        <v>5</v>
      </c>
      <c r="F37" s="582">
        <v>11</v>
      </c>
      <c r="G37" s="583">
        <v>15</v>
      </c>
      <c r="H37" s="583">
        <v>6</v>
      </c>
      <c r="I37" s="583">
        <v>8</v>
      </c>
      <c r="J37" s="531">
        <f t="shared" si="14"/>
        <v>40</v>
      </c>
      <c r="K37" s="577">
        <f>SUM(D37,J37)</f>
        <v>51</v>
      </c>
      <c r="L37" s="604"/>
      <c r="M37" s="1389"/>
      <c r="N37" s="491"/>
      <c r="O37" s="491"/>
      <c r="P37" s="490"/>
      <c r="Q37" s="487"/>
      <c r="R37" s="87" t="str">
        <f>IF(AG37=1,Intake_missing,IF(AH37=1,Only_intake_recorded,"OK"))</f>
        <v>OK</v>
      </c>
      <c r="S37" s="504" t="str">
        <f>IF(AI37,Intake_inconsistent,"OK")</f>
        <v>OK</v>
      </c>
      <c r="T37" s="614"/>
      <c r="U37" s="615"/>
      <c r="V37" s="616"/>
      <c r="W37" s="484"/>
      <c r="X37" s="87" t="str">
        <f>IF(AM37=1,Only_intake_recorded,"OK")</f>
        <v>OK</v>
      </c>
      <c r="Y37" s="504" t="str">
        <f>IF(OR(AN37=1,AO37=1),Intake_inconsistent,"OK")</f>
        <v>OK</v>
      </c>
      <c r="Z37" s="614"/>
      <c r="AA37" s="615"/>
      <c r="AB37" s="616"/>
      <c r="AC37" s="484"/>
      <c r="AD37" s="484"/>
      <c r="AG37" s="1246">
        <f>IF(AND($C37=0,$D37&gt;0),1,0)</f>
        <v>0</v>
      </c>
      <c r="AH37" s="1246">
        <f>IF(AND($C37&gt;0,$D37=0),1,0)</f>
        <v>0</v>
      </c>
      <c r="AI37" s="1246">
        <f>IF($C37&gt;$D37,1,0)</f>
        <v>0</v>
      </c>
      <c r="AJ37" s="1246"/>
      <c r="AK37" s="1255"/>
      <c r="AL37" s="1246"/>
      <c r="AM37" s="1246">
        <f>IF(AND($E37&gt;0,$J37=0),1,0)</f>
        <v>0</v>
      </c>
      <c r="AN37" s="1246">
        <f>IF($E37&gt;$J37,1,0)</f>
        <v>0</v>
      </c>
      <c r="AO37" s="1246">
        <f>IF(AND($E37&gt;0,$E37=$J37),1,0)</f>
        <v>0</v>
      </c>
    </row>
    <row r="38" spans="1:41" ht="35.1" customHeight="1" thickBot="1">
      <c r="A38" s="726"/>
      <c r="B38" s="506" t="s">
        <v>2</v>
      </c>
      <c r="C38" s="579">
        <f t="shared" ref="C38:L38" si="19">SUM(C36:C37)</f>
        <v>78</v>
      </c>
      <c r="D38" s="592">
        <f t="shared" si="19"/>
        <v>78</v>
      </c>
      <c r="E38" s="580">
        <f t="shared" si="19"/>
        <v>5</v>
      </c>
      <c r="F38" s="587">
        <f t="shared" si="19"/>
        <v>80</v>
      </c>
      <c r="G38" s="588">
        <f t="shared" si="19"/>
        <v>79</v>
      </c>
      <c r="H38" s="588">
        <f t="shared" si="19"/>
        <v>72</v>
      </c>
      <c r="I38" s="588">
        <f t="shared" si="19"/>
        <v>94</v>
      </c>
      <c r="J38" s="591">
        <f t="shared" si="19"/>
        <v>325</v>
      </c>
      <c r="K38" s="579">
        <f t="shared" si="19"/>
        <v>403</v>
      </c>
      <c r="L38" s="601">
        <f t="shared" si="19"/>
        <v>0</v>
      </c>
      <c r="M38" s="1389"/>
      <c r="N38" s="491"/>
      <c r="O38" s="493"/>
      <c r="P38" s="490"/>
      <c r="Q38" s="487"/>
      <c r="R38" s="509"/>
      <c r="S38" s="509"/>
      <c r="T38" s="509"/>
      <c r="U38" s="510"/>
      <c r="V38" s="511"/>
      <c r="W38" s="484"/>
      <c r="X38" s="484"/>
      <c r="Y38" s="484"/>
      <c r="Z38" s="484"/>
      <c r="AA38" s="484"/>
      <c r="AB38" s="484"/>
      <c r="AC38" s="484"/>
      <c r="AD38" s="484"/>
      <c r="AG38" s="1246"/>
      <c r="AH38" s="1246"/>
      <c r="AI38" s="1245"/>
      <c r="AJ38" s="1257"/>
      <c r="AK38" s="1255"/>
    </row>
    <row r="39" spans="1:41" s="1258" customFormat="1" ht="30" customHeight="1">
      <c r="A39" s="727"/>
      <c r="B39" s="512" t="s">
        <v>172</v>
      </c>
      <c r="C39" s="512"/>
      <c r="D39" s="512"/>
      <c r="E39" s="512"/>
      <c r="F39" s="512"/>
      <c r="G39" s="512"/>
      <c r="H39" s="512"/>
      <c r="I39" s="512"/>
      <c r="J39" s="512"/>
      <c r="K39" s="512"/>
      <c r="L39" s="512"/>
      <c r="M39" s="512"/>
      <c r="N39" s="512"/>
      <c r="O39" s="512"/>
      <c r="P39" s="513"/>
      <c r="Q39" s="514"/>
      <c r="R39" s="515"/>
      <c r="S39" s="515"/>
      <c r="T39" s="515"/>
      <c r="U39" s="515"/>
      <c r="V39" s="515"/>
      <c r="W39" s="515"/>
      <c r="X39" s="515"/>
      <c r="Y39" s="515"/>
      <c r="Z39" s="515"/>
      <c r="AA39" s="515"/>
      <c r="AB39" s="515"/>
      <c r="AC39" s="515"/>
      <c r="AD39" s="515"/>
    </row>
    <row r="40" spans="1:41" s="1258" customFormat="1" ht="15" customHeight="1">
      <c r="A40" s="729"/>
      <c r="B40" s="150"/>
      <c r="C40" s="516"/>
      <c r="D40" s="516"/>
      <c r="E40" s="516"/>
      <c r="F40" s="516"/>
      <c r="G40" s="516"/>
      <c r="H40" s="516"/>
      <c r="I40" s="516"/>
      <c r="J40" s="516"/>
      <c r="K40" s="516"/>
      <c r="L40" s="516"/>
      <c r="M40" s="516"/>
      <c r="N40" s="516"/>
      <c r="O40" s="516"/>
      <c r="P40" s="517"/>
      <c r="Q40" s="514"/>
      <c r="R40" s="515"/>
      <c r="S40" s="515"/>
      <c r="T40" s="515"/>
      <c r="U40" s="518"/>
      <c r="V40" s="518"/>
      <c r="W40" s="515"/>
      <c r="X40" s="515"/>
      <c r="Y40" s="515"/>
      <c r="Z40" s="515"/>
      <c r="AA40" s="515"/>
      <c r="AB40" s="515"/>
      <c r="AC40" s="515"/>
      <c r="AD40" s="515"/>
    </row>
    <row r="41" spans="1:41" ht="12.75" customHeight="1">
      <c r="C41" s="1247"/>
      <c r="D41" s="1247"/>
      <c r="E41" s="1247"/>
      <c r="F41" s="1247"/>
      <c r="G41" s="1247"/>
      <c r="H41" s="1247"/>
      <c r="I41" s="1247"/>
      <c r="J41" s="1247"/>
      <c r="K41" s="1247"/>
      <c r="L41" s="1247"/>
      <c r="M41" s="1247"/>
      <c r="N41" s="1247"/>
      <c r="O41" s="1247"/>
      <c r="P41" s="1247"/>
      <c r="Q41" s="1247"/>
      <c r="R41" s="1247"/>
      <c r="S41" s="1247"/>
      <c r="T41" s="1247"/>
    </row>
  </sheetData>
  <sheetProtection password="E23E" sheet="1" objects="1" scenarios="1"/>
  <mergeCells count="41">
    <mergeCell ref="C28:D28"/>
    <mergeCell ref="E28:J28"/>
    <mergeCell ref="C27:K27"/>
    <mergeCell ref="L27:L28"/>
    <mergeCell ref="B26:L26"/>
    <mergeCell ref="C4:E4"/>
    <mergeCell ref="O9:O11"/>
    <mergeCell ref="I10:M10"/>
    <mergeCell ref="C10:H10"/>
    <mergeCell ref="C9:N9"/>
    <mergeCell ref="B8:O8"/>
    <mergeCell ref="T12:V12"/>
    <mergeCell ref="R11:V11"/>
    <mergeCell ref="R12:R13"/>
    <mergeCell ref="S12:S13"/>
    <mergeCell ref="X11:AB11"/>
    <mergeCell ref="X12:X13"/>
    <mergeCell ref="Y12:Y13"/>
    <mergeCell ref="Z12:AB12"/>
    <mergeCell ref="AA13:AA14"/>
    <mergeCell ref="AL10:AO10"/>
    <mergeCell ref="AL11:AL13"/>
    <mergeCell ref="AM11:AM13"/>
    <mergeCell ref="AN11:AN13"/>
    <mergeCell ref="AO11:AO13"/>
    <mergeCell ref="Z30:AB30"/>
    <mergeCell ref="U31:U32"/>
    <mergeCell ref="AA31:AA32"/>
    <mergeCell ref="AG10:AJ10"/>
    <mergeCell ref="AG11:AG13"/>
    <mergeCell ref="AH11:AH13"/>
    <mergeCell ref="AI11:AI13"/>
    <mergeCell ref="AJ11:AJ13"/>
    <mergeCell ref="R29:V29"/>
    <mergeCell ref="X29:AB29"/>
    <mergeCell ref="R30:R31"/>
    <mergeCell ref="S30:S31"/>
    <mergeCell ref="T30:V30"/>
    <mergeCell ref="X30:X31"/>
    <mergeCell ref="Y30:Y31"/>
    <mergeCell ref="U13:U14"/>
  </mergeCells>
  <conditionalFormatting sqref="B2">
    <cfRule type="expression" dxfId="50" priority="52" stopIfTrue="1">
      <formula>#REF!=0</formula>
    </cfRule>
  </conditionalFormatting>
  <conditionalFormatting sqref="C20:E22 C16:E17 O20:O22 O16:O17 C18:O18 C36:L36">
    <cfRule type="expression" dxfId="49" priority="266" stopIfTrue="1">
      <formula>$F$4=0</formula>
    </cfRule>
  </conditionalFormatting>
  <conditionalFormatting sqref="C37:D37 C34:D35">
    <cfRule type="expression" dxfId="48" priority="273">
      <formula>$F$4=2</formula>
    </cfRule>
  </conditionalFormatting>
  <conditionalFormatting sqref="F16:G17 F20:G22">
    <cfRule type="expression" dxfId="47" priority="275">
      <formula>$F$4&lt;&gt;4</formula>
    </cfRule>
  </conditionalFormatting>
  <conditionalFormatting sqref="I16:L17 I20:L22">
    <cfRule type="expression" dxfId="46" priority="277">
      <formula>$F$4=4</formula>
    </cfRule>
    <cfRule type="expression" dxfId="45" priority="278">
      <formula>$F$4=0</formula>
    </cfRule>
  </conditionalFormatting>
  <conditionalFormatting sqref="L34:L35 L37">
    <cfRule type="expression" dxfId="44" priority="281" stopIfTrue="1">
      <formula>$F$4=4</formula>
    </cfRule>
    <cfRule type="expression" dxfId="43" priority="282" stopIfTrue="1">
      <formula>$F$4=3</formula>
    </cfRule>
    <cfRule type="expression" dxfId="42" priority="283">
      <formula>$F$4=0</formula>
    </cfRule>
  </conditionalFormatting>
  <conditionalFormatting sqref="X36:Z37 R16:V18 R20:T22 R37:T37 X20:Z22 AA36:AB36 X16:AB18 R34:V36 X34:AB35">
    <cfRule type="expression" dxfId="41" priority="288" stopIfTrue="1">
      <formula>$F$4=0</formula>
    </cfRule>
  </conditionalFormatting>
  <conditionalFormatting sqref="A1:AD1">
    <cfRule type="expression" dxfId="40" priority="297" stopIfTrue="1">
      <formula>$F$4=0</formula>
    </cfRule>
  </conditionalFormatting>
  <conditionalFormatting sqref="C34:I35 C37:I37">
    <cfRule type="expression" dxfId="39" priority="260" stopIfTrue="1">
      <formula>$F$4=4</formula>
    </cfRule>
    <cfRule type="expression" dxfId="38" priority="261" stopIfTrue="1">
      <formula>$F$4=3</formula>
    </cfRule>
    <cfRule type="expression" dxfId="37" priority="262" stopIfTrue="1">
      <formula>$F$4=0</formula>
    </cfRule>
  </conditionalFormatting>
  <dataValidations count="2">
    <dataValidation type="custom" allowBlank="1" showErrorMessage="1" errorTitle="Number less than 0" error="You are trying to enter a number which is less than 0, please re-enter a valid number." sqref="C25:O25 E36:L36 N18:O18 E24:O24 M18:M19 C18:G19 H18:H19 I19:K19 E38:K38 I18:L18 C23:D24 E23:M23 D36 D38 C38 C36">
      <formula1>C18&gt;=0</formula1>
    </dataValidation>
    <dataValidation type="decimal" operator="greaterThanOrEqual" allowBlank="1" showErrorMessage="1" errorTitle="Number less than 0" error="You are trying to enter a number which is less than 0, please re-enter a valid number." sqref="C16:G17 C20:G22 I16:L17 I20:L22 O16:O17 O20:O22 C34:C35 C37 D34:D35 D37 E34:I35 E37:I37 L34:L35 L37">
      <formula1>0</formula1>
    </dataValidation>
  </dataValidations>
  <printOptions horizontalCentered="1" verticalCentered="1" gridLines="1" gridLinesSet="0"/>
  <pageMargins left="0.19685039370078741" right="0.19685039370078741" top="0.15748031496062992" bottom="0.15748031496062992" header="0.23622047244094491" footer="0.27559055118110237"/>
  <pageSetup paperSize="9" scale="4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8"/>
  <sheetViews>
    <sheetView zoomScale="80" zoomScaleNormal="80" workbookViewId="0"/>
  </sheetViews>
  <sheetFormatPr defaultColWidth="9.140625" defaultRowHeight="15"/>
  <cols>
    <col min="1" max="1" width="2.7109375" style="1242" customWidth="1"/>
    <col min="2" max="2" width="28.7109375" style="1242" customWidth="1"/>
    <col min="3" max="16" width="13.7109375" style="1242" customWidth="1"/>
    <col min="17" max="20" width="4.7109375" style="1242" customWidth="1"/>
    <col min="21" max="21" width="27.42578125" style="1242" customWidth="1"/>
    <col min="22" max="22" width="32.7109375" style="1242" customWidth="1"/>
    <col min="23" max="23" width="4.7109375" style="1242" customWidth="1"/>
    <col min="24" max="24" width="34.85546875" style="1242" customWidth="1"/>
    <col min="25" max="26" width="12.7109375" style="1242" customWidth="1"/>
    <col min="27" max="27" width="35.85546875" style="1242" customWidth="1"/>
    <col min="28" max="28" width="10.7109375" style="1242" customWidth="1"/>
    <col min="29" max="29" width="9.140625" style="1496"/>
    <col min="30" max="33" width="12.7109375" style="1242" hidden="1" customWidth="1"/>
    <col min="34" max="16384" width="9.140625" style="1242"/>
  </cols>
  <sheetData>
    <row r="1" spans="1:34" ht="39.950000000000003" customHeight="1">
      <c r="A1" s="338"/>
      <c r="B1" s="366" t="str">
        <f>IF(F4=0,"Your Institution Does Not Complete This Table","")</f>
        <v>Your Institution Does Not Complete This Table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1495"/>
      <c r="AD1" s="1248"/>
      <c r="AE1" s="1248"/>
      <c r="AF1" s="1248"/>
      <c r="AG1" s="1248"/>
      <c r="AH1" s="1248"/>
    </row>
    <row r="2" spans="1:34" ht="30" customHeight="1">
      <c r="A2" s="1474"/>
      <c r="B2" s="1475" t="s">
        <v>335</v>
      </c>
      <c r="C2" s="1476"/>
      <c r="D2" s="1476"/>
      <c r="E2" s="1476"/>
      <c r="F2" s="1476"/>
      <c r="G2" s="1477"/>
      <c r="H2" s="1478"/>
      <c r="I2" s="1478"/>
      <c r="J2" s="1478"/>
      <c r="K2" s="1478"/>
      <c r="L2" s="1478"/>
      <c r="M2" s="1478"/>
      <c r="N2" s="1478"/>
      <c r="O2" s="1478"/>
      <c r="P2" s="1478"/>
      <c r="Q2" s="1479"/>
      <c r="R2" s="344"/>
      <c r="S2" s="344"/>
      <c r="T2" s="344"/>
      <c r="U2" s="12"/>
      <c r="V2" s="12"/>
      <c r="W2" s="344"/>
      <c r="X2" s="344"/>
      <c r="Y2" s="344"/>
      <c r="Z2" s="344"/>
      <c r="AA2" s="344"/>
      <c r="AB2" s="344"/>
      <c r="AC2" s="1495"/>
      <c r="AD2" s="1248"/>
      <c r="AE2" s="1248"/>
      <c r="AF2" s="1248"/>
      <c r="AG2" s="1248"/>
      <c r="AH2" s="1252"/>
    </row>
    <row r="3" spans="1:34" ht="15" customHeight="1" thickBot="1">
      <c r="A3" s="636"/>
      <c r="B3" s="130"/>
      <c r="C3" s="162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480"/>
      <c r="R3" s="163"/>
      <c r="S3" s="163"/>
      <c r="T3" s="163"/>
      <c r="U3" s="12"/>
      <c r="V3" s="12"/>
      <c r="W3" s="163"/>
      <c r="X3" s="163"/>
      <c r="Y3" s="163"/>
      <c r="Z3" s="163"/>
      <c r="AA3" s="163"/>
      <c r="AB3" s="163"/>
      <c r="AC3" s="1495"/>
      <c r="AD3" s="1248"/>
      <c r="AE3" s="1248"/>
      <c r="AF3" s="1248"/>
      <c r="AG3" s="1248"/>
      <c r="AH3" s="1248"/>
    </row>
    <row r="4" spans="1:34" ht="35.1" customHeight="1" thickBot="1">
      <c r="A4" s="636"/>
      <c r="B4" s="725" t="s">
        <v>0</v>
      </c>
      <c r="C4" s="1926" t="str">
        <f>VLOOKUP('Background Data'!$C$2,Inst_Tables,2,FALSE)</f>
        <v>Glasgow, University of</v>
      </c>
      <c r="D4" s="1927"/>
      <c r="E4" s="1928"/>
      <c r="F4" s="1617">
        <f>VLOOKUP('Background Data'!$C$2,Inst_Tables,8,FALSE)</f>
        <v>0</v>
      </c>
      <c r="G4" s="1473"/>
      <c r="H4" s="334"/>
      <c r="I4" s="164"/>
      <c r="J4" s="164"/>
      <c r="K4" s="164"/>
      <c r="L4" s="164"/>
      <c r="M4" s="164"/>
      <c r="N4" s="164"/>
      <c r="O4" s="164"/>
      <c r="P4" s="164"/>
      <c r="Q4" s="1481"/>
      <c r="R4" s="164"/>
      <c r="S4" s="164"/>
      <c r="T4" s="164"/>
      <c r="U4" s="12"/>
      <c r="V4" s="12"/>
      <c r="W4" s="164"/>
      <c r="X4" s="164"/>
      <c r="Y4" s="164"/>
      <c r="Z4" s="164"/>
      <c r="AA4" s="164"/>
      <c r="AB4" s="164"/>
      <c r="AC4" s="1495"/>
      <c r="AD4" s="1901" t="s">
        <v>76</v>
      </c>
      <c r="AE4" s="1902"/>
      <c r="AF4" s="1902"/>
      <c r="AG4" s="1903"/>
      <c r="AH4" s="1248"/>
    </row>
    <row r="5" spans="1:34" ht="35.1" customHeight="1">
      <c r="A5" s="636"/>
      <c r="B5" s="733" t="s">
        <v>314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395"/>
      <c r="R5" s="165"/>
      <c r="S5" s="165"/>
      <c r="T5" s="165"/>
      <c r="U5" s="12"/>
      <c r="V5" s="12"/>
      <c r="W5" s="165"/>
      <c r="X5" s="165"/>
      <c r="Y5" s="165"/>
      <c r="Z5" s="165"/>
      <c r="AA5" s="165"/>
      <c r="AB5" s="165"/>
      <c r="AD5" s="1936" t="s">
        <v>204</v>
      </c>
      <c r="AE5" s="1937" t="s">
        <v>205</v>
      </c>
      <c r="AF5" s="1937" t="s">
        <v>197</v>
      </c>
      <c r="AG5" s="1935" t="s">
        <v>206</v>
      </c>
    </row>
    <row r="6" spans="1:34" ht="30" customHeight="1">
      <c r="A6" s="636"/>
      <c r="B6" s="19" t="s">
        <v>424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395"/>
      <c r="R6" s="165"/>
      <c r="S6" s="165"/>
      <c r="T6" s="165"/>
      <c r="U6" s="12"/>
      <c r="V6" s="12"/>
      <c r="W6" s="165"/>
      <c r="X6" s="165"/>
      <c r="Y6" s="165"/>
      <c r="Z6" s="165"/>
      <c r="AA6" s="165"/>
      <c r="AB6" s="165"/>
      <c r="AD6" s="1905"/>
      <c r="AE6" s="1908"/>
      <c r="AF6" s="1908"/>
      <c r="AG6" s="1911"/>
    </row>
    <row r="7" spans="1:34" ht="15" customHeight="1" thickBot="1">
      <c r="A7" s="636"/>
      <c r="B7" s="734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395"/>
      <c r="R7" s="165"/>
      <c r="S7" s="165"/>
      <c r="T7" s="165"/>
      <c r="U7" s="12"/>
      <c r="V7" s="12"/>
      <c r="W7" s="165"/>
      <c r="X7" s="165"/>
      <c r="Y7" s="165"/>
      <c r="Z7" s="165"/>
      <c r="AA7" s="165"/>
      <c r="AB7" s="165"/>
      <c r="AD7" s="1905"/>
      <c r="AE7" s="1908"/>
      <c r="AF7" s="1908"/>
      <c r="AG7" s="1911"/>
    </row>
    <row r="8" spans="1:34" ht="30" customHeight="1" thickBot="1">
      <c r="A8" s="636"/>
      <c r="B8" s="869"/>
      <c r="C8" s="1929" t="s">
        <v>76</v>
      </c>
      <c r="D8" s="1930"/>
      <c r="E8" s="1930"/>
      <c r="F8" s="1930"/>
      <c r="G8" s="1931"/>
      <c r="H8" s="1930" t="s">
        <v>367</v>
      </c>
      <c r="I8" s="1930"/>
      <c r="J8" s="1930"/>
      <c r="K8" s="1931"/>
      <c r="L8" s="1932" t="s">
        <v>2</v>
      </c>
      <c r="M8" s="1933"/>
      <c r="N8" s="1933"/>
      <c r="O8" s="1933"/>
      <c r="P8" s="1934"/>
      <c r="Q8" s="1395"/>
      <c r="R8" s="165"/>
      <c r="S8" s="165"/>
      <c r="T8" s="165"/>
      <c r="U8" s="12"/>
      <c r="V8" s="12"/>
      <c r="W8" s="165"/>
      <c r="X8" s="165"/>
      <c r="Y8" s="165"/>
      <c r="Z8" s="165"/>
      <c r="AA8" s="165"/>
      <c r="AB8" s="165"/>
      <c r="AD8" s="1905"/>
      <c r="AE8" s="1908"/>
      <c r="AF8" s="1908"/>
      <c r="AG8" s="1911"/>
    </row>
    <row r="9" spans="1:34" ht="30" customHeight="1" thickBot="1">
      <c r="A9" s="636"/>
      <c r="B9" s="1394"/>
      <c r="C9" s="1457" t="s">
        <v>210</v>
      </c>
      <c r="D9" s="1939" t="s">
        <v>27</v>
      </c>
      <c r="E9" s="1939"/>
      <c r="F9" s="1939"/>
      <c r="G9" s="1940"/>
      <c r="H9" s="1938" t="s">
        <v>27</v>
      </c>
      <c r="I9" s="1939"/>
      <c r="J9" s="1939"/>
      <c r="K9" s="1940"/>
      <c r="L9" s="1457" t="s">
        <v>210</v>
      </c>
      <c r="M9" s="1939" t="s">
        <v>27</v>
      </c>
      <c r="N9" s="1939"/>
      <c r="O9" s="1939"/>
      <c r="P9" s="1940"/>
      <c r="Q9" s="1395"/>
      <c r="R9" s="165"/>
      <c r="S9" s="165"/>
      <c r="T9" s="165"/>
      <c r="U9" s="12"/>
      <c r="V9" s="12"/>
      <c r="W9" s="165"/>
      <c r="X9" s="626" t="s">
        <v>217</v>
      </c>
      <c r="Y9" s="165"/>
      <c r="Z9" s="165"/>
      <c r="AA9" s="165"/>
      <c r="AB9" s="165"/>
      <c r="AD9" s="1906"/>
      <c r="AE9" s="1909"/>
      <c r="AF9" s="1909"/>
      <c r="AG9" s="1912"/>
    </row>
    <row r="10" spans="1:34" ht="32.25" customHeight="1" thickBot="1">
      <c r="A10" s="636"/>
      <c r="B10" s="870"/>
      <c r="C10" s="1470"/>
      <c r="D10" s="1452" t="s">
        <v>24</v>
      </c>
      <c r="E10" s="1482" t="s">
        <v>13</v>
      </c>
      <c r="F10" s="1482" t="s">
        <v>14</v>
      </c>
      <c r="G10" s="1483" t="s">
        <v>2</v>
      </c>
      <c r="H10" s="1452" t="s">
        <v>24</v>
      </c>
      <c r="I10" s="1482" t="s">
        <v>13</v>
      </c>
      <c r="J10" s="1482" t="s">
        <v>14</v>
      </c>
      <c r="K10" s="1483" t="s">
        <v>2</v>
      </c>
      <c r="L10" s="1470"/>
      <c r="M10" s="1452" t="s">
        <v>24</v>
      </c>
      <c r="N10" s="1482" t="s">
        <v>13</v>
      </c>
      <c r="O10" s="1482" t="s">
        <v>14</v>
      </c>
      <c r="P10" s="1483" t="s">
        <v>2</v>
      </c>
      <c r="Q10" s="1395"/>
      <c r="R10" s="165"/>
      <c r="S10" s="165"/>
      <c r="T10" s="165"/>
      <c r="U10" s="12"/>
      <c r="V10" s="12"/>
      <c r="W10" s="165"/>
      <c r="X10" s="165"/>
      <c r="Y10" s="165"/>
      <c r="Z10" s="165"/>
      <c r="AA10" s="165"/>
      <c r="AB10" s="165"/>
      <c r="AD10" s="1247"/>
      <c r="AE10" s="1247"/>
      <c r="AF10" s="1247"/>
      <c r="AG10" s="1260"/>
    </row>
    <row r="11" spans="1:34" ht="30" customHeight="1" thickBot="1">
      <c r="A11" s="636"/>
      <c r="B11" s="1396" t="s">
        <v>258</v>
      </c>
      <c r="C11" s="1457" t="s">
        <v>17</v>
      </c>
      <c r="D11" s="873" t="s">
        <v>17</v>
      </c>
      <c r="E11" s="94" t="s">
        <v>17</v>
      </c>
      <c r="F11" s="94" t="s">
        <v>17</v>
      </c>
      <c r="G11" s="99" t="s">
        <v>17</v>
      </c>
      <c r="H11" s="873" t="s">
        <v>17</v>
      </c>
      <c r="I11" s="94" t="s">
        <v>17</v>
      </c>
      <c r="J11" s="94" t="s">
        <v>17</v>
      </c>
      <c r="K11" s="99" t="s">
        <v>17</v>
      </c>
      <c r="L11" s="1457" t="s">
        <v>17</v>
      </c>
      <c r="M11" s="873" t="s">
        <v>17</v>
      </c>
      <c r="N11" s="94" t="s">
        <v>17</v>
      </c>
      <c r="O11" s="94" t="s">
        <v>17</v>
      </c>
      <c r="P11" s="99" t="s">
        <v>17</v>
      </c>
      <c r="Q11" s="1395"/>
      <c r="R11" s="165"/>
      <c r="S11" s="165"/>
      <c r="T11" s="165"/>
      <c r="U11" s="1929" t="s">
        <v>76</v>
      </c>
      <c r="V11" s="1931"/>
      <c r="W11" s="165"/>
      <c r="X11" s="1497"/>
      <c r="Y11" s="1502" t="s">
        <v>60</v>
      </c>
      <c r="Z11" s="1945" t="s">
        <v>194</v>
      </c>
      <c r="AA11" s="1515" t="s">
        <v>75</v>
      </c>
      <c r="AB11" s="165"/>
      <c r="AD11" s="1245" t="s">
        <v>71</v>
      </c>
      <c r="AE11" s="1245" t="s">
        <v>71</v>
      </c>
      <c r="AF11" s="1245" t="s">
        <v>71</v>
      </c>
      <c r="AG11" s="1245" t="s">
        <v>71</v>
      </c>
    </row>
    <row r="12" spans="1:34" ht="30" customHeight="1">
      <c r="A12" s="636"/>
      <c r="B12" s="871"/>
      <c r="C12" s="1457" t="s">
        <v>30</v>
      </c>
      <c r="D12" s="873" t="s">
        <v>30</v>
      </c>
      <c r="E12" s="94" t="s">
        <v>30</v>
      </c>
      <c r="F12" s="94" t="s">
        <v>30</v>
      </c>
      <c r="G12" s="1399" t="s">
        <v>3</v>
      </c>
      <c r="H12" s="873" t="s">
        <v>30</v>
      </c>
      <c r="I12" s="94" t="s">
        <v>30</v>
      </c>
      <c r="J12" s="94" t="s">
        <v>30</v>
      </c>
      <c r="K12" s="1399" t="s">
        <v>3</v>
      </c>
      <c r="L12" s="1457" t="s">
        <v>3</v>
      </c>
      <c r="M12" s="873" t="s">
        <v>3</v>
      </c>
      <c r="N12" s="94" t="s">
        <v>3</v>
      </c>
      <c r="O12" s="94" t="s">
        <v>3</v>
      </c>
      <c r="P12" s="1399" t="s">
        <v>3</v>
      </c>
      <c r="Q12" s="1395"/>
      <c r="R12" s="165"/>
      <c r="S12" s="165"/>
      <c r="T12" s="165"/>
      <c r="U12" s="1941" t="s">
        <v>183</v>
      </c>
      <c r="V12" s="1943" t="s">
        <v>181</v>
      </c>
      <c r="W12" s="165"/>
      <c r="X12" s="1498"/>
      <c r="Y12" s="1503"/>
      <c r="Z12" s="1946"/>
      <c r="AA12" s="1494"/>
      <c r="AB12" s="165"/>
    </row>
    <row r="13" spans="1:34" ht="24.95" customHeight="1" thickBot="1">
      <c r="A13" s="636"/>
      <c r="B13" s="872"/>
      <c r="C13" s="1458">
        <v>1</v>
      </c>
      <c r="D13" s="961">
        <v>2</v>
      </c>
      <c r="E13" s="949">
        <v>3</v>
      </c>
      <c r="F13" s="949">
        <v>4</v>
      </c>
      <c r="G13" s="950">
        <v>5</v>
      </c>
      <c r="H13" s="961">
        <v>6</v>
      </c>
      <c r="I13" s="949">
        <v>7</v>
      </c>
      <c r="J13" s="949">
        <v>8</v>
      </c>
      <c r="K13" s="950">
        <v>9</v>
      </c>
      <c r="L13" s="1458">
        <v>10</v>
      </c>
      <c r="M13" s="961">
        <v>11</v>
      </c>
      <c r="N13" s="949">
        <v>12</v>
      </c>
      <c r="O13" s="949">
        <v>13</v>
      </c>
      <c r="P13" s="950">
        <v>14</v>
      </c>
      <c r="Q13" s="1395"/>
      <c r="R13" s="165"/>
      <c r="S13" s="165"/>
      <c r="T13" s="165"/>
      <c r="U13" s="1942"/>
      <c r="V13" s="1944"/>
      <c r="W13" s="165"/>
      <c r="X13" s="1500" t="s">
        <v>11</v>
      </c>
      <c r="Y13" s="1506"/>
      <c r="Z13" s="1506"/>
      <c r="AA13" s="1501"/>
      <c r="AB13" s="165"/>
    </row>
    <row r="14" spans="1:34" ht="35.1" customHeight="1">
      <c r="A14" s="636"/>
      <c r="B14" s="855" t="s">
        <v>11</v>
      </c>
      <c r="C14" s="1459"/>
      <c r="D14" s="329"/>
      <c r="E14" s="328"/>
      <c r="F14" s="328"/>
      <c r="G14" s="330"/>
      <c r="H14" s="329"/>
      <c r="I14" s="328"/>
      <c r="J14" s="328"/>
      <c r="K14" s="330"/>
      <c r="L14" s="1459"/>
      <c r="M14" s="329"/>
      <c r="N14" s="328"/>
      <c r="O14" s="328"/>
      <c r="P14" s="330"/>
      <c r="Q14" s="1395"/>
      <c r="R14" s="165"/>
      <c r="S14" s="165"/>
      <c r="T14" s="165"/>
      <c r="U14" s="346"/>
      <c r="V14" s="347"/>
      <c r="W14" s="165"/>
      <c r="X14" s="1499" t="s">
        <v>76</v>
      </c>
      <c r="Y14" s="1507">
        <f>'Table 1 (Main)'!$M$38</f>
        <v>0</v>
      </c>
      <c r="Z14" s="1508">
        <f>$G$39-Y14</f>
        <v>0</v>
      </c>
      <c r="AA14" s="1505" t="str">
        <f>IF(ABS(Z14)&gt;0.1,"Does not equal figure in Table 1","OK")</f>
        <v>OK</v>
      </c>
      <c r="AB14" s="165"/>
    </row>
    <row r="15" spans="1:34" ht="30" customHeight="1">
      <c r="A15" s="636"/>
      <c r="B15" s="856" t="s">
        <v>34</v>
      </c>
      <c r="C15" s="1460"/>
      <c r="D15" s="165"/>
      <c r="E15" s="166"/>
      <c r="F15" s="166"/>
      <c r="G15" s="167"/>
      <c r="H15" s="165"/>
      <c r="I15" s="166"/>
      <c r="J15" s="166"/>
      <c r="K15" s="167"/>
      <c r="L15" s="1460"/>
      <c r="M15" s="165"/>
      <c r="N15" s="166"/>
      <c r="O15" s="166"/>
      <c r="P15" s="167"/>
      <c r="Q15" s="1395"/>
      <c r="R15" s="165"/>
      <c r="S15" s="165"/>
      <c r="T15" s="165"/>
      <c r="U15" s="348"/>
      <c r="V15" s="349"/>
      <c r="W15" s="165"/>
      <c r="X15" s="1499" t="s">
        <v>367</v>
      </c>
      <c r="Y15" s="1507">
        <f>'Table 1 (Main)'!$Q$38</f>
        <v>0</v>
      </c>
      <c r="Z15" s="1508">
        <f>$K$39-Y15</f>
        <v>0</v>
      </c>
      <c r="AA15" s="1511" t="str">
        <f>IF(ABS(Z15)&gt;0.1,"Does not equal figure in Table 1","OK")</f>
        <v>OK</v>
      </c>
      <c r="AB15" s="165"/>
    </row>
    <row r="16" spans="1:34" ht="24.95" customHeight="1">
      <c r="A16" s="636"/>
      <c r="B16" s="857" t="s">
        <v>35</v>
      </c>
      <c r="C16" s="868"/>
      <c r="D16" s="1453"/>
      <c r="E16" s="43"/>
      <c r="F16" s="43"/>
      <c r="G16" s="1484">
        <f>SUM(D16:F16)</f>
        <v>0</v>
      </c>
      <c r="H16" s="1453"/>
      <c r="I16" s="43"/>
      <c r="J16" s="43"/>
      <c r="K16" s="1484">
        <f>SUM(H16:J16)</f>
        <v>0</v>
      </c>
      <c r="L16" s="1756">
        <f>SUM(C16,K16)</f>
        <v>0</v>
      </c>
      <c r="M16" s="1490">
        <f>SUM(D16,H16)</f>
        <v>0</v>
      </c>
      <c r="N16" s="1491">
        <f t="shared" ref="N16:N18" si="0">SUM(E16,I16)</f>
        <v>0</v>
      </c>
      <c r="O16" s="1491">
        <f t="shared" ref="O16:O18" si="1">SUM(F16,J16)</f>
        <v>0</v>
      </c>
      <c r="P16" s="1484">
        <f>SUM(M16:O16)</f>
        <v>0</v>
      </c>
      <c r="Q16" s="1450"/>
      <c r="R16" s="345"/>
      <c r="S16" s="345"/>
      <c r="T16" s="345"/>
      <c r="U16" s="76" t="str">
        <f>IF(AD16=1,Intake_missing,IF(AE16=1,Only_intake_recorded,"OK"))</f>
        <v>OK</v>
      </c>
      <c r="V16" s="350" t="str">
        <f>IF(OR(AF16=1,AG16=1),Intake_inconsistent,"OK")</f>
        <v>OK</v>
      </c>
      <c r="W16" s="345"/>
      <c r="X16" s="1500" t="s">
        <v>9</v>
      </c>
      <c r="Y16" s="1509"/>
      <c r="Z16" s="1509"/>
      <c r="AA16" s="1510"/>
      <c r="AB16" s="345"/>
      <c r="AD16" s="1245">
        <f>IF(AND(C16=0,G16&gt;0),1,0)</f>
        <v>0</v>
      </c>
      <c r="AE16" s="1245">
        <f>IF(AND(C16&gt;0,G16=0),1,0)</f>
        <v>0</v>
      </c>
      <c r="AF16" s="1245">
        <f>IF(C16&gt;G16,1,0)</f>
        <v>0</v>
      </c>
      <c r="AG16" s="1245">
        <f>IF(AND(SUM(E16:F16)&gt;0,C16=G16),1,0)</f>
        <v>0</v>
      </c>
    </row>
    <row r="17" spans="1:33" ht="24.95" customHeight="1">
      <c r="A17" s="636"/>
      <c r="B17" s="857" t="s">
        <v>36</v>
      </c>
      <c r="C17" s="1797"/>
      <c r="D17" s="1453"/>
      <c r="E17" s="43"/>
      <c r="F17" s="43"/>
      <c r="G17" s="1484">
        <f>SUM(D17:F17)</f>
        <v>0</v>
      </c>
      <c r="H17" s="1453"/>
      <c r="I17" s="43"/>
      <c r="J17" s="43"/>
      <c r="K17" s="1484">
        <f>SUM(H17:J17)</f>
        <v>0</v>
      </c>
      <c r="L17" s="1757">
        <f t="shared" ref="L17:L18" si="2">SUM(C17,K17)</f>
        <v>0</v>
      </c>
      <c r="M17" s="1490">
        <f t="shared" ref="M17:M18" si="3">SUM(D17,H17)</f>
        <v>0</v>
      </c>
      <c r="N17" s="1491">
        <f t="shared" si="0"/>
        <v>0</v>
      </c>
      <c r="O17" s="1491">
        <f t="shared" si="1"/>
        <v>0</v>
      </c>
      <c r="P17" s="1484">
        <f>SUM(M17:O17)</f>
        <v>0</v>
      </c>
      <c r="Q17" s="1450"/>
      <c r="R17" s="345"/>
      <c r="S17" s="345"/>
      <c r="T17" s="345"/>
      <c r="U17" s="76" t="str">
        <f>IF(AD17=1,Intake_missing,IF(AE17=1,Only_intake_recorded,"OK"))</f>
        <v>OK</v>
      </c>
      <c r="V17" s="350" t="str">
        <f>IF(OR(AF17=1,AG17=1),Intake_inconsistent,"OK")</f>
        <v>OK</v>
      </c>
      <c r="W17" s="345"/>
      <c r="X17" s="1499" t="s">
        <v>76</v>
      </c>
      <c r="Y17" s="1507">
        <f>'Table 1 (Main)'!$M$16</f>
        <v>0</v>
      </c>
      <c r="Z17" s="1508">
        <f>$G$46-Y17</f>
        <v>0</v>
      </c>
      <c r="AA17" s="332" t="str">
        <f>IF(ABS(Z17)&gt;0.1,"Does not equal figure in Table 1","OK")</f>
        <v>OK</v>
      </c>
      <c r="AB17" s="345"/>
      <c r="AD17" s="1245"/>
      <c r="AE17" s="1245"/>
      <c r="AF17" s="1245"/>
    </row>
    <row r="18" spans="1:33" ht="24.95" customHeight="1" thickBot="1">
      <c r="A18" s="636"/>
      <c r="B18" s="857" t="s">
        <v>37</v>
      </c>
      <c r="C18" s="1461"/>
      <c r="D18" s="1454"/>
      <c r="E18" s="1397"/>
      <c r="F18" s="1397"/>
      <c r="G18" s="1485">
        <f>SUM(D18:F18)</f>
        <v>0</v>
      </c>
      <c r="H18" s="1454"/>
      <c r="I18" s="1397"/>
      <c r="J18" s="1397"/>
      <c r="K18" s="1485">
        <f>SUM(H18:J18)</f>
        <v>0</v>
      </c>
      <c r="L18" s="1758">
        <f t="shared" si="2"/>
        <v>0</v>
      </c>
      <c r="M18" s="1492">
        <f t="shared" si="3"/>
        <v>0</v>
      </c>
      <c r="N18" s="1493">
        <f t="shared" si="0"/>
        <v>0</v>
      </c>
      <c r="O18" s="1493">
        <f t="shared" si="1"/>
        <v>0</v>
      </c>
      <c r="P18" s="1485">
        <f>SUM(M18:O18)</f>
        <v>0</v>
      </c>
      <c r="Q18" s="1450"/>
      <c r="R18" s="345"/>
      <c r="S18" s="345"/>
      <c r="T18" s="345"/>
      <c r="U18" s="76" t="str">
        <f>IF(AD18=1,Intake_missing,IF(AE18=1,Only_intake_recorded,"OK"))</f>
        <v>OK</v>
      </c>
      <c r="V18" s="350" t="str">
        <f>IF(OR(AF18=1,AG18=1),Intake_inconsistent,"OK")</f>
        <v>OK</v>
      </c>
      <c r="W18" s="345"/>
      <c r="X18" s="1504" t="s">
        <v>367</v>
      </c>
      <c r="Y18" s="1512">
        <f>'Table 1 (Main)'!$Q$16</f>
        <v>0</v>
      </c>
      <c r="Z18" s="1513">
        <f>$K$46-Y18</f>
        <v>0</v>
      </c>
      <c r="AA18" s="1514" t="str">
        <f>IF(ABS(Z18)&gt;0.1,"Does not equal figure in Table 1","OK")</f>
        <v>OK</v>
      </c>
      <c r="AB18" s="345"/>
      <c r="AD18" s="1245">
        <f>IF(AND(C18=0,G18&gt;0),1,0)</f>
        <v>0</v>
      </c>
      <c r="AE18" s="1245">
        <f>IF(AND(C18&gt;0,G18=0),1,0)</f>
        <v>0</v>
      </c>
      <c r="AF18" s="1245">
        <f>IF(C18&gt;G18,1,0)</f>
        <v>0</v>
      </c>
      <c r="AG18" s="1245">
        <f>IF(AND(SUM(E18:F18)&gt;0,C18=G18),1,0)</f>
        <v>0</v>
      </c>
    </row>
    <row r="19" spans="1:33" ht="24.95" customHeight="1">
      <c r="A19" s="636"/>
      <c r="B19" s="858" t="s">
        <v>2</v>
      </c>
      <c r="C19" s="1462">
        <f>SUM(C16:C18)</f>
        <v>0</v>
      </c>
      <c r="D19" s="1455">
        <f>SUM(D16:D18)</f>
        <v>0</v>
      </c>
      <c r="E19" s="171">
        <f>SUM(E16:E18)</f>
        <v>0</v>
      </c>
      <c r="F19" s="171">
        <f>SUM(F16:F18)</f>
        <v>0</v>
      </c>
      <c r="G19" s="1484">
        <f>SUM(D19:F19)</f>
        <v>0</v>
      </c>
      <c r="H19" s="1455">
        <f>SUM(H16:H18)</f>
        <v>0</v>
      </c>
      <c r="I19" s="171">
        <f>SUM(I16:I18)</f>
        <v>0</v>
      </c>
      <c r="J19" s="171">
        <f>SUM(J16:J18)</f>
        <v>0</v>
      </c>
      <c r="K19" s="1484">
        <f>SUM(H19:J19)</f>
        <v>0</v>
      </c>
      <c r="L19" s="1462">
        <f>SUM(L16:L18)</f>
        <v>0</v>
      </c>
      <c r="M19" s="1455">
        <f>SUM(M16:M18)</f>
        <v>0</v>
      </c>
      <c r="N19" s="171">
        <f>SUM(N16:N18)</f>
        <v>0</v>
      </c>
      <c r="O19" s="171">
        <f>SUM(O16:O18)</f>
        <v>0</v>
      </c>
      <c r="P19" s="1484">
        <f>SUM(M19:O19)</f>
        <v>0</v>
      </c>
      <c r="Q19" s="1450"/>
      <c r="R19" s="345"/>
      <c r="S19" s="345"/>
      <c r="T19" s="345"/>
      <c r="U19" s="352"/>
      <c r="V19" s="353"/>
      <c r="W19" s="345"/>
      <c r="X19" s="345"/>
      <c r="Y19" s="345"/>
      <c r="Z19" s="345"/>
      <c r="AA19" s="345"/>
      <c r="AB19" s="345"/>
      <c r="AD19" s="1245"/>
      <c r="AE19" s="1245"/>
      <c r="AF19" s="1245"/>
      <c r="AG19" s="1245"/>
    </row>
    <row r="20" spans="1:33" ht="30" customHeight="1">
      <c r="A20" s="636"/>
      <c r="B20" s="856" t="s">
        <v>38</v>
      </c>
      <c r="C20" s="1463"/>
      <c r="D20" s="170"/>
      <c r="E20" s="169"/>
      <c r="F20" s="169"/>
      <c r="G20" s="332"/>
      <c r="H20" s="170"/>
      <c r="I20" s="169"/>
      <c r="J20" s="169"/>
      <c r="K20" s="332"/>
      <c r="L20" s="1463"/>
      <c r="M20" s="170"/>
      <c r="N20" s="169"/>
      <c r="O20" s="169"/>
      <c r="P20" s="332"/>
      <c r="Q20" s="1450"/>
      <c r="R20" s="345"/>
      <c r="S20" s="345"/>
      <c r="T20" s="345"/>
      <c r="U20" s="354"/>
      <c r="V20" s="351"/>
      <c r="W20" s="345"/>
      <c r="X20" s="345"/>
      <c r="Y20" s="345"/>
      <c r="Z20" s="345"/>
      <c r="AA20" s="345"/>
      <c r="AB20" s="345"/>
    </row>
    <row r="21" spans="1:33" ht="24.95" customHeight="1">
      <c r="A21" s="636"/>
      <c r="B21" s="857" t="s">
        <v>35</v>
      </c>
      <c r="C21" s="868"/>
      <c r="D21" s="1453"/>
      <c r="E21" s="43"/>
      <c r="F21" s="43"/>
      <c r="G21" s="1484">
        <f>SUM(D21:F21)</f>
        <v>0</v>
      </c>
      <c r="H21" s="1453"/>
      <c r="I21" s="43"/>
      <c r="J21" s="43"/>
      <c r="K21" s="1484">
        <f>SUM(H21:J21)</f>
        <v>0</v>
      </c>
      <c r="L21" s="1756">
        <f>SUM(C21,K21)</f>
        <v>0</v>
      </c>
      <c r="M21" s="1490">
        <f>SUM(D21,H21)</f>
        <v>0</v>
      </c>
      <c r="N21" s="1491">
        <f t="shared" ref="N21:N23" si="4">SUM(E21,I21)</f>
        <v>0</v>
      </c>
      <c r="O21" s="1491">
        <f t="shared" ref="O21:O23" si="5">SUM(F21,J21)</f>
        <v>0</v>
      </c>
      <c r="P21" s="1484">
        <f>SUM(M21:O21)</f>
        <v>0</v>
      </c>
      <c r="Q21" s="1450"/>
      <c r="R21" s="345"/>
      <c r="S21" s="345"/>
      <c r="T21" s="345"/>
      <c r="U21" s="76" t="str">
        <f>IF(AD21=1,Intake_missing,IF(AE21=1,Only_intake_recorded,"OK"))</f>
        <v>OK</v>
      </c>
      <c r="V21" s="350" t="str">
        <f>IF(OR(AF21=1,AG21=1),Intake_inconsistent,"OK")</f>
        <v>OK</v>
      </c>
      <c r="W21" s="345"/>
      <c r="X21" s="345"/>
      <c r="Y21" s="345"/>
      <c r="Z21" s="345"/>
      <c r="AA21" s="345"/>
      <c r="AB21" s="345"/>
      <c r="AD21" s="1245">
        <f>IF(AND(C21=0,G21&gt;0),1,0)</f>
        <v>0</v>
      </c>
      <c r="AE21" s="1245">
        <f>IF(AND(C21&gt;0,G21=0),1,0)</f>
        <v>0</v>
      </c>
      <c r="AF21" s="1245">
        <f>IF(C21&gt;G21,1,0)</f>
        <v>0</v>
      </c>
      <c r="AG21" s="1245">
        <f>IF(AND(SUM(E21:F21)&gt;0,C21=G21),1,0)</f>
        <v>0</v>
      </c>
    </row>
    <row r="22" spans="1:33" ht="24.95" customHeight="1">
      <c r="A22" s="636"/>
      <c r="B22" s="857" t="s">
        <v>36</v>
      </c>
      <c r="C22" s="1797"/>
      <c r="D22" s="1453"/>
      <c r="E22" s="43"/>
      <c r="F22" s="43"/>
      <c r="G22" s="1484">
        <f>SUM(D22:F22)</f>
        <v>0</v>
      </c>
      <c r="H22" s="1453"/>
      <c r="I22" s="43"/>
      <c r="J22" s="43"/>
      <c r="K22" s="1484">
        <f>SUM(H22:J22)</f>
        <v>0</v>
      </c>
      <c r="L22" s="1757">
        <f t="shared" ref="L22:L23" si="6">SUM(C22,K22)</f>
        <v>0</v>
      </c>
      <c r="M22" s="1490">
        <f t="shared" ref="M22:M23" si="7">SUM(D22,H22)</f>
        <v>0</v>
      </c>
      <c r="N22" s="1491">
        <f t="shared" si="4"/>
        <v>0</v>
      </c>
      <c r="O22" s="1491">
        <f t="shared" si="5"/>
        <v>0</v>
      </c>
      <c r="P22" s="1484">
        <f>SUM(M22:O22)</f>
        <v>0</v>
      </c>
      <c r="Q22" s="1450"/>
      <c r="R22" s="345"/>
      <c r="S22" s="345"/>
      <c r="T22" s="345"/>
      <c r="U22" s="76" t="str">
        <f>IF(AD22=1,Intake_missing,IF(AE22=1,Only_intake_recorded,"OK"))</f>
        <v>OK</v>
      </c>
      <c r="V22" s="350" t="str">
        <f>IF(OR(AF22=1,AG22=1),Intake_inconsistent,"OK")</f>
        <v>OK</v>
      </c>
      <c r="W22" s="345"/>
      <c r="X22" s="345"/>
      <c r="Y22" s="345"/>
      <c r="Z22" s="345"/>
      <c r="AA22" s="345"/>
      <c r="AB22" s="345"/>
    </row>
    <row r="23" spans="1:33" ht="24.95" customHeight="1">
      <c r="A23" s="636"/>
      <c r="B23" s="857" t="s">
        <v>37</v>
      </c>
      <c r="C23" s="868"/>
      <c r="D23" s="1453"/>
      <c r="E23" s="43"/>
      <c r="F23" s="43"/>
      <c r="G23" s="1484">
        <f>SUM(D23:F23)</f>
        <v>0</v>
      </c>
      <c r="H23" s="1453"/>
      <c r="I23" s="43"/>
      <c r="J23" s="43"/>
      <c r="K23" s="1484">
        <f>SUM(H23:J23)</f>
        <v>0</v>
      </c>
      <c r="L23" s="1758">
        <f t="shared" si="6"/>
        <v>0</v>
      </c>
      <c r="M23" s="1492">
        <f t="shared" si="7"/>
        <v>0</v>
      </c>
      <c r="N23" s="1493">
        <f t="shared" si="4"/>
        <v>0</v>
      </c>
      <c r="O23" s="1493">
        <f t="shared" si="5"/>
        <v>0</v>
      </c>
      <c r="P23" s="1485">
        <f>SUM(M23:O23)</f>
        <v>0</v>
      </c>
      <c r="Q23" s="1450"/>
      <c r="R23" s="345"/>
      <c r="S23" s="345"/>
      <c r="T23" s="345"/>
      <c r="U23" s="76" t="str">
        <f>IF(AD23=1,Intake_missing,IF(AE23=1,Only_intake_recorded,"OK"))</f>
        <v>OK</v>
      </c>
      <c r="V23" s="350" t="str">
        <f>IF(OR(AF23=1,AG23=1),Intake_inconsistent,"OK")</f>
        <v>OK</v>
      </c>
      <c r="W23" s="345"/>
      <c r="X23" s="345"/>
      <c r="Y23" s="345"/>
      <c r="Z23" s="345"/>
      <c r="AA23" s="345"/>
      <c r="AB23" s="345"/>
      <c r="AD23" s="1245">
        <f>IF(AND(C23=0,G23&gt;0),1,0)</f>
        <v>0</v>
      </c>
      <c r="AE23" s="1245">
        <f>IF(AND(C23&gt;0,G23=0),1,0)</f>
        <v>0</v>
      </c>
      <c r="AF23" s="1245">
        <f>IF(C23&gt;G23,1,0)</f>
        <v>0</v>
      </c>
      <c r="AG23" s="1245">
        <f>IF(AND(SUM(E23:F23)&gt;0,C23=G23),1,0)</f>
        <v>0</v>
      </c>
    </row>
    <row r="24" spans="1:33" ht="24.95" customHeight="1">
      <c r="A24" s="636"/>
      <c r="B24" s="858" t="s">
        <v>2</v>
      </c>
      <c r="C24" s="1462">
        <f>SUM(C21:C23)</f>
        <v>0</v>
      </c>
      <c r="D24" s="1455">
        <f>SUM(D21:D23)</f>
        <v>0</v>
      </c>
      <c r="E24" s="171">
        <f>SUM(E21:E23)</f>
        <v>0</v>
      </c>
      <c r="F24" s="171">
        <f>SUM(F21:F23)</f>
        <v>0</v>
      </c>
      <c r="G24" s="1484">
        <f>SUM(D24:F24)</f>
        <v>0</v>
      </c>
      <c r="H24" s="1455">
        <f>SUM(H21:H23)</f>
        <v>0</v>
      </c>
      <c r="I24" s="171">
        <f>SUM(I21:I23)</f>
        <v>0</v>
      </c>
      <c r="J24" s="171">
        <f>SUM(J21:J23)</f>
        <v>0</v>
      </c>
      <c r="K24" s="1484">
        <f>SUM(H24:J24)</f>
        <v>0</v>
      </c>
      <c r="L24" s="1462">
        <f>SUM(L21:L23)</f>
        <v>0</v>
      </c>
      <c r="M24" s="1455">
        <f>SUM(M21:M23)</f>
        <v>0</v>
      </c>
      <c r="N24" s="171">
        <f>SUM(N21:N23)</f>
        <v>0</v>
      </c>
      <c r="O24" s="171">
        <f>SUM(O21:O23)</f>
        <v>0</v>
      </c>
      <c r="P24" s="1484">
        <f>SUM(M24:O24)</f>
        <v>0</v>
      </c>
      <c r="Q24" s="1450"/>
      <c r="R24" s="345"/>
      <c r="S24" s="345"/>
      <c r="T24" s="345"/>
      <c r="U24" s="352"/>
      <c r="V24" s="353"/>
      <c r="W24" s="345"/>
      <c r="X24" s="345"/>
      <c r="Y24" s="345"/>
      <c r="Z24" s="345"/>
      <c r="AA24" s="345"/>
      <c r="AB24" s="345"/>
      <c r="AD24" s="1245"/>
      <c r="AE24" s="1245"/>
      <c r="AF24" s="1245"/>
      <c r="AG24" s="1245"/>
    </row>
    <row r="25" spans="1:33" ht="30" customHeight="1">
      <c r="A25" s="636"/>
      <c r="B25" s="856" t="s">
        <v>39</v>
      </c>
      <c r="C25" s="1464"/>
      <c r="D25" s="170"/>
      <c r="E25" s="169"/>
      <c r="F25" s="172"/>
      <c r="G25" s="173"/>
      <c r="H25" s="170"/>
      <c r="I25" s="169"/>
      <c r="J25" s="172"/>
      <c r="K25" s="173"/>
      <c r="L25" s="1464"/>
      <c r="M25" s="170"/>
      <c r="N25" s="169"/>
      <c r="O25" s="172"/>
      <c r="P25" s="173"/>
      <c r="Q25" s="1450"/>
      <c r="R25" s="345"/>
      <c r="S25" s="345"/>
      <c r="T25" s="345"/>
      <c r="U25" s="355"/>
      <c r="V25" s="351"/>
      <c r="W25" s="345"/>
      <c r="X25" s="345"/>
      <c r="Y25" s="345"/>
      <c r="Z25" s="345"/>
      <c r="AA25" s="345"/>
      <c r="AB25" s="345"/>
    </row>
    <row r="26" spans="1:33" ht="24.95" customHeight="1">
      <c r="A26" s="636"/>
      <c r="B26" s="857" t="s">
        <v>35</v>
      </c>
      <c r="C26" s="868"/>
      <c r="D26" s="1453"/>
      <c r="E26" s="43"/>
      <c r="F26" s="43"/>
      <c r="G26" s="1484">
        <f>SUM(D26:F26)</f>
        <v>0</v>
      </c>
      <c r="H26" s="1453"/>
      <c r="I26" s="43"/>
      <c r="J26" s="43"/>
      <c r="K26" s="1484">
        <f>SUM(H26:J26)</f>
        <v>0</v>
      </c>
      <c r="L26" s="1756">
        <f>SUM(C26,K26)</f>
        <v>0</v>
      </c>
      <c r="M26" s="1490">
        <f>SUM(D26,H26)</f>
        <v>0</v>
      </c>
      <c r="N26" s="1491">
        <f t="shared" ref="N26:N28" si="8">SUM(E26,I26)</f>
        <v>0</v>
      </c>
      <c r="O26" s="1491">
        <f t="shared" ref="O26:O28" si="9">SUM(F26,J26)</f>
        <v>0</v>
      </c>
      <c r="P26" s="1484">
        <f>SUM(M26:O26)</f>
        <v>0</v>
      </c>
      <c r="Q26" s="1450"/>
      <c r="R26" s="345"/>
      <c r="S26" s="345"/>
      <c r="T26" s="345"/>
      <c r="U26" s="76" t="str">
        <f>IF(AD26=1,Intake_missing,IF(AE26=1,Only_intake_recorded,"OK"))</f>
        <v>OK</v>
      </c>
      <c r="V26" s="350" t="str">
        <f>IF(OR(AF26=1,AG26=1),Intake_inconsistent,"OK")</f>
        <v>OK</v>
      </c>
      <c r="W26" s="345"/>
      <c r="X26" s="345"/>
      <c r="Y26" s="345"/>
      <c r="Z26" s="345"/>
      <c r="AA26" s="345"/>
      <c r="AB26" s="345"/>
      <c r="AD26" s="1245">
        <f>IF(AND(C26=0,G26&gt;0),1,0)</f>
        <v>0</v>
      </c>
      <c r="AE26" s="1245">
        <f>IF(AND(C26&gt;0,G26=0),1,0)</f>
        <v>0</v>
      </c>
      <c r="AF26" s="1245">
        <f>IF(C26&gt;G26,1,0)</f>
        <v>0</v>
      </c>
      <c r="AG26" s="1245">
        <f>IF(AND(SUM(E26:F26)&gt;0,C26=G26),1,0)</f>
        <v>0</v>
      </c>
    </row>
    <row r="27" spans="1:33" ht="24.95" customHeight="1">
      <c r="A27" s="636"/>
      <c r="B27" s="857" t="s">
        <v>36</v>
      </c>
      <c r="C27" s="1797"/>
      <c r="D27" s="1453"/>
      <c r="E27" s="43"/>
      <c r="F27" s="43"/>
      <c r="G27" s="1484">
        <f>SUM(D27:F27)</f>
        <v>0</v>
      </c>
      <c r="H27" s="1453"/>
      <c r="I27" s="43"/>
      <c r="J27" s="43"/>
      <c r="K27" s="1484">
        <f>SUM(H27:J27)</f>
        <v>0</v>
      </c>
      <c r="L27" s="1757">
        <f t="shared" ref="L27:L28" si="10">SUM(C27,K27)</f>
        <v>0</v>
      </c>
      <c r="M27" s="1490">
        <f t="shared" ref="M27:M28" si="11">SUM(D27,H27)</f>
        <v>0</v>
      </c>
      <c r="N27" s="1491">
        <f t="shared" si="8"/>
        <v>0</v>
      </c>
      <c r="O27" s="1491">
        <f t="shared" si="9"/>
        <v>0</v>
      </c>
      <c r="P27" s="1484">
        <f>SUM(M27:O27)</f>
        <v>0</v>
      </c>
      <c r="Q27" s="1450"/>
      <c r="R27" s="345"/>
      <c r="S27" s="345"/>
      <c r="T27" s="345"/>
      <c r="U27" s="76" t="str">
        <f>IF(AD27=1,Intake_missing,IF(AE27=1,Only_intake_recorded,"OK"))</f>
        <v>OK</v>
      </c>
      <c r="V27" s="350" t="str">
        <f>IF(OR(AF27=1,AG27=1),Intake_inconsistent,"OK")</f>
        <v>OK</v>
      </c>
      <c r="W27" s="345"/>
      <c r="X27" s="345"/>
      <c r="Y27" s="345"/>
      <c r="Z27" s="345"/>
      <c r="AA27" s="345"/>
      <c r="AB27" s="345"/>
    </row>
    <row r="28" spans="1:33" ht="24.95" customHeight="1">
      <c r="A28" s="636"/>
      <c r="B28" s="857" t="s">
        <v>37</v>
      </c>
      <c r="C28" s="1461"/>
      <c r="D28" s="1454"/>
      <c r="E28" s="1397"/>
      <c r="F28" s="1397"/>
      <c r="G28" s="1485">
        <f>SUM(D28:F28)</f>
        <v>0</v>
      </c>
      <c r="H28" s="1454"/>
      <c r="I28" s="1397"/>
      <c r="J28" s="1397"/>
      <c r="K28" s="1485">
        <f>SUM(H28:J28)</f>
        <v>0</v>
      </c>
      <c r="L28" s="1758">
        <f t="shared" si="10"/>
        <v>0</v>
      </c>
      <c r="M28" s="1492">
        <f t="shared" si="11"/>
        <v>0</v>
      </c>
      <c r="N28" s="1493">
        <f t="shared" si="8"/>
        <v>0</v>
      </c>
      <c r="O28" s="1493">
        <f t="shared" si="9"/>
        <v>0</v>
      </c>
      <c r="P28" s="1485">
        <f>SUM(M28:O28)</f>
        <v>0</v>
      </c>
      <c r="Q28" s="1450"/>
      <c r="R28" s="345"/>
      <c r="S28" s="345"/>
      <c r="T28" s="345"/>
      <c r="U28" s="76" t="str">
        <f>IF(AD28=1,Intake_missing,IF(AE28=1,Only_intake_recorded,"OK"))</f>
        <v>OK</v>
      </c>
      <c r="V28" s="350" t="str">
        <f>IF(OR(AF28=1,AG28=1),Intake_inconsistent,"OK")</f>
        <v>OK</v>
      </c>
      <c r="W28" s="345"/>
      <c r="X28" s="345"/>
      <c r="Y28" s="345"/>
      <c r="Z28" s="345"/>
      <c r="AA28" s="345"/>
      <c r="AB28" s="345"/>
      <c r="AD28" s="1245">
        <f>IF(AND(C28=0,G28&gt;0),1,0)</f>
        <v>0</v>
      </c>
      <c r="AE28" s="1245">
        <f>IF(AND(C28&gt;0,G28=0),1,0)</f>
        <v>0</v>
      </c>
      <c r="AF28" s="1245">
        <f>IF(C28&gt;G28,1,0)</f>
        <v>0</v>
      </c>
      <c r="AG28" s="1245">
        <f>IF(AND(SUM(E28:F28)&gt;0,C28=G28),1,0)</f>
        <v>0</v>
      </c>
    </row>
    <row r="29" spans="1:33" ht="24.95" customHeight="1">
      <c r="A29" s="636"/>
      <c r="B29" s="858" t="s">
        <v>2</v>
      </c>
      <c r="C29" s="1462">
        <f>SUM(C26:C28)</f>
        <v>0</v>
      </c>
      <c r="D29" s="1455">
        <f>SUM(D26:D28)</f>
        <v>0</v>
      </c>
      <c r="E29" s="171">
        <f>SUM(E26:E28)</f>
        <v>0</v>
      </c>
      <c r="F29" s="171">
        <f>SUM(F26:F28)</f>
        <v>0</v>
      </c>
      <c r="G29" s="1484">
        <f>SUM(D29:F29)</f>
        <v>0</v>
      </c>
      <c r="H29" s="1455">
        <f>SUM(H26:H28)</f>
        <v>0</v>
      </c>
      <c r="I29" s="171">
        <f>SUM(I26:I28)</f>
        <v>0</v>
      </c>
      <c r="J29" s="171">
        <f>SUM(J26:J28)</f>
        <v>0</v>
      </c>
      <c r="K29" s="1484">
        <f>SUM(H29:J29)</f>
        <v>0</v>
      </c>
      <c r="L29" s="1462">
        <f>SUM(L26:L28)</f>
        <v>0</v>
      </c>
      <c r="M29" s="1455">
        <f>SUM(M26:M28)</f>
        <v>0</v>
      </c>
      <c r="N29" s="171">
        <f>SUM(N26:N28)</f>
        <v>0</v>
      </c>
      <c r="O29" s="171">
        <f>SUM(O26:O28)</f>
        <v>0</v>
      </c>
      <c r="P29" s="1484">
        <f>SUM(M29:O29)</f>
        <v>0</v>
      </c>
      <c r="Q29" s="1450"/>
      <c r="R29" s="345"/>
      <c r="S29" s="345"/>
      <c r="T29" s="345"/>
      <c r="U29" s="352"/>
      <c r="V29" s="353"/>
      <c r="W29" s="345"/>
      <c r="X29" s="345"/>
      <c r="Y29" s="345"/>
      <c r="Z29" s="345"/>
      <c r="AA29" s="345"/>
      <c r="AB29" s="345"/>
      <c r="AD29" s="1245"/>
      <c r="AE29" s="1245"/>
      <c r="AF29" s="1245"/>
      <c r="AG29" s="1245"/>
    </row>
    <row r="30" spans="1:33" ht="30" customHeight="1">
      <c r="A30" s="636"/>
      <c r="B30" s="856" t="s">
        <v>40</v>
      </c>
      <c r="C30" s="1465"/>
      <c r="D30" s="1456"/>
      <c r="E30" s="1486"/>
      <c r="F30" s="1398"/>
      <c r="G30" s="1487"/>
      <c r="H30" s="1456"/>
      <c r="I30" s="1486"/>
      <c r="J30" s="1398"/>
      <c r="K30" s="1487"/>
      <c r="L30" s="1465"/>
      <c r="M30" s="1456"/>
      <c r="N30" s="1486"/>
      <c r="O30" s="1398"/>
      <c r="P30" s="1487"/>
      <c r="Q30" s="1450"/>
      <c r="R30" s="345"/>
      <c r="S30" s="345"/>
      <c r="T30" s="345"/>
      <c r="U30" s="355"/>
      <c r="V30" s="351"/>
      <c r="W30" s="345"/>
      <c r="X30" s="345"/>
      <c r="Y30" s="345"/>
      <c r="Z30" s="345"/>
      <c r="AA30" s="345"/>
      <c r="AB30" s="345"/>
    </row>
    <row r="31" spans="1:33" ht="24.95" customHeight="1">
      <c r="A31" s="636"/>
      <c r="B31" s="857" t="s">
        <v>35</v>
      </c>
      <c r="C31" s="868"/>
      <c r="D31" s="1453"/>
      <c r="E31" s="43"/>
      <c r="F31" s="43"/>
      <c r="G31" s="1484">
        <f>SUM(D31:F31)</f>
        <v>0</v>
      </c>
      <c r="H31" s="1453"/>
      <c r="I31" s="43"/>
      <c r="J31" s="43"/>
      <c r="K31" s="1484">
        <f>SUM(H31:J31)</f>
        <v>0</v>
      </c>
      <c r="L31" s="1756">
        <f>SUM(C31,K31)</f>
        <v>0</v>
      </c>
      <c r="M31" s="1490">
        <f>SUM(D31,H31)</f>
        <v>0</v>
      </c>
      <c r="N31" s="1491">
        <f t="shared" ref="N31:N33" si="12">SUM(E31,I31)</f>
        <v>0</v>
      </c>
      <c r="O31" s="1491">
        <f t="shared" ref="O31:O33" si="13">SUM(F31,J31)</f>
        <v>0</v>
      </c>
      <c r="P31" s="1484">
        <f>SUM(M31:O31)</f>
        <v>0</v>
      </c>
      <c r="Q31" s="1450"/>
      <c r="R31" s="345"/>
      <c r="S31" s="345"/>
      <c r="T31" s="345"/>
      <c r="U31" s="76" t="str">
        <f>IF(AD31=1,Intake_missing,IF(AE31=1,Only_intake_recorded,"OK"))</f>
        <v>OK</v>
      </c>
      <c r="V31" s="350" t="str">
        <f>IF(OR(AF31=1,AG31=1),Intake_inconsistent,"OK")</f>
        <v>OK</v>
      </c>
      <c r="W31" s="345"/>
      <c r="X31" s="345"/>
      <c r="Y31" s="345"/>
      <c r="Z31" s="345"/>
      <c r="AA31" s="345"/>
      <c r="AB31" s="345"/>
      <c r="AD31" s="1245">
        <f>IF(AND(C31=0,G31&gt;0),1,0)</f>
        <v>0</v>
      </c>
      <c r="AE31" s="1245">
        <f>IF(AND(C31&gt;0,G31=0),1,0)</f>
        <v>0</v>
      </c>
      <c r="AF31" s="1245">
        <f>IF(C31&gt;G31,1,0)</f>
        <v>0</v>
      </c>
      <c r="AG31" s="1245">
        <f>IF(AND(SUM(E31:F31)&gt;0,C31=G31),1,0)</f>
        <v>0</v>
      </c>
    </row>
    <row r="32" spans="1:33" ht="24.95" customHeight="1">
      <c r="A32" s="636"/>
      <c r="B32" s="857" t="s">
        <v>36</v>
      </c>
      <c r="C32" s="1797"/>
      <c r="D32" s="1453"/>
      <c r="E32" s="43"/>
      <c r="F32" s="43"/>
      <c r="G32" s="1484">
        <f>SUM(D32:F32)</f>
        <v>0</v>
      </c>
      <c r="H32" s="1453"/>
      <c r="I32" s="43"/>
      <c r="J32" s="43"/>
      <c r="K32" s="1484">
        <f>SUM(H32:J32)</f>
        <v>0</v>
      </c>
      <c r="L32" s="1757">
        <f t="shared" ref="L32:L33" si="14">SUM(C32,K32)</f>
        <v>0</v>
      </c>
      <c r="M32" s="1490">
        <f t="shared" ref="M32:M33" si="15">SUM(D32,H32)</f>
        <v>0</v>
      </c>
      <c r="N32" s="1491">
        <f t="shared" si="12"/>
        <v>0</v>
      </c>
      <c r="O32" s="1491">
        <f t="shared" si="13"/>
        <v>0</v>
      </c>
      <c r="P32" s="1484">
        <f>SUM(M32:O32)</f>
        <v>0</v>
      </c>
      <c r="Q32" s="1450"/>
      <c r="R32" s="345"/>
      <c r="S32" s="345"/>
      <c r="T32" s="345"/>
      <c r="U32" s="76" t="str">
        <f>IF(AD32=1,Intake_missing,IF(AE32=1,Only_intake_recorded,"OK"))</f>
        <v>OK</v>
      </c>
      <c r="V32" s="350" t="str">
        <f>IF(OR(AF32=1,AG32=1),Intake_inconsistent,"OK")</f>
        <v>OK</v>
      </c>
      <c r="W32" s="345"/>
      <c r="X32" s="345"/>
      <c r="Y32" s="345"/>
      <c r="Z32" s="345"/>
      <c r="AA32" s="345"/>
      <c r="AB32" s="345"/>
    </row>
    <row r="33" spans="1:33" ht="24.95" customHeight="1">
      <c r="A33" s="636"/>
      <c r="B33" s="857" t="s">
        <v>37</v>
      </c>
      <c r="C33" s="1461"/>
      <c r="D33" s="1454"/>
      <c r="E33" s="1397"/>
      <c r="F33" s="1397"/>
      <c r="G33" s="1485">
        <f>SUM(D33:F33)</f>
        <v>0</v>
      </c>
      <c r="H33" s="1454"/>
      <c r="I33" s="1397"/>
      <c r="J33" s="1397"/>
      <c r="K33" s="1485">
        <f>SUM(H33:J33)</f>
        <v>0</v>
      </c>
      <c r="L33" s="1758">
        <f t="shared" si="14"/>
        <v>0</v>
      </c>
      <c r="M33" s="1492">
        <f t="shared" si="15"/>
        <v>0</v>
      </c>
      <c r="N33" s="1493">
        <f t="shared" si="12"/>
        <v>0</v>
      </c>
      <c r="O33" s="1493">
        <f t="shared" si="13"/>
        <v>0</v>
      </c>
      <c r="P33" s="1485">
        <f>SUM(M33:O33)</f>
        <v>0</v>
      </c>
      <c r="Q33" s="1450"/>
      <c r="R33" s="345"/>
      <c r="S33" s="345"/>
      <c r="T33" s="345"/>
      <c r="U33" s="76" t="str">
        <f>IF(AD33=1,Intake_missing,IF(AE33=1,Only_intake_recorded,"OK"))</f>
        <v>OK</v>
      </c>
      <c r="V33" s="350" t="str">
        <f>IF(OR(AF33=1,AG33=1),Intake_inconsistent,"OK")</f>
        <v>OK</v>
      </c>
      <c r="W33" s="345"/>
      <c r="X33" s="345"/>
      <c r="Y33" s="345"/>
      <c r="Z33" s="345"/>
      <c r="AA33" s="345"/>
      <c r="AB33" s="345"/>
      <c r="AD33" s="1245">
        <f>IF(AND(C33=0,G33&gt;0),1,0)</f>
        <v>0</v>
      </c>
      <c r="AE33" s="1245">
        <f>IF(AND(C33&gt;0,G33=0),1,0)</f>
        <v>0</v>
      </c>
      <c r="AF33" s="1245">
        <f>IF(C33&gt;G33,1,0)</f>
        <v>0</v>
      </c>
      <c r="AG33" s="1245">
        <f>IF(AND(SUM(E33:F33)&gt;0,C33=G33),1,0)</f>
        <v>0</v>
      </c>
    </row>
    <row r="34" spans="1:33" ht="24.95" customHeight="1">
      <c r="A34" s="636"/>
      <c r="B34" s="858" t="s">
        <v>2</v>
      </c>
      <c r="C34" s="1462">
        <f>SUM(C31:C33)</f>
        <v>0</v>
      </c>
      <c r="D34" s="1455">
        <f>SUM(D31:D33)</f>
        <v>0</v>
      </c>
      <c r="E34" s="171">
        <f>SUM(E31:E33)</f>
        <v>0</v>
      </c>
      <c r="F34" s="171">
        <f>SUM(F31:F33)</f>
        <v>0</v>
      </c>
      <c r="G34" s="1484">
        <f>SUM(D34:F34)</f>
        <v>0</v>
      </c>
      <c r="H34" s="1455">
        <f>SUM(H31:H33)</f>
        <v>0</v>
      </c>
      <c r="I34" s="171">
        <f>SUM(I31:I33)</f>
        <v>0</v>
      </c>
      <c r="J34" s="171">
        <f>SUM(J31:J33)</f>
        <v>0</v>
      </c>
      <c r="K34" s="1484">
        <f>SUM(H34:J34)</f>
        <v>0</v>
      </c>
      <c r="L34" s="1462">
        <f>SUM(L31:L33)</f>
        <v>0</v>
      </c>
      <c r="M34" s="1455">
        <f>SUM(M31:M33)</f>
        <v>0</v>
      </c>
      <c r="N34" s="171">
        <f>SUM(N31:N33)</f>
        <v>0</v>
      </c>
      <c r="O34" s="171">
        <f>SUM(O31:O33)</f>
        <v>0</v>
      </c>
      <c r="P34" s="1484">
        <f>SUM(M34:O34)</f>
        <v>0</v>
      </c>
      <c r="Q34" s="1450"/>
      <c r="R34" s="345"/>
      <c r="S34" s="345"/>
      <c r="T34" s="345"/>
      <c r="U34" s="352"/>
      <c r="V34" s="353"/>
      <c r="W34" s="345"/>
      <c r="X34" s="345"/>
      <c r="Y34" s="345"/>
      <c r="Z34" s="345"/>
      <c r="AA34" s="345"/>
      <c r="AB34" s="345"/>
      <c r="AD34" s="1245"/>
      <c r="AE34" s="1245"/>
      <c r="AF34" s="1245"/>
      <c r="AG34" s="1245"/>
    </row>
    <row r="35" spans="1:33" ht="30" customHeight="1">
      <c r="A35" s="636"/>
      <c r="B35" s="856" t="s">
        <v>41</v>
      </c>
      <c r="C35" s="1465"/>
      <c r="D35" s="1456"/>
      <c r="E35" s="1486"/>
      <c r="F35" s="1398"/>
      <c r="G35" s="1487"/>
      <c r="H35" s="1456"/>
      <c r="I35" s="1486"/>
      <c r="J35" s="1398"/>
      <c r="K35" s="1487"/>
      <c r="L35" s="1465"/>
      <c r="M35" s="1456"/>
      <c r="N35" s="1486"/>
      <c r="O35" s="1398"/>
      <c r="P35" s="1487"/>
      <c r="Q35" s="1450"/>
      <c r="R35" s="345"/>
      <c r="S35" s="345"/>
      <c r="T35" s="345"/>
      <c r="U35" s="356"/>
      <c r="V35" s="357"/>
      <c r="W35" s="345"/>
      <c r="X35" s="1782"/>
      <c r="Y35" s="1782"/>
      <c r="Z35" s="1782"/>
      <c r="AA35" s="1782"/>
      <c r="AB35" s="1782"/>
    </row>
    <row r="36" spans="1:33" ht="24.95" customHeight="1">
      <c r="A36" s="636"/>
      <c r="B36" s="857" t="s">
        <v>35</v>
      </c>
      <c r="C36" s="868"/>
      <c r="D36" s="1453"/>
      <c r="E36" s="43"/>
      <c r="F36" s="43"/>
      <c r="G36" s="1484">
        <f>SUM(D36:F36)</f>
        <v>0</v>
      </c>
      <c r="H36" s="1453"/>
      <c r="I36" s="43"/>
      <c r="J36" s="43"/>
      <c r="K36" s="1484">
        <f>SUM(H36:J36)</f>
        <v>0</v>
      </c>
      <c r="L36" s="1756">
        <f>SUM(C36,K36)</f>
        <v>0</v>
      </c>
      <c r="M36" s="1490">
        <f>SUM(D36,H36)</f>
        <v>0</v>
      </c>
      <c r="N36" s="1491">
        <f t="shared" ref="N36:N37" si="16">SUM(E36,I36)</f>
        <v>0</v>
      </c>
      <c r="O36" s="1491">
        <f t="shared" ref="O36:O37" si="17">SUM(F36,J36)</f>
        <v>0</v>
      </c>
      <c r="P36" s="1484">
        <f>SUM(M36:O36)</f>
        <v>0</v>
      </c>
      <c r="Q36" s="1450"/>
      <c r="R36" s="345"/>
      <c r="S36" s="345"/>
      <c r="T36" s="345"/>
      <c r="U36" s="76" t="str">
        <f>IF(AD36=1,Intake_missing,IF(AE36=1,Only_intake_recorded,"OK"))</f>
        <v>OK</v>
      </c>
      <c r="V36" s="350" t="str">
        <f>IF(OR(AF36=1,AG36=1),Intake_inconsistent,"OK")</f>
        <v>OK</v>
      </c>
      <c r="W36" s="345"/>
      <c r="X36" s="1782"/>
      <c r="Y36" s="1782"/>
      <c r="Z36" s="1782"/>
      <c r="AA36" s="1782"/>
      <c r="AB36" s="1782"/>
      <c r="AD36" s="1245">
        <f>IF(AND(C36=0,G36&gt;0),1,0)</f>
        <v>0</v>
      </c>
      <c r="AE36" s="1245">
        <f>IF(AND(C36&gt;0,G36=0),1,0)</f>
        <v>0</v>
      </c>
      <c r="AF36" s="1245">
        <f>IF(C36&gt;G36,1,0)</f>
        <v>0</v>
      </c>
      <c r="AG36" s="1245">
        <f>IF(AND(SUM(E36:F36)&gt;0,C36=G36),1,0)</f>
        <v>0</v>
      </c>
    </row>
    <row r="37" spans="1:33" ht="24.95" customHeight="1">
      <c r="A37" s="636"/>
      <c r="B37" s="857" t="s">
        <v>36</v>
      </c>
      <c r="C37" s="1797"/>
      <c r="D37" s="1453"/>
      <c r="E37" s="43"/>
      <c r="F37" s="43"/>
      <c r="G37" s="1484">
        <f>SUM(D37:F37)</f>
        <v>0</v>
      </c>
      <c r="H37" s="1453"/>
      <c r="I37" s="43"/>
      <c r="J37" s="43"/>
      <c r="K37" s="1484">
        <f>SUM(H37:J37)</f>
        <v>0</v>
      </c>
      <c r="L37" s="1757">
        <f t="shared" ref="L37" si="18">SUM(C37,K37)</f>
        <v>0</v>
      </c>
      <c r="M37" s="1490">
        <f t="shared" ref="M37" si="19">SUM(D37,H37)</f>
        <v>0</v>
      </c>
      <c r="N37" s="1491">
        <f t="shared" si="16"/>
        <v>0</v>
      </c>
      <c r="O37" s="1491">
        <f t="shared" si="17"/>
        <v>0</v>
      </c>
      <c r="P37" s="1484">
        <f>SUM(M37:O37)</f>
        <v>0</v>
      </c>
      <c r="Q37" s="1488"/>
      <c r="R37" s="345"/>
      <c r="S37" s="345"/>
      <c r="T37" s="1471"/>
      <c r="U37" s="76" t="str">
        <f>IF(AD37=1,Intake_missing,IF(AE37=1,Only_intake_recorded,"OK"))</f>
        <v>OK</v>
      </c>
      <c r="V37" s="350" t="str">
        <f>IF(OR(AF37=1,AG37=1),Intake_inconsistent,"OK")</f>
        <v>OK</v>
      </c>
      <c r="W37" s="345"/>
      <c r="X37" s="1782"/>
      <c r="Y37" s="1782"/>
      <c r="Z37" s="494"/>
      <c r="AA37" s="494"/>
      <c r="AB37" s="494"/>
      <c r="AD37" s="1261"/>
      <c r="AE37" s="1262"/>
    </row>
    <row r="38" spans="1:33" ht="24.95" customHeight="1">
      <c r="A38" s="636"/>
      <c r="B38" s="858" t="s">
        <v>2</v>
      </c>
      <c r="C38" s="1462">
        <f>SUM(C36:C37)</f>
        <v>0</v>
      </c>
      <c r="D38" s="1455">
        <f>SUM(D36:D37)</f>
        <v>0</v>
      </c>
      <c r="E38" s="171">
        <f>SUM(E36:E37)</f>
        <v>0</v>
      </c>
      <c r="F38" s="171">
        <f>SUM(F36:F37)</f>
        <v>0</v>
      </c>
      <c r="G38" s="1484">
        <f>SUM(D38:F38)</f>
        <v>0</v>
      </c>
      <c r="H38" s="1455">
        <f>SUM(H36:H37)</f>
        <v>0</v>
      </c>
      <c r="I38" s="171">
        <f>SUM(I36:I37)</f>
        <v>0</v>
      </c>
      <c r="J38" s="171">
        <f>SUM(J36:J37)</f>
        <v>0</v>
      </c>
      <c r="K38" s="1484">
        <f>SUM(H38:J38)</f>
        <v>0</v>
      </c>
      <c r="L38" s="1462">
        <f>SUM(L36:L37)</f>
        <v>0</v>
      </c>
      <c r="M38" s="1455">
        <f>SUM(M36:M37)</f>
        <v>0</v>
      </c>
      <c r="N38" s="171">
        <f>SUM(N36:N37)</f>
        <v>0</v>
      </c>
      <c r="O38" s="171">
        <f>SUM(O36:O37)</f>
        <v>0</v>
      </c>
      <c r="P38" s="1484">
        <f>SUM(M38:O38)</f>
        <v>0</v>
      </c>
      <c r="Q38" s="1450"/>
      <c r="R38" s="345"/>
      <c r="S38" s="345"/>
      <c r="T38" s="345"/>
      <c r="U38" s="346"/>
      <c r="V38" s="358"/>
      <c r="W38" s="345"/>
      <c r="X38" s="1782"/>
      <c r="Y38" s="1782"/>
      <c r="Z38" s="494"/>
      <c r="AA38" s="494"/>
      <c r="AB38" s="494"/>
      <c r="AD38" s="1261"/>
      <c r="AE38" s="1262"/>
    </row>
    <row r="39" spans="1:33" ht="35.1" customHeight="1" thickBot="1">
      <c r="A39" s="636"/>
      <c r="B39" s="859" t="s">
        <v>203</v>
      </c>
      <c r="C39" s="1466">
        <f>SUM(C19,C24,C29,C34,C38)</f>
        <v>0</v>
      </c>
      <c r="D39" s="864">
        <f>SUM(D19,D24,D29,D34,D38)</f>
        <v>0</v>
      </c>
      <c r="E39" s="174">
        <f>SUM(E19,E24,E29,E34,E38)</f>
        <v>0</v>
      </c>
      <c r="F39" s="174">
        <f>SUM(F19,F24,F29,F34,F38)</f>
        <v>0</v>
      </c>
      <c r="G39" s="331">
        <f>SUM(D39:F39)</f>
        <v>0</v>
      </c>
      <c r="H39" s="864">
        <f>SUM(H19,H24,H29,H34,H38)</f>
        <v>0</v>
      </c>
      <c r="I39" s="174">
        <f>SUM(I19,I24,I29,I34,I38)</f>
        <v>0</v>
      </c>
      <c r="J39" s="174">
        <f>SUM(J19,J24,J29,J34,J38)</f>
        <v>0</v>
      </c>
      <c r="K39" s="331">
        <f>SUM(H39:J39)</f>
        <v>0</v>
      </c>
      <c r="L39" s="1466">
        <f>SUM(L19,L24,L29,L34,L38)</f>
        <v>0</v>
      </c>
      <c r="M39" s="864">
        <f>SUM(M19,M24,M29,M34,M38)</f>
        <v>0</v>
      </c>
      <c r="N39" s="174">
        <f>SUM(N19,N24,N29,N34,N38)</f>
        <v>0</v>
      </c>
      <c r="O39" s="174">
        <f>SUM(O19,O24,O29,O34,O38)</f>
        <v>0</v>
      </c>
      <c r="P39" s="331">
        <f>SUM(M39:O39)</f>
        <v>0</v>
      </c>
      <c r="Q39" s="1489"/>
      <c r="R39" s="453"/>
      <c r="S39" s="453"/>
      <c r="T39" s="453"/>
      <c r="U39" s="359"/>
      <c r="V39" s="360"/>
      <c r="W39" s="453"/>
      <c r="X39" s="1782"/>
      <c r="Y39" s="493"/>
      <c r="Z39" s="493"/>
      <c r="AA39" s="493"/>
      <c r="AB39" s="1782"/>
      <c r="AD39" s="1255"/>
      <c r="AE39" s="1262"/>
    </row>
    <row r="40" spans="1:33" ht="35.1" customHeight="1">
      <c r="A40" s="636"/>
      <c r="B40" s="860" t="s">
        <v>9</v>
      </c>
      <c r="C40" s="1467"/>
      <c r="D40" s="865"/>
      <c r="E40" s="336"/>
      <c r="F40" s="336"/>
      <c r="G40" s="335"/>
      <c r="H40" s="865"/>
      <c r="I40" s="336"/>
      <c r="J40" s="336"/>
      <c r="K40" s="335"/>
      <c r="L40" s="1467"/>
      <c r="M40" s="865"/>
      <c r="N40" s="336"/>
      <c r="O40" s="336"/>
      <c r="P40" s="335"/>
      <c r="Q40" s="1480"/>
      <c r="R40" s="163"/>
      <c r="S40" s="163"/>
      <c r="T40" s="163"/>
      <c r="U40" s="348"/>
      <c r="V40" s="361"/>
      <c r="W40" s="163"/>
      <c r="X40" s="1782"/>
      <c r="Y40" s="1782"/>
      <c r="Z40" s="1782"/>
      <c r="AA40" s="1782"/>
      <c r="AB40" s="1782"/>
    </row>
    <row r="41" spans="1:33" ht="24.95" customHeight="1">
      <c r="A41" s="636"/>
      <c r="B41" s="861" t="s">
        <v>34</v>
      </c>
      <c r="C41" s="868"/>
      <c r="D41" s="1308"/>
      <c r="E41" s="43"/>
      <c r="F41" s="43"/>
      <c r="G41" s="168">
        <f t="shared" ref="G41:G45" si="20">SUM(D41:F41)</f>
        <v>0</v>
      </c>
      <c r="H41" s="1308"/>
      <c r="I41" s="43"/>
      <c r="J41" s="43"/>
      <c r="K41" s="168">
        <f t="shared" ref="K41:K45" si="21">SUM(H41:J41)</f>
        <v>0</v>
      </c>
      <c r="L41" s="1756">
        <f t="shared" ref="L41:L45" si="22">SUM(C41,K41)</f>
        <v>0</v>
      </c>
      <c r="M41" s="1490">
        <f t="shared" ref="M41:M45" si="23">SUM(D41,H41)</f>
        <v>0</v>
      </c>
      <c r="N41" s="1491">
        <f t="shared" ref="N41:N45" si="24">SUM(E41,I41)</f>
        <v>0</v>
      </c>
      <c r="O41" s="1491">
        <f t="shared" ref="O41:O45" si="25">SUM(F41,J41)</f>
        <v>0</v>
      </c>
      <c r="P41" s="168">
        <f t="shared" ref="P41:P45" si="26">SUM(M41:O41)</f>
        <v>0</v>
      </c>
      <c r="Q41" s="1451"/>
      <c r="R41" s="333"/>
      <c r="S41" s="333"/>
      <c r="T41" s="333"/>
      <c r="U41" s="76" t="str">
        <f>IF(AD41=1,Intake_missing,IF(AE41=1,Only_intake_recorded,"OK"))</f>
        <v>OK</v>
      </c>
      <c r="V41" s="350" t="str">
        <f>IF(OR(AF41=1,AG41=1),Intake_inconsistent,"OK")</f>
        <v>OK</v>
      </c>
      <c r="W41" s="333"/>
      <c r="X41" s="493"/>
      <c r="Y41" s="493"/>
      <c r="Z41" s="493"/>
      <c r="AA41" s="493"/>
      <c r="AB41" s="493"/>
      <c r="AD41" s="1245">
        <f>IF(AND(C41=0,G41&gt;0),1,0)</f>
        <v>0</v>
      </c>
      <c r="AE41" s="1245">
        <f>IF(AND(C41&gt;0,G41=0),1,0)</f>
        <v>0</v>
      </c>
      <c r="AF41" s="1245">
        <f>IF(C41&gt;G41,1,0)</f>
        <v>0</v>
      </c>
      <c r="AG41" s="1245">
        <f>IF(AND(SUM(E41:F41)&gt;0,C41=G41),1,0)</f>
        <v>0</v>
      </c>
    </row>
    <row r="42" spans="1:33" ht="24.95" customHeight="1">
      <c r="A42" s="636"/>
      <c r="B42" s="861" t="s">
        <v>38</v>
      </c>
      <c r="C42" s="868"/>
      <c r="D42" s="1308"/>
      <c r="E42" s="43"/>
      <c r="F42" s="43"/>
      <c r="G42" s="168">
        <f t="shared" si="20"/>
        <v>0</v>
      </c>
      <c r="H42" s="1308"/>
      <c r="I42" s="43"/>
      <c r="J42" s="43"/>
      <c r="K42" s="168">
        <f t="shared" si="21"/>
        <v>0</v>
      </c>
      <c r="L42" s="1756">
        <f t="shared" si="22"/>
        <v>0</v>
      </c>
      <c r="M42" s="1490">
        <f t="shared" si="23"/>
        <v>0</v>
      </c>
      <c r="N42" s="1491">
        <f t="shared" si="24"/>
        <v>0</v>
      </c>
      <c r="O42" s="1491">
        <f t="shared" si="25"/>
        <v>0</v>
      </c>
      <c r="P42" s="168">
        <f t="shared" si="26"/>
        <v>0</v>
      </c>
      <c r="Q42" s="1451"/>
      <c r="R42" s="333"/>
      <c r="S42" s="333"/>
      <c r="T42" s="333"/>
      <c r="U42" s="76" t="str">
        <f>IF(AD42=1,Intake_missing,IF(AE42=1,Only_intake_recorded,"OK"))</f>
        <v>OK</v>
      </c>
      <c r="V42" s="350" t="str">
        <f>IF(OR(AF42=1,AG42=1),Intake_inconsistent,"OK")</f>
        <v>OK</v>
      </c>
      <c r="W42" s="333"/>
      <c r="X42" s="493"/>
      <c r="Y42" s="1782"/>
      <c r="Z42" s="493"/>
      <c r="AA42" s="493"/>
      <c r="AB42" s="493"/>
      <c r="AD42" s="1245">
        <f>IF(AND(C42=0,G42&gt;0),1,0)</f>
        <v>0</v>
      </c>
      <c r="AE42" s="1245">
        <f>IF(AND(C42&gt;0,G42=0),1,0)</f>
        <v>0</v>
      </c>
      <c r="AF42" s="1245">
        <f>IF(C42&gt;G42,1,0)</f>
        <v>0</v>
      </c>
      <c r="AG42" s="1245">
        <f>IF(AND(SUM(E42:F42)&gt;0,C42=G42),1,0)</f>
        <v>0</v>
      </c>
    </row>
    <row r="43" spans="1:33" ht="24.95" customHeight="1">
      <c r="A43" s="636"/>
      <c r="B43" s="861" t="s">
        <v>39</v>
      </c>
      <c r="C43" s="868"/>
      <c r="D43" s="1308"/>
      <c r="E43" s="43"/>
      <c r="F43" s="43"/>
      <c r="G43" s="168">
        <f t="shared" si="20"/>
        <v>0</v>
      </c>
      <c r="H43" s="1308"/>
      <c r="I43" s="43"/>
      <c r="J43" s="43"/>
      <c r="K43" s="168">
        <f t="shared" si="21"/>
        <v>0</v>
      </c>
      <c r="L43" s="1756">
        <f t="shared" si="22"/>
        <v>0</v>
      </c>
      <c r="M43" s="1490">
        <f t="shared" si="23"/>
        <v>0</v>
      </c>
      <c r="N43" s="1491">
        <f t="shared" si="24"/>
        <v>0</v>
      </c>
      <c r="O43" s="1491">
        <f t="shared" si="25"/>
        <v>0</v>
      </c>
      <c r="P43" s="168">
        <f t="shared" si="26"/>
        <v>0</v>
      </c>
      <c r="Q43" s="1451"/>
      <c r="R43" s="333"/>
      <c r="S43" s="333"/>
      <c r="T43" s="333"/>
      <c r="U43" s="76" t="str">
        <f>IF(AD43=1,Intake_missing,IF(AE43=1,Only_intake_recorded,"OK"))</f>
        <v>OK</v>
      </c>
      <c r="V43" s="350" t="str">
        <f>IF(OR(AF43=1,AG43=1),Intake_inconsistent,"OK")</f>
        <v>OK</v>
      </c>
      <c r="W43" s="333"/>
      <c r="X43" s="493"/>
      <c r="Y43" s="493"/>
      <c r="Z43" s="493"/>
      <c r="AA43" s="493"/>
      <c r="AB43" s="493"/>
      <c r="AD43" s="1245">
        <f>IF(AND(C43=0,G43&gt;0),1,0)</f>
        <v>0</v>
      </c>
      <c r="AE43" s="1245">
        <f>IF(AND(C43&gt;0,G43=0),1,0)</f>
        <v>0</v>
      </c>
      <c r="AF43" s="1245">
        <f>IF(C43&gt;G43,1,0)</f>
        <v>0</v>
      </c>
      <c r="AG43" s="1245">
        <f>IF(AND(SUM(E43:F43)&gt;0,C43=G43),1,0)</f>
        <v>0</v>
      </c>
    </row>
    <row r="44" spans="1:33" ht="24.95" customHeight="1">
      <c r="A44" s="636"/>
      <c r="B44" s="861" t="s">
        <v>40</v>
      </c>
      <c r="C44" s="868"/>
      <c r="D44" s="1308"/>
      <c r="E44" s="43"/>
      <c r="F44" s="43"/>
      <c r="G44" s="168">
        <f t="shared" si="20"/>
        <v>0</v>
      </c>
      <c r="H44" s="1308"/>
      <c r="I44" s="43"/>
      <c r="J44" s="43"/>
      <c r="K44" s="168">
        <f t="shared" si="21"/>
        <v>0</v>
      </c>
      <c r="L44" s="1756">
        <f t="shared" si="22"/>
        <v>0</v>
      </c>
      <c r="M44" s="1490">
        <f t="shared" si="23"/>
        <v>0</v>
      </c>
      <c r="N44" s="1491">
        <f t="shared" si="24"/>
        <v>0</v>
      </c>
      <c r="O44" s="1491">
        <f t="shared" si="25"/>
        <v>0</v>
      </c>
      <c r="P44" s="168">
        <f t="shared" si="26"/>
        <v>0</v>
      </c>
      <c r="Q44" s="343"/>
      <c r="R44" s="333"/>
      <c r="S44" s="333"/>
      <c r="T44" s="1472"/>
      <c r="U44" s="76" t="str">
        <f>IF(AD44=1,Intake_missing,IF(AE44=1,Only_intake_recorded,"OK"))</f>
        <v>OK</v>
      </c>
      <c r="V44" s="350" t="str">
        <f>IF(OR(AF44=1,AG44=1),Intake_inconsistent,"OK")</f>
        <v>OK</v>
      </c>
      <c r="W44" s="333"/>
      <c r="X44" s="493"/>
      <c r="Y44" s="1782"/>
      <c r="Z44" s="494"/>
      <c r="AA44" s="494"/>
      <c r="AB44" s="493"/>
      <c r="AD44" s="1245">
        <f>IF(AND(C44=0,G44&gt;0),1,0)</f>
        <v>0</v>
      </c>
      <c r="AE44" s="1245">
        <f>IF(AND(C44&gt;0,G44=0),1,0)</f>
        <v>0</v>
      </c>
      <c r="AF44" s="1245">
        <f>IF(C44&gt;G44,1,0)</f>
        <v>0</v>
      </c>
      <c r="AG44" s="1245">
        <f>IF(AND(SUM(E44:F44)&gt;0,C44=G44),1,0)</f>
        <v>0</v>
      </c>
    </row>
    <row r="45" spans="1:33" ht="24.95" customHeight="1" thickBot="1">
      <c r="A45" s="636"/>
      <c r="B45" s="861" t="s">
        <v>41</v>
      </c>
      <c r="C45" s="868"/>
      <c r="D45" s="1308"/>
      <c r="E45" s="43"/>
      <c r="F45" s="43"/>
      <c r="G45" s="168">
        <f t="shared" si="20"/>
        <v>0</v>
      </c>
      <c r="H45" s="1308"/>
      <c r="I45" s="43"/>
      <c r="J45" s="43"/>
      <c r="K45" s="168">
        <f t="shared" si="21"/>
        <v>0</v>
      </c>
      <c r="L45" s="1756">
        <f t="shared" si="22"/>
        <v>0</v>
      </c>
      <c r="M45" s="1490">
        <f t="shared" si="23"/>
        <v>0</v>
      </c>
      <c r="N45" s="1491">
        <f t="shared" si="24"/>
        <v>0</v>
      </c>
      <c r="O45" s="1491">
        <f t="shared" si="25"/>
        <v>0</v>
      </c>
      <c r="P45" s="168">
        <f t="shared" si="26"/>
        <v>0</v>
      </c>
      <c r="Q45" s="667"/>
      <c r="R45" s="334"/>
      <c r="S45" s="334"/>
      <c r="T45" s="334"/>
      <c r="U45" s="87" t="str">
        <f>IF(AD45=1,Intake_missing,IF(AE45=1,Only_intake_recorded,"OK"))</f>
        <v>OK</v>
      </c>
      <c r="V45" s="362" t="str">
        <f>IF(OR(AF45=1,AG45=1),Intake_inconsistent,"OK")</f>
        <v>OK</v>
      </c>
      <c r="W45" s="334"/>
      <c r="X45" s="493"/>
      <c r="Y45" s="1782"/>
      <c r="Z45" s="494"/>
      <c r="AA45" s="494"/>
      <c r="AB45" s="493"/>
      <c r="AD45" s="1245">
        <f>IF(AND(C45=0,G45&gt;0),1,0)</f>
        <v>0</v>
      </c>
      <c r="AE45" s="1245">
        <f>IF(AND(C45&gt;0,G45=0),1,0)</f>
        <v>0</v>
      </c>
      <c r="AF45" s="1245">
        <f>IF(C45&gt;G45,1,0)</f>
        <v>0</v>
      </c>
      <c r="AG45" s="1245">
        <f>IF(AND(SUM(E45:F45)&gt;0,C45=G45),1,0)</f>
        <v>0</v>
      </c>
    </row>
    <row r="46" spans="1:33" ht="35.1" customHeight="1" thickBot="1">
      <c r="A46" s="636"/>
      <c r="B46" s="862" t="s">
        <v>2</v>
      </c>
      <c r="C46" s="1468">
        <f>SUM(C41:C45)</f>
        <v>0</v>
      </c>
      <c r="D46" s="866">
        <f>SUM(D41:D45)</f>
        <v>0</v>
      </c>
      <c r="E46" s="337">
        <f>SUM(E41:E45)</f>
        <v>0</v>
      </c>
      <c r="F46" s="337">
        <f>SUM(F41:F45)</f>
        <v>0</v>
      </c>
      <c r="G46" s="340">
        <f>SUM(D46:F46)</f>
        <v>0</v>
      </c>
      <c r="H46" s="866">
        <f>SUM(H41:H45)</f>
        <v>0</v>
      </c>
      <c r="I46" s="337">
        <f>SUM(I41:I45)</f>
        <v>0</v>
      </c>
      <c r="J46" s="337">
        <f>SUM(J41:J45)</f>
        <v>0</v>
      </c>
      <c r="K46" s="340">
        <f>SUM(H46:J46)</f>
        <v>0</v>
      </c>
      <c r="L46" s="1468">
        <f>SUM(L41:L45)</f>
        <v>0</v>
      </c>
      <c r="M46" s="866">
        <f>SUM(M41:M45)</f>
        <v>0</v>
      </c>
      <c r="N46" s="337">
        <f>SUM(N41:N45)</f>
        <v>0</v>
      </c>
      <c r="O46" s="337">
        <f>SUM(O41:O45)</f>
        <v>0</v>
      </c>
      <c r="P46" s="340">
        <f>SUM(M46:O46)</f>
        <v>0</v>
      </c>
      <c r="Q46" s="667"/>
      <c r="R46" s="334"/>
      <c r="S46" s="334"/>
      <c r="T46" s="334"/>
      <c r="U46" s="338"/>
      <c r="V46" s="338"/>
      <c r="W46" s="334"/>
      <c r="X46" s="493"/>
      <c r="Y46" s="1782"/>
      <c r="Z46" s="1782"/>
      <c r="AA46" s="1782"/>
      <c r="AB46" s="493"/>
      <c r="AD46" s="1248"/>
      <c r="AE46" s="1248"/>
      <c r="AF46" s="1248"/>
      <c r="AG46" s="1248"/>
    </row>
    <row r="47" spans="1:33" ht="35.1" customHeight="1" thickBot="1">
      <c r="A47" s="636"/>
      <c r="B47" s="863" t="s">
        <v>2</v>
      </c>
      <c r="C47" s="1469">
        <f>SUM(C39,C46)</f>
        <v>0</v>
      </c>
      <c r="D47" s="867">
        <f>SUM(D39,D46)</f>
        <v>0</v>
      </c>
      <c r="E47" s="341">
        <f t="shared" ref="E47:F47" si="27">SUM(E39,E46)</f>
        <v>0</v>
      </c>
      <c r="F47" s="341">
        <f t="shared" si="27"/>
        <v>0</v>
      </c>
      <c r="G47" s="342">
        <f>SUM(D47:F47)</f>
        <v>0</v>
      </c>
      <c r="H47" s="867">
        <f>SUM(H39,H46)</f>
        <v>0</v>
      </c>
      <c r="I47" s="341">
        <f t="shared" ref="I47:J47" si="28">SUM(I39,I46)</f>
        <v>0</v>
      </c>
      <c r="J47" s="341">
        <f t="shared" si="28"/>
        <v>0</v>
      </c>
      <c r="K47" s="342">
        <f>SUM(H47:J47)</f>
        <v>0</v>
      </c>
      <c r="L47" s="1469">
        <f>SUM(L39,L46)</f>
        <v>0</v>
      </c>
      <c r="M47" s="867">
        <f>SUM(M39,M46)</f>
        <v>0</v>
      </c>
      <c r="N47" s="341">
        <f t="shared" ref="N47:O47" si="29">SUM(N39,N46)</f>
        <v>0</v>
      </c>
      <c r="O47" s="341">
        <f t="shared" si="29"/>
        <v>0</v>
      </c>
      <c r="P47" s="342">
        <f>SUM(M47:O47)</f>
        <v>0</v>
      </c>
      <c r="Q47" s="667"/>
      <c r="R47" s="334"/>
      <c r="S47" s="334"/>
      <c r="T47" s="334"/>
      <c r="U47" s="338"/>
      <c r="V47" s="338"/>
      <c r="W47" s="334"/>
      <c r="X47" s="493"/>
      <c r="Y47" s="493"/>
      <c r="Z47" s="493"/>
      <c r="AA47" s="493"/>
      <c r="AB47" s="493"/>
    </row>
    <row r="48" spans="1:33">
      <c r="A48" s="649"/>
      <c r="B48" s="646"/>
      <c r="C48" s="646"/>
      <c r="D48" s="646"/>
      <c r="E48" s="646"/>
      <c r="F48" s="646"/>
      <c r="G48" s="646"/>
      <c r="H48" s="646"/>
      <c r="I48" s="646"/>
      <c r="J48" s="646"/>
      <c r="K48" s="646"/>
      <c r="L48" s="646"/>
      <c r="M48" s="646"/>
      <c r="N48" s="646"/>
      <c r="O48" s="646"/>
      <c r="P48" s="646"/>
      <c r="Q48" s="648"/>
      <c r="R48" s="338"/>
      <c r="S48" s="338"/>
      <c r="T48" s="338"/>
      <c r="U48" s="338"/>
      <c r="V48" s="338"/>
      <c r="W48" s="338"/>
      <c r="X48" s="338"/>
      <c r="Y48" s="338"/>
      <c r="Z48" s="338"/>
      <c r="AA48" s="338"/>
      <c r="AB48" s="338"/>
    </row>
  </sheetData>
  <sheetProtection password="E23E" sheet="1" objects="1" scenarios="1"/>
  <mergeCells count="16">
    <mergeCell ref="U11:V11"/>
    <mergeCell ref="U12:U13"/>
    <mergeCell ref="V12:V13"/>
    <mergeCell ref="Z11:Z12"/>
    <mergeCell ref="D9:G9"/>
    <mergeCell ref="C4:E4"/>
    <mergeCell ref="C8:G8"/>
    <mergeCell ref="L8:P8"/>
    <mergeCell ref="AG5:AG9"/>
    <mergeCell ref="AD5:AD9"/>
    <mergeCell ref="AE5:AE9"/>
    <mergeCell ref="AF5:AF9"/>
    <mergeCell ref="AD4:AG4"/>
    <mergeCell ref="H8:K8"/>
    <mergeCell ref="H9:K9"/>
    <mergeCell ref="M9:P9"/>
  </mergeCells>
  <conditionalFormatting sqref="B2">
    <cfRule type="expression" dxfId="36" priority="35" stopIfTrue="1">
      <formula>#REF!=0</formula>
    </cfRule>
  </conditionalFormatting>
  <conditionalFormatting sqref="D46:G46">
    <cfRule type="expression" dxfId="35" priority="33" stopIfTrue="1">
      <formula>#REF!=0</formula>
    </cfRule>
  </conditionalFormatting>
  <conditionalFormatting sqref="C46">
    <cfRule type="expression" dxfId="34" priority="34" stopIfTrue="1">
      <formula>#REF!=0</formula>
    </cfRule>
  </conditionalFormatting>
  <conditionalFormatting sqref="H46:K46">
    <cfRule type="expression" dxfId="33" priority="20" stopIfTrue="1">
      <formula>#REF!=0</formula>
    </cfRule>
  </conditionalFormatting>
  <conditionalFormatting sqref="M46:P46">
    <cfRule type="expression" dxfId="32" priority="15" stopIfTrue="1">
      <formula>#REF!=0</formula>
    </cfRule>
  </conditionalFormatting>
  <conditionalFormatting sqref="L46">
    <cfRule type="expression" dxfId="31" priority="16" stopIfTrue="1">
      <formula>#REF!=0</formula>
    </cfRule>
  </conditionalFormatting>
  <conditionalFormatting sqref="C41:F45 C36:F37 C31:F33 C26:F28 C21:F23 C16:F18 H41:J45 H36:J37 H31:J33 H26:J28 H21:J23 H16:J18 L16:O18">
    <cfRule type="expression" dxfId="30" priority="234" stopIfTrue="1">
      <formula>$F$4=0</formula>
    </cfRule>
  </conditionalFormatting>
  <conditionalFormatting sqref="A1:AB1">
    <cfRule type="expression" dxfId="29" priority="254" stopIfTrue="1">
      <formula>$F$4=0</formula>
    </cfRule>
  </conditionalFormatting>
  <conditionalFormatting sqref="L21:O23">
    <cfRule type="expression" dxfId="28" priority="5" stopIfTrue="1">
      <formula>$F$4=0</formula>
    </cfRule>
  </conditionalFormatting>
  <conditionalFormatting sqref="L26:O28">
    <cfRule type="expression" dxfId="27" priority="4" stopIfTrue="1">
      <formula>$F$4=0</formula>
    </cfRule>
  </conditionalFormatting>
  <conditionalFormatting sqref="L31:O33">
    <cfRule type="expression" dxfId="26" priority="3" stopIfTrue="1">
      <formula>$F$4=0</formula>
    </cfRule>
  </conditionalFormatting>
  <conditionalFormatting sqref="L36:O37">
    <cfRule type="expression" dxfId="25" priority="2" stopIfTrue="1">
      <formula>$F$4=0</formula>
    </cfRule>
  </conditionalFormatting>
  <conditionalFormatting sqref="L41:O45">
    <cfRule type="expression" dxfId="24" priority="1" stopIfTrue="1">
      <formula>$F$4=0</formula>
    </cfRule>
  </conditionalFormatting>
  <dataValidations count="4">
    <dataValidation type="custom" allowBlank="1" showErrorMessage="1" errorTitle="Number less than 0" error="You are trying to enter a number which is less than 0, please re-enter a valid number." sqref="C38:F38 C19:F19 C34:F34 C29:F29 C24:F24 H29:J29 H34:J34 H38:J38 H24:J24 H19:J19 L38:O38 L19:O19 L24:O24 L29:O29 C46:P46 L34:O34">
      <formula1>C19&gt;=0</formula1>
    </dataValidation>
    <dataValidation type="custom" errorStyle="warning" operator="greaterThanOrEqual" allowBlank="1" showInputMessage="1" showErrorMessage="1" error="Entry must be positive or zero, and no more than one decimal place" sqref="G36:G45 G26:G29 G16:G19 G21:G24 G31:G34 K36:K45 K26:K29 K16:K19 K21:K24 K31:K34 P36:P45 P26:P29 P16:P19 P21:P24 P31:P34">
      <formula1>AND(NOT(G16&lt;0),INT(G16*10)=G16*10)</formula1>
    </dataValidation>
    <dataValidation type="whole" operator="greaterThanOrEqual" allowBlank="1" showInputMessage="1" showErrorMessage="1" errorTitle="ERROR!" error="Invalid Entry" sqref="L36:O37 L26:O28 L41:O45 L31:O33 L21:O23 L16:O18">
      <formula1>0</formula1>
    </dataValidation>
    <dataValidation type="decimal" operator="greaterThanOrEqual" allowBlank="1" showInputMessage="1" showErrorMessage="1" errorTitle="ERROR!" error="Invalid Entry" sqref="C16:F18 H16:J18 C21:F23 H21:J23 C26:F28 H26:J28 C31:F33 H31:J33 C36:F37 H36:J37 C41:F45 H41:J45">
      <formula1>0</formula1>
    </dataValidation>
  </dataValidations>
  <pageMargins left="0.19685039370078741" right="0.19685039370078741" top="0.19685039370078741" bottom="0.19685039370078741" header="0" footer="0"/>
  <pageSetup paperSize="9" scale="4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="80" zoomScaleNormal="80" workbookViewId="0"/>
  </sheetViews>
  <sheetFormatPr defaultColWidth="9.140625" defaultRowHeight="15"/>
  <cols>
    <col min="1" max="1" width="2.7109375" style="1242" customWidth="1"/>
    <col min="2" max="2" width="24.7109375" style="1242" customWidth="1"/>
    <col min="3" max="5" width="16.7109375" style="1242" customWidth="1"/>
    <col min="6" max="7" width="4.7109375" style="1242" customWidth="1"/>
    <col min="8" max="8" width="33.28515625" style="1242" customWidth="1"/>
    <col min="9" max="13" width="14.7109375" style="1242" customWidth="1"/>
    <col min="14" max="16384" width="9.140625" style="1242"/>
  </cols>
  <sheetData>
    <row r="1" spans="1:14" ht="39.950000000000003" customHeight="1">
      <c r="A1" s="338"/>
      <c r="B1" s="366" t="str">
        <f>IF(F4=0,"Your Institution Does Not Complete This Table","")</f>
        <v/>
      </c>
      <c r="C1" s="7"/>
      <c r="D1" s="7"/>
      <c r="E1" s="7"/>
      <c r="F1" s="7"/>
      <c r="G1" s="338"/>
      <c r="H1" s="338"/>
      <c r="I1" s="338"/>
      <c r="J1" s="338"/>
      <c r="K1" s="338"/>
      <c r="L1" s="338"/>
      <c r="M1" s="338"/>
      <c r="N1" s="338"/>
    </row>
    <row r="2" spans="1:14" ht="30" customHeight="1">
      <c r="A2" s="688"/>
      <c r="B2" s="629" t="s">
        <v>336</v>
      </c>
      <c r="C2" s="9"/>
      <c r="D2" s="9"/>
      <c r="E2" s="1400"/>
      <c r="F2" s="1407"/>
      <c r="G2" s="338"/>
      <c r="H2" s="338"/>
      <c r="I2" s="338"/>
      <c r="J2" s="338"/>
      <c r="K2" s="338"/>
      <c r="L2" s="338"/>
      <c r="M2" s="338"/>
      <c r="N2" s="338"/>
    </row>
    <row r="3" spans="1:14" ht="15" customHeight="1" thickBot="1">
      <c r="A3" s="636"/>
      <c r="B3" s="130"/>
      <c r="C3" s="141"/>
      <c r="D3" s="141"/>
      <c r="E3" s="141"/>
      <c r="F3" s="1408"/>
      <c r="G3" s="338"/>
      <c r="H3" s="338"/>
      <c r="I3" s="338"/>
      <c r="J3" s="338"/>
      <c r="K3" s="338"/>
      <c r="L3" s="338"/>
      <c r="M3" s="338"/>
      <c r="N3" s="338"/>
    </row>
    <row r="4" spans="1:14" ht="35.1" customHeight="1" thickBot="1">
      <c r="A4" s="636"/>
      <c r="B4" s="712" t="s">
        <v>0</v>
      </c>
      <c r="C4" s="1877" t="str">
        <f>VLOOKUP('Background Data'!$C$2,Inst_Tables,2,FALSE)</f>
        <v>Glasgow, University of</v>
      </c>
      <c r="D4" s="1878"/>
      <c r="E4" s="1879"/>
      <c r="F4" s="1616">
        <f>VLOOKUP('Background Data'!$C$2,Inst_Tables,9,FALSE)</f>
        <v>1</v>
      </c>
      <c r="G4" s="338"/>
      <c r="H4" s="338"/>
      <c r="I4" s="338"/>
      <c r="J4" s="338"/>
      <c r="K4" s="338"/>
      <c r="L4" s="338"/>
      <c r="M4" s="338"/>
      <c r="N4" s="338"/>
    </row>
    <row r="5" spans="1:14" ht="35.1" customHeight="1">
      <c r="A5" s="636"/>
      <c r="B5" s="733" t="s">
        <v>315</v>
      </c>
      <c r="C5" s="144"/>
      <c r="D5" s="145"/>
      <c r="E5" s="145"/>
      <c r="F5" s="1409"/>
      <c r="G5" s="338"/>
      <c r="H5" s="338"/>
      <c r="I5" s="338"/>
      <c r="J5" s="338"/>
      <c r="K5" s="338"/>
      <c r="L5" s="338"/>
      <c r="M5" s="338"/>
      <c r="N5" s="338"/>
    </row>
    <row r="6" spans="1:14" ht="30" customHeight="1">
      <c r="A6" s="636"/>
      <c r="B6" s="703" t="s">
        <v>425</v>
      </c>
      <c r="C6" s="144"/>
      <c r="D6" s="145"/>
      <c r="E6" s="145"/>
      <c r="F6" s="1409"/>
      <c r="G6" s="338"/>
      <c r="H6" s="338"/>
      <c r="I6" s="338"/>
      <c r="J6" s="338"/>
      <c r="K6" s="338"/>
      <c r="L6" s="338"/>
      <c r="M6" s="338"/>
      <c r="N6" s="338"/>
    </row>
    <row r="7" spans="1:14" ht="15" customHeight="1" thickBot="1">
      <c r="A7" s="636"/>
      <c r="B7" s="703"/>
      <c r="C7" s="144"/>
      <c r="D7" s="145"/>
      <c r="E7" s="145"/>
      <c r="F7" s="1409"/>
      <c r="G7" s="338"/>
      <c r="H7" s="338"/>
      <c r="I7" s="338"/>
      <c r="J7" s="338"/>
      <c r="K7" s="338"/>
      <c r="L7" s="338"/>
      <c r="M7" s="338"/>
      <c r="N7" s="338"/>
    </row>
    <row r="8" spans="1:14" ht="50.1" customHeight="1" thickBot="1">
      <c r="A8" s="636"/>
      <c r="B8" s="714"/>
      <c r="C8" s="1414" t="s">
        <v>362</v>
      </c>
      <c r="D8" s="1419" t="s">
        <v>363</v>
      </c>
      <c r="E8" s="1415" t="s">
        <v>2</v>
      </c>
      <c r="F8" s="1410"/>
      <c r="G8" s="338"/>
      <c r="H8" s="338"/>
      <c r="I8" s="338"/>
      <c r="J8" s="338"/>
      <c r="K8" s="338"/>
      <c r="L8" s="338"/>
      <c r="M8" s="338"/>
      <c r="N8" s="338"/>
    </row>
    <row r="9" spans="1:14" ht="30" customHeight="1">
      <c r="A9" s="636"/>
      <c r="B9" s="1949" t="s">
        <v>218</v>
      </c>
      <c r="C9" s="1401" t="s">
        <v>17</v>
      </c>
      <c r="D9" s="156" t="s">
        <v>17</v>
      </c>
      <c r="E9" s="759" t="s">
        <v>17</v>
      </c>
      <c r="F9" s="1410"/>
      <c r="G9" s="338"/>
      <c r="H9" s="1431"/>
      <c r="I9" s="1947" t="s">
        <v>180</v>
      </c>
      <c r="J9" s="1800" t="s">
        <v>364</v>
      </c>
      <c r="K9" s="1433" t="s">
        <v>60</v>
      </c>
      <c r="L9" s="1947" t="s">
        <v>194</v>
      </c>
      <c r="M9" s="1432" t="s">
        <v>366</v>
      </c>
      <c r="N9" s="338"/>
    </row>
    <row r="10" spans="1:14" ht="30" customHeight="1">
      <c r="A10" s="636"/>
      <c r="B10" s="1949"/>
      <c r="C10" s="1401" t="s">
        <v>30</v>
      </c>
      <c r="D10" s="156" t="s">
        <v>30</v>
      </c>
      <c r="E10" s="759" t="s">
        <v>30</v>
      </c>
      <c r="F10" s="1410"/>
      <c r="G10" s="338"/>
      <c r="H10" s="799"/>
      <c r="I10" s="1897"/>
      <c r="J10" s="1948"/>
      <c r="K10" s="1435"/>
      <c r="L10" s="1897"/>
      <c r="M10" s="1436"/>
      <c r="N10" s="338"/>
    </row>
    <row r="11" spans="1:14" ht="30" customHeight="1" thickBot="1">
      <c r="A11" s="636"/>
      <c r="B11" s="718"/>
      <c r="C11" s="1402">
        <v>1</v>
      </c>
      <c r="D11" s="1420">
        <v>2</v>
      </c>
      <c r="E11" s="1416">
        <v>3</v>
      </c>
      <c r="F11" s="1411"/>
      <c r="G11" s="338"/>
      <c r="H11" s="1437"/>
      <c r="I11" s="1438"/>
      <c r="J11" s="1434"/>
      <c r="K11" s="1439"/>
      <c r="L11" s="1438"/>
      <c r="M11" s="1434"/>
      <c r="N11" s="338"/>
    </row>
    <row r="12" spans="1:14" ht="35.1" customHeight="1" thickBot="1">
      <c r="A12" s="636"/>
      <c r="B12" s="707" t="s">
        <v>210</v>
      </c>
      <c r="C12" s="1403">
        <v>39</v>
      </c>
      <c r="D12" s="1421">
        <v>3</v>
      </c>
      <c r="E12" s="1426">
        <f>SUM(C12:D12)</f>
        <v>42</v>
      </c>
      <c r="F12" s="1425"/>
      <c r="G12" s="338"/>
      <c r="H12" s="1440" t="s">
        <v>163</v>
      </c>
      <c r="I12" s="1441" t="str">
        <f>IF(AND($C$18&gt;0,$C$12=0),Intake_missing,IF(AND($C$12&gt;0,$C$18=0),Only_intake_recorded,"OK"))</f>
        <v>OK</v>
      </c>
      <c r="J12" s="1442" t="str">
        <f>IF(OR($C$12&gt;$C$18,AND($C$12=$C$18,SUM($C$15:$C$17)&gt;0)),Intake_inconsistent,"OK")</f>
        <v>OK</v>
      </c>
      <c r="K12" s="1443">
        <f>'Table 1 (Main)'!$M$39</f>
        <v>162.75</v>
      </c>
      <c r="L12" s="1444">
        <f>$C$18-$K$12</f>
        <v>0</v>
      </c>
      <c r="M12" s="1445" t="str">
        <f>IF(ABS(L12)&gt;0.1,"Does not equal figure in Table 1","OK")</f>
        <v>OK</v>
      </c>
      <c r="N12" s="338"/>
    </row>
    <row r="13" spans="1:14" ht="35.1" customHeight="1" thickBot="1">
      <c r="A13" s="636"/>
      <c r="B13" s="854" t="s">
        <v>211</v>
      </c>
      <c r="C13" s="1404"/>
      <c r="D13" s="1422"/>
      <c r="E13" s="1417"/>
      <c r="F13" s="1412"/>
      <c r="G13" s="338"/>
      <c r="H13" s="1430" t="s">
        <v>365</v>
      </c>
      <c r="I13" s="1446" t="str">
        <f>IF(AND($D$18&gt;0,$D$12=0),Intake_missing,IF(AND($D$12&gt;0,$D$18=0),Only_intake_recorded,"OK"))</f>
        <v>OK</v>
      </c>
      <c r="J13" s="1447" t="str">
        <f>IF(AND(D12&gt;0,D18&gt;0,D12&lt;&gt;D18),Intake_inconsistent,"OK")</f>
        <v>OK</v>
      </c>
      <c r="K13" s="1448">
        <f>'Table 1 (Main)'!$Q$39</f>
        <v>3</v>
      </c>
      <c r="L13" s="807">
        <f>$D$18-$K$13</f>
        <v>0</v>
      </c>
      <c r="M13" s="1449" t="str">
        <f>IF(ABS(L13)&gt;0.1,"Does not equal figure in Table 1","OK")</f>
        <v>OK</v>
      </c>
      <c r="N13" s="338"/>
    </row>
    <row r="14" spans="1:14" ht="35.1" customHeight="1">
      <c r="A14" s="636"/>
      <c r="B14" s="710">
        <v>1</v>
      </c>
      <c r="C14" s="1405">
        <v>39</v>
      </c>
      <c r="D14" s="1423">
        <v>3</v>
      </c>
      <c r="E14" s="1427">
        <f>SUM(C14:D14)</f>
        <v>42</v>
      </c>
      <c r="F14" s="1425"/>
      <c r="G14" s="338"/>
      <c r="H14" s="338"/>
      <c r="I14" s="338"/>
      <c r="J14" s="338"/>
      <c r="K14" s="338"/>
      <c r="L14" s="338"/>
      <c r="M14" s="338"/>
      <c r="N14" s="338"/>
    </row>
    <row r="15" spans="1:14" ht="35.1" customHeight="1">
      <c r="A15" s="636"/>
      <c r="B15" s="710">
        <v>2</v>
      </c>
      <c r="C15" s="1405">
        <v>49</v>
      </c>
      <c r="D15" s="1423"/>
      <c r="E15" s="1427">
        <f>SUM(C15:D15)</f>
        <v>49</v>
      </c>
      <c r="F15" s="1425"/>
      <c r="G15" s="338"/>
      <c r="H15" s="338"/>
      <c r="I15" s="338"/>
      <c r="J15" s="338"/>
      <c r="K15" s="338"/>
      <c r="L15" s="338"/>
      <c r="M15" s="338"/>
      <c r="N15" s="338"/>
    </row>
    <row r="16" spans="1:14" ht="35.1" customHeight="1">
      <c r="A16" s="636"/>
      <c r="B16" s="710">
        <v>3</v>
      </c>
      <c r="C16" s="1405">
        <v>38.75</v>
      </c>
      <c r="D16" s="1423"/>
      <c r="E16" s="1427">
        <f>SUM(C16:D16)</f>
        <v>38.75</v>
      </c>
      <c r="F16" s="1425"/>
      <c r="G16" s="338"/>
      <c r="H16" s="1428"/>
      <c r="I16" s="1429"/>
      <c r="J16" s="338"/>
      <c r="K16" s="338"/>
      <c r="L16" s="338"/>
      <c r="M16" s="338"/>
      <c r="N16" s="338"/>
    </row>
    <row r="17" spans="1:14" ht="35.1" customHeight="1">
      <c r="A17" s="636"/>
      <c r="B17" s="710">
        <v>4</v>
      </c>
      <c r="C17" s="1405">
        <v>36</v>
      </c>
      <c r="D17" s="1423"/>
      <c r="E17" s="1427">
        <f>SUM(C17:D17)</f>
        <v>36</v>
      </c>
      <c r="F17" s="1425"/>
      <c r="G17" s="338"/>
      <c r="H17" s="1428"/>
      <c r="I17" s="656"/>
      <c r="J17" s="338"/>
      <c r="K17" s="338"/>
      <c r="L17" s="338"/>
      <c r="M17" s="338"/>
      <c r="N17" s="338"/>
    </row>
    <row r="18" spans="1:14" ht="35.1" customHeight="1" thickBot="1">
      <c r="A18" s="636"/>
      <c r="B18" s="735" t="s">
        <v>2</v>
      </c>
      <c r="C18" s="1406">
        <f>SUM(C14:C17)</f>
        <v>162.75</v>
      </c>
      <c r="D18" s="1424">
        <f t="shared" ref="D18:E18" si="0">SUM(D14:D17)</f>
        <v>3</v>
      </c>
      <c r="E18" s="1418">
        <f t="shared" si="0"/>
        <v>165.75</v>
      </c>
      <c r="F18" s="1413"/>
      <c r="G18" s="338"/>
      <c r="H18" s="338"/>
      <c r="I18" s="338"/>
      <c r="J18" s="338"/>
      <c r="K18" s="338"/>
      <c r="L18" s="338"/>
      <c r="M18" s="338"/>
      <c r="N18" s="338"/>
    </row>
    <row r="19" spans="1:14" ht="24.95" customHeight="1">
      <c r="A19" s="649"/>
      <c r="B19" s="150"/>
      <c r="C19" s="150"/>
      <c r="D19" s="151"/>
      <c r="E19" s="151"/>
      <c r="F19" s="152"/>
      <c r="G19" s="338"/>
      <c r="H19" s="338"/>
      <c r="I19" s="338"/>
      <c r="J19" s="338"/>
      <c r="K19" s="338"/>
      <c r="L19" s="338"/>
      <c r="M19" s="338"/>
      <c r="N19" s="338"/>
    </row>
    <row r="20" spans="1:14" s="1248" customFormat="1" ht="12" customHeight="1">
      <c r="B20" s="1249"/>
    </row>
    <row r="21" spans="1:14">
      <c r="D21" s="1247"/>
      <c r="E21" s="1247"/>
      <c r="F21" s="1247"/>
      <c r="G21" s="1247"/>
      <c r="H21" s="1247"/>
    </row>
    <row r="22" spans="1:14">
      <c r="D22" s="1247"/>
      <c r="E22" s="1247"/>
      <c r="F22" s="1247"/>
      <c r="G22" s="1247"/>
    </row>
    <row r="23" spans="1:14">
      <c r="D23" s="1247"/>
      <c r="E23" s="1247"/>
      <c r="F23" s="1247"/>
      <c r="G23" s="1247"/>
    </row>
    <row r="28" spans="1:14" ht="12.75" customHeight="1"/>
  </sheetData>
  <sheetProtection password="E23E" sheet="1" objects="1" scenarios="1"/>
  <mergeCells count="5">
    <mergeCell ref="I9:I10"/>
    <mergeCell ref="J9:J10"/>
    <mergeCell ref="C4:E4"/>
    <mergeCell ref="B9:B10"/>
    <mergeCell ref="L9:L10"/>
  </mergeCells>
  <conditionalFormatting sqref="B2">
    <cfRule type="expression" dxfId="23" priority="8" stopIfTrue="1">
      <formula>#REF!=0</formula>
    </cfRule>
  </conditionalFormatting>
  <conditionalFormatting sqref="A1:N1">
    <cfRule type="expression" dxfId="22" priority="170" stopIfTrue="1">
      <formula>$F$4=0</formula>
    </cfRule>
  </conditionalFormatting>
  <conditionalFormatting sqref="C12:F12 C14:F17">
    <cfRule type="expression" dxfId="21" priority="171" stopIfTrue="1">
      <formula>$F$4=0</formula>
    </cfRule>
  </conditionalFormatting>
  <dataValidations count="2">
    <dataValidation type="custom" allowBlank="1" showErrorMessage="1" errorTitle="Number less than 0" error="You are trying to enter a number which is less than 0, please re-enter a valid number." sqref="E12:F17 C13:D13">
      <formula1>C12&gt;=0</formula1>
    </dataValidation>
    <dataValidation type="decimal" operator="greaterThanOrEqual" allowBlank="1" showInputMessage="1" showErrorMessage="1" errorTitle="ERROR!" error="Invalid Entry" sqref="C12:D12 C14:D17">
      <formula1>0</formula1>
    </dataValidation>
  </dataValidations>
  <printOptions horizontalCentered="1" verticalCentered="1"/>
  <pageMargins left="0.19685039370078741" right="0.19685039370078741" top="0.19685039370078741" bottom="0.23622047244094491" header="0.15748031496062992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28</vt:i4>
      </vt:variant>
    </vt:vector>
  </HeadingPairs>
  <TitlesOfParts>
    <vt:vector size="43" baseType="lpstr">
      <vt:lpstr>Contents</vt:lpstr>
      <vt:lpstr>Table 1 (Main)</vt:lpstr>
      <vt:lpstr>Table 2a (ITE)</vt:lpstr>
      <vt:lpstr>Table 2b (TQFE)</vt:lpstr>
      <vt:lpstr>Table 2c (Catholic ITE)</vt:lpstr>
      <vt:lpstr>Table 2d PGDE Subjects</vt:lpstr>
      <vt:lpstr>Table 3 (Med, Dent)</vt:lpstr>
      <vt:lpstr>Table 4a (Nurse and Midwy 3 Yr)</vt:lpstr>
      <vt:lpstr>Table 4b (Nurse 4 Year)</vt:lpstr>
      <vt:lpstr>Table 5a (Innov Centres)</vt:lpstr>
      <vt:lpstr>Table 5b (Early Years)</vt:lpstr>
      <vt:lpstr>Table 5c (ESF DSW) </vt:lpstr>
      <vt:lpstr>Table 6 (Care Experienced)</vt:lpstr>
      <vt:lpstr>Monitoring</vt:lpstr>
      <vt:lpstr>Background Data</vt:lpstr>
      <vt:lpstr>Consol_Tol_FTE</vt:lpstr>
      <vt:lpstr>Consol_Tol_Per</vt:lpstr>
      <vt:lpstr>Controlled_Tol</vt:lpstr>
      <vt:lpstr>Early_Stats_Last_Year</vt:lpstr>
      <vt:lpstr>Final_Figures_Last_Year</vt:lpstr>
      <vt:lpstr>Inst_FPs</vt:lpstr>
      <vt:lpstr>Inst_Tables</vt:lpstr>
      <vt:lpstr>Intake_inconsistent</vt:lpstr>
      <vt:lpstr>Intake_missing</vt:lpstr>
      <vt:lpstr>'Table 2a (ITE)'!Intake_too_high</vt:lpstr>
      <vt:lpstr>Non_controlled_Tol</vt:lpstr>
      <vt:lpstr>Only_intake_recorded</vt:lpstr>
      <vt:lpstr>Contents!Print_Area</vt:lpstr>
      <vt:lpstr>Monitoring!Print_Area</vt:lpstr>
      <vt:lpstr>'Table 1 (Main)'!Print_Area</vt:lpstr>
      <vt:lpstr>'Table 2a (ITE)'!Print_Area</vt:lpstr>
      <vt:lpstr>'Table 2b (TQFE)'!Print_Area</vt:lpstr>
      <vt:lpstr>'Table 2c (Catholic ITE)'!Print_Area</vt:lpstr>
      <vt:lpstr>'Table 2d PGDE Subjects'!Print_Area</vt:lpstr>
      <vt:lpstr>'Table 3 (Med, Dent)'!Print_Area</vt:lpstr>
      <vt:lpstr>'Table 4a (Nurse and Midwy 3 Yr)'!Print_Area</vt:lpstr>
      <vt:lpstr>'Table 4b (Nurse 4 Year)'!Print_Area</vt:lpstr>
      <vt:lpstr>'Table 5a (Innov Centres)'!Print_Area</vt:lpstr>
      <vt:lpstr>'Table 5b (Early Years)'!Print_Area</vt:lpstr>
      <vt:lpstr>'Table 5c (ESF DSW) '!Print_Area</vt:lpstr>
      <vt:lpstr>'Table 6 (Care Experienced)'!Print_Area</vt:lpstr>
      <vt:lpstr>Monitoring!Print_Titles</vt:lpstr>
      <vt:lpstr>'Table 1 (Main)'!Print_Titles</vt:lpstr>
    </vt:vector>
  </TitlesOfParts>
  <Company>Scottish Funding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McCleary</dc:creator>
  <cp:lastModifiedBy>Jacqueline Jack</cp:lastModifiedBy>
  <cp:lastPrinted>2017-12-12T10:01:24Z</cp:lastPrinted>
  <dcterms:created xsi:type="dcterms:W3CDTF">2004-10-22T07:49:06Z</dcterms:created>
  <dcterms:modified xsi:type="dcterms:W3CDTF">2018-01-10T12:06:11Z</dcterms:modified>
</cp:coreProperties>
</file>