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Communal\SFC\Early and final returns\sfc fr 201617\Final version returned to SFC 6 oct 2017\"/>
    </mc:Choice>
  </mc:AlternateContent>
  <bookViews>
    <workbookView xWindow="180" yWindow="120" windowWidth="10320" windowHeight="11025" activeTab="1"/>
  </bookViews>
  <sheets>
    <sheet name="Contents" sheetId="8" r:id="rId1"/>
    <sheet name="T1 Final Figures 2016-17" sheetId="4" r:id="rId2"/>
    <sheet name="T2 Comments" sheetId="3" r:id="rId3"/>
    <sheet name="T3a Widening Access FPs" sheetId="9" r:id="rId4"/>
    <sheet name="T3b Articulation FPs" sheetId="10" r:id="rId5"/>
    <sheet name="T3c TPG FPs" sheetId="11" r:id="rId6"/>
    <sheet name="T3d Reg Coh, Crichton FPs" sheetId="12" r:id="rId7"/>
    <sheet name="T3e ESF DSW FPs " sheetId="13" r:id="rId8"/>
    <sheet name="T3f Innovation Centres FPs" sheetId="14" r:id="rId9"/>
    <sheet name="Monitoring" sheetId="7" r:id="rId10"/>
    <sheet name="Background Data" sheetId="5" state="hidden" r:id="rId11"/>
  </sheets>
  <definedNames>
    <definedName name="Artic_Enrols">'Background Data'!$BU$148:$CW$157</definedName>
    <definedName name="Consol_Tol_FTE">Monitoring!$C$63</definedName>
    <definedName name="Consol_Tol_Per">Monitoring!$C$62</definedName>
    <definedName name="Control_FTE_Tol">'T1 Final Figures 2016-17'!$AE$52</definedName>
    <definedName name="Control_Per_Tol">'T1 Final Figures 2016-17'!$AE$53</definedName>
    <definedName name="Controlled_Tol">Monitoring!$C$60</definedName>
    <definedName name="Crich_Enrols">'Background Data'!$EK$197:$EM$201</definedName>
    <definedName name="Early_Stats">'Background Data'!$A$77:$BM$108</definedName>
    <definedName name="ESF_Enrols">'Background Data'!$EP$212:$FB$221</definedName>
    <definedName name="FPs_Ind_Nos_1617">'Background Data'!$A$44:$AN$62</definedName>
    <definedName name="HTML_CodePage" hidden="1">1252</definedName>
    <definedName name="HTML_Control" localSheetId="0" hidden="1">{"'Page1'!$E$11:$AJ$51","'Page1'!$A$1"}</definedName>
    <definedName name="HTML_Control" localSheetId="9" hidden="1">{"'Page1'!$E$11:$AJ$51","'Page1'!$A$1"}</definedName>
    <definedName name="HTML_Control" localSheetId="3" hidden="1">{"'Page1'!$E$11:$AJ$51","'Page1'!$A$1"}</definedName>
    <definedName name="HTML_Control" localSheetId="4" hidden="1">{"'Page1'!$E$11:$AJ$51","'Page1'!$A$1"}</definedName>
    <definedName name="HTML_Control" localSheetId="5" hidden="1">{"'Page1'!$E$11:$AJ$51","'Page1'!$A$1"}</definedName>
    <definedName name="HTML_Control" localSheetId="6" hidden="1">{"'Page1'!$E$11:$AJ$51","'Page1'!$A$1"}</definedName>
    <definedName name="HTML_Control" localSheetId="7" hidden="1">{"'Page1'!$E$11:$AJ$51","'Page1'!$A$1"}</definedName>
    <definedName name="HTML_Control" hidden="1">{"'Page1'!$E$11:$AJ$51","'Page1'!$A$1"}</definedName>
    <definedName name="HTML_Description" hidden="1">""</definedName>
    <definedName name="HTML_Email" hidden="1">""</definedName>
    <definedName name="HTML_Header" hidden="1">"Page1"</definedName>
    <definedName name="HTML_LastUpdate" hidden="1">"07/10/1999"</definedName>
    <definedName name="HTML_LineAfter" hidden="1">TRUE</definedName>
    <definedName name="HTML_LineBefore" hidden="1">TRUE</definedName>
    <definedName name="HTML_Name" hidden="1">"ISU"</definedName>
    <definedName name="HTML_OBDlg2" hidden="1">TRUE</definedName>
    <definedName name="HTML_OBDlg4" hidden="1">TRUE</definedName>
    <definedName name="HTML_OS" hidden="1">0</definedName>
    <definedName name="HTML_PathFile" hidden="1">"c:\windows\desktop\MyHTML.htm"</definedName>
    <definedName name="HTML_Title" hidden="1">"CONVFACT"</definedName>
    <definedName name="Inst_Tables">'Background Data'!$A$13:$S$32</definedName>
    <definedName name="Non_Control_FTE_Tol">'T1 Final Figures 2016-17'!$AE$54</definedName>
    <definedName name="Non_Control_Per_Tol">'T1 Final Figures 2016-17'!$AE$55</definedName>
    <definedName name="Non_controlled_Tol">Monitoring!$C$61</definedName>
    <definedName name="_xlnm.Print_Area" localSheetId="10">'Background Data'!$A$73:$AR$109</definedName>
    <definedName name="_xlnm.Print_Area" localSheetId="0">Contents!$B$1:$D$18</definedName>
    <definedName name="_xlnm.Print_Area" localSheetId="9">Monitoring!$B$1:$J$57</definedName>
    <definedName name="_xlnm.Print_Area" localSheetId="1">'T1 Final Figures 2016-17'!$A$1:$AA$47</definedName>
    <definedName name="_xlnm.Print_Area" localSheetId="2">'T2 Comments'!$A$1:$G$39</definedName>
    <definedName name="_xlnm.Print_Area" localSheetId="3">'T3a Widening Access FPs'!$A$2:$D$18</definedName>
    <definedName name="_xlnm.Print_Area" localSheetId="4">'T3b Articulation FPs'!$A$2:$G$30</definedName>
    <definedName name="_xlnm.Print_Area" localSheetId="5">'T3c TPG FPs'!$A$2:$G$39</definedName>
    <definedName name="_xlnm.Print_Area" localSheetId="6">'T3d Reg Coh, Crichton FPs'!$A$2:$J$35</definedName>
    <definedName name="_xlnm.Print_Area" localSheetId="7">'T3e ESF DSW FPs '!$A$2:$K$33</definedName>
    <definedName name="_xlnm.Print_Area" localSheetId="8">'T3f Innovation Centres FPs'!$A$2:$F$20</definedName>
    <definedName name="_xlnm.Print_Titles" localSheetId="10">'Background Data'!$A:$B</definedName>
    <definedName name="_xlnm.Print_Titles" localSheetId="9">Monitoring!$1:$3</definedName>
    <definedName name="_xlnm.Print_Titles" localSheetId="2">'T2 Comments'!$A:$A,'T2 Comments'!$1:$6</definedName>
    <definedName name="_xlnm.Print_Titles" localSheetId="6">'T3d Reg Coh, Crichton FPs'!$2:$4</definedName>
    <definedName name="RPG_FTE_Tol">'T1 Final Figures 2016-17'!$AE$50</definedName>
    <definedName name="RPG_Per_Tol">'T1 Final Figures 2016-17'!$AE$51</definedName>
    <definedName name="RUK_Control_FTE_Tol">'T1 Final Figures 2016-17'!$AE$56</definedName>
    <definedName name="TPG_Enrols">'Background Data'!$CZ$168:$EH$186</definedName>
    <definedName name="WA_RC_Enrols">'Background Data'!$BO$119:$BR$137</definedName>
    <definedName name="Warning1">'T1 Final Figures 2016-17'!$AK$50</definedName>
    <definedName name="Warning2_for_Control">'T1 Final Figures 2016-17'!$AK$52</definedName>
    <definedName name="Warning2_for_Non_Control">'T1 Final Figures 2016-17'!$AK$53</definedName>
    <definedName name="Warning2_for_RPG">'T1 Final Figures 2016-17'!$AK$51</definedName>
    <definedName name="Warning2_for_RUK_Control">'T1 Final Figures 2016-17'!$AK$54</definedName>
  </definedNames>
  <calcPr calcId="162913"/>
</workbook>
</file>

<file path=xl/calcChain.xml><?xml version="1.0" encoding="utf-8"?>
<calcChain xmlns="http://schemas.openxmlformats.org/spreadsheetml/2006/main">
  <c r="C20" i="4" l="1"/>
  <c r="C40" i="4"/>
  <c r="F40" i="4"/>
  <c r="C39" i="4"/>
  <c r="F15" i="4" l="1"/>
  <c r="E18" i="14" l="1"/>
  <c r="J31" i="13"/>
  <c r="I31" i="13"/>
  <c r="I32" i="13" s="1"/>
  <c r="H31" i="13"/>
  <c r="H32" i="13"/>
  <c r="I32" i="12"/>
  <c r="I33" i="12" s="1"/>
  <c r="G16" i="12"/>
  <c r="F36" i="11"/>
  <c r="F27" i="10"/>
  <c r="C15" i="9"/>
  <c r="U19" i="4"/>
  <c r="J42" i="4"/>
  <c r="B41" i="4"/>
  <c r="B22" i="4"/>
  <c r="B16" i="4"/>
  <c r="D14" i="4"/>
  <c r="H14" i="4" s="1"/>
  <c r="H11" i="4"/>
  <c r="B42" i="4" l="1"/>
  <c r="E13" i="8"/>
  <c r="E14" i="8"/>
  <c r="E12" i="8"/>
  <c r="E11" i="8"/>
  <c r="E10" i="8"/>
  <c r="J32" i="13"/>
  <c r="C13" i="13"/>
  <c r="C12" i="13"/>
  <c r="C11" i="13"/>
  <c r="C20" i="12"/>
  <c r="F4" i="13"/>
  <c r="B21" i="13" s="1"/>
  <c r="C10" i="11"/>
  <c r="F37" i="11" s="1"/>
  <c r="F28" i="10"/>
  <c r="C10" i="10"/>
  <c r="C16" i="12"/>
  <c r="C10" i="9"/>
  <c r="F4" i="12"/>
  <c r="B27" i="12" s="1"/>
  <c r="E4" i="12"/>
  <c r="C13" i="7"/>
  <c r="B1" i="12" l="1"/>
  <c r="E21" i="13"/>
  <c r="E22" i="13"/>
  <c r="E25" i="13"/>
  <c r="E23" i="13"/>
  <c r="E24" i="13"/>
  <c r="B23" i="13"/>
  <c r="B25" i="13"/>
  <c r="B28" i="13"/>
  <c r="D16" i="12"/>
  <c r="E16" i="12" s="1"/>
  <c r="C21" i="13"/>
  <c r="C22" i="13"/>
  <c r="C23" i="13"/>
  <c r="C24" i="13"/>
  <c r="C26" i="13"/>
  <c r="C27" i="13"/>
  <c r="C28" i="13"/>
  <c r="C29" i="13"/>
  <c r="C30" i="13"/>
  <c r="D21" i="13"/>
  <c r="D22" i="13"/>
  <c r="D23" i="13"/>
  <c r="D24" i="13"/>
  <c r="D25" i="13"/>
  <c r="D26" i="13"/>
  <c r="D27" i="13"/>
  <c r="D28" i="13"/>
  <c r="D29" i="13"/>
  <c r="D30" i="13"/>
  <c r="E26" i="13"/>
  <c r="E27" i="13"/>
  <c r="E28" i="13"/>
  <c r="E29" i="13"/>
  <c r="E30" i="13"/>
  <c r="B24" i="13"/>
  <c r="B26" i="13"/>
  <c r="B27" i="13"/>
  <c r="B29" i="13"/>
  <c r="B30" i="13"/>
  <c r="B22" i="13"/>
  <c r="C25" i="13"/>
  <c r="E31" i="13" l="1"/>
  <c r="E32" i="13" s="1"/>
  <c r="C31" i="13"/>
  <c r="C32" i="13" s="1"/>
  <c r="D31" i="13"/>
  <c r="D32" i="13" s="1"/>
  <c r="D57" i="7"/>
  <c r="C57" i="7"/>
  <c r="C55" i="7"/>
  <c r="C53" i="7"/>
  <c r="C52" i="7"/>
  <c r="C50" i="7"/>
  <c r="C48" i="7"/>
  <c r="D25" i="7"/>
  <c r="D23" i="7"/>
  <c r="D22" i="7"/>
  <c r="D18" i="7"/>
  <c r="D15" i="7"/>
  <c r="D14" i="7"/>
  <c r="D13" i="7"/>
  <c r="E13" i="7" s="1"/>
  <c r="C26" i="7"/>
  <c r="C23" i="7"/>
  <c r="C22" i="7"/>
  <c r="C21" i="7"/>
  <c r="C20" i="7"/>
  <c r="C19" i="7"/>
  <c r="C18" i="7"/>
  <c r="C16" i="7"/>
  <c r="C15" i="7"/>
  <c r="C14" i="7"/>
  <c r="C4" i="11" l="1"/>
  <c r="C4" i="10"/>
  <c r="B1" i="10" s="1"/>
  <c r="C4" i="9"/>
  <c r="F31" i="12" l="1"/>
  <c r="B31" i="12"/>
  <c r="F30" i="12"/>
  <c r="B30" i="12"/>
  <c r="F29" i="12"/>
  <c r="B29" i="12"/>
  <c r="F28" i="12"/>
  <c r="B28" i="12"/>
  <c r="F27" i="12"/>
  <c r="F32" i="12" l="1"/>
  <c r="F33" i="12" s="1"/>
  <c r="B35" i="11" l="1"/>
  <c r="B34" i="11"/>
  <c r="B33" i="11"/>
  <c r="B32" i="11"/>
  <c r="B31" i="11"/>
  <c r="B30" i="11"/>
  <c r="B29" i="11"/>
  <c r="B28" i="11"/>
  <c r="B27" i="11"/>
  <c r="B26" i="11"/>
  <c r="B25" i="11"/>
  <c r="B24" i="11"/>
  <c r="B23" i="11"/>
  <c r="B22" i="11"/>
  <c r="B21" i="11"/>
  <c r="B20" i="11"/>
  <c r="B19" i="11"/>
  <c r="B18" i="11"/>
  <c r="B17" i="11"/>
  <c r="C35" i="11"/>
  <c r="C34" i="11"/>
  <c r="C33" i="11"/>
  <c r="C32" i="11"/>
  <c r="C31" i="11"/>
  <c r="C30" i="11"/>
  <c r="C29" i="11"/>
  <c r="C28" i="11"/>
  <c r="C27" i="11"/>
  <c r="C26" i="11"/>
  <c r="C25" i="11"/>
  <c r="C24" i="11"/>
  <c r="C23" i="11"/>
  <c r="C22" i="11"/>
  <c r="C21" i="11"/>
  <c r="C20" i="11"/>
  <c r="C19" i="11"/>
  <c r="C18" i="11"/>
  <c r="C17" i="11"/>
  <c r="C26" i="10"/>
  <c r="B26" i="10"/>
  <c r="C25" i="10"/>
  <c r="B25" i="10"/>
  <c r="C24" i="10"/>
  <c r="B24" i="10"/>
  <c r="C23" i="10"/>
  <c r="B23" i="10"/>
  <c r="C22" i="10"/>
  <c r="B22" i="10"/>
  <c r="C21" i="10"/>
  <c r="B21" i="10"/>
  <c r="C20" i="10"/>
  <c r="B20" i="10"/>
  <c r="C19" i="10"/>
  <c r="B19" i="10"/>
  <c r="C18" i="10"/>
  <c r="B18" i="10"/>
  <c r="C17" i="10"/>
  <c r="B17" i="10"/>
  <c r="C12" i="9"/>
  <c r="C13" i="9" s="1"/>
  <c r="C27" i="10" l="1"/>
  <c r="C36" i="11"/>
  <c r="C37" i="11" s="1"/>
  <c r="B1" i="13" l="1"/>
  <c r="B1" i="11"/>
  <c r="C28" i="10"/>
  <c r="B1" i="9"/>
  <c r="D14" i="8"/>
  <c r="D13" i="8"/>
  <c r="D12" i="8"/>
  <c r="D11" i="8"/>
  <c r="D10" i="8"/>
  <c r="AN64" i="5" l="1"/>
  <c r="AN59" i="5"/>
  <c r="AN57" i="5"/>
  <c r="AM64" i="5" l="1"/>
  <c r="AM62" i="5"/>
  <c r="M64" i="5" l="1"/>
  <c r="N64" i="5" s="1"/>
  <c r="J64" i="5"/>
  <c r="AN63" i="5"/>
  <c r="AM63" i="5"/>
  <c r="AL63" i="5"/>
  <c r="AK63" i="5"/>
  <c r="AJ63" i="5"/>
  <c r="AI63" i="5"/>
  <c r="AG63" i="5"/>
  <c r="AF63" i="5"/>
  <c r="AE63" i="5"/>
  <c r="AD63" i="5"/>
  <c r="AC63" i="5"/>
  <c r="AB63" i="5"/>
  <c r="AA63" i="5"/>
  <c r="Y63" i="5"/>
  <c r="X63" i="5"/>
  <c r="W63" i="5"/>
  <c r="V63" i="5"/>
  <c r="U63" i="5"/>
  <c r="T63" i="5"/>
  <c r="S63" i="5"/>
  <c r="R63" i="5"/>
  <c r="Q63" i="5"/>
  <c r="P63" i="5"/>
  <c r="O63" i="5"/>
  <c r="M63" i="5"/>
  <c r="L63" i="5"/>
  <c r="K63" i="5"/>
  <c r="J63" i="5"/>
  <c r="I63" i="5"/>
  <c r="H63" i="5"/>
  <c r="G63" i="5"/>
  <c r="F63" i="5"/>
  <c r="E63" i="5"/>
  <c r="D63" i="5"/>
  <c r="C63" i="5"/>
  <c r="AH62" i="5"/>
  <c r="Z62" i="5"/>
  <c r="N62" i="5"/>
  <c r="AH61" i="5"/>
  <c r="Z61" i="5"/>
  <c r="N61" i="5"/>
  <c r="AH60" i="5"/>
  <c r="Z60" i="5"/>
  <c r="N60" i="5"/>
  <c r="AH59" i="5"/>
  <c r="Z59" i="5"/>
  <c r="N59" i="5"/>
  <c r="AH58" i="5"/>
  <c r="Z58" i="5"/>
  <c r="N58" i="5"/>
  <c r="AH57" i="5"/>
  <c r="Z57" i="5"/>
  <c r="N57" i="5"/>
  <c r="AH56" i="5"/>
  <c r="Z56" i="5"/>
  <c r="N56" i="5"/>
  <c r="AH55" i="5"/>
  <c r="Z55" i="5"/>
  <c r="N55" i="5"/>
  <c r="AH54" i="5"/>
  <c r="Z54" i="5"/>
  <c r="N54" i="5"/>
  <c r="AH53" i="5"/>
  <c r="Z53" i="5"/>
  <c r="N53" i="5"/>
  <c r="AH52" i="5"/>
  <c r="Z52" i="5"/>
  <c r="N52" i="5"/>
  <c r="AH51" i="5"/>
  <c r="Z51" i="5"/>
  <c r="N51" i="5"/>
  <c r="C36" i="7" s="1"/>
  <c r="AH50" i="5"/>
  <c r="Z50" i="5"/>
  <c r="N50" i="5"/>
  <c r="AH49" i="5"/>
  <c r="Z49" i="5"/>
  <c r="N49" i="5"/>
  <c r="AH48" i="5"/>
  <c r="Z48" i="5"/>
  <c r="N48" i="5"/>
  <c r="AH47" i="5"/>
  <c r="Z47" i="5"/>
  <c r="N47" i="5"/>
  <c r="AH46" i="5"/>
  <c r="Z46" i="5"/>
  <c r="N46" i="5"/>
  <c r="AH45" i="5"/>
  <c r="Z45" i="5"/>
  <c r="N45" i="5"/>
  <c r="AH44" i="5"/>
  <c r="Z44" i="5"/>
  <c r="N44" i="5"/>
  <c r="N63" i="5" l="1"/>
  <c r="AH63" i="5"/>
  <c r="Z63" i="5"/>
  <c r="F41" i="4"/>
  <c r="C41" i="4"/>
  <c r="F22" i="4"/>
  <c r="C22" i="4"/>
  <c r="F16" i="4"/>
  <c r="C16" i="4"/>
  <c r="D15" i="4"/>
  <c r="H15" i="4" s="1"/>
  <c r="S11" i="4"/>
  <c r="R11" i="4"/>
  <c r="D16" i="4" l="1"/>
  <c r="F42" i="4"/>
  <c r="C42" i="4"/>
  <c r="X11" i="4"/>
  <c r="AE11" i="4" s="1"/>
  <c r="T11" i="4"/>
  <c r="AC11" i="4"/>
  <c r="Y11" i="4"/>
  <c r="AJ11" i="4" s="1"/>
  <c r="AH11" i="4"/>
  <c r="AI11" i="4" s="1"/>
  <c r="H16" i="4"/>
  <c r="Z19" i="4"/>
  <c r="AK11" i="4" l="1"/>
  <c r="N11" i="4"/>
  <c r="E26" i="7" l="1"/>
  <c r="E25" i="7"/>
  <c r="E23" i="7"/>
  <c r="E22" i="7"/>
  <c r="E21" i="7"/>
  <c r="E20" i="7"/>
  <c r="E19" i="7"/>
  <c r="E18" i="7"/>
  <c r="E16" i="7"/>
  <c r="E15" i="7"/>
  <c r="E14" i="7"/>
  <c r="R19" i="4" l="1"/>
  <c r="AN19" i="4" l="1"/>
  <c r="U20" i="4"/>
  <c r="AN20" i="4" s="1"/>
  <c r="U27" i="4"/>
  <c r="AN27" i="4" s="1"/>
  <c r="U32" i="4"/>
  <c r="AN32" i="4" s="1"/>
  <c r="AM19" i="4"/>
  <c r="U28" i="4"/>
  <c r="AN28" i="4" s="1"/>
  <c r="U33" i="4"/>
  <c r="AN33" i="4" s="1"/>
  <c r="U34" i="4"/>
  <c r="AN34" i="4" s="1"/>
  <c r="U29" i="4"/>
  <c r="AN29" i="4" s="1"/>
  <c r="U26" i="4"/>
  <c r="AN26" i="4" s="1"/>
  <c r="U31" i="4"/>
  <c r="AN31" i="4" s="1"/>
  <c r="AO19" i="4" l="1"/>
  <c r="O19" i="4"/>
  <c r="F15" i="3" s="1"/>
  <c r="Z27" i="4"/>
  <c r="AM27" i="4"/>
  <c r="Z31" i="4"/>
  <c r="AM31" i="4"/>
  <c r="Z29" i="4"/>
  <c r="AM29" i="4"/>
  <c r="Z32" i="4"/>
  <c r="AM32" i="4"/>
  <c r="Z20" i="4"/>
  <c r="AM20" i="4"/>
  <c r="Z33" i="4"/>
  <c r="AM33" i="4"/>
  <c r="Z26" i="4"/>
  <c r="AM26" i="4"/>
  <c r="Z34" i="4"/>
  <c r="AM34" i="4"/>
  <c r="Z28" i="4"/>
  <c r="AM28" i="4"/>
  <c r="K19" i="4" l="1"/>
  <c r="L15" i="3"/>
  <c r="AO31" i="4"/>
  <c r="O31" i="4"/>
  <c r="F27" i="3" s="1"/>
  <c r="AO29" i="4"/>
  <c r="O29" i="4"/>
  <c r="F25" i="3" s="1"/>
  <c r="AO28" i="4"/>
  <c r="O28" i="4"/>
  <c r="F24" i="3" s="1"/>
  <c r="AO27" i="4"/>
  <c r="O27" i="4"/>
  <c r="F23" i="3" s="1"/>
  <c r="AO26" i="4"/>
  <c r="O26" i="4"/>
  <c r="F22" i="3" s="1"/>
  <c r="AO20" i="4"/>
  <c r="O20" i="4"/>
  <c r="F16" i="3" s="1"/>
  <c r="AO34" i="4"/>
  <c r="O34" i="4"/>
  <c r="F30" i="3" s="1"/>
  <c r="AO33" i="4"/>
  <c r="O33" i="4"/>
  <c r="F29" i="3" s="1"/>
  <c r="AO32" i="4"/>
  <c r="O32" i="4"/>
  <c r="F28" i="3" s="1"/>
  <c r="K34" i="4" l="1"/>
  <c r="L30" i="3"/>
  <c r="K33" i="4"/>
  <c r="L29" i="3"/>
  <c r="K20" i="4"/>
  <c r="L16" i="3"/>
  <c r="K29" i="4"/>
  <c r="L25" i="3"/>
  <c r="K32" i="4"/>
  <c r="L28" i="3"/>
  <c r="K26" i="4"/>
  <c r="L22" i="3"/>
  <c r="K28" i="4"/>
  <c r="L24" i="3"/>
  <c r="K31" i="4"/>
  <c r="L27" i="3"/>
  <c r="K27" i="4"/>
  <c r="L23" i="3"/>
  <c r="L38" i="3" l="1"/>
  <c r="S36" i="4"/>
  <c r="S37" i="4"/>
  <c r="R37" i="4"/>
  <c r="R36" i="4"/>
  <c r="D36" i="4"/>
  <c r="H36" i="4" s="1"/>
  <c r="D37" i="4"/>
  <c r="H37" i="4" s="1"/>
  <c r="X37" i="4" l="1"/>
  <c r="AE37" i="4" s="1"/>
  <c r="X36" i="4"/>
  <c r="AE36" i="4" s="1"/>
  <c r="AH37" i="4"/>
  <c r="AI37" i="4" s="1"/>
  <c r="Y37" i="4"/>
  <c r="AJ37" i="4" s="1"/>
  <c r="AH36" i="4"/>
  <c r="Y36" i="4"/>
  <c r="AJ36" i="4" s="1"/>
  <c r="AC36" i="4"/>
  <c r="AD36" i="4" s="1"/>
  <c r="AI36" i="4"/>
  <c r="AC37" i="4"/>
  <c r="AD37" i="4" s="1"/>
  <c r="T37" i="4"/>
  <c r="T36" i="4"/>
  <c r="AF36" i="4" l="1"/>
  <c r="M36" i="4"/>
  <c r="B32" i="3" s="1"/>
  <c r="AF37" i="4"/>
  <c r="M37" i="4"/>
  <c r="B33" i="3" s="1"/>
  <c r="AK36" i="4"/>
  <c r="N36" i="4"/>
  <c r="D32" i="3" s="1"/>
  <c r="AK37" i="4"/>
  <c r="N37" i="4"/>
  <c r="D33" i="3" s="1"/>
  <c r="D29" i="4"/>
  <c r="H29" i="4" s="1"/>
  <c r="G36" i="4" l="1"/>
  <c r="K32" i="3"/>
  <c r="E36" i="4"/>
  <c r="J32" i="3"/>
  <c r="E37" i="4"/>
  <c r="F26" i="7" s="1"/>
  <c r="G26" i="7" s="1"/>
  <c r="H26" i="7" s="1"/>
  <c r="I26" i="7" s="1"/>
  <c r="J33" i="3"/>
  <c r="G37" i="4"/>
  <c r="K33" i="3"/>
  <c r="D19" i="4" l="1"/>
  <c r="D20" i="4"/>
  <c r="H20" i="4" s="1"/>
  <c r="D21" i="4"/>
  <c r="H21" i="4" s="1"/>
  <c r="D26" i="4"/>
  <c r="D27" i="4"/>
  <c r="H27" i="4" s="1"/>
  <c r="D28" i="4"/>
  <c r="H28" i="4" s="1"/>
  <c r="H26" i="4" l="1"/>
  <c r="D48" i="7" s="1"/>
  <c r="E48" i="7" s="1"/>
  <c r="F48" i="7" s="1"/>
  <c r="G48" i="7" s="1"/>
  <c r="D22" i="4"/>
  <c r="H19" i="4"/>
  <c r="R27" i="4"/>
  <c r="H22" i="4" l="1"/>
  <c r="D2" i="5"/>
  <c r="S26" i="4"/>
  <c r="R26" i="4"/>
  <c r="B4" i="11" l="1"/>
  <c r="C4" i="14"/>
  <c r="B4" i="10"/>
  <c r="B3" i="8"/>
  <c r="C4" i="13"/>
  <c r="C4" i="12"/>
  <c r="B4" i="9"/>
  <c r="B2" i="4"/>
  <c r="F2" i="3" s="1"/>
  <c r="C3" i="7"/>
  <c r="T26" i="4"/>
  <c r="S14" i="4"/>
  <c r="S15" i="4"/>
  <c r="AH15" i="4" s="1"/>
  <c r="AI15" i="4" s="1"/>
  <c r="R20" i="4"/>
  <c r="R21" i="4"/>
  <c r="S27" i="4"/>
  <c r="S28" i="4"/>
  <c r="Y28" i="4" s="1"/>
  <c r="AJ28" i="4" s="1"/>
  <c r="S29" i="4"/>
  <c r="Y29" i="4" s="1"/>
  <c r="AJ29" i="4" s="1"/>
  <c r="S31" i="4"/>
  <c r="AH31" i="4" s="1"/>
  <c r="AI31" i="4" s="1"/>
  <c r="S32" i="4"/>
  <c r="AH32" i="4" s="1"/>
  <c r="S33" i="4"/>
  <c r="AH33" i="4" s="1"/>
  <c r="AI33" i="4" s="1"/>
  <c r="S34" i="4"/>
  <c r="AH34" i="4" s="1"/>
  <c r="S39" i="4"/>
  <c r="Y39" i="4" s="1"/>
  <c r="AJ39" i="4" s="1"/>
  <c r="S40" i="4"/>
  <c r="Y40" i="4" s="1"/>
  <c r="AJ40" i="4" s="1"/>
  <c r="R14" i="4"/>
  <c r="R16" i="4" s="1"/>
  <c r="R15" i="4"/>
  <c r="S19" i="4"/>
  <c r="S20" i="4"/>
  <c r="Y20" i="4" s="1"/>
  <c r="AJ20" i="4" s="1"/>
  <c r="S21" i="4"/>
  <c r="Y21" i="4" s="1"/>
  <c r="AJ21" i="4" s="1"/>
  <c r="R28" i="4"/>
  <c r="R29" i="4"/>
  <c r="R31" i="4"/>
  <c r="R32" i="4"/>
  <c r="R33" i="4"/>
  <c r="R34" i="4"/>
  <c r="R39" i="4"/>
  <c r="R40" i="4"/>
  <c r="AC26" i="4"/>
  <c r="AD26" i="4" s="1"/>
  <c r="AH26" i="4"/>
  <c r="AI26" i="4" s="1"/>
  <c r="D31" i="4"/>
  <c r="D32" i="4"/>
  <c r="H32" i="4" s="1"/>
  <c r="D33" i="4"/>
  <c r="H33" i="4" s="1"/>
  <c r="D34" i="4"/>
  <c r="H34" i="4" s="1"/>
  <c r="D39" i="4"/>
  <c r="D40" i="4"/>
  <c r="H40" i="4" s="1"/>
  <c r="X26" i="4"/>
  <c r="X27" i="4"/>
  <c r="AC27" i="4"/>
  <c r="AD27" i="4" s="1"/>
  <c r="Y26" i="4"/>
  <c r="AJ26" i="4" s="1"/>
  <c r="S41" i="4" l="1"/>
  <c r="R41" i="4"/>
  <c r="R22" i="4"/>
  <c r="D53" i="7"/>
  <c r="H39" i="4"/>
  <c r="E57" i="7"/>
  <c r="F57" i="7" s="1"/>
  <c r="G57" i="7" s="1"/>
  <c r="H31" i="4"/>
  <c r="D41" i="4"/>
  <c r="D42" i="4" s="1"/>
  <c r="Y14" i="4"/>
  <c r="AJ14" i="4" s="1"/>
  <c r="S16" i="4"/>
  <c r="Y19" i="4"/>
  <c r="AJ19" i="4" s="1"/>
  <c r="S22" i="4"/>
  <c r="D2" i="3"/>
  <c r="B2" i="3"/>
  <c r="AE27" i="4"/>
  <c r="M27" i="4" s="1"/>
  <c r="B23" i="3" s="1"/>
  <c r="AE26" i="4"/>
  <c r="AF26" i="4" s="1"/>
  <c r="T39" i="4"/>
  <c r="T40" i="4"/>
  <c r="T29" i="4"/>
  <c r="Y15" i="4"/>
  <c r="AJ15" i="4" s="1"/>
  <c r="AK15" i="4" s="1"/>
  <c r="X33" i="4"/>
  <c r="T33" i="4"/>
  <c r="AC31" i="4"/>
  <c r="AD31" i="4" s="1"/>
  <c r="T31" i="4"/>
  <c r="X21" i="4"/>
  <c r="AE21" i="4" s="1"/>
  <c r="T21" i="4"/>
  <c r="X20" i="4"/>
  <c r="T20" i="4"/>
  <c r="AC19" i="4"/>
  <c r="AD19" i="4" s="1"/>
  <c r="T19" i="4"/>
  <c r="AH14" i="4"/>
  <c r="AI14" i="4" s="1"/>
  <c r="X34" i="4"/>
  <c r="T34" i="4"/>
  <c r="AC32" i="4"/>
  <c r="AD32" i="4" s="1"/>
  <c r="T32" i="4"/>
  <c r="X28" i="4"/>
  <c r="T28" i="4"/>
  <c r="X15" i="4"/>
  <c r="AE15" i="4" s="1"/>
  <c r="T15" i="4"/>
  <c r="X14" i="4"/>
  <c r="AE14" i="4" s="1"/>
  <c r="T14" i="4"/>
  <c r="Y27" i="4"/>
  <c r="AJ27" i="4" s="1"/>
  <c r="T27" i="4"/>
  <c r="X19" i="4"/>
  <c r="AH27" i="4"/>
  <c r="AI27" i="4" s="1"/>
  <c r="AC21" i="4"/>
  <c r="AD21" i="4" s="1"/>
  <c r="AI32" i="4"/>
  <c r="AH29" i="4"/>
  <c r="AI29" i="4" s="1"/>
  <c r="AK29" i="4" s="1"/>
  <c r="G29" i="4" s="1"/>
  <c r="Y32" i="4"/>
  <c r="AJ32" i="4" s="1"/>
  <c r="AI34" i="4"/>
  <c r="AC15" i="4"/>
  <c r="AD15" i="4" s="1"/>
  <c r="AC14" i="4"/>
  <c r="AD14" i="4" s="1"/>
  <c r="Y34" i="4"/>
  <c r="AJ34" i="4" s="1"/>
  <c r="AH40" i="4"/>
  <c r="AI40" i="4" s="1"/>
  <c r="N40" i="4" s="1"/>
  <c r="D36" i="3" s="1"/>
  <c r="AC33" i="4"/>
  <c r="AD33" i="4" s="1"/>
  <c r="X32" i="4"/>
  <c r="X29" i="4"/>
  <c r="AC28" i="4"/>
  <c r="AD28" i="4" s="1"/>
  <c r="AH19" i="4"/>
  <c r="AI19" i="4" s="1"/>
  <c r="AC29" i="4"/>
  <c r="AD29" i="4" s="1"/>
  <c r="X31" i="4"/>
  <c r="X40" i="4"/>
  <c r="X39" i="4"/>
  <c r="AC34" i="4"/>
  <c r="AD34" i="4" s="1"/>
  <c r="AC40" i="4"/>
  <c r="AD40" i="4" s="1"/>
  <c r="AH28" i="4"/>
  <c r="AI28" i="4" s="1"/>
  <c r="N28" i="4" s="1"/>
  <c r="D24" i="3" s="1"/>
  <c r="AD11" i="4"/>
  <c r="AK26" i="4"/>
  <c r="K22" i="3" s="1"/>
  <c r="AC39" i="4"/>
  <c r="AD39" i="4" s="1"/>
  <c r="N26" i="4"/>
  <c r="D22" i="3" s="1"/>
  <c r="Y33" i="4"/>
  <c r="AJ33" i="4" s="1"/>
  <c r="AK33" i="4" s="1"/>
  <c r="AH20" i="4"/>
  <c r="AI20" i="4" s="1"/>
  <c r="N20" i="4" s="1"/>
  <c r="D16" i="3" s="1"/>
  <c r="AH39" i="4"/>
  <c r="AI39" i="4" s="1"/>
  <c r="Y31" i="4"/>
  <c r="AJ31" i="4" s="1"/>
  <c r="N31" i="4" s="1"/>
  <c r="D27" i="3" s="1"/>
  <c r="AH21" i="4"/>
  <c r="AI21" i="4" s="1"/>
  <c r="AC20" i="4"/>
  <c r="AD20" i="4" s="1"/>
  <c r="M14" i="4" l="1"/>
  <c r="R42" i="4"/>
  <c r="M11" i="4"/>
  <c r="B7" i="3" s="1"/>
  <c r="AF11" i="4"/>
  <c r="J7" i="3" s="1"/>
  <c r="N14" i="4"/>
  <c r="D10" i="3" s="1"/>
  <c r="H41" i="4"/>
  <c r="H42" i="4" s="1"/>
  <c r="D52" i="7"/>
  <c r="T41" i="4"/>
  <c r="T16" i="4"/>
  <c r="S42" i="4"/>
  <c r="T22" i="4"/>
  <c r="AK27" i="4"/>
  <c r="G27" i="4" s="1"/>
  <c r="M15" i="4"/>
  <c r="B11" i="3" s="1"/>
  <c r="N32" i="4"/>
  <c r="D28" i="3" s="1"/>
  <c r="AF27" i="4"/>
  <c r="E27" i="4" s="1"/>
  <c r="M26" i="4"/>
  <c r="B22" i="3" s="1"/>
  <c r="N15" i="4"/>
  <c r="D11" i="3" s="1"/>
  <c r="D7" i="3"/>
  <c r="AE19" i="4"/>
  <c r="M19" i="4" s="1"/>
  <c r="B15" i="3" s="1"/>
  <c r="AE31" i="4"/>
  <c r="AF31" i="4" s="1"/>
  <c r="J27" i="3" s="1"/>
  <c r="AE29" i="4"/>
  <c r="AF29" i="4" s="1"/>
  <c r="J25" i="3" s="1"/>
  <c r="AE28" i="4"/>
  <c r="AF28" i="4" s="1"/>
  <c r="AE34" i="4"/>
  <c r="M34" i="4" s="1"/>
  <c r="B30" i="3" s="1"/>
  <c r="AE40" i="4"/>
  <c r="AF40" i="4" s="1"/>
  <c r="AE39" i="4"/>
  <c r="AF39" i="4" s="1"/>
  <c r="E39" i="4" s="1"/>
  <c r="AE32" i="4"/>
  <c r="AF32" i="4" s="1"/>
  <c r="J28" i="3" s="1"/>
  <c r="AE20" i="4"/>
  <c r="M20" i="4" s="1"/>
  <c r="B16" i="3" s="1"/>
  <c r="AE33" i="4"/>
  <c r="M33" i="4" s="1"/>
  <c r="B29" i="3" s="1"/>
  <c r="M21" i="4"/>
  <c r="B17" i="3" s="1"/>
  <c r="AK40" i="4"/>
  <c r="G40" i="4" s="1"/>
  <c r="AF15" i="4"/>
  <c r="E15" i="4" s="1"/>
  <c r="N29" i="4"/>
  <c r="D25" i="3" s="1"/>
  <c r="N27" i="4"/>
  <c r="D23" i="3" s="1"/>
  <c r="B10" i="3"/>
  <c r="AF14" i="4"/>
  <c r="E14" i="4" s="1"/>
  <c r="AK32" i="4"/>
  <c r="G32" i="4" s="1"/>
  <c r="AF21" i="4"/>
  <c r="J17" i="3" s="1"/>
  <c r="N19" i="4"/>
  <c r="D15" i="3" s="1"/>
  <c r="AK19" i="4"/>
  <c r="K15" i="3" s="1"/>
  <c r="AK34" i="4"/>
  <c r="G34" i="4" s="1"/>
  <c r="N34" i="4"/>
  <c r="D30" i="3" s="1"/>
  <c r="G26" i="4"/>
  <c r="AK28" i="4"/>
  <c r="AK31" i="4"/>
  <c r="K29" i="3"/>
  <c r="G33" i="4"/>
  <c r="N33" i="4"/>
  <c r="D29" i="3" s="1"/>
  <c r="K25" i="3"/>
  <c r="AK20" i="4"/>
  <c r="G20" i="4" s="1"/>
  <c r="J22" i="3"/>
  <c r="E26" i="4"/>
  <c r="K11" i="3"/>
  <c r="G15" i="4"/>
  <c r="AK14" i="4"/>
  <c r="N21" i="4"/>
  <c r="D17" i="3" s="1"/>
  <c r="AK21" i="4"/>
  <c r="AK39" i="4"/>
  <c r="N39" i="4"/>
  <c r="D35" i="3" s="1"/>
  <c r="T42" i="4" l="1"/>
  <c r="K23" i="3"/>
  <c r="F25" i="7"/>
  <c r="G25" i="7" s="1"/>
  <c r="H25" i="7" s="1"/>
  <c r="I25" i="7" s="1"/>
  <c r="D55" i="7"/>
  <c r="E55" i="7" s="1"/>
  <c r="F55" i="7" s="1"/>
  <c r="G55" i="7" s="1"/>
  <c r="F13" i="7"/>
  <c r="G13" i="7" s="1"/>
  <c r="H13" i="7" s="1"/>
  <c r="I13" i="7" s="1"/>
  <c r="F14" i="7"/>
  <c r="G14" i="7" s="1"/>
  <c r="H14" i="7" s="1"/>
  <c r="I14" i="7" s="1"/>
  <c r="M32" i="4"/>
  <c r="B28" i="3" s="1"/>
  <c r="J23" i="3"/>
  <c r="AF34" i="4"/>
  <c r="E34" i="4" s="1"/>
  <c r="F21" i="7" s="1"/>
  <c r="G21" i="7" s="1"/>
  <c r="H21" i="7" s="1"/>
  <c r="I21" i="7" s="1"/>
  <c r="M40" i="4"/>
  <c r="B36" i="3" s="1"/>
  <c r="M39" i="4"/>
  <c r="B35" i="3" s="1"/>
  <c r="M29" i="4"/>
  <c r="B25" i="3" s="1"/>
  <c r="AF20" i="4"/>
  <c r="E20" i="4" s="1"/>
  <c r="F23" i="7" s="1"/>
  <c r="G23" i="7" s="1"/>
  <c r="H23" i="7" s="1"/>
  <c r="I23" i="7" s="1"/>
  <c r="M31" i="4"/>
  <c r="B27" i="3" s="1"/>
  <c r="M28" i="4"/>
  <c r="B24" i="3" s="1"/>
  <c r="AF19" i="4"/>
  <c r="J15" i="3" s="1"/>
  <c r="K36" i="3"/>
  <c r="AF33" i="4"/>
  <c r="E21" i="4"/>
  <c r="J11" i="3"/>
  <c r="E29" i="4"/>
  <c r="F16" i="7" s="1"/>
  <c r="G16" i="7" s="1"/>
  <c r="H16" i="7" s="1"/>
  <c r="I16" i="7" s="1"/>
  <c r="J10" i="3"/>
  <c r="E32" i="4"/>
  <c r="K28" i="3"/>
  <c r="E31" i="4"/>
  <c r="J35" i="3"/>
  <c r="G19" i="4"/>
  <c r="E28" i="4"/>
  <c r="F15" i="7" s="1"/>
  <c r="G15" i="7" s="1"/>
  <c r="H15" i="7" s="1"/>
  <c r="I15" i="7" s="1"/>
  <c r="J24" i="3"/>
  <c r="K30" i="3"/>
  <c r="E40" i="4"/>
  <c r="J36" i="3"/>
  <c r="E11" i="4"/>
  <c r="K24" i="3"/>
  <c r="G28" i="4"/>
  <c r="K16" i="3"/>
  <c r="K27" i="3"/>
  <c r="G31" i="4"/>
  <c r="G11" i="4"/>
  <c r="K7" i="3"/>
  <c r="K17" i="3"/>
  <c r="G21" i="4"/>
  <c r="K35" i="3"/>
  <c r="G39" i="4"/>
  <c r="K10" i="3"/>
  <c r="G14" i="4"/>
  <c r="K38" i="3" l="1"/>
  <c r="D36" i="7"/>
  <c r="F19" i="7"/>
  <c r="G19" i="7" s="1"/>
  <c r="H19" i="7" s="1"/>
  <c r="I19" i="7" s="1"/>
  <c r="D50" i="7"/>
  <c r="E50" i="7" s="1"/>
  <c r="F18" i="7"/>
  <c r="G18" i="7" s="1"/>
  <c r="H18" i="7" s="1"/>
  <c r="I18" i="7" s="1"/>
  <c r="J30" i="3"/>
  <c r="J16" i="3"/>
  <c r="E19" i="4"/>
  <c r="J29" i="3"/>
  <c r="E33" i="4"/>
  <c r="J38" i="3" l="1"/>
  <c r="M38" i="3" s="1"/>
  <c r="E9" i="8" s="1"/>
  <c r="D9" i="8" s="1"/>
  <c r="F50" i="7"/>
  <c r="G50" i="7" s="1"/>
  <c r="E36" i="7"/>
  <c r="F36" i="7" s="1"/>
  <c r="G36" i="7" s="1"/>
  <c r="F20" i="7"/>
  <c r="G20" i="7" s="1"/>
  <c r="H20" i="7" s="1"/>
  <c r="I20" i="7" s="1"/>
  <c r="F22" i="7"/>
  <c r="G22" i="7" s="1"/>
  <c r="H22" i="7" s="1"/>
  <c r="I22" i="7" s="1"/>
  <c r="E53" i="7"/>
  <c r="F53" i="7" s="1"/>
  <c r="G53" i="7" s="1"/>
  <c r="E52" i="7"/>
  <c r="F52" i="7" s="1"/>
  <c r="G52" i="7" s="1"/>
</calcChain>
</file>

<file path=xl/comments1.xml><?xml version="1.0" encoding="utf-8"?>
<comments xmlns="http://schemas.openxmlformats.org/spreadsheetml/2006/main">
  <authors>
    <author>Gordon Anderson</author>
  </authors>
  <commentList>
    <comment ref="AN57" authorId="0" shapeId="0">
      <text>
        <r>
          <rPr>
            <b/>
            <sz val="9"/>
            <color indexed="81"/>
            <rFont val="Tahoma"/>
            <family val="2"/>
          </rPr>
          <t>Gordon Anderson:</t>
        </r>
        <r>
          <rPr>
            <sz val="9"/>
            <color indexed="81"/>
            <rFont val="Tahoma"/>
            <family val="2"/>
          </rPr>
          <t xml:space="preserve">
Includes 5 new 'demand-led' strategic places for 2016-17.</t>
        </r>
      </text>
    </comment>
    <comment ref="AN59" authorId="0" shapeId="0">
      <text>
        <r>
          <rPr>
            <b/>
            <sz val="9"/>
            <color indexed="81"/>
            <rFont val="Tahoma"/>
            <family val="2"/>
          </rPr>
          <t>Gordon Anderson:</t>
        </r>
        <r>
          <rPr>
            <sz val="9"/>
            <color indexed="81"/>
            <rFont val="Tahoma"/>
            <family val="2"/>
          </rPr>
          <t xml:space="preserve">
Includes 10 new 'Access to Rural Communities' strategic places for 2016-17 and 1 from 2015-16, as St Andrews kept all 10 places through only 9 were filled..</t>
        </r>
      </text>
    </comment>
    <comment ref="AN64" authorId="0" shapeId="0">
      <text>
        <r>
          <rPr>
            <b/>
            <sz val="9"/>
            <color indexed="81"/>
            <rFont val="Tahoma"/>
            <family val="2"/>
          </rPr>
          <t>Gordon Anderson:</t>
        </r>
        <r>
          <rPr>
            <sz val="9"/>
            <color indexed="81"/>
            <rFont val="Tahoma"/>
            <family val="2"/>
          </rPr>
          <t xml:space="preserve">
Includes new strategic places for the Royal Conservatoire of Scotland and St Andrews.</t>
        </r>
      </text>
    </comment>
  </commentList>
</comments>
</file>

<file path=xl/sharedStrings.xml><?xml version="1.0" encoding="utf-8"?>
<sst xmlns="http://schemas.openxmlformats.org/spreadsheetml/2006/main" count="1208" uniqueCount="503">
  <si>
    <t>Full-time Checks</t>
  </si>
  <si>
    <t>Part-time Checks</t>
  </si>
  <si>
    <t>Part-time</t>
  </si>
  <si>
    <t>Total</t>
  </si>
  <si>
    <t>Part-time
(including
short
full-time)</t>
  </si>
  <si>
    <t>Institution:</t>
  </si>
  <si>
    <t>Enter</t>
  </si>
  <si>
    <t>Referenced</t>
  </si>
  <si>
    <t>Pre-clinical Medicine</t>
  </si>
  <si>
    <t>Pre-clinical Dentistry</t>
  </si>
  <si>
    <t>Education</t>
  </si>
  <si>
    <t>Research Postgraduate</t>
  </si>
  <si>
    <t>Tolerances</t>
  </si>
  <si>
    <t>Taught Postgraduate</t>
  </si>
  <si>
    <t>RPG FTE</t>
  </si>
  <si>
    <t>Taught PG: UG fees</t>
  </si>
  <si>
    <t>RPG Percentage</t>
  </si>
  <si>
    <t>Undergraduate</t>
  </si>
  <si>
    <t>Aberdeen, University of</t>
  </si>
  <si>
    <t>Warning messages</t>
  </si>
  <si>
    <t>Non-zero FTE in only one of Early Statistics or Final Figures</t>
  </si>
  <si>
    <t>Warning 2 for RPG</t>
  </si>
  <si>
    <t>At least 10 FTE and 5% difference between Final Figures and Early Statistics</t>
  </si>
  <si>
    <t>Full-time</t>
  </si>
  <si>
    <t>Clinical Medicine</t>
  </si>
  <si>
    <t>Clinical Dentistry</t>
  </si>
  <si>
    <t>Students eligible for funding in all subject areas and rest of UK students not eligible for funding in controlled subject areas</t>
  </si>
  <si>
    <t>FTE</t>
  </si>
  <si>
    <t>Controlled Subject Areas</t>
  </si>
  <si>
    <t>Nursing and Midwifery</t>
  </si>
  <si>
    <t>Non-Controlled Subject Areas</t>
  </si>
  <si>
    <t>PGCE / PGDE Primary</t>
  </si>
  <si>
    <t>PGCE / PGDE Secondary</t>
  </si>
  <si>
    <t>Medicine and Dentistry</t>
  </si>
  <si>
    <t>BEd Primary</t>
  </si>
  <si>
    <t>BEd Music</t>
  </si>
  <si>
    <t>BEd Physical Education</t>
  </si>
  <si>
    <t>BEd Technology</t>
  </si>
  <si>
    <t>STEM subject areas</t>
  </si>
  <si>
    <t>Other subject areas</t>
  </si>
  <si>
    <t>All Levels</t>
  </si>
  <si>
    <t>Other</t>
  </si>
  <si>
    <t>Level of Study / Subject Area</t>
  </si>
  <si>
    <t>Scottish Funding Council</t>
  </si>
  <si>
    <t>Full-time and sandwich
(excluding short full-time)</t>
  </si>
  <si>
    <t>Continuing
Rest of UK
(*)</t>
  </si>
  <si>
    <t>Full-time
and
sandwich</t>
  </si>
  <si>
    <t>Students Eligible for Funding</t>
  </si>
  <si>
    <t>Control FTE</t>
  </si>
  <si>
    <t>Control Percentage</t>
  </si>
  <si>
    <t>Non-control FTE</t>
  </si>
  <si>
    <t>Non-control Percentage</t>
  </si>
  <si>
    <t>Warning 1 One Non-zero FTE</t>
  </si>
  <si>
    <t>At least 10 FTE and 10% difference between Final Figures and Early Statistics</t>
  </si>
  <si>
    <t>At least 20 FTE and 5% difference between Final Figures and Early Statistics</t>
  </si>
  <si>
    <t>Warning 2 for Control</t>
  </si>
  <si>
    <t>Warning 2 for Non-control Non-RPG</t>
  </si>
  <si>
    <t>Automatic warning message</t>
  </si>
  <si>
    <t>Comment on automatic warning message</t>
  </si>
  <si>
    <t>Warning Messages</t>
  </si>
  <si>
    <t>Only
one of
either
ES and
FF is
zero</t>
  </si>
  <si>
    <t>Institution selected</t>
  </si>
  <si>
    <t>Col</t>
  </si>
  <si>
    <t>Abertay Dundee, University of</t>
  </si>
  <si>
    <t>Dundee, University of</t>
  </si>
  <si>
    <t>Edinburgh Napier University</t>
  </si>
  <si>
    <t>Edinburgh, University of</t>
  </si>
  <si>
    <t>Glasgow Caledonian University</t>
  </si>
  <si>
    <t>Glasgow School of Art</t>
  </si>
  <si>
    <t>Glasgow, University of</t>
  </si>
  <si>
    <t>Heriot-Watt University</t>
  </si>
  <si>
    <t>Highlands and Islands, University of the</t>
  </si>
  <si>
    <t>Open University in Scotland</t>
  </si>
  <si>
    <t>Queen Margaret University, Edinburgh</t>
  </si>
  <si>
    <t>Robert Gordon University</t>
  </si>
  <si>
    <t>Royal Conservatoire of Scotland</t>
  </si>
  <si>
    <t>St Andrews, University of</t>
  </si>
  <si>
    <t>Stirling, University of</t>
  </si>
  <si>
    <t>Strathclyde, University of</t>
  </si>
  <si>
    <t>West of Scotland, University of the</t>
  </si>
  <si>
    <t>Open University in Scotland (completions)</t>
  </si>
  <si>
    <t>Aberdeen,
University of</t>
  </si>
  <si>
    <t>Abertay Dundee,
University of</t>
  </si>
  <si>
    <t>Dundee,
University of</t>
  </si>
  <si>
    <t>Edinburgh Napier
University</t>
  </si>
  <si>
    <t>Edinburgh,
University of</t>
  </si>
  <si>
    <t>Glasgow Caledonian
University</t>
  </si>
  <si>
    <t>Heriot-Watt
University</t>
  </si>
  <si>
    <t>Highlands and Islands,
University of the</t>
  </si>
  <si>
    <t>Open University
in Scotland
(Enrolments)</t>
  </si>
  <si>
    <t>Queen Margaret
University, Edinburgh</t>
  </si>
  <si>
    <t>Robert Gordon
University</t>
  </si>
  <si>
    <t>Royal Conservatoire
of Scotland</t>
  </si>
  <si>
    <t>St Andrews,
University of</t>
  </si>
  <si>
    <t>Stirling,
University of</t>
  </si>
  <si>
    <t>Strathclyde,
University of</t>
  </si>
  <si>
    <t>West of Scotland,
University of the</t>
  </si>
  <si>
    <t>Open University
in Scotland
(Completions)</t>
  </si>
  <si>
    <t>Check total</t>
  </si>
  <si>
    <t>Early Statistics Table Column Number Look Ups</t>
  </si>
  <si>
    <t>SRUC</t>
  </si>
  <si>
    <r>
      <t xml:space="preserve">Level of Study / </t>
    </r>
    <r>
      <rPr>
        <b/>
        <sz val="11"/>
        <color indexed="56"/>
        <rFont val="Calibri"/>
        <family val="2"/>
      </rPr>
      <t>Subject Areas</t>
    </r>
  </si>
  <si>
    <t>Previously Controlled</t>
  </si>
  <si>
    <t>Controlled Four-year Degree - Entrants</t>
  </si>
  <si>
    <t>Of which associated with Innovation Centres</t>
  </si>
  <si>
    <t>Rest of UK
students
not eligible
for funding
in controlled
subject areas</t>
  </si>
  <si>
    <t>Full-time and sandwich</t>
  </si>
  <si>
    <t>Glasgow
Caledonian
University</t>
  </si>
  <si>
    <t>Abertay
Dundee,
University of</t>
  </si>
  <si>
    <t>Edinburgh
Napier
University</t>
  </si>
  <si>
    <t>Glasgow
School
of Art</t>
  </si>
  <si>
    <t>Glasgow,
University of</t>
  </si>
  <si>
    <t>Highlands
and Islands,
University
of the</t>
  </si>
  <si>
    <t>Open
University
in Scotland
(Enrolments)</t>
  </si>
  <si>
    <t>Queen
Margaret
University,
Edinburgh</t>
  </si>
  <si>
    <t>Robert
Gordon
University</t>
  </si>
  <si>
    <t>Royal
Conservatoire
of Scotland</t>
  </si>
  <si>
    <t>West of
Scotland,
University
of the</t>
  </si>
  <si>
    <t>Students eligible
for funding</t>
  </si>
  <si>
    <t>RUK students
not eligible
for funding
in controlled
subject
areas</t>
  </si>
  <si>
    <t>Percentage Change from
Early Statistics to Final Figures</t>
  </si>
  <si>
    <t xml:space="preserve">Only one of
either
ES and FF
is 0 and
difference
at least
5 FTE </t>
  </si>
  <si>
    <t xml:space="preserve">Only one of
either
ES and FF 
is 0 and
difference
at least 5 FTE </t>
  </si>
  <si>
    <t xml:space="preserve">Flags
warning
(for
warning
messages
and
conditional
format) </t>
  </si>
  <si>
    <t>Only
one of
either
ES and FF 
is zero</t>
  </si>
  <si>
    <t>Both ES and FF
are non-zero,
check breach
of tolerances
(FTE and %)
for RPG /
Control /
Non-control</t>
  </si>
  <si>
    <t>RUK Control FTE</t>
  </si>
  <si>
    <t>At least 5 FTE difference between Final Figures and Early Statistics</t>
  </si>
  <si>
    <t>Warning 2 for RUK Control</t>
  </si>
  <si>
    <t>Flags for comments request
(warnings on FTE sheet)</t>
  </si>
  <si>
    <t>RUK</t>
  </si>
  <si>
    <t>Enter /
Calculated</t>
  </si>
  <si>
    <t>(*) 'Continuing rest of UK' students are students who are eligible for funding because they started their courses prior to 2012-13, but who would not have been eligible for funding if they had started in 2012-13 or later because they would have been paying the deregulated tuition fees introduced for rest of UK students.</t>
  </si>
  <si>
    <t>Rest of UK Students Not Eligible for Funding in Controlled Subject Areas / Taught Postgraduate Students Eligible for Funding in Innovation Centres</t>
  </si>
  <si>
    <r>
      <t>Send the completed return by e-mail to Michelle McNeill, Funding Policy/Analysis Officer, E-mail:  mmcneill</t>
    </r>
    <r>
      <rPr>
        <b/>
        <u/>
        <sz val="11"/>
        <color indexed="12"/>
        <rFont val="Calibri"/>
        <family val="2"/>
      </rPr>
      <t>@sfc.ac.uk</t>
    </r>
    <r>
      <rPr>
        <sz val="12"/>
        <rFont val="Garamond"/>
        <family val="1"/>
      </rPr>
      <t/>
    </r>
  </si>
  <si>
    <t>Institution</t>
  </si>
  <si>
    <t>Clinical
medicine</t>
  </si>
  <si>
    <t>Clinical
dentistry</t>
  </si>
  <si>
    <t>Pre-clinical
medicine</t>
  </si>
  <si>
    <t>Pre-clinical
dentistry</t>
  </si>
  <si>
    <t>BEd
Primary</t>
  </si>
  <si>
    <t>BEd
Music</t>
  </si>
  <si>
    <t>BEd PE</t>
  </si>
  <si>
    <t>BEd
Technology</t>
  </si>
  <si>
    <t>PGDE
Primary</t>
  </si>
  <si>
    <t>PGDE
Secondary</t>
  </si>
  <si>
    <t>Honours
Nursing</t>
  </si>
  <si>
    <t xml:space="preserve">Nursing
and
Midwifery
Pre-
registration   </t>
  </si>
  <si>
    <t>Medicine
under-
graduates</t>
  </si>
  <si>
    <t>Dentistry
under-
graduates</t>
  </si>
  <si>
    <t>Initial
Teacher
Education
Primary</t>
  </si>
  <si>
    <t>Initial
Teacher
Education
Secondary</t>
  </si>
  <si>
    <t>Nursing
and
midwifery
pre-
registration</t>
  </si>
  <si>
    <t>Num-
ber</t>
  </si>
  <si>
    <t>Title</t>
  </si>
  <si>
    <t>Students eligible for funding compared to funded places</t>
  </si>
  <si>
    <t>Controlled subject areas</t>
  </si>
  <si>
    <t>SFC
funded
places</t>
  </si>
  <si>
    <t>Scottish
Govern-
ment
funded
places</t>
  </si>
  <si>
    <t>Total
funded
places</t>
  </si>
  <si>
    <t>Fees-only students</t>
  </si>
  <si>
    <t>Is there an
under-
enrolment
below the
tolerance
threshold
(Yes or
No) ?</t>
  </si>
  <si>
    <t>Percentage</t>
  </si>
  <si>
    <t>Calculated</t>
  </si>
  <si>
    <t>BEd  Physical Education</t>
  </si>
  <si>
    <t>PGDE Primary</t>
  </si>
  <si>
    <t>PGDE Secondary</t>
  </si>
  <si>
    <t>Non-controlled subject areas</t>
  </si>
  <si>
    <t>Taught Postgraduate and Undergraduate</t>
  </si>
  <si>
    <t>Scottish and other EU full-time and sandwich undergraduate students eligible for funding compared to Indicative student numbers for non-controlled subject areas</t>
  </si>
  <si>
    <t>Students eligible for funding and rest of UK students paying deregulated tuition fees compared to Indicative student numbers for controlled subject areas</t>
  </si>
  <si>
    <t>Subject area</t>
  </si>
  <si>
    <t>Relevant
student
numbers</t>
  </si>
  <si>
    <t>Difference between
student numbers and
Indicative Number</t>
  </si>
  <si>
    <t>Is there a
breach of
consol-
idation
(Yes or
No) ?</t>
  </si>
  <si>
    <t>Medicine Undergraduates:</t>
  </si>
  <si>
    <t>Scots, Other EU, Rest of UK</t>
  </si>
  <si>
    <t>Dentistry Undergraduates:</t>
  </si>
  <si>
    <t>Initial Teacher Education (BEd and PGDE)
(Scots, Other EU, Rest of UK):</t>
  </si>
  <si>
    <t>Primary</t>
  </si>
  <si>
    <t>Secondary</t>
  </si>
  <si>
    <t>Nursing and Midwifery Pre-registration:</t>
  </si>
  <si>
    <t>Non-controlled Subject Areas</t>
  </si>
  <si>
    <t>Full-time undergraduates (Scots, Other EU)</t>
  </si>
  <si>
    <t>Parameters</t>
  </si>
  <si>
    <t>Controlled Under-enrolments</t>
  </si>
  <si>
    <t>Non-controlled Under-enrolments</t>
  </si>
  <si>
    <t>Consolidation tolerance (&gt;=100)</t>
  </si>
  <si>
    <t>Consolidation tolerance (&lt;100) (FTE)</t>
  </si>
  <si>
    <t>Both ES and FF
are non-zero,
check breach
of tolerance</t>
  </si>
  <si>
    <t>Final Figures Return 2016-17</t>
  </si>
  <si>
    <t>Early Statistics 2016-17</t>
  </si>
  <si>
    <t>Look up
for
Early
Statistics
for
2016-17</t>
  </si>
  <si>
    <t>Students Eligible for Funding 2016-17</t>
  </si>
  <si>
    <t>Rest of UK
students
not eligible
for funding
in controlled
subject areas,
2016-17</t>
  </si>
  <si>
    <t>SFC Controlled Funded Places for 2016-17</t>
  </si>
  <si>
    <t>Scottish Government Controlled Funded Places for 2016-17</t>
  </si>
  <si>
    <t>Funded Places and Consolidation Student Numbers for 2016-17</t>
  </si>
  <si>
    <t>Column number for table look ups</t>
  </si>
  <si>
    <t>Additional SFC Places for 2016-17</t>
  </si>
  <si>
    <t>New and Continuing
SFC Places for 2016-17</t>
  </si>
  <si>
    <t>European Social Fund
‘Developing Scotland’s Workforce'</t>
  </si>
  <si>
    <t>Total SFC Non-controlled
Funded Places for 2016-17</t>
  </si>
  <si>
    <t>Controlled Consolidation Student Numbers for 2016-17</t>
  </si>
  <si>
    <t>Non-
controlled
Consolid-
ation
Student
Number
for
2016-17</t>
  </si>
  <si>
    <t>Widening
Access</t>
  </si>
  <si>
    <t>Articulation</t>
  </si>
  <si>
    <t>Skills
for
Growth
(Under-
graduate)</t>
  </si>
  <si>
    <t>Crichton
campus</t>
  </si>
  <si>
    <t>Taught
post-
graduate</t>
  </si>
  <si>
    <t>Regional
Coherence</t>
  </si>
  <si>
    <t>Research
post-graduate</t>
  </si>
  <si>
    <t>Taught
post-graduate</t>
  </si>
  <si>
    <t>HN</t>
  </si>
  <si>
    <t>Funded
through
Main
Teaching
Grant</t>
  </si>
  <si>
    <t>Funded
through
Strategic
Grants</t>
  </si>
  <si>
    <t>Pre-clinical
Medicine</t>
  </si>
  <si>
    <t>Scottish Funding Council Final Figures Return 2016-17</t>
  </si>
  <si>
    <t>Monitoring for Under-enrolments against Funded Places or Breaches of Consolidation, 2016-17</t>
  </si>
  <si>
    <t>Controlled subject areas, 2016-17</t>
  </si>
  <si>
    <t>Students
eligible
for  
funding
2016-17</t>
  </si>
  <si>
    <t>Non-controlled subject areas, 2016-17</t>
  </si>
  <si>
    <t>All
students
eligible
for  
funding in
2016-17</t>
  </si>
  <si>
    <t>Indicative student numbers, 2016-17</t>
  </si>
  <si>
    <t>Indicative
Numbers 
2016-17</t>
  </si>
  <si>
    <t>Contents</t>
  </si>
  <si>
    <t>Table</t>
  </si>
  <si>
    <t>Completed
by
Institution</t>
  </si>
  <si>
    <t>YES</t>
  </si>
  <si>
    <t>Use of Additional Funded Places for 2016-17 for Widening Access</t>
  </si>
  <si>
    <t>Use of Additional Funded Places for 2016-17 for Articulation</t>
  </si>
  <si>
    <t>Use of Additional Funded Places for 2016-17 for Taught Postgraduate Provision</t>
  </si>
  <si>
    <t>Use of Additional Funded Places for 2016-17 for Regional Coherence and Crichton Campus</t>
  </si>
  <si>
    <t>Use of Places Funded by the European Social Fund (ESF)'s Developing Scotland's Workforce Programme, 2016-17</t>
  </si>
  <si>
    <t>For Info</t>
  </si>
  <si>
    <t>SFC Final Figures Return 2016-17</t>
  </si>
  <si>
    <t>Undergraduate entrants in 2016-17 from the 40 per cent most deprived areas   (*)</t>
  </si>
  <si>
    <t>Difference</t>
  </si>
  <si>
    <t>(*) Enter the FTE number of places that have been filled. You do not have to return the total</t>
  </si>
  <si>
    <t xml:space="preserve">     number of undergraduate entrants from the 40 per cent most deprived areas.</t>
  </si>
  <si>
    <t>College</t>
  </si>
  <si>
    <t>Entrants
articulating
at a
Further
Education
College,
2016-17</t>
  </si>
  <si>
    <t>Use of Additional Funded Places for Taught Postgraduate Provision, 2016-17</t>
  </si>
  <si>
    <t>Students on
the relevant
taught
postgraduate
courses,
2016-17</t>
  </si>
  <si>
    <t>Course</t>
  </si>
  <si>
    <t>Use of Additional Funded Places for Regional Coherence and Crichton Campus, 2016-17</t>
  </si>
  <si>
    <t>Use of Additional Funded Places for Regional Coherence</t>
  </si>
  <si>
    <t>Allocation of
additional
funded
places</t>
  </si>
  <si>
    <t>Students
eligible
for funding,
2016-17
(*)</t>
  </si>
  <si>
    <t>Scheme</t>
  </si>
  <si>
    <t xml:space="preserve">Regional Coherence </t>
  </si>
  <si>
    <t>Use of Additional Funded Places for Crichton Campus for 2016-17</t>
  </si>
  <si>
    <t>Level of Study</t>
  </si>
  <si>
    <t>Research
postgraduates</t>
  </si>
  <si>
    <t>Taught
postgraduates</t>
  </si>
  <si>
    <t>Early Statistics Table Column Number</t>
  </si>
  <si>
    <t>Use of Additional
Funded Places for</t>
  </si>
  <si>
    <t>Entrants
articulating
at a Further
Education
College,
2016-17</t>
  </si>
  <si>
    <t>Edinburgh Napier, University of</t>
  </si>
  <si>
    <t>Royal Scottish Academy of Music and Drama</t>
  </si>
  <si>
    <t>Use of Additional Funded Places for Articulation for 2016-17</t>
  </si>
  <si>
    <t>Use of Additional Funded Places for Taught Postgraduates for 2016-17</t>
  </si>
  <si>
    <t>Entrants
articulating
at a Further
Education
Course,
2016-17</t>
  </si>
  <si>
    <t>Use of Additional Funded Places for Crichton for 2016-17</t>
  </si>
  <si>
    <t>Students
eligible
for funding,
2016-17</t>
  </si>
  <si>
    <t>Use of Additional Funded Places for European Social Fund for 2016-17</t>
  </si>
  <si>
    <t xml:space="preserve">Highlands and Islands, University of the </t>
  </si>
  <si>
    <t xml:space="preserve">Total </t>
  </si>
  <si>
    <t>Use of Additional Funded Places for Widening Access and Regional Coherence</t>
  </si>
  <si>
    <t>The Open University in Scotland</t>
  </si>
  <si>
    <t>Scottish Funding Council Final Figures Return 2016-17: Table 3a</t>
  </si>
  <si>
    <t>Included in Table</t>
  </si>
  <si>
    <t>3a</t>
  </si>
  <si>
    <t>3b</t>
  </si>
  <si>
    <t>3c</t>
  </si>
  <si>
    <t>3d</t>
  </si>
  <si>
    <t>3e</t>
  </si>
  <si>
    <t>Table 3d -
Regional
Coherence</t>
  </si>
  <si>
    <t>Table 3d -
Crichton</t>
  </si>
  <si>
    <t>Use of Additional Funded Places Tables Look Up</t>
  </si>
  <si>
    <t>Table 3a -
Widening
Access</t>
  </si>
  <si>
    <t>Table 3b -
Articulation</t>
  </si>
  <si>
    <t>Table 3c -
Taught
post-
graduate</t>
  </si>
  <si>
    <t>Table 3e -
ESF</t>
  </si>
  <si>
    <t>Enrolments</t>
  </si>
  <si>
    <t>Table 3c -
Taught postgraduate</t>
  </si>
  <si>
    <t>Table 3b - Articulation</t>
  </si>
  <si>
    <t>Table 3e - ESF</t>
  </si>
  <si>
    <t>RPG
enrolments</t>
  </si>
  <si>
    <t>TPG
enrolments</t>
  </si>
  <si>
    <t>HN
enrolments</t>
  </si>
  <si>
    <t>Three-year Nursing Degrees</t>
  </si>
  <si>
    <t>Four-year Nursing Degrees - Started in 2014-15 or later</t>
  </si>
  <si>
    <t>Early Statistics</t>
  </si>
  <si>
    <t>Early Statistics  (FTE)</t>
  </si>
  <si>
    <t>Difference from funded places  (FTE)</t>
  </si>
  <si>
    <t>Difference from funded places   (FTE)</t>
  </si>
  <si>
    <t>Scottish Funding Council Early Statistics Return 2016-17: Table 3d</t>
  </si>
  <si>
    <t>(*) Enter the FTE number of places that have been filled. You do not have to return the total FTE number of students eligible for funding on the relevant courses.</t>
  </si>
  <si>
    <t>Additional Funded Places  (FTE)</t>
  </si>
  <si>
    <t>Difference from additional funded places</t>
  </si>
  <si>
    <t>(*) Enter the FTE number of places that have been filled. You do not have to return the total number of entrants articulating at a further education college.</t>
  </si>
  <si>
    <t>Difference
from
additional
funded
places</t>
  </si>
  <si>
    <t>Additional funded places   (FTE)</t>
  </si>
  <si>
    <t>Final Figures (enter if different from Early Statistics)   (FTE)</t>
  </si>
  <si>
    <t>Final Figures (enter if different from Early Statistics)</t>
  </si>
  <si>
    <t>Final Figures
 (enter if different from Early Statistics)</t>
  </si>
  <si>
    <t>(*) Enter the FTE number of places that have been filled.  You do not have to return the total number of students eligible for funding on the taught postgraduate courses for which additional places were allocated.</t>
  </si>
  <si>
    <t>Additional funded places for</t>
  </si>
  <si>
    <t>Research postgraduates</t>
  </si>
  <si>
    <t>Taught postgraduates</t>
  </si>
  <si>
    <t>3f</t>
  </si>
  <si>
    <t>Comments on Notable Differences between Final Figures and Early Statistics for 2016-17</t>
  </si>
  <si>
    <t>Innovation Centre</t>
  </si>
  <si>
    <t>Lead Institution</t>
  </si>
  <si>
    <t>Funded
places</t>
  </si>
  <si>
    <t>Construction Scotland Innovation Centre (CSIC)</t>
  </si>
  <si>
    <t>The Data Lab (DATALAB)</t>
  </si>
  <si>
    <t>Digital Health and Care Institute (DHI)</t>
  </si>
  <si>
    <t>Centre for Sensors and Imaging Systems (CENSIS)</t>
  </si>
  <si>
    <t>Stratified Scotland Innovation Centre (SMS-IC)</t>
  </si>
  <si>
    <t>Oil and Gas Innovation Centre (OGIC)</t>
  </si>
  <si>
    <t>Scottish Aquaculture Innovation Centre (SAIC)</t>
  </si>
  <si>
    <t>Industrial Biotechnology Innovation Centre (IBioIC)</t>
  </si>
  <si>
    <t>Taught
postgraduate
students
eligible
for funding</t>
  </si>
  <si>
    <t>Use of Additional Funded Places for Innovation Centres</t>
  </si>
  <si>
    <t>Rest of UK students
not eligible for funding
in controlled subject areas</t>
  </si>
  <si>
    <t>RUK students not eligible for funding
in controlled subject areas</t>
  </si>
  <si>
    <t>Rest of UK students not eligible for funding in controlled subject areas</t>
  </si>
  <si>
    <t>Table 1</t>
  </si>
  <si>
    <t>Table 2</t>
  </si>
  <si>
    <t>Enter explanation of notable differences in cells with a white background in table below</t>
  </si>
  <si>
    <t>An individual student should not be counted in more than one of the tables 3a to 3f.</t>
  </si>
  <si>
    <t xml:space="preserve">     Paragraphs 37 to 40 of the Early Statistics Notes of Guidance for 2016-17 provide further information on 'continuing rest of UK' students.</t>
  </si>
  <si>
    <t>Use of Additional Funded Places for 2016-17 for Innovation Centres   (*)</t>
  </si>
  <si>
    <t>(*)</t>
  </si>
  <si>
    <r>
      <t xml:space="preserve">Completed spreadsheet should be emailed to </t>
    </r>
    <r>
      <rPr>
        <b/>
        <sz val="11"/>
        <rFont val="Calibri"/>
        <family val="2"/>
      </rPr>
      <t>mmcneill@sfc.ac.uk</t>
    </r>
    <r>
      <rPr>
        <sz val="11"/>
        <rFont val="Calibri"/>
        <family val="2"/>
      </rPr>
      <t xml:space="preserve"> by </t>
    </r>
    <r>
      <rPr>
        <b/>
        <sz val="11"/>
        <rFont val="Calibri"/>
        <family val="2"/>
      </rPr>
      <t>Friday 6 October 2017</t>
    </r>
  </si>
  <si>
    <t>You must make your return by, or preferably before, Friday 6 October 2017</t>
  </si>
  <si>
    <t>Scottish Funding Council Early Statistics Return 2016-17: Table 3b</t>
  </si>
  <si>
    <t>http://www.sfc.ac.uk/communications/Guidance/2016/SFCGD232016.aspx</t>
  </si>
  <si>
    <t>See paragraphs 100 to 103 of the Notes of Guidance for the Early Statistics Return for 2016-17:</t>
  </si>
  <si>
    <t>See paragraphs 104 to 106 of the Notes of Guidance for the Early Statistics Return for 2016-17:</t>
  </si>
  <si>
    <t>See paragraphs 115 to 117 of the Notes of Guidance for the Early Statistics Return for 2016-17:</t>
  </si>
  <si>
    <t>See paragraphs 118 to 120 of the Notes of Guidance for the Early Statistics Return for 2016-17:</t>
  </si>
  <si>
    <t>See paragraphs 121 to 124 of the Notes of Guidance for the Early Statistics Return for 2016-17:</t>
  </si>
  <si>
    <t>(*) The institutions who collaborate in an Innovation Centre should agree amongst themselves who reports which of the taught postgraduate students at the Innovation Centre.</t>
  </si>
  <si>
    <t>Scottish Funding Council Early Statistics Return 2016-17: Table 3f</t>
  </si>
  <si>
    <t>Scottish Funding Council Early Statistics Return 2016-17: Table 3e</t>
  </si>
  <si>
    <t>Scottish Funding Council Early Statistics Return 2016-17: Table 3c</t>
  </si>
  <si>
    <t>Edinburgh College</t>
  </si>
  <si>
    <t>Dundee &amp; Angus College</t>
  </si>
  <si>
    <t>Dundee and Angus College</t>
  </si>
  <si>
    <t>City of Glasgow College</t>
  </si>
  <si>
    <t>Glasgow Clyde College</t>
  </si>
  <si>
    <t>Dumfries and Galloway College</t>
  </si>
  <si>
    <t>Edinburgh College (Electrical &amp; Mech Eng)</t>
  </si>
  <si>
    <t>Students registered at Robert Gordon University but taught in partnership with North East Scotland College.</t>
  </si>
  <si>
    <t>Forth Valley College</t>
  </si>
  <si>
    <t>Fouth Valley College</t>
  </si>
  <si>
    <t>Ayrshire</t>
  </si>
  <si>
    <t>West Lothian College</t>
  </si>
  <si>
    <t>Glasgow Kelvin College</t>
  </si>
  <si>
    <t>West College</t>
  </si>
  <si>
    <t>Forth Valley College (Electrical, Chem &amp; Mech Eng)</t>
  </si>
  <si>
    <t>Newbattle Abbey College</t>
  </si>
  <si>
    <t>West</t>
  </si>
  <si>
    <t>Borders College</t>
  </si>
  <si>
    <t xml:space="preserve">Glasgow Clyde College (Textiles) </t>
  </si>
  <si>
    <t>Ayrshire College</t>
  </si>
  <si>
    <t>City of Glasgow</t>
  </si>
  <si>
    <t>Fife College</t>
  </si>
  <si>
    <t>Borders College (Business Mgt)</t>
  </si>
  <si>
    <t>West College Scotland</t>
  </si>
  <si>
    <t>Glasgow Kelvin</t>
  </si>
  <si>
    <t>New College Lanarkshire</t>
  </si>
  <si>
    <t>Clyde</t>
  </si>
  <si>
    <t>South Lanarkshire</t>
  </si>
  <si>
    <t>CREATIVE INDUSTRIES</t>
  </si>
  <si>
    <t>MSc Food &amp; Drink Innovation</t>
  </si>
  <si>
    <t>MSc in Animation &amp; VFX (1ANIMVFX3)</t>
  </si>
  <si>
    <t>MSC ADVANCED NETWORKING F/T</t>
  </si>
  <si>
    <t>Life sciences cluster</t>
  </si>
  <si>
    <t>MSc Energy and Environmental Management</t>
  </si>
  <si>
    <t>M.Des in Design Innovation and Citizenship</t>
  </si>
  <si>
    <t>Theatre Practices</t>
  </si>
  <si>
    <t>Brewing &amp; Distilling/ Food Science</t>
  </si>
  <si>
    <t>MA in Arts, Festival &amp; Cultural Management</t>
  </si>
  <si>
    <t>MSc IT for the Oil and Gas Industry and MSc Information and Network Security</t>
  </si>
  <si>
    <t>MA Learning and Teaching (Gaelic Arts)</t>
  </si>
  <si>
    <t>Health Psychology (M.Litt.)</t>
  </si>
  <si>
    <t>Marine Biotechnology</t>
  </si>
  <si>
    <t>MSc Wind Energy</t>
  </si>
  <si>
    <t>Mobile Web Development</t>
  </si>
  <si>
    <t>FOOD &amp; DRINK</t>
  </si>
  <si>
    <t>MSc in Augmentative and Alternative Communication (1AUGALTCOM3)</t>
  </si>
  <si>
    <t>MSC ADVANCED SECURITY AND DIGITAL FORENSICS F/T</t>
  </si>
  <si>
    <t>Energy cluster</t>
  </si>
  <si>
    <t>MSc Food Bioscience</t>
  </si>
  <si>
    <t>M.Des in Design Innovation &amp; Environmental Design</t>
  </si>
  <si>
    <t>Playwriting &amp; Dramaturgy</t>
  </si>
  <si>
    <t>Marine Renewable Energy/ Marine Resource Mgt/ Renewable Energy Engineering</t>
  </si>
  <si>
    <t>MSc Gastronomy</t>
  </si>
  <si>
    <t>MSc Instrumental Analytical Sciences</t>
  </si>
  <si>
    <t>MEd Learning and Teaching (PT - 2 years)</t>
  </si>
  <si>
    <t>Management (M.Litt.)</t>
  </si>
  <si>
    <t>Energy Management</t>
  </si>
  <si>
    <t>MSc Offshore Renewable Energy</t>
  </si>
  <si>
    <t>Smart Networks</t>
  </si>
  <si>
    <t>LIFE SCIENCES</t>
  </si>
  <si>
    <t>MDes in Comics and Graphic Novels (1CGNMDES3)</t>
  </si>
  <si>
    <t>MSC ADVANCED SECURITY AND DIGITAL FORENSICS P/T</t>
  </si>
  <si>
    <t>Mathematical sciences and finance sector cluster</t>
  </si>
  <si>
    <t>MSc Social Work</t>
  </si>
  <si>
    <t>M.Des in Design Innovation and Service Design</t>
  </si>
  <si>
    <t>Dress and Textile Histories</t>
  </si>
  <si>
    <t>Actuarial Science/ Quantitative Financial Engineering</t>
  </si>
  <si>
    <t>MSc Fashion Management</t>
  </si>
  <si>
    <t>MEd Learning and Teaching (PT - 3 years)</t>
  </si>
  <si>
    <t>Museum &amp; Gallery Studies (M.Litt.) - full-time only</t>
  </si>
  <si>
    <t>International Energy Law and Policy</t>
  </si>
  <si>
    <t>MSc Advanced Manufacturing</t>
  </si>
  <si>
    <t>Advanced Computing</t>
  </si>
  <si>
    <t>ENERGY</t>
  </si>
  <si>
    <t>MLitt in Comics and Graphic Novels (1CGNMLITT3)</t>
  </si>
  <si>
    <t>MSC BIOTECHNOLOGY FOR ENVIRONMENTAL SUSTAINABILITY F/T</t>
  </si>
  <si>
    <t>Sustainability and tourism cluster</t>
  </si>
  <si>
    <t>MSc Human Resource Management, MSc International HRM</t>
  </si>
  <si>
    <t>MDes in Design Innovation and Transformation Design</t>
  </si>
  <si>
    <t>Collecting and Provenance Studies in an International Context</t>
  </si>
  <si>
    <t>Civil Engineering/ Construction Mgt/ Water Environmental Mgt</t>
  </si>
  <si>
    <t>Photonics and Optoelectronic Devices (M.Litt.)</t>
  </si>
  <si>
    <t>Environmental Management</t>
  </si>
  <si>
    <t>PGDip Advanced Manufacturing</t>
  </si>
  <si>
    <t>Information &amp; Network Security</t>
  </si>
  <si>
    <t>FORESTRY &amp; TIMBER TECHNOLOGIES</t>
  </si>
  <si>
    <t>MSc in Data Engineering (1DATAENG3)</t>
  </si>
  <si>
    <t>MSC BUSINESS INFORMATION TECHNOLOGY F/T</t>
  </si>
  <si>
    <t>MSc International Banking, Finance and Risk Management, MSc Risk Management (Full Time), MSc Social Business and Micro Finance, MSc International Economics and Finance, MSc Accounting and Finance</t>
  </si>
  <si>
    <t>Master of Design in Fashion and Textiles (FT)</t>
  </si>
  <si>
    <t>Art Politics and Transgression</t>
  </si>
  <si>
    <t>Petroleum Geoscience/ Reservoir Evaluation &amp; Mgt/ Oil &amp; Gas</t>
  </si>
  <si>
    <t>Sustainable Aquaculture Scholarship (M.Sc.)</t>
  </si>
  <si>
    <t>Environment Heritage and Policy</t>
  </si>
  <si>
    <t>MSc Advanced Pharmaceutical Manufacturing</t>
  </si>
  <si>
    <t>MSc in Design and Construction of Zero Carbon and Ultra-Low Energy Buildings (1DECZCULEB3)</t>
  </si>
  <si>
    <t>MSC CLINICAL EXERCISE SCIENCE F/T</t>
  </si>
  <si>
    <t>MSc International Fashion Marketing, MSc International Marketing</t>
  </si>
  <si>
    <t>Master of Design in Sound for the Moving Image</t>
  </si>
  <si>
    <t>Material Culture &amp; Artefact Studies</t>
  </si>
  <si>
    <t>Advanced Mechanical Engineering/ Energy</t>
  </si>
  <si>
    <t>Psychology of Dementia Care (PGCert) - January intake</t>
  </si>
  <si>
    <t>Health and Wellbeing of the Older Person</t>
  </si>
  <si>
    <t>MSc Pharmceutical Analysis</t>
  </si>
  <si>
    <t>MSc in Geotechnical Engineering (1GEOTECEG3)</t>
  </si>
  <si>
    <t>MSC COMPUTING FT</t>
  </si>
  <si>
    <t>MSc International Operations and Supply Chain Management</t>
  </si>
  <si>
    <t>Master of Letters in Curatorial Practice (FT)</t>
  </si>
  <si>
    <t>Animal Welfare Science, Ethics&amp; Law</t>
  </si>
  <si>
    <t>Photonics, Electrical Eng/ Smart Grid &amp; Demand Mgt</t>
  </si>
  <si>
    <t>Dementia Studies</t>
  </si>
  <si>
    <t>MSc Child &amp; Youth Care</t>
  </si>
  <si>
    <t>MSc Managing in the Energy Industries (1MANENIND3)</t>
  </si>
  <si>
    <t>MSC MEDICAL BIOTECHNOLOGY F/T</t>
  </si>
  <si>
    <t>MSc Social Business and Micro Finance</t>
  </si>
  <si>
    <t>MSc in Serious Games and Virtual Reality</t>
  </si>
  <si>
    <t>Mammilian Biology</t>
  </si>
  <si>
    <t>MSc in Product Design (1PDES3)</t>
  </si>
  <si>
    <t>MSC WEB DEVELOPMENT</t>
  </si>
  <si>
    <t>MA Multimedia Journalism</t>
  </si>
  <si>
    <t>MSc International Heritage Visualisation</t>
  </si>
  <si>
    <t>Medical Visualisation &amp; Human Anatomy</t>
  </si>
  <si>
    <t>MSc in Sustainability (1SUSTAIN3)</t>
  </si>
  <si>
    <t xml:space="preserve">MSc Management </t>
  </si>
  <si>
    <t>Information Technology</t>
  </si>
  <si>
    <t>MSc International Events Management</t>
  </si>
  <si>
    <t>Software Development</t>
  </si>
  <si>
    <t>MSc International Tourism Management</t>
  </si>
  <si>
    <t>Aeronautical Engineering</t>
  </si>
  <si>
    <t>Nanoscience and Nanotechnology</t>
  </si>
  <si>
    <t>Financial Risk Management</t>
  </si>
  <si>
    <t>Investment &amp; Fund Management</t>
  </si>
  <si>
    <t>Environment, Culture &amp; Communication</t>
  </si>
  <si>
    <t>City Planning and Real Estate Development</t>
  </si>
  <si>
    <t>Real Estate</t>
  </si>
  <si>
    <t>PGCert in Real Estate</t>
  </si>
  <si>
    <t>Big Data Technologies</t>
  </si>
  <si>
    <t xml:space="preserve">Research student - </t>
  </si>
  <si>
    <t>HND Animal Care</t>
  </si>
  <si>
    <t>Data Science</t>
  </si>
  <si>
    <t>Data Analytics</t>
  </si>
  <si>
    <t>Data Science for Business</t>
  </si>
  <si>
    <t>Business Analysis &amp; Consulting</t>
  </si>
  <si>
    <t>Operational Research</t>
  </si>
  <si>
    <t>Big Data</t>
  </si>
  <si>
    <t>MA Primary Education</t>
  </si>
  <si>
    <t>BSc Environmental Science and Sustainability</t>
  </si>
  <si>
    <t>MA Health and Social Policy</t>
  </si>
  <si>
    <t>Students Eligible for Funding in All Subject Areas and Rest of UK Students Not Eligible for Funding in Controlled Subject Areas</t>
  </si>
  <si>
    <t>Collecting and Provenance Studies in International Context</t>
  </si>
  <si>
    <t>Material Culture and Artefact Studies</t>
  </si>
  <si>
    <t>Animal Welfare Science, Ethics &amp; Law</t>
  </si>
  <si>
    <t>Mammalian Biology</t>
  </si>
  <si>
    <t>The forecast in the ER was too high.  This figure was based on late registrations from the pervious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</si>
</sst>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0.0\ \ \ ;\-#,##0.0\ \ \ ;"/>
    <numFmt numFmtId="165" formatCode="0.0%\ \ "/>
    <numFmt numFmtId="166" formatCode="_(* #,##0.00_);_(* \(#,##0.00\);_(* &quot;-&quot;??_);_(@_)"/>
    <numFmt numFmtId="167" formatCode="#,##0\ "/>
    <numFmt numFmtId="168" formatCode="#,##0.0\ \ ;\-#,##0.0\ \ ;0.0\ \ "/>
    <numFmt numFmtId="169" formatCode="#,##0.00_ ;\-#,##0.00\ "/>
    <numFmt numFmtId="170" formatCode="#,##0;\-#,##0;\-"/>
    <numFmt numFmtId="171" formatCode="#,##0\ \ ;\-#,##0\ \ ;\-\ \ "/>
    <numFmt numFmtId="172" formatCode="#,##0\ \ ;\-#,##0\ \ ;\ \ \ "/>
    <numFmt numFmtId="173" formatCode="0\ \ "/>
    <numFmt numFmtId="174" formatCode="#,##0\ \ ;\-#,##0\ \ ;\ \ "/>
    <numFmt numFmtId="175" formatCode="#,##0.0\ \ ;\-#,##0.0\ \ ;\-\ \ "/>
    <numFmt numFmtId="176" formatCode="\(0\)"/>
    <numFmt numFmtId="177" formatCode="#,##0\ \ "/>
    <numFmt numFmtId="178" formatCode="#,##0\ \ \ "/>
    <numFmt numFmtId="179" formatCode="#,##0.0\ \ ;#,##0.0\ \ ;\-\ \ "/>
    <numFmt numFmtId="180" formatCode="0.0%"/>
    <numFmt numFmtId="181" formatCode="#,##0.0"/>
    <numFmt numFmtId="182" formatCode="#,##0\ \ ;\-#,##0\ \ ;\-\ \ \ \ "/>
    <numFmt numFmtId="183" formatCode="#,##0.0\ \ ;\-#,##0.0\ \ ;"/>
    <numFmt numFmtId="184" formatCode="#,##0.0\ \ ;#,##0.0\ \ ;"/>
    <numFmt numFmtId="185" formatCode="0;\-0;"/>
    <numFmt numFmtId="186" formatCode="#,##0.0\ \ "/>
  </numFmts>
  <fonts count="42">
    <font>
      <sz val="10"/>
      <name val="Arial"/>
    </font>
    <font>
      <sz val="11"/>
      <color theme="1"/>
      <name val="Calibri"/>
      <family val="2"/>
      <scheme val="minor"/>
    </font>
    <font>
      <sz val="11"/>
      <color theme="1"/>
      <name val="Calibri"/>
      <family val="2"/>
      <scheme val="minor"/>
    </font>
    <font>
      <sz val="12"/>
      <name val="Garamond"/>
      <family val="1"/>
    </font>
    <font>
      <sz val="10"/>
      <name val="Arial MT"/>
    </font>
    <font>
      <sz val="10"/>
      <name val="Arial"/>
      <family val="2"/>
    </font>
    <font>
      <sz val="8"/>
      <name val="Arial"/>
      <family val="2"/>
    </font>
    <font>
      <sz val="11"/>
      <color indexed="8"/>
      <name val="Calibri"/>
      <family val="2"/>
    </font>
    <font>
      <b/>
      <sz val="11"/>
      <name val="Calibri"/>
      <family val="2"/>
    </font>
    <font>
      <sz val="11"/>
      <name val="Calibri"/>
      <family val="2"/>
    </font>
    <font>
      <b/>
      <sz val="11"/>
      <color indexed="10"/>
      <name val="Calibri"/>
      <family val="2"/>
    </font>
    <font>
      <b/>
      <sz val="11"/>
      <color indexed="18"/>
      <name val="Calibri"/>
      <family val="2"/>
    </font>
    <font>
      <sz val="11"/>
      <color indexed="10"/>
      <name val="Calibri"/>
      <family val="2"/>
    </font>
    <font>
      <b/>
      <sz val="11"/>
      <color indexed="56"/>
      <name val="Calibri"/>
      <family val="2"/>
    </font>
    <font>
      <b/>
      <u/>
      <sz val="11"/>
      <color indexed="12"/>
      <name val="Calibri"/>
      <family val="2"/>
    </font>
    <font>
      <sz val="11"/>
      <color indexed="22"/>
      <name val="Calibri"/>
      <family val="2"/>
    </font>
    <font>
      <u/>
      <sz val="11"/>
      <name val="Calibri"/>
      <family val="2"/>
    </font>
    <font>
      <b/>
      <sz val="11"/>
      <color indexed="20"/>
      <name val="Calibri"/>
      <family val="2"/>
    </font>
    <font>
      <sz val="11"/>
      <color indexed="20"/>
      <name val="Calibri"/>
      <family val="2"/>
    </font>
    <font>
      <b/>
      <sz val="11"/>
      <color rgb="FFFF0000"/>
      <name val="Calibri"/>
      <family val="2"/>
    </font>
    <font>
      <sz val="11"/>
      <color rgb="FFFF0000"/>
      <name val="Calibri"/>
      <family val="2"/>
    </font>
    <font>
      <sz val="11"/>
      <color indexed="26"/>
      <name val="Calibri"/>
      <family val="2"/>
    </font>
    <font>
      <sz val="11"/>
      <color indexed="18"/>
      <name val="Calibri"/>
      <family val="2"/>
    </font>
    <font>
      <b/>
      <sz val="11"/>
      <color rgb="FF000080"/>
      <name val="Calibri"/>
      <family val="2"/>
    </font>
    <font>
      <sz val="11"/>
      <color rgb="FF000080"/>
      <name val="Calibri"/>
      <family val="2"/>
    </font>
    <font>
      <sz val="11"/>
      <color rgb="FF1F497D"/>
      <name val="Calibri"/>
      <family val="2"/>
    </font>
    <font>
      <b/>
      <sz val="11"/>
      <name val="Calibri"/>
      <family val="2"/>
      <scheme val="minor"/>
    </font>
    <font>
      <sz val="11"/>
      <name val="Calibri"/>
      <family val="2"/>
      <scheme val="minor"/>
    </font>
    <font>
      <u/>
      <sz val="11"/>
      <color indexed="10"/>
      <name val="Calibri"/>
      <family val="2"/>
    </font>
    <font>
      <b/>
      <sz val="11"/>
      <color indexed="8"/>
      <name val="Calibri"/>
      <family val="2"/>
    </font>
    <font>
      <sz val="10"/>
      <color theme="1"/>
      <name val="Arial"/>
      <family val="2"/>
    </font>
    <font>
      <sz val="9"/>
      <color indexed="81"/>
      <name val="Tahoma"/>
      <family val="2"/>
    </font>
    <font>
      <b/>
      <sz val="9"/>
      <color indexed="81"/>
      <name val="Tahoma"/>
      <family val="2"/>
    </font>
    <font>
      <b/>
      <sz val="12"/>
      <name val="Calibri"/>
      <family val="2"/>
    </font>
    <font>
      <b/>
      <sz val="16"/>
      <color rgb="FFFF0000"/>
      <name val="Calibri"/>
      <family val="2"/>
    </font>
    <font>
      <sz val="12"/>
      <name val="Calibri"/>
      <family val="2"/>
    </font>
    <font>
      <sz val="11"/>
      <color rgb="FFCCFFFF"/>
      <name val="Calibri"/>
      <family val="2"/>
    </font>
    <font>
      <sz val="18"/>
      <color indexed="10"/>
      <name val="Calibri"/>
      <family val="2"/>
    </font>
    <font>
      <sz val="11"/>
      <color indexed="27"/>
      <name val="Calibri"/>
      <family val="2"/>
    </font>
    <font>
      <sz val="12"/>
      <name val="Arial Narrow"/>
      <family val="2"/>
    </font>
    <font>
      <u/>
      <sz val="10"/>
      <color theme="10"/>
      <name val="Arial"/>
      <family val="2"/>
    </font>
    <font>
      <sz val="11"/>
      <color indexed="8"/>
      <name val="Calibri"/>
      <family val="2"/>
      <scheme val="minor"/>
    </font>
  </fonts>
  <fills count="23">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43"/>
      </patternFill>
    </fill>
    <fill>
      <patternFill patternType="solid">
        <fgColor indexed="26"/>
        <bgColor indexed="64"/>
      </patternFill>
    </fill>
    <fill>
      <patternFill patternType="solid">
        <fgColor indexed="52"/>
        <bgColor indexed="64"/>
      </patternFill>
    </fill>
    <fill>
      <patternFill patternType="solid">
        <fgColor indexed="52"/>
        <bgColor indexed="43"/>
      </patternFill>
    </fill>
    <fill>
      <patternFill patternType="mediumGray">
        <fgColor indexed="47"/>
        <bgColor indexed="52"/>
      </patternFill>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rgb="FFCCFFFF"/>
        <bgColor indexed="35"/>
      </patternFill>
    </fill>
    <fill>
      <patternFill patternType="solid">
        <fgColor rgb="FFFFFFFF"/>
        <bgColor indexed="64"/>
      </patternFill>
    </fill>
    <fill>
      <patternFill patternType="solid">
        <fgColor rgb="FFFFFFCC"/>
        <bgColor indexed="43"/>
      </patternFill>
    </fill>
    <fill>
      <patternFill patternType="solid">
        <fgColor rgb="FFFFFFCC"/>
        <bgColor indexed="64"/>
      </patternFill>
    </fill>
    <fill>
      <patternFill patternType="solid">
        <fgColor rgb="FFC0C0C0"/>
        <bgColor indexed="64"/>
      </patternFill>
    </fill>
    <fill>
      <patternFill patternType="solid">
        <fgColor rgb="FFFF9900"/>
        <bgColor auto="1"/>
      </patternFill>
    </fill>
    <fill>
      <patternFill patternType="solid">
        <fgColor indexed="52"/>
        <bgColor auto="1"/>
      </patternFill>
    </fill>
    <fill>
      <patternFill patternType="solid">
        <fgColor indexed="27"/>
        <bgColor indexed="35"/>
      </patternFill>
    </fill>
    <fill>
      <patternFill patternType="solid">
        <fgColor theme="0" tint="-0.14996795556505021"/>
        <bgColor indexed="64"/>
      </patternFill>
    </fill>
    <fill>
      <patternFill patternType="solid">
        <fgColor theme="0" tint="-0.14996795556505021"/>
        <bgColor indexed="43"/>
      </patternFill>
    </fill>
    <fill>
      <patternFill patternType="solid">
        <fgColor rgb="FFFF9900"/>
        <bgColor indexed="64"/>
      </patternFill>
    </fill>
  </fills>
  <borders count="1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medium">
        <color indexed="64"/>
      </left>
      <right style="thin">
        <color indexed="8"/>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8"/>
      </right>
      <top/>
      <bottom/>
      <diagonal/>
    </border>
    <border>
      <left style="medium">
        <color indexed="64"/>
      </left>
      <right style="thin">
        <color indexed="8"/>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auto="1"/>
      </right>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diagonal/>
    </border>
    <border>
      <left style="thin">
        <color indexed="8"/>
      </left>
      <right style="thin">
        <color indexed="8"/>
      </right>
      <top/>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bottom style="thin">
        <color indexed="8"/>
      </bottom>
      <diagonal/>
    </border>
    <border>
      <left style="thin">
        <color indexed="64"/>
      </left>
      <right style="thin">
        <color indexed="64"/>
      </right>
      <top style="thin">
        <color indexed="8"/>
      </top>
      <bottom style="medium">
        <color indexed="64"/>
      </bottom>
      <diagonal/>
    </border>
    <border>
      <left/>
      <right style="thin">
        <color auto="1"/>
      </right>
      <top/>
      <bottom style="thin">
        <color auto="1"/>
      </bottom>
      <diagonal/>
    </border>
    <border>
      <left style="thin">
        <color indexed="64"/>
      </left>
      <right style="thin">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bottom/>
      <diagonal/>
    </border>
  </borders>
  <cellStyleXfs count="18">
    <xf numFmtId="0" fontId="0" fillId="0" borderId="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0" fontId="5" fillId="0" borderId="0"/>
    <xf numFmtId="0" fontId="6" fillId="0" borderId="0"/>
    <xf numFmtId="0" fontId="5" fillId="0" borderId="0"/>
    <xf numFmtId="0" fontId="4" fillId="0" borderId="0"/>
    <xf numFmtId="0" fontId="4" fillId="0" borderId="0"/>
    <xf numFmtId="0" fontId="7" fillId="0" borderId="0"/>
    <xf numFmtId="0" fontId="5" fillId="0" borderId="0"/>
    <xf numFmtId="0" fontId="5" fillId="0" borderId="0"/>
    <xf numFmtId="43" fontId="30" fillId="0" borderId="0" applyFont="0" applyFill="0" applyBorder="0" applyAlignment="0" applyProtection="0"/>
    <xf numFmtId="0" fontId="2" fillId="0" borderId="0"/>
    <xf numFmtId="0" fontId="39" fillId="0" borderId="0"/>
    <xf numFmtId="0" fontId="40" fillId="0" borderId="0" applyNumberFormat="0" applyFill="0" applyBorder="0" applyAlignment="0" applyProtection="0"/>
    <xf numFmtId="0" fontId="41" fillId="0" borderId="0"/>
    <xf numFmtId="0" fontId="1" fillId="0" borderId="0"/>
  </cellStyleXfs>
  <cellXfs count="1474">
    <xf numFmtId="0" fontId="0" fillId="0" borderId="0" xfId="0"/>
    <xf numFmtId="0" fontId="8" fillId="0" borderId="0" xfId="0" applyFont="1" applyFill="1" applyBorder="1" applyAlignment="1" applyProtection="1">
      <protection hidden="1"/>
    </xf>
    <xf numFmtId="0" fontId="9" fillId="0" borderId="0" xfId="0" applyFont="1" applyFill="1" applyProtection="1">
      <protection hidden="1"/>
    </xf>
    <xf numFmtId="164" fontId="8" fillId="0" borderId="0" xfId="0" applyNumberFormat="1" applyFont="1" applyFill="1" applyAlignment="1" applyProtection="1">
      <alignment horizontal="center" vertical="top"/>
      <protection hidden="1"/>
    </xf>
    <xf numFmtId="164" fontId="8" fillId="0" borderId="0" xfId="0" applyNumberFormat="1" applyFont="1" applyFill="1" applyAlignment="1" applyProtection="1">
      <alignment horizontal="center" vertical="top" wrapText="1"/>
      <protection hidden="1"/>
    </xf>
    <xf numFmtId="0" fontId="9" fillId="0" borderId="0" xfId="8" applyFont="1" applyFill="1" applyBorder="1" applyProtection="1">
      <protection hidden="1"/>
    </xf>
    <xf numFmtId="170" fontId="9" fillId="0" borderId="0" xfId="0" applyNumberFormat="1" applyFont="1" applyFill="1" applyAlignment="1" applyProtection="1">
      <alignment horizontal="center"/>
      <protection hidden="1"/>
    </xf>
    <xf numFmtId="0" fontId="9" fillId="0" borderId="0" xfId="8" applyFont="1" applyFill="1" applyBorder="1" applyAlignment="1" applyProtection="1">
      <alignment horizontal="center"/>
      <protection hidden="1"/>
    </xf>
    <xf numFmtId="0" fontId="9" fillId="0" borderId="0" xfId="0" applyNumberFormat="1" applyFont="1" applyFill="1" applyBorder="1" applyAlignment="1" applyProtection="1">
      <protection hidden="1"/>
    </xf>
    <xf numFmtId="172" fontId="9" fillId="0" borderId="1" xfId="0" applyNumberFormat="1" applyFont="1" applyFill="1" applyBorder="1" applyAlignment="1" applyProtection="1">
      <alignment vertical="center"/>
      <protection hidden="1"/>
    </xf>
    <xf numFmtId="172" fontId="9" fillId="0" borderId="71" xfId="0" applyNumberFormat="1" applyFont="1" applyFill="1" applyBorder="1" applyAlignment="1" applyProtection="1">
      <alignment vertical="center"/>
      <protection hidden="1"/>
    </xf>
    <xf numFmtId="175" fontId="9" fillId="0" borderId="0" xfId="4" applyNumberFormat="1" applyFont="1" applyFill="1" applyBorder="1" applyProtection="1">
      <protection hidden="1"/>
    </xf>
    <xf numFmtId="0" fontId="8" fillId="3" borderId="69" xfId="0" applyNumberFormat="1" applyFont="1" applyFill="1" applyBorder="1" applyAlignment="1" applyProtection="1">
      <alignment vertical="center"/>
      <protection hidden="1"/>
    </xf>
    <xf numFmtId="0" fontId="8" fillId="3" borderId="7" xfId="0" applyNumberFormat="1" applyFont="1" applyFill="1" applyBorder="1" applyAlignment="1" applyProtection="1">
      <alignment vertical="center"/>
      <protection hidden="1"/>
    </xf>
    <xf numFmtId="164" fontId="9" fillId="11" borderId="0" xfId="0" applyNumberFormat="1" applyFont="1" applyFill="1" applyProtection="1">
      <protection hidden="1"/>
    </xf>
    <xf numFmtId="0" fontId="9" fillId="11" borderId="0" xfId="0" applyFont="1" applyFill="1" applyProtection="1">
      <protection hidden="1"/>
    </xf>
    <xf numFmtId="0" fontId="8" fillId="12" borderId="44" xfId="0" applyFont="1" applyFill="1" applyBorder="1" applyAlignment="1" applyProtection="1">
      <alignment vertical="center" shrinkToFit="1"/>
      <protection hidden="1"/>
    </xf>
    <xf numFmtId="0" fontId="8" fillId="13" borderId="12" xfId="0" applyFont="1" applyFill="1" applyBorder="1" applyAlignment="1" applyProtection="1">
      <alignment horizontal="left" vertical="center" indent="1" shrinkToFit="1"/>
      <protection hidden="1"/>
    </xf>
    <xf numFmtId="0" fontId="9" fillId="2" borderId="0" xfId="0" applyNumberFormat="1" applyFont="1" applyFill="1" applyBorder="1" applyAlignment="1" applyProtection="1">
      <protection hidden="1"/>
    </xf>
    <xf numFmtId="0" fontId="9" fillId="2" borderId="0" xfId="0" applyFont="1" applyFill="1" applyAlignment="1" applyProtection="1">
      <alignment vertical="top"/>
      <protection hidden="1"/>
    </xf>
    <xf numFmtId="0" fontId="9" fillId="11" borderId="44" xfId="0" applyFont="1" applyFill="1" applyBorder="1" applyAlignment="1">
      <alignment vertical="center"/>
    </xf>
    <xf numFmtId="0" fontId="8" fillId="2" borderId="0" xfId="0" applyNumberFormat="1" applyFont="1" applyFill="1" applyBorder="1" applyAlignment="1" applyProtection="1">
      <alignment vertical="center"/>
      <protection hidden="1"/>
    </xf>
    <xf numFmtId="0" fontId="9" fillId="2" borderId="0" xfId="0" applyFont="1" applyFill="1" applyAlignment="1" applyProtection="1">
      <protection hidden="1"/>
    </xf>
    <xf numFmtId="0" fontId="9" fillId="2" borderId="0" xfId="0" applyFont="1" applyFill="1" applyProtection="1">
      <protection hidden="1"/>
    </xf>
    <xf numFmtId="164" fontId="8" fillId="10" borderId="4" xfId="0" applyNumberFormat="1" applyFont="1" applyFill="1" applyBorder="1" applyAlignment="1" applyProtection="1">
      <alignment horizontal="center" vertical="center" wrapText="1"/>
      <protection hidden="1"/>
    </xf>
    <xf numFmtId="164" fontId="8" fillId="2" borderId="26" xfId="0" applyNumberFormat="1" applyFont="1" applyFill="1" applyBorder="1" applyAlignment="1" applyProtection="1">
      <alignment horizontal="center" vertical="center" wrapText="1"/>
      <protection hidden="1"/>
    </xf>
    <xf numFmtId="0" fontId="8" fillId="3" borderId="8" xfId="4" applyFont="1" applyFill="1" applyBorder="1" applyAlignment="1" applyProtection="1">
      <alignment horizontal="left" vertical="center" indent="1"/>
      <protection hidden="1"/>
    </xf>
    <xf numFmtId="0" fontId="7" fillId="2" borderId="10" xfId="0" applyNumberFormat="1" applyFont="1" applyFill="1" applyBorder="1" applyAlignment="1" applyProtection="1">
      <alignment horizontal="left" vertical="top" wrapText="1"/>
      <protection locked="0"/>
    </xf>
    <xf numFmtId="0" fontId="7" fillId="11" borderId="21" xfId="0" applyNumberFormat="1" applyFont="1" applyFill="1" applyBorder="1" applyAlignment="1" applyProtection="1">
      <protection hidden="1"/>
    </xf>
    <xf numFmtId="0" fontId="11" fillId="3" borderId="22" xfId="4" applyFont="1" applyFill="1" applyBorder="1" applyAlignment="1" applyProtection="1">
      <alignment horizontal="left" vertical="center" indent="3"/>
      <protection hidden="1"/>
    </xf>
    <xf numFmtId="0" fontId="9" fillId="11" borderId="5" xfId="0" applyFont="1" applyFill="1" applyBorder="1" applyAlignment="1" applyProtection="1">
      <protection hidden="1"/>
    </xf>
    <xf numFmtId="0" fontId="7" fillId="11" borderId="26" xfId="0" applyNumberFormat="1" applyFont="1" applyFill="1" applyBorder="1" applyAlignment="1" applyProtection="1">
      <protection hidden="1"/>
    </xf>
    <xf numFmtId="0" fontId="13" fillId="3" borderId="22" xfId="4" applyFont="1" applyFill="1" applyBorder="1" applyAlignment="1" applyProtection="1">
      <alignment horizontal="left" vertical="center" indent="4"/>
      <protection hidden="1"/>
    </xf>
    <xf numFmtId="0" fontId="7" fillId="2" borderId="6" xfId="0" applyNumberFormat="1" applyFont="1" applyFill="1" applyBorder="1" applyAlignment="1" applyProtection="1">
      <alignment horizontal="left" vertical="top" wrapText="1"/>
      <protection locked="0"/>
    </xf>
    <xf numFmtId="0" fontId="12" fillId="10" borderId="40" xfId="0" applyFont="1" applyFill="1" applyBorder="1" applyAlignment="1" applyProtection="1">
      <alignment horizontal="left" vertical="center" wrapText="1" indent="1"/>
      <protection hidden="1"/>
    </xf>
    <xf numFmtId="0" fontId="9" fillId="11" borderId="35" xfId="0" applyFont="1" applyFill="1" applyBorder="1" applyAlignment="1" applyProtection="1">
      <protection hidden="1"/>
    </xf>
    <xf numFmtId="0" fontId="7" fillId="11" borderId="37" xfId="0" applyNumberFormat="1" applyFont="1" applyFill="1" applyBorder="1" applyAlignment="1" applyProtection="1">
      <protection hidden="1"/>
    </xf>
    <xf numFmtId="0" fontId="7" fillId="11" borderId="6" xfId="0" applyNumberFormat="1" applyFont="1" applyFill="1" applyBorder="1" applyAlignment="1" applyProtection="1">
      <protection hidden="1"/>
    </xf>
    <xf numFmtId="0" fontId="9" fillId="11" borderId="6" xfId="0" applyNumberFormat="1" applyFont="1" applyFill="1" applyBorder="1" applyAlignment="1" applyProtection="1">
      <protection hidden="1"/>
    </xf>
    <xf numFmtId="0" fontId="8" fillId="3" borderId="70" xfId="0" applyNumberFormat="1" applyFont="1" applyFill="1" applyBorder="1" applyAlignment="1" applyProtection="1">
      <alignment vertical="center"/>
      <protection hidden="1"/>
    </xf>
    <xf numFmtId="0" fontId="8" fillId="3" borderId="17" xfId="0" applyNumberFormat="1" applyFont="1" applyFill="1" applyBorder="1" applyAlignment="1" applyProtection="1">
      <alignment vertical="center"/>
      <protection hidden="1"/>
    </xf>
    <xf numFmtId="0" fontId="8" fillId="3" borderId="17" xfId="0" applyNumberFormat="1" applyFont="1" applyFill="1" applyBorder="1" applyAlignment="1" applyProtection="1">
      <protection hidden="1"/>
    </xf>
    <xf numFmtId="0" fontId="9" fillId="3" borderId="17" xfId="4" applyFont="1" applyFill="1" applyBorder="1" applyAlignment="1" applyProtection="1">
      <alignment vertical="top"/>
      <protection hidden="1"/>
    </xf>
    <xf numFmtId="0" fontId="9" fillId="3" borderId="17" xfId="0" applyFont="1" applyFill="1" applyBorder="1" applyAlignment="1" applyProtection="1">
      <protection hidden="1"/>
    </xf>
    <xf numFmtId="0" fontId="9" fillId="4" borderId="17" xfId="0" applyNumberFormat="1" applyFont="1" applyFill="1" applyBorder="1" applyAlignment="1" applyProtection="1">
      <protection hidden="1"/>
    </xf>
    <xf numFmtId="0" fontId="9" fillId="7" borderId="17" xfId="0" applyNumberFormat="1" applyFont="1" applyFill="1" applyBorder="1" applyAlignment="1" applyProtection="1">
      <protection hidden="1"/>
    </xf>
    <xf numFmtId="0" fontId="9" fillId="7" borderId="18" xfId="0" applyNumberFormat="1" applyFont="1" applyFill="1" applyBorder="1" applyAlignment="1" applyProtection="1">
      <protection hidden="1"/>
    </xf>
    <xf numFmtId="164" fontId="8" fillId="3" borderId="9" xfId="4" applyNumberFormat="1" applyFont="1" applyFill="1" applyBorder="1" applyAlignment="1" applyProtection="1">
      <alignment vertical="center"/>
      <protection hidden="1"/>
    </xf>
    <xf numFmtId="0" fontId="9" fillId="11" borderId="44" xfId="4" applyNumberFormat="1" applyFont="1" applyFill="1" applyBorder="1" applyAlignment="1" applyProtection="1">
      <protection hidden="1"/>
    </xf>
    <xf numFmtId="0" fontId="9" fillId="3" borderId="0" xfId="4" applyNumberFormat="1" applyFont="1" applyFill="1" applyBorder="1" applyAlignment="1" applyProtection="1">
      <protection hidden="1"/>
    </xf>
    <xf numFmtId="0" fontId="9" fillId="4" borderId="0" xfId="0" applyNumberFormat="1" applyFont="1" applyFill="1" applyBorder="1" applyAlignment="1" applyProtection="1">
      <protection hidden="1"/>
    </xf>
    <xf numFmtId="0" fontId="9" fillId="5" borderId="0" xfId="0" applyFont="1" applyFill="1" applyBorder="1" applyAlignment="1" applyProtection="1">
      <alignment horizontal="center"/>
      <protection hidden="1"/>
    </xf>
    <xf numFmtId="0" fontId="9" fillId="7" borderId="0" xfId="0" applyNumberFormat="1" applyFont="1" applyFill="1" applyBorder="1" applyAlignment="1" applyProtection="1">
      <protection hidden="1"/>
    </xf>
    <xf numFmtId="0" fontId="9" fillId="6" borderId="0" xfId="0" applyFont="1" applyFill="1" applyBorder="1" applyAlignment="1" applyProtection="1">
      <protection hidden="1"/>
    </xf>
    <xf numFmtId="0" fontId="8" fillId="3" borderId="9" xfId="4" applyNumberFormat="1" applyFont="1" applyFill="1" applyBorder="1" applyAlignment="1" applyProtection="1">
      <protection hidden="1"/>
    </xf>
    <xf numFmtId="0" fontId="9" fillId="3" borderId="0" xfId="4" applyFont="1" applyFill="1" applyBorder="1" applyAlignment="1" applyProtection="1">
      <protection hidden="1"/>
    </xf>
    <xf numFmtId="0" fontId="16" fillId="4" borderId="0" xfId="0" applyNumberFormat="1" applyFont="1" applyFill="1" applyBorder="1" applyAlignment="1" applyProtection="1">
      <protection hidden="1"/>
    </xf>
    <xf numFmtId="0" fontId="9" fillId="14" borderId="0" xfId="0" applyNumberFormat="1" applyFont="1" applyFill="1" applyBorder="1" applyAlignment="1" applyProtection="1">
      <protection hidden="1"/>
    </xf>
    <xf numFmtId="0" fontId="16" fillId="7" borderId="0" xfId="0" applyNumberFormat="1" applyFont="1" applyFill="1" applyBorder="1" applyAlignment="1" applyProtection="1">
      <protection hidden="1"/>
    </xf>
    <xf numFmtId="0" fontId="9" fillId="3" borderId="41" xfId="4" applyNumberFormat="1" applyFont="1" applyFill="1" applyBorder="1" applyAlignment="1" applyProtection="1">
      <protection hidden="1"/>
    </xf>
    <xf numFmtId="0" fontId="9" fillId="3" borderId="51" xfId="4" applyNumberFormat="1" applyFont="1" applyFill="1" applyBorder="1" applyAlignment="1" applyProtection="1">
      <protection hidden="1"/>
    </xf>
    <xf numFmtId="0" fontId="9" fillId="5" borderId="0" xfId="4" applyNumberFormat="1" applyFont="1" applyFill="1" applyBorder="1" applyAlignment="1" applyProtection="1">
      <protection hidden="1"/>
    </xf>
    <xf numFmtId="0" fontId="9" fillId="5" borderId="51" xfId="4" applyNumberFormat="1" applyFont="1" applyFill="1" applyBorder="1" applyAlignment="1" applyProtection="1">
      <protection hidden="1"/>
    </xf>
    <xf numFmtId="0" fontId="11" fillId="3" borderId="8" xfId="4" applyFont="1" applyFill="1" applyBorder="1" applyAlignment="1" applyProtection="1">
      <alignment vertical="center"/>
      <protection hidden="1"/>
    </xf>
    <xf numFmtId="0" fontId="12" fillId="4" borderId="0" xfId="0" applyFont="1" applyFill="1" applyBorder="1" applyAlignment="1" applyProtection="1">
      <alignment vertical="center"/>
      <protection hidden="1"/>
    </xf>
    <xf numFmtId="0" fontId="18" fillId="4" borderId="0" xfId="0" applyNumberFormat="1" applyFont="1" applyFill="1" applyBorder="1" applyAlignment="1" applyProtection="1">
      <protection hidden="1"/>
    </xf>
    <xf numFmtId="0" fontId="12" fillId="7" borderId="0" xfId="0" applyNumberFormat="1" applyFont="1" applyFill="1" applyBorder="1" applyAlignment="1" applyProtection="1">
      <protection hidden="1"/>
    </xf>
    <xf numFmtId="0" fontId="9" fillId="6" borderId="11" xfId="4" applyNumberFormat="1" applyFont="1" applyFill="1" applyBorder="1" applyAlignment="1" applyProtection="1">
      <protection hidden="1"/>
    </xf>
    <xf numFmtId="0" fontId="9" fillId="3" borderId="9" xfId="4" applyFont="1" applyFill="1" applyBorder="1" applyAlignment="1" applyProtection="1">
      <alignment vertical="center"/>
      <protection hidden="1"/>
    </xf>
    <xf numFmtId="0" fontId="8" fillId="3" borderId="52" xfId="4" applyFont="1" applyFill="1" applyBorder="1" applyAlignment="1" applyProtection="1">
      <alignment horizontal="center" vertical="center" wrapText="1"/>
      <protection hidden="1"/>
    </xf>
    <xf numFmtId="0" fontId="8" fillId="2" borderId="52" xfId="0" applyFont="1" applyFill="1" applyBorder="1" applyAlignment="1" applyProtection="1">
      <alignment horizontal="center" vertical="center" wrapText="1"/>
      <protection hidden="1"/>
    </xf>
    <xf numFmtId="0" fontId="8" fillId="3" borderId="11" xfId="4" applyFont="1" applyFill="1" applyBorder="1" applyAlignment="1" applyProtection="1">
      <alignment horizontal="center" vertical="top"/>
      <protection hidden="1"/>
    </xf>
    <xf numFmtId="0" fontId="9" fillId="3" borderId="22" xfId="4" applyNumberFormat="1" applyFont="1" applyFill="1" applyBorder="1" applyAlignment="1" applyProtection="1">
      <protection hidden="1"/>
    </xf>
    <xf numFmtId="0" fontId="12" fillId="4" borderId="0" xfId="0" applyFont="1" applyFill="1" applyBorder="1" applyAlignment="1" applyProtection="1">
      <protection hidden="1"/>
    </xf>
    <xf numFmtId="0" fontId="11" fillId="3" borderId="9" xfId="4" applyFont="1" applyFill="1" applyBorder="1" applyAlignment="1" applyProtection="1">
      <alignment horizontal="left" vertical="center" indent="1"/>
      <protection hidden="1"/>
    </xf>
    <xf numFmtId="0" fontId="8" fillId="3" borderId="73" xfId="0" applyFont="1" applyFill="1" applyBorder="1" applyAlignment="1" applyProtection="1">
      <alignment horizontal="center" vertical="top" wrapText="1"/>
      <protection hidden="1"/>
    </xf>
    <xf numFmtId="0" fontId="8" fillId="3" borderId="52" xfId="0" applyFont="1" applyFill="1" applyBorder="1" applyAlignment="1" applyProtection="1">
      <alignment horizontal="center" vertical="top" wrapText="1"/>
      <protection hidden="1"/>
    </xf>
    <xf numFmtId="0" fontId="8" fillId="2" borderId="25" xfId="0" applyFont="1" applyFill="1" applyBorder="1" applyAlignment="1" applyProtection="1">
      <alignment horizontal="center" vertical="center" wrapText="1"/>
      <protection hidden="1"/>
    </xf>
    <xf numFmtId="0" fontId="9" fillId="3" borderId="11" xfId="4" applyFont="1" applyFill="1" applyBorder="1" applyProtection="1">
      <protection hidden="1"/>
    </xf>
    <xf numFmtId="0" fontId="9" fillId="5" borderId="0" xfId="4" applyFont="1" applyFill="1" applyBorder="1" applyProtection="1">
      <protection hidden="1"/>
    </xf>
    <xf numFmtId="164" fontId="17" fillId="4" borderId="66" xfId="0" applyNumberFormat="1" applyFont="1" applyFill="1" applyBorder="1" applyAlignment="1" applyProtection="1">
      <alignment horizontal="center" vertical="top" wrapText="1"/>
      <protection hidden="1"/>
    </xf>
    <xf numFmtId="164" fontId="17" fillId="4" borderId="52" xfId="0" applyNumberFormat="1" applyFont="1" applyFill="1" applyBorder="1" applyAlignment="1" applyProtection="1">
      <alignment horizontal="center" vertical="top" wrapText="1"/>
      <protection hidden="1"/>
    </xf>
    <xf numFmtId="164" fontId="17" fillId="4" borderId="10" xfId="0" applyNumberFormat="1" applyFont="1" applyFill="1" applyBorder="1" applyAlignment="1" applyProtection="1">
      <alignment horizontal="center" vertical="top" wrapText="1"/>
      <protection hidden="1"/>
    </xf>
    <xf numFmtId="0" fontId="9" fillId="5" borderId="0" xfId="0" applyNumberFormat="1" applyFont="1" applyFill="1" applyBorder="1" applyAlignment="1" applyProtection="1">
      <protection hidden="1"/>
    </xf>
    <xf numFmtId="0" fontId="9" fillId="6" borderId="0" xfId="4" applyNumberFormat="1" applyFont="1" applyFill="1" applyBorder="1" applyAlignment="1" applyProtection="1">
      <protection hidden="1"/>
    </xf>
    <xf numFmtId="164" fontId="17" fillId="7" borderId="66" xfId="0" applyNumberFormat="1" applyFont="1" applyFill="1" applyBorder="1" applyAlignment="1" applyProtection="1">
      <alignment horizontal="center" vertical="top" wrapText="1"/>
      <protection hidden="1"/>
    </xf>
    <xf numFmtId="164" fontId="17" fillId="7" borderId="10" xfId="0" applyNumberFormat="1" applyFont="1" applyFill="1" applyBorder="1" applyAlignment="1" applyProtection="1">
      <alignment horizontal="center" vertical="top" wrapText="1"/>
      <protection hidden="1"/>
    </xf>
    <xf numFmtId="0" fontId="9" fillId="7" borderId="11" xfId="0" applyNumberFormat="1" applyFont="1" applyFill="1" applyBorder="1" applyAlignment="1" applyProtection="1">
      <protection hidden="1"/>
    </xf>
    <xf numFmtId="0" fontId="9" fillId="3" borderId="9" xfId="0" applyFont="1" applyFill="1" applyBorder="1" applyAlignment="1" applyProtection="1">
      <protection hidden="1"/>
    </xf>
    <xf numFmtId="0" fontId="8" fillId="3" borderId="25"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17" fillId="5" borderId="24" xfId="0" applyFont="1" applyFill="1" applyBorder="1" applyAlignment="1" applyProtection="1">
      <alignment horizontal="center" vertical="center"/>
      <protection hidden="1"/>
    </xf>
    <xf numFmtId="0" fontId="17" fillId="5" borderId="25" xfId="0" applyFont="1" applyFill="1" applyBorder="1" applyAlignment="1" applyProtection="1">
      <alignment horizontal="center" vertical="center"/>
      <protection hidden="1"/>
    </xf>
    <xf numFmtId="0" fontId="17" fillId="5" borderId="27"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protection hidden="1"/>
    </xf>
    <xf numFmtId="0" fontId="9" fillId="6" borderId="11" xfId="0" applyNumberFormat="1" applyFont="1" applyFill="1" applyBorder="1" applyAlignment="1" applyProtection="1">
      <protection hidden="1"/>
    </xf>
    <xf numFmtId="0" fontId="18" fillId="5" borderId="0" xfId="0" applyNumberFormat="1" applyFont="1" applyFill="1" applyBorder="1" applyAlignment="1" applyProtection="1">
      <protection hidden="1"/>
    </xf>
    <xf numFmtId="0" fontId="8" fillId="5" borderId="9" xfId="0" applyFont="1" applyFill="1" applyBorder="1" applyAlignment="1" applyProtection="1">
      <alignment horizontal="center" vertical="center"/>
      <protection hidden="1"/>
    </xf>
    <xf numFmtId="0" fontId="8" fillId="5" borderId="25"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hidden="1"/>
    </xf>
    <xf numFmtId="0" fontId="8" fillId="3" borderId="12" xfId="4" applyFont="1" applyFill="1" applyBorder="1" applyAlignment="1" applyProtection="1">
      <alignment horizontal="left" vertical="center" indent="1"/>
      <protection hidden="1"/>
    </xf>
    <xf numFmtId="168" fontId="8" fillId="3" borderId="15" xfId="4" applyNumberFormat="1" applyFont="1" applyFill="1" applyBorder="1" applyAlignment="1" applyProtection="1">
      <alignment vertical="center"/>
      <protection hidden="1"/>
    </xf>
    <xf numFmtId="168" fontId="8" fillId="3" borderId="16" xfId="4" applyNumberFormat="1" applyFont="1" applyFill="1" applyBorder="1" applyAlignment="1" applyProtection="1">
      <alignment horizontal="right" vertical="center"/>
      <protection hidden="1"/>
    </xf>
    <xf numFmtId="168" fontId="9" fillId="5" borderId="14" xfId="4" applyNumberFormat="1" applyFont="1" applyFill="1" applyBorder="1" applyAlignment="1" applyProtection="1">
      <alignment vertical="center"/>
      <protection hidden="1"/>
    </xf>
    <xf numFmtId="168" fontId="9" fillId="5" borderId="15" xfId="4" applyNumberFormat="1" applyFont="1" applyFill="1" applyBorder="1" applyAlignment="1" applyProtection="1">
      <alignment vertical="center"/>
      <protection hidden="1"/>
    </xf>
    <xf numFmtId="168" fontId="8" fillId="5" borderId="16" xfId="4" applyNumberFormat="1" applyFont="1" applyFill="1" applyBorder="1" applyAlignment="1" applyProtection="1">
      <alignment vertical="center"/>
      <protection hidden="1"/>
    </xf>
    <xf numFmtId="165" fontId="9" fillId="8" borderId="53" xfId="7" quotePrefix="1" applyNumberFormat="1" applyFont="1" applyFill="1" applyBorder="1" applyAlignment="1" applyProtection="1">
      <alignment vertical="center"/>
      <protection hidden="1"/>
    </xf>
    <xf numFmtId="165" fontId="9" fillId="8" borderId="54" xfId="7" quotePrefix="1" applyNumberFormat="1" applyFont="1" applyFill="1" applyBorder="1" applyAlignment="1" applyProtection="1">
      <alignment vertical="center"/>
      <protection hidden="1"/>
    </xf>
    <xf numFmtId="0" fontId="9" fillId="6" borderId="11" xfId="7" quotePrefix="1" applyNumberFormat="1" applyFont="1" applyFill="1" applyBorder="1" applyAlignment="1" applyProtection="1">
      <protection hidden="1"/>
    </xf>
    <xf numFmtId="0" fontId="8" fillId="3" borderId="22" xfId="4" applyFont="1" applyFill="1" applyBorder="1" applyAlignment="1" applyProtection="1">
      <alignment horizontal="left" vertical="center" indent="1"/>
      <protection hidden="1"/>
    </xf>
    <xf numFmtId="0" fontId="8" fillId="3" borderId="0" xfId="4" applyFont="1" applyFill="1" applyBorder="1" applyAlignment="1" applyProtection="1">
      <alignment horizontal="left" vertical="center" indent="1"/>
      <protection hidden="1"/>
    </xf>
    <xf numFmtId="0" fontId="8" fillId="3" borderId="25" xfId="4" applyFont="1" applyFill="1" applyBorder="1" applyAlignment="1" applyProtection="1">
      <alignment horizontal="left" vertical="center" indent="1"/>
      <protection hidden="1"/>
    </xf>
    <xf numFmtId="0" fontId="9" fillId="3" borderId="0" xfId="4" applyFont="1" applyFill="1" applyBorder="1" applyProtection="1">
      <protection hidden="1"/>
    </xf>
    <xf numFmtId="0" fontId="9" fillId="3" borderId="8" xfId="4" applyFont="1" applyFill="1" applyBorder="1" applyProtection="1">
      <protection hidden="1"/>
    </xf>
    <xf numFmtId="0" fontId="9" fillId="3" borderId="18" xfId="4" applyFont="1" applyFill="1" applyBorder="1" applyProtection="1">
      <protection hidden="1"/>
    </xf>
    <xf numFmtId="168" fontId="9" fillId="5" borderId="19" xfId="4" applyNumberFormat="1" applyFont="1" applyFill="1" applyBorder="1" applyAlignment="1" applyProtection="1">
      <alignment vertical="center"/>
      <protection hidden="1"/>
    </xf>
    <xf numFmtId="168" fontId="9" fillId="5" borderId="20" xfId="4" applyNumberFormat="1" applyFont="1" applyFill="1" applyBorder="1" applyAlignment="1" applyProtection="1">
      <alignment vertical="center"/>
      <protection hidden="1"/>
    </xf>
    <xf numFmtId="0" fontId="9" fillId="5" borderId="21" xfId="4" applyFont="1" applyFill="1" applyBorder="1" applyProtection="1">
      <protection hidden="1"/>
    </xf>
    <xf numFmtId="0" fontId="9" fillId="6" borderId="19" xfId="4" applyFont="1" applyFill="1" applyBorder="1" applyProtection="1">
      <protection hidden="1"/>
    </xf>
    <xf numFmtId="0" fontId="9" fillId="6" borderId="21" xfId="4" applyFont="1" applyFill="1" applyBorder="1" applyProtection="1">
      <protection hidden="1"/>
    </xf>
    <xf numFmtId="0" fontId="11" fillId="3" borderId="0" xfId="4" applyFont="1" applyFill="1" applyBorder="1" applyAlignment="1" applyProtection="1">
      <alignment horizontal="left" vertical="center" indent="3"/>
      <protection hidden="1"/>
    </xf>
    <xf numFmtId="0" fontId="11" fillId="3" borderId="25" xfId="4" applyFont="1" applyFill="1" applyBorder="1" applyAlignment="1" applyProtection="1">
      <alignment horizontal="left" vertical="center" indent="3"/>
      <protection hidden="1"/>
    </xf>
    <xf numFmtId="0" fontId="9" fillId="3" borderId="2" xfId="4" applyFont="1" applyFill="1" applyBorder="1" applyProtection="1">
      <protection hidden="1"/>
    </xf>
    <xf numFmtId="0" fontId="9" fillId="3" borderId="13" xfId="4" applyFont="1" applyFill="1" applyBorder="1" applyProtection="1">
      <protection hidden="1"/>
    </xf>
    <xf numFmtId="0" fontId="9" fillId="3" borderId="22" xfId="4" applyFont="1" applyFill="1" applyBorder="1" applyProtection="1">
      <protection hidden="1"/>
    </xf>
    <xf numFmtId="168" fontId="9" fillId="5" borderId="41" xfId="4" applyNumberFormat="1" applyFont="1" applyFill="1" applyBorder="1" applyAlignment="1" applyProtection="1">
      <alignment vertical="center"/>
      <protection hidden="1"/>
    </xf>
    <xf numFmtId="168" fontId="9" fillId="5" borderId="39" xfId="4" applyNumberFormat="1" applyFont="1" applyFill="1" applyBorder="1" applyAlignment="1" applyProtection="1">
      <alignment vertical="center"/>
      <protection hidden="1"/>
    </xf>
    <xf numFmtId="0" fontId="9" fillId="5" borderId="56" xfId="4" applyFont="1" applyFill="1" applyBorder="1" applyProtection="1">
      <protection hidden="1"/>
    </xf>
    <xf numFmtId="0" fontId="9" fillId="6" borderId="24" xfId="4" applyFont="1" applyFill="1" applyBorder="1" applyProtection="1">
      <protection hidden="1"/>
    </xf>
    <xf numFmtId="0" fontId="9" fillId="6" borderId="27" xfId="4" applyFont="1" applyFill="1" applyBorder="1" applyProtection="1">
      <protection hidden="1"/>
    </xf>
    <xf numFmtId="168" fontId="9" fillId="9" borderId="48" xfId="4" applyNumberFormat="1" applyFont="1" applyFill="1" applyBorder="1" applyAlignment="1" applyProtection="1">
      <alignment vertical="center"/>
      <protection locked="0"/>
    </xf>
    <xf numFmtId="168" fontId="9" fillId="9" borderId="30" xfId="4" applyNumberFormat="1" applyFont="1" applyFill="1" applyBorder="1" applyAlignment="1" applyProtection="1">
      <alignment vertical="center"/>
      <protection locked="0"/>
    </xf>
    <xf numFmtId="168" fontId="8" fillId="3" borderId="48" xfId="4" applyNumberFormat="1" applyFont="1" applyFill="1" applyBorder="1" applyAlignment="1" applyProtection="1">
      <alignment vertical="center"/>
      <protection hidden="1"/>
    </xf>
    <xf numFmtId="168" fontId="8" fillId="3" borderId="28" xfId="4" applyNumberFormat="1" applyFont="1" applyFill="1" applyBorder="1" applyAlignment="1" applyProtection="1">
      <alignment vertical="center"/>
      <protection hidden="1"/>
    </xf>
    <xf numFmtId="168" fontId="8" fillId="3" borderId="49" xfId="4" applyNumberFormat="1" applyFont="1" applyFill="1" applyBorder="1" applyAlignment="1" applyProtection="1">
      <alignment horizontal="left" vertical="center" wrapText="1" indent="1"/>
      <protection hidden="1"/>
    </xf>
    <xf numFmtId="0" fontId="12" fillId="3" borderId="28" xfId="0" applyFont="1" applyFill="1" applyBorder="1" applyAlignment="1" applyProtection="1">
      <alignment horizontal="left" vertical="center" wrapText="1" indent="1"/>
      <protection hidden="1"/>
    </xf>
    <xf numFmtId="168" fontId="9" fillId="5" borderId="70" xfId="4" applyNumberFormat="1" applyFont="1" applyFill="1" applyBorder="1" applyAlignment="1" applyProtection="1">
      <alignment vertical="center"/>
      <protection hidden="1"/>
    </xf>
    <xf numFmtId="168" fontId="8" fillId="5" borderId="26" xfId="4" applyNumberFormat="1" applyFont="1" applyFill="1" applyBorder="1" applyAlignment="1" applyProtection="1">
      <alignment vertical="center"/>
      <protection hidden="1"/>
    </xf>
    <xf numFmtId="165" fontId="9" fillId="8" borderId="55" xfId="7" quotePrefix="1" applyNumberFormat="1" applyFont="1" applyFill="1" applyBorder="1" applyAlignment="1" applyProtection="1">
      <alignment vertical="center"/>
      <protection hidden="1"/>
    </xf>
    <xf numFmtId="165" fontId="9" fillId="8" borderId="6" xfId="7" quotePrefix="1" applyNumberFormat="1" applyFont="1" applyFill="1" applyBorder="1" applyAlignment="1" applyProtection="1">
      <alignment vertical="center"/>
      <protection hidden="1"/>
    </xf>
    <xf numFmtId="168" fontId="8" fillId="3" borderId="23" xfId="4" applyNumberFormat="1" applyFont="1" applyFill="1" applyBorder="1" applyAlignment="1" applyProtection="1">
      <alignment horizontal="left" vertical="center" wrapText="1" indent="1"/>
      <protection hidden="1"/>
    </xf>
    <xf numFmtId="168" fontId="9" fillId="5" borderId="29" xfId="4" applyNumberFormat="1" applyFont="1" applyFill="1" applyBorder="1" applyAlignment="1" applyProtection="1">
      <alignment vertical="center"/>
      <protection hidden="1"/>
    </xf>
    <xf numFmtId="168" fontId="9" fillId="5" borderId="30" xfId="4" applyNumberFormat="1" applyFont="1" applyFill="1" applyBorder="1" applyAlignment="1" applyProtection="1">
      <alignment vertical="center"/>
      <protection hidden="1"/>
    </xf>
    <xf numFmtId="168" fontId="8" fillId="5" borderId="6" xfId="4" applyNumberFormat="1" applyFont="1" applyFill="1" applyBorder="1" applyAlignment="1" applyProtection="1">
      <alignment vertical="center"/>
      <protection hidden="1"/>
    </xf>
    <xf numFmtId="0" fontId="8" fillId="3" borderId="31" xfId="4" applyFont="1" applyFill="1" applyBorder="1" applyAlignment="1" applyProtection="1">
      <alignment horizontal="left" vertical="center" indent="3"/>
      <protection hidden="1"/>
    </xf>
    <xf numFmtId="168" fontId="8" fillId="3" borderId="32" xfId="4" applyNumberFormat="1" applyFont="1" applyFill="1" applyBorder="1" applyAlignment="1" applyProtection="1">
      <alignment vertical="center"/>
      <protection hidden="1"/>
    </xf>
    <xf numFmtId="168" fontId="8" fillId="3" borderId="36" xfId="4" applyNumberFormat="1" applyFont="1" applyFill="1" applyBorder="1" applyAlignment="1" applyProtection="1">
      <alignment vertical="center"/>
      <protection hidden="1"/>
    </xf>
    <xf numFmtId="168" fontId="8" fillId="3" borderId="7" xfId="4" applyNumberFormat="1" applyFont="1" applyFill="1" applyBorder="1" applyAlignment="1" applyProtection="1">
      <alignment vertical="center"/>
      <protection hidden="1"/>
    </xf>
    <xf numFmtId="168" fontId="8" fillId="3" borderId="67" xfId="4" applyNumberFormat="1" applyFont="1" applyFill="1" applyBorder="1" applyAlignment="1" applyProtection="1">
      <alignment vertical="center"/>
      <protection hidden="1"/>
    </xf>
    <xf numFmtId="168" fontId="8" fillId="3" borderId="33" xfId="4" applyNumberFormat="1" applyFont="1" applyFill="1" applyBorder="1" applyAlignment="1" applyProtection="1">
      <alignment vertical="center"/>
      <protection hidden="1"/>
    </xf>
    <xf numFmtId="0" fontId="9" fillId="3" borderId="34" xfId="4" applyFont="1" applyFill="1" applyBorder="1" applyProtection="1">
      <protection hidden="1"/>
    </xf>
    <xf numFmtId="168" fontId="8" fillId="5" borderId="24" xfId="4" applyNumberFormat="1" applyFont="1" applyFill="1" applyBorder="1" applyAlignment="1" applyProtection="1">
      <alignment vertical="center"/>
      <protection hidden="1"/>
    </xf>
    <xf numFmtId="168" fontId="8" fillId="5" borderId="39" xfId="4" applyNumberFormat="1" applyFont="1" applyFill="1" applyBorder="1" applyAlignment="1" applyProtection="1">
      <alignment vertical="center"/>
      <protection hidden="1"/>
    </xf>
    <xf numFmtId="168" fontId="8" fillId="5" borderId="37" xfId="4" applyNumberFormat="1" applyFont="1" applyFill="1" applyBorder="1" applyAlignment="1" applyProtection="1">
      <alignment vertical="center"/>
      <protection hidden="1"/>
    </xf>
    <xf numFmtId="0" fontId="9" fillId="6" borderId="35" xfId="4" applyNumberFormat="1" applyFont="1" applyFill="1" applyBorder="1" applyAlignment="1" applyProtection="1">
      <protection hidden="1"/>
    </xf>
    <xf numFmtId="0" fontId="9" fillId="6" borderId="37" xfId="4" applyNumberFormat="1" applyFont="1" applyFill="1" applyBorder="1" applyAlignment="1" applyProtection="1">
      <protection hidden="1"/>
    </xf>
    <xf numFmtId="0" fontId="8" fillId="3" borderId="17" xfId="4" applyFont="1" applyFill="1" applyBorder="1" applyAlignment="1" applyProtection="1">
      <alignment horizontal="left" vertical="center" indent="1"/>
      <protection hidden="1"/>
    </xf>
    <xf numFmtId="0" fontId="8" fillId="3" borderId="20" xfId="4" applyFont="1" applyFill="1" applyBorder="1" applyAlignment="1" applyProtection="1">
      <alignment horizontal="left" vertical="center" indent="1"/>
      <protection hidden="1"/>
    </xf>
    <xf numFmtId="0" fontId="9" fillId="3" borderId="17" xfId="4" applyFont="1" applyFill="1" applyBorder="1" applyProtection="1">
      <protection hidden="1"/>
    </xf>
    <xf numFmtId="0" fontId="9" fillId="5" borderId="74" xfId="4" applyFont="1" applyFill="1" applyBorder="1" applyProtection="1">
      <protection hidden="1"/>
    </xf>
    <xf numFmtId="0" fontId="9" fillId="5" borderId="18" xfId="4" applyFont="1" applyFill="1" applyBorder="1" applyProtection="1">
      <protection hidden="1"/>
    </xf>
    <xf numFmtId="168" fontId="9" fillId="5" borderId="5" xfId="4" applyNumberFormat="1" applyFont="1" applyFill="1" applyBorder="1" applyAlignment="1" applyProtection="1">
      <alignment vertical="center"/>
      <protection hidden="1"/>
    </xf>
    <xf numFmtId="0" fontId="9" fillId="5" borderId="3" xfId="4" applyFont="1" applyFill="1" applyBorder="1" applyProtection="1">
      <protection hidden="1"/>
    </xf>
    <xf numFmtId="0" fontId="9" fillId="5" borderId="13" xfId="4" applyFont="1" applyFill="1" applyBorder="1" applyProtection="1">
      <protection hidden="1"/>
    </xf>
    <xf numFmtId="168" fontId="9" fillId="5" borderId="4" xfId="4" applyNumberFormat="1" applyFont="1" applyFill="1" applyBorder="1" applyAlignment="1" applyProtection="1">
      <alignment vertical="center"/>
      <protection hidden="1"/>
    </xf>
    <xf numFmtId="165" fontId="9" fillId="8" borderId="58" xfId="7" quotePrefix="1" applyNumberFormat="1" applyFont="1" applyFill="1" applyBorder="1" applyAlignment="1" applyProtection="1">
      <alignment vertical="center"/>
      <protection hidden="1"/>
    </xf>
    <xf numFmtId="165" fontId="9" fillId="8" borderId="10" xfId="7" quotePrefix="1" applyNumberFormat="1" applyFont="1" applyFill="1" applyBorder="1" applyAlignment="1" applyProtection="1">
      <alignment vertical="center"/>
      <protection hidden="1"/>
    </xf>
    <xf numFmtId="168" fontId="8" fillId="3" borderId="34" xfId="4" applyNumberFormat="1" applyFont="1" applyFill="1" applyBorder="1" applyAlignment="1" applyProtection="1">
      <alignment vertical="center"/>
      <protection hidden="1"/>
    </xf>
    <xf numFmtId="168" fontId="8" fillId="3" borderId="31" xfId="4" applyNumberFormat="1" applyFont="1" applyFill="1" applyBorder="1" applyAlignment="1" applyProtection="1">
      <alignment vertical="center"/>
      <protection hidden="1"/>
    </xf>
    <xf numFmtId="0" fontId="9" fillId="3" borderId="42" xfId="4" applyFont="1" applyFill="1" applyBorder="1" applyProtection="1">
      <protection hidden="1"/>
    </xf>
    <xf numFmtId="168" fontId="8" fillId="5" borderId="5" xfId="4" applyNumberFormat="1" applyFont="1" applyFill="1" applyBorder="1" applyAlignment="1" applyProtection="1">
      <alignment vertical="center"/>
      <protection hidden="1"/>
    </xf>
    <xf numFmtId="0" fontId="9" fillId="6" borderId="38" xfId="4" applyNumberFormat="1" applyFont="1" applyFill="1" applyBorder="1" applyAlignment="1" applyProtection="1">
      <protection hidden="1"/>
    </xf>
    <xf numFmtId="0" fontId="9" fillId="6" borderId="56" xfId="4" applyNumberFormat="1" applyFont="1" applyFill="1" applyBorder="1" applyAlignment="1" applyProtection="1">
      <protection hidden="1"/>
    </xf>
    <xf numFmtId="0" fontId="8" fillId="3" borderId="9" xfId="4" applyFont="1" applyFill="1" applyBorder="1" applyAlignment="1" applyProtection="1">
      <alignment horizontal="left" vertical="center" indent="1"/>
      <protection hidden="1"/>
    </xf>
    <xf numFmtId="0" fontId="8" fillId="3" borderId="70" xfId="4" applyFont="1" applyFill="1" applyBorder="1" applyAlignment="1" applyProtection="1">
      <alignment horizontal="left" vertical="center" indent="1"/>
      <protection hidden="1"/>
    </xf>
    <xf numFmtId="0" fontId="9" fillId="5" borderId="24" xfId="4" applyFont="1" applyFill="1" applyBorder="1" applyProtection="1">
      <protection hidden="1"/>
    </xf>
    <xf numFmtId="0" fontId="9" fillId="5" borderId="25" xfId="4" applyFont="1" applyFill="1" applyBorder="1" applyProtection="1">
      <protection hidden="1"/>
    </xf>
    <xf numFmtId="0" fontId="9" fillId="5" borderId="27" xfId="4" applyFont="1" applyFill="1" applyBorder="1" applyProtection="1">
      <protection hidden="1"/>
    </xf>
    <xf numFmtId="0" fontId="11" fillId="3" borderId="9" xfId="4" applyFont="1" applyFill="1" applyBorder="1" applyAlignment="1" applyProtection="1">
      <alignment horizontal="left" vertical="center" indent="3"/>
      <protection hidden="1"/>
    </xf>
    <xf numFmtId="0" fontId="11" fillId="3" borderId="9" xfId="4" applyFont="1" applyFill="1" applyBorder="1" applyAlignment="1" applyProtection="1">
      <alignment horizontal="left" vertical="center" indent="4"/>
      <protection hidden="1"/>
    </xf>
    <xf numFmtId="0" fontId="11" fillId="3" borderId="25" xfId="4" applyFont="1" applyFill="1" applyBorder="1" applyAlignment="1" applyProtection="1">
      <alignment horizontal="left" vertical="center" indent="4"/>
      <protection hidden="1"/>
    </xf>
    <xf numFmtId="0" fontId="9" fillId="5" borderId="26" xfId="4" applyFont="1" applyFill="1" applyBorder="1" applyProtection="1">
      <protection hidden="1"/>
    </xf>
    <xf numFmtId="0" fontId="13" fillId="3" borderId="9" xfId="4" applyFont="1" applyFill="1" applyBorder="1" applyAlignment="1" applyProtection="1">
      <alignment horizontal="left" vertical="center" indent="5"/>
      <protection hidden="1"/>
    </xf>
    <xf numFmtId="168" fontId="9" fillId="0" borderId="29" xfId="4" applyNumberFormat="1" applyFont="1" applyFill="1" applyBorder="1" applyAlignment="1" applyProtection="1">
      <alignment vertical="center"/>
      <protection locked="0"/>
    </xf>
    <xf numFmtId="168" fontId="9" fillId="0" borderId="30" xfId="4" applyNumberFormat="1" applyFont="1" applyFill="1" applyBorder="1" applyAlignment="1" applyProtection="1">
      <alignment vertical="center"/>
      <protection locked="0"/>
    </xf>
    <xf numFmtId="0" fontId="9" fillId="3" borderId="75" xfId="4" applyNumberFormat="1" applyFont="1" applyFill="1" applyBorder="1" applyAlignment="1" applyProtection="1">
      <protection hidden="1"/>
    </xf>
    <xf numFmtId="0" fontId="9" fillId="3" borderId="4" xfId="4" applyNumberFormat="1" applyFont="1" applyFill="1" applyBorder="1" applyAlignment="1" applyProtection="1">
      <protection hidden="1"/>
    </xf>
    <xf numFmtId="0" fontId="9" fillId="3" borderId="2" xfId="4" applyNumberFormat="1" applyFont="1" applyFill="1" applyBorder="1" applyAlignment="1" applyProtection="1">
      <protection hidden="1"/>
    </xf>
    <xf numFmtId="0" fontId="9" fillId="3" borderId="13" xfId="4" applyNumberFormat="1" applyFont="1" applyFill="1" applyBorder="1" applyAlignment="1" applyProtection="1">
      <protection hidden="1"/>
    </xf>
    <xf numFmtId="0" fontId="9" fillId="3" borderId="49" xfId="4" applyNumberFormat="1" applyFont="1" applyFill="1" applyBorder="1" applyAlignment="1" applyProtection="1">
      <protection hidden="1"/>
    </xf>
    <xf numFmtId="0" fontId="9" fillId="3" borderId="28" xfId="0" applyNumberFormat="1" applyFont="1" applyFill="1" applyBorder="1" applyAlignment="1" applyProtection="1">
      <protection hidden="1"/>
    </xf>
    <xf numFmtId="0" fontId="9" fillId="5" borderId="40" xfId="4" applyFont="1" applyFill="1" applyBorder="1" applyProtection="1">
      <protection hidden="1"/>
    </xf>
    <xf numFmtId="0" fontId="9" fillId="5" borderId="30" xfId="4" applyFont="1" applyFill="1" applyBorder="1" applyProtection="1">
      <protection hidden="1"/>
    </xf>
    <xf numFmtId="0" fontId="9" fillId="5" borderId="6" xfId="4" applyFont="1" applyFill="1" applyBorder="1" applyProtection="1">
      <protection hidden="1"/>
    </xf>
    <xf numFmtId="0" fontId="9" fillId="6" borderId="40" xfId="4" applyFont="1" applyFill="1" applyBorder="1" applyProtection="1">
      <protection hidden="1"/>
    </xf>
    <xf numFmtId="0" fontId="9" fillId="6" borderId="6" xfId="4" applyFont="1" applyFill="1" applyBorder="1" applyProtection="1">
      <protection hidden="1"/>
    </xf>
    <xf numFmtId="165" fontId="9" fillId="8" borderId="57" xfId="7" quotePrefix="1" applyNumberFormat="1" applyFont="1" applyFill="1" applyBorder="1" applyAlignment="1" applyProtection="1">
      <alignment vertical="center"/>
      <protection hidden="1"/>
    </xf>
    <xf numFmtId="165" fontId="9" fillId="8" borderId="27" xfId="7" quotePrefix="1" applyNumberFormat="1" applyFont="1" applyFill="1" applyBorder="1" applyAlignment="1" applyProtection="1">
      <alignment vertical="center"/>
      <protection hidden="1"/>
    </xf>
    <xf numFmtId="0" fontId="9" fillId="3" borderId="29" xfId="4" applyNumberFormat="1" applyFont="1" applyFill="1" applyBorder="1" applyAlignment="1" applyProtection="1">
      <protection hidden="1"/>
    </xf>
    <xf numFmtId="0" fontId="9" fillId="3" borderId="30" xfId="4" applyNumberFormat="1" applyFont="1" applyFill="1" applyBorder="1" applyAlignment="1" applyProtection="1">
      <protection hidden="1"/>
    </xf>
    <xf numFmtId="0" fontId="9" fillId="3" borderId="48" xfId="4" applyNumberFormat="1" applyFont="1" applyFill="1" applyBorder="1" applyAlignment="1" applyProtection="1">
      <protection hidden="1"/>
    </xf>
    <xf numFmtId="0" fontId="9" fillId="3" borderId="28" xfId="4" applyNumberFormat="1" applyFont="1" applyFill="1" applyBorder="1" applyAlignment="1" applyProtection="1">
      <protection hidden="1"/>
    </xf>
    <xf numFmtId="0" fontId="13" fillId="3" borderId="9" xfId="4" applyFont="1" applyFill="1" applyBorder="1" applyAlignment="1" applyProtection="1">
      <alignment horizontal="left" vertical="center" indent="4"/>
      <protection hidden="1"/>
    </xf>
    <xf numFmtId="168" fontId="9" fillId="9" borderId="29" xfId="4" applyNumberFormat="1" applyFont="1" applyFill="1" applyBorder="1" applyAlignment="1" applyProtection="1">
      <alignment vertical="center"/>
      <protection locked="0"/>
    </xf>
    <xf numFmtId="0" fontId="8" fillId="3" borderId="9" xfId="4" applyFont="1" applyFill="1" applyBorder="1" applyAlignment="1" applyProtection="1">
      <alignment horizontal="left" vertical="center" indent="3"/>
      <protection hidden="1"/>
    </xf>
    <xf numFmtId="168" fontId="8" fillId="3" borderId="73" xfId="4" applyNumberFormat="1" applyFont="1" applyFill="1" applyBorder="1" applyAlignment="1" applyProtection="1">
      <alignment vertical="center"/>
      <protection hidden="1"/>
    </xf>
    <xf numFmtId="168" fontId="8" fillId="3" borderId="52" xfId="4" applyNumberFormat="1" applyFont="1" applyFill="1" applyBorder="1" applyAlignment="1" applyProtection="1">
      <alignment vertical="center"/>
      <protection hidden="1"/>
    </xf>
    <xf numFmtId="0" fontId="9" fillId="6" borderId="5" xfId="4" applyNumberFormat="1" applyFont="1" applyFill="1" applyBorder="1" applyAlignment="1" applyProtection="1">
      <protection hidden="1"/>
    </xf>
    <xf numFmtId="0" fontId="8" fillId="3" borderId="14" xfId="4" applyFont="1" applyFill="1" applyBorder="1" applyAlignment="1" applyProtection="1">
      <alignment horizontal="left" vertical="center" indent="1"/>
      <protection hidden="1"/>
    </xf>
    <xf numFmtId="168" fontId="8" fillId="3" borderId="14" xfId="4" applyNumberFormat="1" applyFont="1" applyFill="1" applyBorder="1" applyAlignment="1" applyProtection="1">
      <alignment vertical="center"/>
      <protection hidden="1"/>
    </xf>
    <xf numFmtId="168" fontId="8" fillId="3" borderId="76" xfId="4" applyNumberFormat="1" applyFont="1" applyFill="1" applyBorder="1" applyAlignment="1" applyProtection="1">
      <alignment vertical="center"/>
      <protection hidden="1"/>
    </xf>
    <xf numFmtId="168" fontId="8" fillId="3" borderId="72" xfId="4" applyNumberFormat="1" applyFont="1" applyFill="1" applyBorder="1" applyAlignment="1" applyProtection="1">
      <alignment vertical="center"/>
      <protection hidden="1"/>
    </xf>
    <xf numFmtId="168" fontId="8" fillId="5" borderId="43" xfId="4" applyNumberFormat="1" applyFont="1" applyFill="1" applyBorder="1" applyAlignment="1" applyProtection="1">
      <alignment vertical="center"/>
      <protection hidden="1"/>
    </xf>
    <xf numFmtId="168" fontId="8" fillId="5" borderId="15" xfId="4" applyNumberFormat="1" applyFont="1" applyFill="1" applyBorder="1" applyAlignment="1" applyProtection="1">
      <alignment vertical="center"/>
      <protection hidden="1"/>
    </xf>
    <xf numFmtId="0" fontId="9" fillId="6" borderId="43" xfId="4" applyNumberFormat="1" applyFont="1" applyFill="1" applyBorder="1" applyAlignment="1" applyProtection="1">
      <protection hidden="1"/>
    </xf>
    <xf numFmtId="0" fontId="9" fillId="6" borderId="16" xfId="4" applyNumberFormat="1" applyFont="1" applyFill="1" applyBorder="1" applyAlignment="1" applyProtection="1">
      <protection hidden="1"/>
    </xf>
    <xf numFmtId="0" fontId="9" fillId="3" borderId="9" xfId="4" applyFont="1" applyFill="1" applyBorder="1" applyProtection="1">
      <protection hidden="1"/>
    </xf>
    <xf numFmtId="0" fontId="9" fillId="6" borderId="0" xfId="4" applyFont="1" applyFill="1" applyBorder="1" applyProtection="1">
      <protection hidden="1"/>
    </xf>
    <xf numFmtId="0" fontId="9" fillId="3" borderId="9" xfId="4" quotePrefix="1" applyFont="1" applyFill="1" applyBorder="1" applyProtection="1">
      <protection hidden="1"/>
    </xf>
    <xf numFmtId="0" fontId="9" fillId="3" borderId="0" xfId="4" quotePrefix="1" applyFont="1" applyFill="1" applyBorder="1" applyProtection="1">
      <protection hidden="1"/>
    </xf>
    <xf numFmtId="168" fontId="21" fillId="5" borderId="0" xfId="4" applyNumberFormat="1" applyFont="1" applyFill="1" applyBorder="1" applyAlignment="1" applyProtection="1">
      <protection hidden="1"/>
    </xf>
    <xf numFmtId="0" fontId="21" fillId="5" borderId="0" xfId="4" applyNumberFormat="1" applyFont="1" applyFill="1" applyBorder="1" applyAlignment="1" applyProtection="1">
      <protection hidden="1"/>
    </xf>
    <xf numFmtId="168" fontId="21" fillId="6" borderId="0" xfId="4" applyNumberFormat="1" applyFont="1" applyFill="1" applyBorder="1" applyAlignment="1" applyProtection="1">
      <protection hidden="1"/>
    </xf>
    <xf numFmtId="168" fontId="9" fillId="5" borderId="0" xfId="4" applyNumberFormat="1" applyFont="1" applyFill="1" applyBorder="1" applyProtection="1">
      <protection hidden="1"/>
    </xf>
    <xf numFmtId="168" fontId="9" fillId="6" borderId="0" xfId="4" applyNumberFormat="1" applyFont="1" applyFill="1" applyBorder="1" applyProtection="1">
      <protection hidden="1"/>
    </xf>
    <xf numFmtId="0" fontId="8" fillId="3" borderId="41" xfId="4" applyFont="1" applyFill="1" applyBorder="1" applyProtection="1">
      <protection hidden="1"/>
    </xf>
    <xf numFmtId="0" fontId="9" fillId="3" borderId="51" xfId="4" applyFont="1" applyFill="1" applyBorder="1" applyProtection="1">
      <protection hidden="1"/>
    </xf>
    <xf numFmtId="0" fontId="9" fillId="5" borderId="51" xfId="4" applyFont="1" applyFill="1" applyBorder="1" applyProtection="1">
      <protection hidden="1"/>
    </xf>
    <xf numFmtId="0" fontId="9" fillId="6" borderId="51" xfId="4" applyNumberFormat="1" applyFont="1" applyFill="1" applyBorder="1" applyAlignment="1" applyProtection="1">
      <protection hidden="1"/>
    </xf>
    <xf numFmtId="0" fontId="9" fillId="6" borderId="51" xfId="4" applyFont="1" applyFill="1" applyBorder="1" applyProtection="1">
      <protection hidden="1"/>
    </xf>
    <xf numFmtId="0" fontId="9" fillId="6" borderId="42" xfId="4" applyNumberFormat="1" applyFont="1" applyFill="1" applyBorder="1" applyAlignment="1" applyProtection="1">
      <protection hidden="1"/>
    </xf>
    <xf numFmtId="168" fontId="9" fillId="5" borderId="24" xfId="4" applyNumberFormat="1" applyFont="1" applyFill="1" applyBorder="1" applyAlignment="1" applyProtection="1">
      <alignment vertical="center"/>
      <protection hidden="1"/>
    </xf>
    <xf numFmtId="168" fontId="9" fillId="5" borderId="40" xfId="4" applyNumberFormat="1" applyFont="1" applyFill="1" applyBorder="1" applyAlignment="1" applyProtection="1">
      <alignment vertical="center"/>
      <protection hidden="1"/>
    </xf>
    <xf numFmtId="0" fontId="9" fillId="15" borderId="0" xfId="0" applyFont="1" applyFill="1" applyBorder="1" applyAlignment="1" applyProtection="1">
      <alignment horizontal="center"/>
      <protection hidden="1"/>
    </xf>
    <xf numFmtId="175" fontId="9" fillId="0" borderId="0" xfId="4" applyNumberFormat="1" applyFont="1" applyFill="1" applyBorder="1" applyAlignment="1" applyProtection="1">
      <alignment horizontal="center" vertical="center"/>
      <protection hidden="1"/>
    </xf>
    <xf numFmtId="175" fontId="9" fillId="0" borderId="77" xfId="4" applyNumberFormat="1" applyFont="1" applyFill="1" applyBorder="1" applyAlignment="1" applyProtection="1">
      <alignment horizontal="center" vertical="center"/>
      <protection hidden="1"/>
    </xf>
    <xf numFmtId="175" fontId="8" fillId="0" borderId="0" xfId="4" applyNumberFormat="1" applyFont="1" applyFill="1" applyBorder="1" applyAlignment="1" applyProtection="1">
      <alignment horizontal="right" vertical="center"/>
      <protection hidden="1"/>
    </xf>
    <xf numFmtId="175" fontId="9" fillId="0" borderId="78" xfId="4" applyNumberFormat="1" applyFont="1" applyFill="1" applyBorder="1" applyAlignment="1" applyProtection="1">
      <alignment vertical="center"/>
      <protection hidden="1"/>
    </xf>
    <xf numFmtId="175" fontId="9" fillId="0" borderId="77" xfId="4" applyNumberFormat="1" applyFont="1" applyFill="1" applyBorder="1" applyAlignment="1" applyProtection="1">
      <alignment vertical="center"/>
      <protection hidden="1"/>
    </xf>
    <xf numFmtId="175" fontId="9" fillId="0" borderId="0" xfId="4" applyNumberFormat="1" applyFont="1" applyFill="1" applyBorder="1" applyAlignment="1" applyProtection="1">
      <alignment vertical="center"/>
      <protection hidden="1"/>
    </xf>
    <xf numFmtId="0" fontId="9" fillId="0" borderId="0" xfId="4" applyNumberFormat="1" applyFont="1" applyFill="1" applyBorder="1" applyAlignment="1" applyProtection="1">
      <protection hidden="1"/>
    </xf>
    <xf numFmtId="175" fontId="9" fillId="0" borderId="80" xfId="4" applyNumberFormat="1" applyFont="1" applyFill="1" applyBorder="1" applyAlignment="1" applyProtection="1">
      <protection hidden="1"/>
    </xf>
    <xf numFmtId="168" fontId="8" fillId="0" borderId="51" xfId="4" applyNumberFormat="1" applyFont="1" applyFill="1" applyBorder="1" applyAlignment="1" applyProtection="1">
      <alignment horizontal="right" vertical="center"/>
      <protection hidden="1"/>
    </xf>
    <xf numFmtId="175" fontId="9" fillId="0" borderId="73" xfId="4" applyNumberFormat="1" applyFont="1" applyFill="1" applyBorder="1" applyAlignment="1" applyProtection="1">
      <protection hidden="1"/>
    </xf>
    <xf numFmtId="175" fontId="9" fillId="0" borderId="9" xfId="4" applyNumberFormat="1" applyFont="1" applyFill="1" applyBorder="1" applyAlignment="1" applyProtection="1">
      <alignment horizontal="center" vertical="center"/>
      <protection hidden="1"/>
    </xf>
    <xf numFmtId="175" fontId="9" fillId="0" borderId="9" xfId="4" applyNumberFormat="1" applyFont="1" applyFill="1" applyBorder="1" applyAlignment="1" applyProtection="1">
      <alignment vertical="center"/>
      <protection hidden="1"/>
    </xf>
    <xf numFmtId="175" fontId="8" fillId="0" borderId="80" xfId="4" applyNumberFormat="1" applyFont="1" applyFill="1" applyBorder="1" applyAlignment="1" applyProtection="1">
      <protection hidden="1"/>
    </xf>
    <xf numFmtId="175" fontId="8" fillId="0" borderId="0" xfId="4" applyNumberFormat="1" applyFont="1" applyFill="1" applyBorder="1" applyAlignment="1" applyProtection="1">
      <alignment vertical="center"/>
      <protection hidden="1"/>
    </xf>
    <xf numFmtId="175" fontId="8" fillId="0" borderId="50" xfId="4" applyNumberFormat="1" applyFont="1" applyFill="1" applyBorder="1" applyAlignment="1" applyProtection="1">
      <alignment horizontal="right" vertical="center"/>
      <protection hidden="1"/>
    </xf>
    <xf numFmtId="175" fontId="8" fillId="0" borderId="51" xfId="4" applyNumberFormat="1" applyFont="1" applyFill="1" applyBorder="1" applyAlignment="1" applyProtection="1">
      <alignment horizontal="right" vertical="center"/>
      <protection hidden="1"/>
    </xf>
    <xf numFmtId="175" fontId="9" fillId="0" borderId="79" xfId="4" applyNumberFormat="1" applyFont="1" applyFill="1" applyBorder="1" applyAlignment="1" applyProtection="1">
      <protection hidden="1"/>
    </xf>
    <xf numFmtId="175" fontId="9" fillId="0" borderId="81" xfId="4" applyNumberFormat="1" applyFont="1" applyFill="1" applyBorder="1" applyAlignment="1" applyProtection="1">
      <protection hidden="1"/>
    </xf>
    <xf numFmtId="175" fontId="8" fillId="0" borderId="77" xfId="4" applyNumberFormat="1" applyFont="1" applyFill="1" applyBorder="1" applyAlignment="1" applyProtection="1">
      <alignment horizontal="right" vertical="center"/>
      <protection hidden="1"/>
    </xf>
    <xf numFmtId="0" fontId="9" fillId="3" borderId="9" xfId="4" applyNumberFormat="1" applyFont="1" applyFill="1" applyBorder="1" applyAlignment="1" applyProtection="1">
      <protection hidden="1"/>
    </xf>
    <xf numFmtId="0" fontId="9" fillId="3" borderId="9" xfId="0" applyNumberFormat="1" applyFont="1" applyFill="1" applyBorder="1" applyAlignment="1" applyProtection="1">
      <protection hidden="1"/>
    </xf>
    <xf numFmtId="0" fontId="9" fillId="3" borderId="9" xfId="0" quotePrefix="1" applyNumberFormat="1" applyFont="1" applyFill="1" applyBorder="1" applyAlignment="1" applyProtection="1">
      <protection hidden="1"/>
    </xf>
    <xf numFmtId="0" fontId="9" fillId="3" borderId="11" xfId="4" applyNumberFormat="1" applyFont="1" applyFill="1" applyBorder="1" applyAlignment="1" applyProtection="1">
      <protection hidden="1"/>
    </xf>
    <xf numFmtId="0" fontId="9" fillId="3" borderId="11" xfId="0" applyNumberFormat="1" applyFont="1" applyFill="1" applyBorder="1" applyAlignment="1" applyProtection="1">
      <protection hidden="1"/>
    </xf>
    <xf numFmtId="0" fontId="9" fillId="3" borderId="0" xfId="0" applyNumberFormat="1" applyFont="1" applyFill="1" applyBorder="1" applyAlignment="1" applyProtection="1">
      <protection hidden="1"/>
    </xf>
    <xf numFmtId="168" fontId="9" fillId="11" borderId="14" xfId="4" applyNumberFormat="1" applyFont="1" applyFill="1" applyBorder="1" applyAlignment="1" applyProtection="1">
      <alignment vertical="center"/>
      <protection hidden="1"/>
    </xf>
    <xf numFmtId="168" fontId="9" fillId="11" borderId="15" xfId="4" applyNumberFormat="1" applyFont="1" applyFill="1" applyBorder="1" applyAlignment="1" applyProtection="1">
      <alignment vertical="center"/>
      <protection hidden="1"/>
    </xf>
    <xf numFmtId="168" fontId="8" fillId="0" borderId="15" xfId="4" applyNumberFormat="1" applyFont="1" applyFill="1" applyBorder="1" applyAlignment="1" applyProtection="1">
      <alignment vertical="center"/>
      <protection locked="0"/>
    </xf>
    <xf numFmtId="0" fontId="9" fillId="3" borderId="31" xfId="4" applyNumberFormat="1" applyFont="1" applyFill="1" applyBorder="1" applyAlignment="1" applyProtection="1">
      <protection hidden="1"/>
    </xf>
    <xf numFmtId="0" fontId="9" fillId="3" borderId="12" xfId="4" applyNumberFormat="1" applyFont="1" applyFill="1" applyBorder="1" applyAlignment="1" applyProtection="1">
      <protection hidden="1"/>
    </xf>
    <xf numFmtId="168" fontId="8" fillId="3" borderId="12" xfId="4" applyNumberFormat="1" applyFont="1" applyFill="1" applyBorder="1" applyAlignment="1" applyProtection="1">
      <alignment vertical="center"/>
      <protection hidden="1"/>
    </xf>
    <xf numFmtId="0" fontId="9" fillId="3" borderId="8" xfId="4" applyNumberFormat="1" applyFont="1" applyFill="1" applyBorder="1" applyAlignment="1" applyProtection="1">
      <protection hidden="1"/>
    </xf>
    <xf numFmtId="0" fontId="12" fillId="3" borderId="0" xfId="0" applyFont="1" applyFill="1" applyBorder="1" applyAlignment="1" applyProtection="1">
      <alignment horizontal="left" vertical="center" wrapText="1" indent="1"/>
      <protection hidden="1"/>
    </xf>
    <xf numFmtId="0" fontId="12" fillId="3" borderId="11" xfId="0" applyFont="1" applyFill="1" applyBorder="1" applyAlignment="1" applyProtection="1">
      <alignment horizontal="left" vertical="center" wrapText="1" indent="1"/>
      <protection hidden="1"/>
    </xf>
    <xf numFmtId="176" fontId="8" fillId="3" borderId="11" xfId="0" quotePrefix="1" applyNumberFormat="1" applyFont="1" applyFill="1" applyBorder="1" applyAlignment="1" applyProtection="1">
      <alignment horizontal="center" vertical="center"/>
      <protection hidden="1"/>
    </xf>
    <xf numFmtId="176" fontId="8" fillId="3" borderId="22" xfId="4" applyNumberFormat="1"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top"/>
      <protection hidden="1"/>
    </xf>
    <xf numFmtId="0" fontId="8" fillId="3" borderId="25" xfId="0" applyFont="1" applyFill="1" applyBorder="1" applyAlignment="1" applyProtection="1">
      <alignment horizontal="center" vertical="top"/>
      <protection hidden="1"/>
    </xf>
    <xf numFmtId="0" fontId="8" fillId="3" borderId="0" xfId="0" applyFont="1" applyFill="1" applyBorder="1" applyAlignment="1" applyProtection="1">
      <alignment horizontal="center" vertical="top" wrapText="1"/>
      <protection hidden="1"/>
    </xf>
    <xf numFmtId="0" fontId="8" fillId="3" borderId="0" xfId="0" applyFont="1" applyFill="1" applyBorder="1" applyAlignment="1" applyProtection="1">
      <alignment horizontal="center" vertical="top"/>
      <protection hidden="1"/>
    </xf>
    <xf numFmtId="0" fontId="8" fillId="3" borderId="22" xfId="0" applyFont="1" applyFill="1" applyBorder="1" applyAlignment="1" applyProtection="1">
      <alignment horizontal="center" vertical="top"/>
      <protection hidden="1"/>
    </xf>
    <xf numFmtId="164" fontId="17" fillId="4" borderId="59" xfId="0" applyNumberFormat="1" applyFont="1" applyFill="1" applyBorder="1" applyAlignment="1" applyProtection="1">
      <alignment horizontal="centerContinuous" vertical="center"/>
      <protection hidden="1"/>
    </xf>
    <xf numFmtId="164" fontId="17" fillId="4" borderId="60" xfId="0" applyNumberFormat="1" applyFont="1" applyFill="1" applyBorder="1" applyAlignment="1" applyProtection="1">
      <alignment horizontal="centerContinuous" vertical="center"/>
      <protection hidden="1"/>
    </xf>
    <xf numFmtId="164" fontId="17" fillId="4" borderId="61" xfId="0" applyNumberFormat="1" applyFont="1" applyFill="1" applyBorder="1" applyAlignment="1" applyProtection="1">
      <alignment horizontal="centerContinuous" vertical="center"/>
      <protection hidden="1"/>
    </xf>
    <xf numFmtId="0" fontId="17" fillId="5" borderId="22" xfId="0"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168" fontId="8" fillId="5" borderId="22" xfId="4" applyNumberFormat="1" applyFont="1" applyFill="1" applyBorder="1" applyAlignment="1" applyProtection="1">
      <alignment vertical="center"/>
      <protection hidden="1"/>
    </xf>
    <xf numFmtId="0" fontId="9" fillId="5" borderId="22" xfId="4" applyFont="1" applyFill="1" applyBorder="1" applyProtection="1">
      <protection hidden="1"/>
    </xf>
    <xf numFmtId="168" fontId="8" fillId="5" borderId="31" xfId="4" applyNumberFormat="1" applyFont="1" applyFill="1" applyBorder="1" applyAlignment="1" applyProtection="1">
      <alignment vertical="center"/>
      <protection hidden="1"/>
    </xf>
    <xf numFmtId="175" fontId="9" fillId="0" borderId="25" xfId="4" applyNumberFormat="1" applyFont="1" applyFill="1" applyBorder="1" applyAlignment="1" applyProtection="1">
      <alignment vertical="center"/>
      <protection hidden="1"/>
    </xf>
    <xf numFmtId="168" fontId="8" fillId="0" borderId="39" xfId="4" applyNumberFormat="1" applyFont="1" applyFill="1" applyBorder="1" applyAlignment="1" applyProtection="1">
      <alignment horizontal="right" vertical="center"/>
      <protection hidden="1"/>
    </xf>
    <xf numFmtId="172" fontId="9" fillId="0" borderId="78" xfId="0" applyNumberFormat="1" applyFont="1" applyFill="1" applyBorder="1" applyAlignment="1" applyProtection="1">
      <alignment vertical="center"/>
      <protection hidden="1"/>
    </xf>
    <xf numFmtId="172" fontId="9" fillId="0" borderId="50" xfId="0" applyNumberFormat="1" applyFont="1" applyFill="1" applyBorder="1" applyAlignment="1" applyProtection="1">
      <alignment vertical="center"/>
      <protection hidden="1"/>
    </xf>
    <xf numFmtId="0" fontId="8" fillId="0" borderId="27" xfId="0" applyNumberFormat="1" applyFont="1" applyFill="1" applyBorder="1" applyAlignment="1" applyProtection="1">
      <alignment horizontal="center" vertical="top" wrapText="1"/>
      <protection hidden="1"/>
    </xf>
    <xf numFmtId="175" fontId="9" fillId="0" borderId="22" xfId="4" applyNumberFormat="1" applyFont="1" applyFill="1" applyBorder="1" applyAlignment="1" applyProtection="1">
      <alignment vertical="center"/>
      <protection hidden="1"/>
    </xf>
    <xf numFmtId="168" fontId="8" fillId="0" borderId="31" xfId="4" applyNumberFormat="1" applyFont="1" applyFill="1" applyBorder="1" applyAlignment="1" applyProtection="1">
      <alignment horizontal="right" vertical="center"/>
      <protection hidden="1"/>
    </xf>
    <xf numFmtId="168" fontId="8" fillId="5" borderId="38" xfId="4" applyNumberFormat="1" applyFont="1" applyFill="1" applyBorder="1" applyAlignment="1" applyProtection="1">
      <alignment vertical="center"/>
      <protection hidden="1"/>
    </xf>
    <xf numFmtId="168" fontId="8" fillId="5" borderId="36" xfId="4" applyNumberFormat="1" applyFont="1" applyFill="1" applyBorder="1" applyAlignment="1" applyProtection="1">
      <alignment vertical="center"/>
      <protection hidden="1"/>
    </xf>
    <xf numFmtId="168" fontId="9" fillId="5" borderId="49" xfId="4" applyNumberFormat="1" applyFont="1" applyFill="1" applyBorder="1" applyAlignment="1" applyProtection="1">
      <alignment vertical="center"/>
      <protection hidden="1"/>
    </xf>
    <xf numFmtId="168" fontId="9" fillId="5" borderId="12" xfId="4" applyNumberFormat="1" applyFont="1" applyFill="1" applyBorder="1" applyAlignment="1" applyProtection="1">
      <alignment vertical="center"/>
      <protection hidden="1"/>
    </xf>
    <xf numFmtId="168" fontId="9" fillId="5" borderId="8" xfId="4" applyNumberFormat="1" applyFont="1" applyFill="1" applyBorder="1" applyAlignment="1" applyProtection="1">
      <alignment vertical="center"/>
      <protection hidden="1"/>
    </xf>
    <xf numFmtId="168" fontId="9" fillId="5" borderId="22" xfId="4" applyNumberFormat="1" applyFont="1" applyFill="1" applyBorder="1" applyAlignment="1" applyProtection="1">
      <alignment vertical="center"/>
      <protection hidden="1"/>
    </xf>
    <xf numFmtId="168" fontId="9" fillId="5" borderId="31" xfId="4" applyNumberFormat="1" applyFont="1" applyFill="1" applyBorder="1" applyAlignment="1" applyProtection="1">
      <alignment vertical="center"/>
      <protection hidden="1"/>
    </xf>
    <xf numFmtId="0" fontId="17" fillId="6" borderId="11"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9" fillId="6" borderId="11" xfId="4" applyFont="1" applyFill="1" applyBorder="1" applyProtection="1">
      <protection hidden="1"/>
    </xf>
    <xf numFmtId="0" fontId="9" fillId="6" borderId="12" xfId="4" applyNumberFormat="1" applyFont="1" applyFill="1" applyBorder="1" applyAlignment="1" applyProtection="1">
      <protection hidden="1"/>
    </xf>
    <xf numFmtId="165" fontId="9" fillId="8" borderId="49" xfId="7" quotePrefix="1" applyNumberFormat="1" applyFont="1" applyFill="1" applyBorder="1" applyAlignment="1" applyProtection="1">
      <alignment vertical="center"/>
      <protection hidden="1"/>
    </xf>
    <xf numFmtId="168" fontId="8" fillId="5" borderId="12" xfId="4" applyNumberFormat="1" applyFont="1" applyFill="1" applyBorder="1" applyAlignment="1" applyProtection="1">
      <alignment vertical="center"/>
      <protection hidden="1"/>
    </xf>
    <xf numFmtId="165" fontId="9" fillId="17" borderId="12" xfId="7" quotePrefix="1" applyNumberFormat="1" applyFont="1" applyFill="1" applyBorder="1" applyAlignment="1" applyProtection="1">
      <alignment vertical="center"/>
      <protection hidden="1"/>
    </xf>
    <xf numFmtId="165" fontId="9" fillId="18" borderId="11" xfId="7" quotePrefix="1" applyNumberFormat="1" applyFont="1" applyFill="1" applyBorder="1" applyAlignment="1" applyProtection="1">
      <alignment vertical="center"/>
      <protection hidden="1"/>
    </xf>
    <xf numFmtId="0" fontId="9" fillId="3" borderId="48" xfId="4" applyNumberFormat="1" applyFont="1" applyFill="1" applyBorder="1" applyAlignment="1" applyProtection="1">
      <alignment vertical="center"/>
      <protection hidden="1"/>
    </xf>
    <xf numFmtId="168" fontId="9" fillId="11" borderId="29" xfId="4" applyNumberFormat="1" applyFont="1" applyFill="1" applyBorder="1" applyAlignment="1" applyProtection="1">
      <alignment vertical="center"/>
      <protection hidden="1"/>
    </xf>
    <xf numFmtId="168" fontId="9" fillId="11" borderId="30" xfId="4" applyNumberFormat="1" applyFont="1" applyFill="1" applyBorder="1" applyAlignment="1" applyProtection="1">
      <alignment vertical="center"/>
      <protection hidden="1"/>
    </xf>
    <xf numFmtId="165" fontId="9" fillId="18" borderId="55" xfId="7" quotePrefix="1" applyNumberFormat="1" applyFont="1" applyFill="1" applyBorder="1" applyAlignment="1" applyProtection="1">
      <alignment vertical="center"/>
      <protection hidden="1"/>
    </xf>
    <xf numFmtId="165" fontId="9" fillId="18" borderId="6" xfId="7" quotePrefix="1" applyNumberFormat="1" applyFont="1" applyFill="1" applyBorder="1" applyAlignment="1" applyProtection="1">
      <alignment vertical="center"/>
      <protection hidden="1"/>
    </xf>
    <xf numFmtId="0" fontId="9" fillId="6" borderId="8" xfId="4" applyFont="1" applyFill="1" applyBorder="1" applyProtection="1">
      <protection hidden="1"/>
    </xf>
    <xf numFmtId="0" fontId="9" fillId="6" borderId="22" xfId="4" applyFont="1" applyFill="1" applyBorder="1" applyProtection="1">
      <protection hidden="1"/>
    </xf>
    <xf numFmtId="165" fontId="9" fillId="18" borderId="22" xfId="7" quotePrefix="1" applyNumberFormat="1" applyFont="1" applyFill="1" applyBorder="1" applyAlignment="1" applyProtection="1">
      <alignment vertical="center"/>
      <protection hidden="1"/>
    </xf>
    <xf numFmtId="0" fontId="9" fillId="6" borderId="31" xfId="4" applyNumberFormat="1" applyFont="1" applyFill="1" applyBorder="1" applyAlignment="1" applyProtection="1">
      <protection hidden="1"/>
    </xf>
    <xf numFmtId="0" fontId="24" fillId="11" borderId="9" xfId="0" applyNumberFormat="1" applyFont="1" applyFill="1" applyBorder="1" applyAlignment="1" applyProtection="1">
      <protection hidden="1"/>
    </xf>
    <xf numFmtId="0" fontId="9" fillId="11" borderId="9" xfId="0" applyNumberFormat="1" applyFont="1" applyFill="1" applyBorder="1" applyAlignment="1" applyProtection="1">
      <protection hidden="1"/>
    </xf>
    <xf numFmtId="0" fontId="9" fillId="11" borderId="9" xfId="4" applyNumberFormat="1" applyFont="1" applyFill="1" applyBorder="1" applyAlignment="1" applyProtection="1">
      <protection hidden="1"/>
    </xf>
    <xf numFmtId="168" fontId="19" fillId="3" borderId="9" xfId="4" applyNumberFormat="1" applyFont="1" applyFill="1" applyBorder="1" applyAlignment="1" applyProtection="1">
      <alignment horizontal="center" vertical="center"/>
      <protection hidden="1"/>
    </xf>
    <xf numFmtId="0" fontId="19" fillId="3" borderId="9" xfId="4" applyNumberFormat="1" applyFont="1" applyFill="1" applyBorder="1" applyAlignment="1" applyProtection="1">
      <alignment horizontal="center" vertical="center"/>
      <protection hidden="1"/>
    </xf>
    <xf numFmtId="0" fontId="19" fillId="3" borderId="15" xfId="4" applyNumberFormat="1" applyFont="1" applyFill="1" applyBorder="1" applyAlignment="1" applyProtection="1">
      <alignment horizontal="center" vertical="center"/>
      <protection hidden="1"/>
    </xf>
    <xf numFmtId="0" fontId="8" fillId="3" borderId="25" xfId="4" applyNumberFormat="1" applyFont="1" applyFill="1" applyBorder="1" applyAlignment="1" applyProtection="1">
      <alignment horizontal="center" vertical="center"/>
      <protection hidden="1"/>
    </xf>
    <xf numFmtId="0" fontId="19" fillId="3" borderId="25" xfId="4" applyNumberFormat="1" applyFont="1" applyFill="1" applyBorder="1" applyAlignment="1" applyProtection="1">
      <alignment horizontal="center" vertical="center"/>
      <protection hidden="1"/>
    </xf>
    <xf numFmtId="0" fontId="8" fillId="3" borderId="20" xfId="4" applyNumberFormat="1" applyFont="1" applyFill="1" applyBorder="1" applyAlignment="1" applyProtection="1">
      <alignment horizontal="center" vertical="center"/>
      <protection hidden="1"/>
    </xf>
    <xf numFmtId="0" fontId="8" fillId="3" borderId="39" xfId="4" applyNumberFormat="1" applyFont="1" applyFill="1" applyBorder="1" applyAlignment="1" applyProtection="1">
      <alignment horizontal="center" vertical="center"/>
      <protection hidden="1"/>
    </xf>
    <xf numFmtId="0" fontId="8" fillId="3" borderId="15" xfId="4" applyNumberFormat="1" applyFont="1" applyFill="1" applyBorder="1" applyAlignment="1" applyProtection="1">
      <alignment horizontal="center" vertical="center"/>
      <protection hidden="1"/>
    </xf>
    <xf numFmtId="0" fontId="19" fillId="11" borderId="15" xfId="4" applyNumberFormat="1" applyFont="1" applyFill="1" applyBorder="1" applyAlignment="1" applyProtection="1">
      <alignment horizontal="center" vertical="center"/>
      <protection hidden="1"/>
    </xf>
    <xf numFmtId="0" fontId="20" fillId="11" borderId="25" xfId="4" applyNumberFormat="1" applyFont="1" applyFill="1" applyBorder="1" applyAlignment="1" applyProtection="1">
      <alignment horizontal="center" vertical="center"/>
      <protection hidden="1"/>
    </xf>
    <xf numFmtId="0" fontId="19" fillId="11" borderId="25" xfId="4" applyNumberFormat="1" applyFont="1" applyFill="1" applyBorder="1" applyAlignment="1" applyProtection="1">
      <alignment horizontal="center" vertical="center"/>
      <protection hidden="1"/>
    </xf>
    <xf numFmtId="0" fontId="20" fillId="11" borderId="20" xfId="4" applyNumberFormat="1" applyFont="1" applyFill="1" applyBorder="1" applyAlignment="1" applyProtection="1">
      <alignment horizontal="center" vertical="center"/>
      <protection hidden="1"/>
    </xf>
    <xf numFmtId="0" fontId="20" fillId="11" borderId="39" xfId="4" applyNumberFormat="1" applyFont="1" applyFill="1" applyBorder="1" applyAlignment="1" applyProtection="1">
      <alignment horizontal="center" vertical="center"/>
      <protection hidden="1"/>
    </xf>
    <xf numFmtId="0" fontId="8" fillId="3" borderId="15" xfId="4" applyNumberFormat="1" applyFont="1" applyFill="1" applyBorder="1" applyAlignment="1" applyProtection="1">
      <alignment vertical="center"/>
      <protection hidden="1"/>
    </xf>
    <xf numFmtId="175" fontId="9" fillId="0" borderId="24" xfId="4" applyNumberFormat="1" applyFont="1" applyFill="1" applyBorder="1" applyAlignment="1" applyProtection="1">
      <alignment vertical="center"/>
      <protection hidden="1"/>
    </xf>
    <xf numFmtId="175" fontId="9" fillId="0" borderId="27" xfId="4" applyNumberFormat="1" applyFont="1" applyFill="1" applyBorder="1" applyAlignment="1" applyProtection="1">
      <alignment vertical="center"/>
      <protection hidden="1"/>
    </xf>
    <xf numFmtId="0" fontId="12" fillId="3" borderId="12" xfId="0" applyFont="1" applyFill="1" applyBorder="1" applyAlignment="1" applyProtection="1">
      <alignment horizontal="left" vertical="center" wrapText="1" indent="1"/>
      <protection hidden="1"/>
    </xf>
    <xf numFmtId="0" fontId="9" fillId="3" borderId="31" xfId="4" applyFont="1" applyFill="1" applyBorder="1" applyProtection="1">
      <protection hidden="1"/>
    </xf>
    <xf numFmtId="0" fontId="12" fillId="3" borderId="22" xfId="0" applyFont="1" applyFill="1" applyBorder="1" applyAlignment="1" applyProtection="1">
      <alignment horizontal="left" vertical="center" wrapText="1" indent="1"/>
      <protection hidden="1"/>
    </xf>
    <xf numFmtId="0" fontId="9" fillId="3" borderId="22" xfId="0" applyNumberFormat="1" applyFont="1" applyFill="1" applyBorder="1" applyAlignment="1" applyProtection="1">
      <protection hidden="1"/>
    </xf>
    <xf numFmtId="168" fontId="9" fillId="0" borderId="49" xfId="4" applyNumberFormat="1" applyFont="1" applyFill="1" applyBorder="1" applyAlignment="1" applyProtection="1">
      <alignment vertical="center"/>
      <protection locked="0"/>
    </xf>
    <xf numFmtId="176" fontId="8" fillId="6" borderId="11" xfId="0" quotePrefix="1" applyNumberFormat="1" applyFont="1" applyFill="1" applyBorder="1" applyAlignment="1" applyProtection="1">
      <alignment horizontal="center" vertical="center"/>
      <protection hidden="1"/>
    </xf>
    <xf numFmtId="0" fontId="9" fillId="11" borderId="0" xfId="0" applyFont="1" applyFill="1" applyBorder="1" applyAlignment="1">
      <alignment vertical="center"/>
    </xf>
    <xf numFmtId="0" fontId="9" fillId="11" borderId="78" xfId="0" quotePrefix="1" applyFont="1" applyFill="1" applyBorder="1" applyAlignment="1" applyProtection="1">
      <protection hidden="1"/>
    </xf>
    <xf numFmtId="0" fontId="9" fillId="2" borderId="11" xfId="0" applyFont="1" applyFill="1" applyBorder="1" applyProtection="1">
      <protection hidden="1"/>
    </xf>
    <xf numFmtId="0" fontId="9" fillId="2" borderId="42" xfId="0" applyFont="1" applyFill="1" applyBorder="1" applyProtection="1">
      <protection hidden="1"/>
    </xf>
    <xf numFmtId="0" fontId="9" fillId="11" borderId="24" xfId="0" applyFont="1" applyFill="1" applyBorder="1" applyAlignment="1" applyProtection="1">
      <protection hidden="1"/>
    </xf>
    <xf numFmtId="0" fontId="7" fillId="11" borderId="27" xfId="0" applyNumberFormat="1" applyFont="1" applyFill="1" applyBorder="1" applyAlignment="1" applyProtection="1">
      <protection hidden="1"/>
    </xf>
    <xf numFmtId="0" fontId="9" fillId="2" borderId="18" xfId="0" applyFont="1" applyFill="1" applyBorder="1" applyProtection="1">
      <protection hidden="1"/>
    </xf>
    <xf numFmtId="0" fontId="9" fillId="2" borderId="28" xfId="0" applyFont="1" applyFill="1" applyBorder="1" applyProtection="1">
      <protection hidden="1"/>
    </xf>
    <xf numFmtId="164" fontId="8" fillId="2" borderId="13" xfId="0" applyNumberFormat="1" applyFont="1" applyFill="1" applyBorder="1" applyAlignment="1" applyProtection="1">
      <alignment horizontal="center" vertical="center" wrapText="1"/>
      <protection hidden="1"/>
    </xf>
    <xf numFmtId="164" fontId="8" fillId="10" borderId="40" xfId="0" applyNumberFormat="1" applyFont="1" applyFill="1" applyBorder="1" applyAlignment="1" applyProtection="1">
      <alignment horizontal="center" vertical="center" wrapText="1"/>
      <protection hidden="1"/>
    </xf>
    <xf numFmtId="0" fontId="7" fillId="11" borderId="19" xfId="0" applyNumberFormat="1" applyFont="1" applyFill="1" applyBorder="1" applyAlignment="1" applyProtection="1">
      <protection hidden="1"/>
    </xf>
    <xf numFmtId="0" fontId="7" fillId="11" borderId="24" xfId="0" applyNumberFormat="1" applyFont="1" applyFill="1" applyBorder="1" applyAlignment="1" applyProtection="1">
      <protection hidden="1"/>
    </xf>
    <xf numFmtId="0" fontId="7" fillId="11" borderId="38" xfId="0" applyNumberFormat="1" applyFont="1" applyFill="1" applyBorder="1" applyAlignment="1" applyProtection="1">
      <protection hidden="1"/>
    </xf>
    <xf numFmtId="0" fontId="7" fillId="11" borderId="40" xfId="0" applyNumberFormat="1" applyFont="1" applyFill="1" applyBorder="1" applyAlignment="1" applyProtection="1">
      <protection hidden="1"/>
    </xf>
    <xf numFmtId="0" fontId="9" fillId="11" borderId="24" xfId="0" applyNumberFormat="1" applyFont="1" applyFill="1" applyBorder="1" applyAlignment="1" applyProtection="1">
      <protection hidden="1"/>
    </xf>
    <xf numFmtId="0" fontId="9" fillId="2" borderId="67" xfId="0" applyFont="1" applyFill="1" applyBorder="1" applyProtection="1">
      <protection hidden="1"/>
    </xf>
    <xf numFmtId="0" fontId="12" fillId="11" borderId="40" xfId="0" applyFont="1" applyFill="1" applyBorder="1" applyAlignment="1" applyProtection="1">
      <protection hidden="1"/>
    </xf>
    <xf numFmtId="0" fontId="9" fillId="3" borderId="41" xfId="4" applyFont="1" applyFill="1" applyBorder="1" applyAlignment="1" applyProtection="1">
      <protection hidden="1"/>
    </xf>
    <xf numFmtId="0" fontId="13" fillId="3" borderId="41" xfId="4" applyFont="1" applyFill="1" applyBorder="1" applyAlignment="1" applyProtection="1">
      <alignment horizontal="left" vertical="center" indent="4"/>
      <protection hidden="1"/>
    </xf>
    <xf numFmtId="0" fontId="12" fillId="10" borderId="66" xfId="0" applyFont="1" applyFill="1" applyBorder="1" applyAlignment="1" applyProtection="1">
      <alignment horizontal="left" vertical="center" wrapText="1" indent="1"/>
      <protection hidden="1"/>
    </xf>
    <xf numFmtId="0" fontId="9" fillId="11" borderId="19" xfId="0" applyFont="1" applyFill="1" applyBorder="1" applyAlignment="1" applyProtection="1">
      <protection hidden="1"/>
    </xf>
    <xf numFmtId="0" fontId="9" fillId="11" borderId="40" xfId="0" applyFont="1" applyFill="1" applyBorder="1" applyAlignment="1" applyProtection="1">
      <protection hidden="1"/>
    </xf>
    <xf numFmtId="0" fontId="12" fillId="10" borderId="35" xfId="0" applyFont="1" applyFill="1" applyBorder="1" applyAlignment="1" applyProtection="1">
      <alignment horizontal="left" vertical="center" wrapText="1" indent="1"/>
      <protection hidden="1"/>
    </xf>
    <xf numFmtId="164" fontId="8" fillId="2" borderId="45" xfId="0" applyNumberFormat="1" applyFont="1" applyFill="1" applyBorder="1" applyAlignment="1" applyProtection="1">
      <alignment horizontal="center" vertical="center" wrapText="1"/>
      <protection hidden="1"/>
    </xf>
    <xf numFmtId="0" fontId="7" fillId="2" borderId="79" xfId="0" applyNumberFormat="1" applyFont="1" applyFill="1" applyBorder="1" applyAlignment="1" applyProtection="1">
      <alignment horizontal="left" vertical="top" wrapText="1"/>
      <protection locked="0"/>
    </xf>
    <xf numFmtId="0" fontId="7" fillId="11" borderId="83" xfId="0" applyNumberFormat="1" applyFont="1" applyFill="1" applyBorder="1" applyAlignment="1" applyProtection="1">
      <protection hidden="1"/>
    </xf>
    <xf numFmtId="0" fontId="7" fillId="11" borderId="45" xfId="0" applyNumberFormat="1" applyFont="1" applyFill="1" applyBorder="1" applyAlignment="1" applyProtection="1">
      <protection hidden="1"/>
    </xf>
    <xf numFmtId="0" fontId="7" fillId="2" borderId="47" xfId="0" applyNumberFormat="1" applyFont="1" applyFill="1" applyBorder="1" applyAlignment="1" applyProtection="1">
      <alignment horizontal="left" vertical="top" wrapText="1"/>
      <protection locked="0"/>
    </xf>
    <xf numFmtId="0" fontId="7" fillId="11" borderId="98" xfId="0" applyNumberFormat="1" applyFont="1" applyFill="1" applyBorder="1" applyAlignment="1" applyProtection="1">
      <protection hidden="1"/>
    </xf>
    <xf numFmtId="0" fontId="7" fillId="11" borderId="99" xfId="0" applyNumberFormat="1" applyFont="1" applyFill="1" applyBorder="1" applyAlignment="1" applyProtection="1">
      <protection hidden="1"/>
    </xf>
    <xf numFmtId="0" fontId="7" fillId="11" borderId="47" xfId="0" applyNumberFormat="1" applyFont="1" applyFill="1" applyBorder="1" applyAlignment="1" applyProtection="1">
      <protection hidden="1"/>
    </xf>
    <xf numFmtId="0" fontId="9" fillId="11" borderId="47" xfId="0" applyNumberFormat="1" applyFont="1" applyFill="1" applyBorder="1" applyAlignment="1" applyProtection="1">
      <protection hidden="1"/>
    </xf>
    <xf numFmtId="0" fontId="7" fillId="2" borderId="98" xfId="0" applyNumberFormat="1" applyFont="1" applyFill="1" applyBorder="1" applyAlignment="1" applyProtection="1">
      <alignment horizontal="left" vertical="top" wrapText="1"/>
      <protection locked="0"/>
    </xf>
    <xf numFmtId="164" fontId="8" fillId="10" borderId="5" xfId="0" applyNumberFormat="1" applyFont="1" applyFill="1" applyBorder="1" applyAlignment="1" applyProtection="1">
      <alignment horizontal="center" vertical="center" wrapText="1"/>
      <protection hidden="1"/>
    </xf>
    <xf numFmtId="0" fontId="12" fillId="11" borderId="19" xfId="0" applyFont="1" applyFill="1" applyBorder="1" applyAlignment="1" applyProtection="1">
      <protection hidden="1"/>
    </xf>
    <xf numFmtId="0" fontId="12" fillId="11" borderId="5" xfId="0" applyFont="1" applyFill="1" applyBorder="1" applyAlignment="1" applyProtection="1">
      <protection hidden="1"/>
    </xf>
    <xf numFmtId="0" fontId="12" fillId="11" borderId="38" xfId="0" applyFont="1" applyFill="1" applyBorder="1" applyAlignment="1" applyProtection="1">
      <protection hidden="1"/>
    </xf>
    <xf numFmtId="0" fontId="12" fillId="11" borderId="24" xfId="0" applyFont="1" applyFill="1" applyBorder="1" applyAlignment="1" applyProtection="1">
      <protection hidden="1"/>
    </xf>
    <xf numFmtId="0" fontId="12" fillId="11" borderId="35" xfId="0" applyFont="1" applyFill="1" applyBorder="1" applyAlignment="1" applyProtection="1">
      <protection hidden="1"/>
    </xf>
    <xf numFmtId="0" fontId="12" fillId="16" borderId="66" xfId="0" applyFont="1" applyFill="1" applyBorder="1" applyAlignment="1" applyProtection="1">
      <alignment horizontal="left" vertical="center" wrapText="1" indent="1"/>
      <protection hidden="1"/>
    </xf>
    <xf numFmtId="0" fontId="12" fillId="16" borderId="30" xfId="0" applyFont="1" applyFill="1" applyBorder="1" applyAlignment="1" applyProtection="1">
      <alignment horizontal="left" vertical="center" wrapText="1" indent="1"/>
      <protection hidden="1"/>
    </xf>
    <xf numFmtId="0" fontId="9" fillId="11" borderId="99" xfId="0" applyFont="1" applyFill="1" applyBorder="1" applyAlignment="1"/>
    <xf numFmtId="0" fontId="9" fillId="2" borderId="0" xfId="0" applyFont="1" applyFill="1" applyBorder="1" applyProtection="1">
      <protection hidden="1"/>
    </xf>
    <xf numFmtId="167" fontId="8" fillId="11" borderId="0" xfId="0" applyNumberFormat="1" applyFont="1" applyFill="1" applyBorder="1" applyAlignment="1" applyProtection="1">
      <protection hidden="1"/>
    </xf>
    <xf numFmtId="0" fontId="9" fillId="11" borderId="17" xfId="0" applyNumberFormat="1" applyFont="1" applyFill="1" applyBorder="1" applyAlignment="1" applyProtection="1">
      <protection hidden="1"/>
    </xf>
    <xf numFmtId="0" fontId="9" fillId="11" borderId="17" xfId="0" applyNumberFormat="1" applyFont="1" applyFill="1" applyBorder="1" applyAlignment="1"/>
    <xf numFmtId="0" fontId="9" fillId="11" borderId="0" xfId="0" applyNumberFormat="1" applyFont="1" applyFill="1" applyBorder="1" applyAlignment="1" applyProtection="1">
      <protection hidden="1"/>
    </xf>
    <xf numFmtId="0" fontId="9" fillId="11" borderId="0" xfId="0" applyNumberFormat="1" applyFont="1" applyFill="1" applyBorder="1" applyAlignment="1"/>
    <xf numFmtId="167" fontId="8" fillId="11" borderId="17" xfId="0" applyNumberFormat="1" applyFont="1" applyFill="1" applyBorder="1" applyAlignment="1" applyProtection="1">
      <protection hidden="1"/>
    </xf>
    <xf numFmtId="0" fontId="8" fillId="11" borderId="17" xfId="0" applyNumberFormat="1" applyFont="1" applyFill="1" applyBorder="1" applyAlignment="1" applyProtection="1"/>
    <xf numFmtId="0" fontId="9" fillId="11" borderId="17" xfId="0" applyNumberFormat="1" applyFont="1" applyFill="1" applyBorder="1" applyAlignment="1" applyProtection="1"/>
    <xf numFmtId="0" fontId="8" fillId="11" borderId="0" xfId="0" applyNumberFormat="1" applyFont="1" applyFill="1" applyBorder="1" applyAlignment="1" applyProtection="1"/>
    <xf numFmtId="0" fontId="9" fillId="11" borderId="0" xfId="0" applyNumberFormat="1" applyFont="1" applyFill="1" applyBorder="1" applyAlignment="1" applyProtection="1"/>
    <xf numFmtId="0" fontId="7" fillId="2" borderId="47" xfId="0" applyNumberFormat="1" applyFont="1" applyFill="1" applyBorder="1" applyAlignment="1" applyProtection="1"/>
    <xf numFmtId="0" fontId="7" fillId="2" borderId="24" xfId="0" applyNumberFormat="1" applyFont="1" applyFill="1" applyBorder="1" applyAlignment="1" applyProtection="1">
      <alignment horizontal="left" vertical="top" wrapText="1"/>
    </xf>
    <xf numFmtId="0" fontId="7" fillId="2" borderId="66" xfId="0" applyNumberFormat="1" applyFont="1" applyFill="1" applyBorder="1" applyAlignment="1" applyProtection="1">
      <alignment horizontal="left" vertical="top" wrapText="1"/>
    </xf>
    <xf numFmtId="0" fontId="7" fillId="2" borderId="40" xfId="0" applyNumberFormat="1" applyFont="1" applyFill="1" applyBorder="1" applyAlignment="1" applyProtection="1">
      <alignment horizontal="left" vertical="top" wrapText="1"/>
    </xf>
    <xf numFmtId="0" fontId="7" fillId="2" borderId="38" xfId="0" applyNumberFormat="1" applyFont="1" applyFill="1" applyBorder="1" applyAlignment="1" applyProtection="1">
      <alignment horizontal="left" vertical="top" wrapText="1"/>
    </xf>
    <xf numFmtId="0" fontId="9" fillId="11" borderId="0" xfId="0" applyFont="1" applyFill="1" applyBorder="1" applyAlignment="1" applyProtection="1">
      <alignment vertical="center"/>
    </xf>
    <xf numFmtId="0" fontId="9" fillId="2" borderId="28" xfId="0" applyFont="1" applyFill="1" applyBorder="1" applyProtection="1">
      <protection locked="0" hidden="1"/>
    </xf>
    <xf numFmtId="168" fontId="9" fillId="9" borderId="76" xfId="4" applyNumberFormat="1" applyFont="1" applyFill="1" applyBorder="1" applyAlignment="1" applyProtection="1">
      <alignment vertical="center"/>
      <protection locked="0"/>
    </xf>
    <xf numFmtId="168" fontId="9" fillId="0" borderId="48" xfId="4" applyNumberFormat="1" applyFont="1" applyFill="1" applyBorder="1" applyAlignment="1" applyProtection="1">
      <alignment vertical="center"/>
      <protection locked="0"/>
    </xf>
    <xf numFmtId="0" fontId="8" fillId="0" borderId="67" xfId="4" applyFont="1" applyFill="1" applyBorder="1" applyAlignment="1" applyProtection="1">
      <alignment horizontal="left" indent="1"/>
      <protection hidden="1"/>
    </xf>
    <xf numFmtId="0" fontId="8" fillId="0" borderId="11" xfId="4" applyFont="1" applyFill="1" applyBorder="1" applyAlignment="1" applyProtection="1">
      <alignment horizontal="left" vertical="center" indent="1"/>
      <protection hidden="1"/>
    </xf>
    <xf numFmtId="0" fontId="8" fillId="0" borderId="11" xfId="4" applyFont="1" applyFill="1" applyBorder="1" applyAlignment="1" applyProtection="1">
      <alignment horizontal="left" vertical="center" indent="3"/>
      <protection hidden="1"/>
    </xf>
    <xf numFmtId="0" fontId="9" fillId="0" borderId="11" xfId="4" applyFont="1" applyFill="1" applyBorder="1" applyAlignment="1" applyProtection="1">
      <alignment horizontal="left" vertical="center" indent="4"/>
      <protection hidden="1"/>
    </xf>
    <xf numFmtId="0" fontId="9" fillId="0" borderId="11" xfId="4" applyFont="1" applyFill="1" applyBorder="1" applyAlignment="1" applyProtection="1">
      <alignment horizontal="left" vertical="center" indent="5"/>
      <protection hidden="1"/>
    </xf>
    <xf numFmtId="175" fontId="8" fillId="0" borderId="9" xfId="4" applyNumberFormat="1" applyFont="1" applyFill="1" applyBorder="1" applyAlignment="1" applyProtection="1">
      <alignment horizontal="right" vertical="center"/>
      <protection hidden="1"/>
    </xf>
    <xf numFmtId="175" fontId="8" fillId="0" borderId="41" xfId="4" applyNumberFormat="1" applyFont="1" applyFill="1" applyBorder="1" applyAlignment="1" applyProtection="1">
      <alignment horizontal="right" vertical="center"/>
      <protection hidden="1"/>
    </xf>
    <xf numFmtId="175" fontId="9" fillId="0" borderId="99" xfId="4" applyNumberFormat="1" applyFont="1" applyFill="1" applyBorder="1" applyAlignment="1" applyProtection="1">
      <alignment horizontal="center" vertical="center"/>
      <protection hidden="1"/>
    </xf>
    <xf numFmtId="175" fontId="9" fillId="0" borderId="99" xfId="4" applyNumberFormat="1" applyFont="1" applyFill="1" applyBorder="1" applyAlignment="1" applyProtection="1">
      <alignment vertical="center"/>
      <protection hidden="1"/>
    </xf>
    <xf numFmtId="175" fontId="8" fillId="0" borderId="99" xfId="4" applyNumberFormat="1" applyFont="1" applyFill="1" applyBorder="1" applyAlignment="1" applyProtection="1">
      <alignment horizontal="right" vertical="center"/>
      <protection hidden="1"/>
    </xf>
    <xf numFmtId="175" fontId="8" fillId="0" borderId="71" xfId="4" applyNumberFormat="1" applyFont="1" applyFill="1" applyBorder="1" applyAlignment="1" applyProtection="1">
      <alignment horizontal="right" vertical="center"/>
      <protection hidden="1"/>
    </xf>
    <xf numFmtId="175" fontId="8" fillId="0" borderId="42" xfId="4" applyNumberFormat="1" applyFont="1" applyFill="1" applyBorder="1" applyAlignment="1" applyProtection="1">
      <alignment horizontal="right" vertical="center"/>
      <protection hidden="1"/>
    </xf>
    <xf numFmtId="175" fontId="9" fillId="0" borderId="0" xfId="4" applyNumberFormat="1" applyFont="1" applyFill="1" applyBorder="1" applyAlignment="1" applyProtection="1">
      <protection hidden="1"/>
    </xf>
    <xf numFmtId="0" fontId="9" fillId="0" borderId="0" xfId="5" applyNumberFormat="1" applyFont="1" applyFill="1" applyBorder="1" applyAlignment="1" applyProtection="1">
      <protection hidden="1"/>
    </xf>
    <xf numFmtId="175" fontId="8" fillId="0" borderId="0" xfId="5" applyNumberFormat="1" applyFont="1" applyFill="1" applyBorder="1" applyAlignment="1" applyProtection="1">
      <alignment horizontal="center" vertical="top" wrapText="1"/>
      <protection hidden="1"/>
    </xf>
    <xf numFmtId="175" fontId="8" fillId="0" borderId="25" xfId="5" applyNumberFormat="1" applyFont="1" applyFill="1" applyBorder="1" applyAlignment="1" applyProtection="1">
      <alignment horizontal="center" vertical="top" wrapText="1"/>
      <protection hidden="1"/>
    </xf>
    <xf numFmtId="175" fontId="8" fillId="0" borderId="10" xfId="5" applyNumberFormat="1" applyFont="1" applyFill="1" applyBorder="1" applyAlignment="1" applyProtection="1">
      <alignment horizontal="center" vertical="top" wrapText="1"/>
      <protection hidden="1"/>
    </xf>
    <xf numFmtId="0" fontId="8" fillId="0" borderId="27" xfId="10" applyFont="1" applyBorder="1" applyAlignment="1" applyProtection="1">
      <alignment horizontal="center" vertical="center"/>
      <protection hidden="1"/>
    </xf>
    <xf numFmtId="0" fontId="8" fillId="0" borderId="25" xfId="11" applyFont="1" applyBorder="1" applyAlignment="1" applyProtection="1">
      <alignment horizontal="center" vertical="center"/>
      <protection hidden="1"/>
    </xf>
    <xf numFmtId="0" fontId="8" fillId="0" borderId="77" xfId="11" applyFont="1" applyBorder="1" applyAlignment="1" applyProtection="1">
      <alignment horizontal="center" vertical="center"/>
      <protection hidden="1"/>
    </xf>
    <xf numFmtId="0" fontId="8" fillId="0" borderId="9" xfId="11" applyFont="1" applyBorder="1" applyAlignment="1" applyProtection="1">
      <alignment horizontal="center" vertical="center"/>
      <protection hidden="1"/>
    </xf>
    <xf numFmtId="0" fontId="8" fillId="0" borderId="27" xfId="11" applyFont="1" applyBorder="1" applyAlignment="1" applyProtection="1">
      <alignment horizontal="center" vertical="center"/>
      <protection hidden="1"/>
    </xf>
    <xf numFmtId="176" fontId="26" fillId="0" borderId="4" xfId="9" quotePrefix="1" applyNumberFormat="1" applyFont="1" applyBorder="1" applyAlignment="1" applyProtection="1">
      <alignment horizontal="center" vertical="center"/>
      <protection hidden="1"/>
    </xf>
    <xf numFmtId="176" fontId="26" fillId="0" borderId="26" xfId="9" quotePrefix="1" applyNumberFormat="1" applyFont="1" applyBorder="1" applyAlignment="1" applyProtection="1">
      <alignment horizontal="center" vertical="center"/>
      <protection hidden="1"/>
    </xf>
    <xf numFmtId="176" fontId="26" fillId="0" borderId="5" xfId="9" quotePrefix="1" applyNumberFormat="1" applyFont="1" applyBorder="1" applyAlignment="1" applyProtection="1">
      <alignment horizontal="center" vertical="center"/>
      <protection hidden="1"/>
    </xf>
    <xf numFmtId="175" fontId="9" fillId="0" borderId="24" xfId="10" applyNumberFormat="1" applyFont="1" applyFill="1" applyBorder="1" applyAlignment="1" applyProtection="1">
      <protection hidden="1"/>
    </xf>
    <xf numFmtId="175" fontId="9" fillId="0" borderId="25" xfId="10" applyNumberFormat="1" applyFont="1" applyFill="1" applyBorder="1" applyAlignment="1" applyProtection="1">
      <protection hidden="1"/>
    </xf>
    <xf numFmtId="175" fontId="9" fillId="0" borderId="25" xfId="11" applyNumberFormat="1" applyFont="1" applyFill="1" applyBorder="1" applyProtection="1">
      <protection hidden="1"/>
    </xf>
    <xf numFmtId="175" fontId="8" fillId="0" borderId="27" xfId="11" applyNumberFormat="1" applyFont="1" applyFill="1" applyBorder="1" applyAlignment="1" applyProtection="1">
      <protection hidden="1"/>
    </xf>
    <xf numFmtId="175" fontId="9" fillId="0" borderId="24" xfId="11" applyNumberFormat="1" applyFont="1" applyFill="1" applyBorder="1" applyAlignment="1" applyProtection="1">
      <protection hidden="1"/>
    </xf>
    <xf numFmtId="175" fontId="9" fillId="0" borderId="24" xfId="11" applyNumberFormat="1" applyFont="1" applyFill="1" applyBorder="1" applyProtection="1">
      <protection hidden="1"/>
    </xf>
    <xf numFmtId="0" fontId="27" fillId="0" borderId="11" xfId="9" applyNumberFormat="1" applyFont="1" applyBorder="1" applyAlignment="1" applyProtection="1">
      <alignment horizontal="left" indent="1"/>
      <protection hidden="1"/>
    </xf>
    <xf numFmtId="0" fontId="9" fillId="11" borderId="79" xfId="4" applyFont="1" applyFill="1" applyBorder="1" applyProtection="1">
      <protection hidden="1"/>
    </xf>
    <xf numFmtId="0" fontId="8" fillId="3" borderId="102" xfId="4" applyNumberFormat="1" applyFont="1" applyFill="1" applyBorder="1" applyAlignment="1" applyProtection="1">
      <protection hidden="1"/>
    </xf>
    <xf numFmtId="164" fontId="9" fillId="3" borderId="102" xfId="4" applyNumberFormat="1" applyFont="1" applyFill="1" applyBorder="1" applyProtection="1">
      <protection hidden="1"/>
    </xf>
    <xf numFmtId="0" fontId="9" fillId="3" borderId="102" xfId="4" applyFont="1" applyFill="1" applyBorder="1" applyProtection="1">
      <protection hidden="1"/>
    </xf>
    <xf numFmtId="0" fontId="9" fillId="3" borderId="101" xfId="4" applyFont="1" applyFill="1" applyBorder="1" applyProtection="1">
      <protection hidden="1"/>
    </xf>
    <xf numFmtId="0" fontId="9" fillId="11" borderId="99" xfId="4" applyFont="1" applyFill="1" applyBorder="1" applyProtection="1">
      <protection hidden="1"/>
    </xf>
    <xf numFmtId="0" fontId="8" fillId="3" borderId="0" xfId="4" applyNumberFormat="1" applyFont="1" applyFill="1" applyBorder="1" applyAlignment="1" applyProtection="1">
      <protection hidden="1"/>
    </xf>
    <xf numFmtId="164" fontId="9" fillId="3" borderId="0" xfId="4" applyNumberFormat="1" applyFont="1" applyFill="1" applyBorder="1" applyProtection="1">
      <protection hidden="1"/>
    </xf>
    <xf numFmtId="0" fontId="9" fillId="3" borderId="77" xfId="4" applyFont="1" applyFill="1" applyBorder="1" applyProtection="1">
      <protection hidden="1"/>
    </xf>
    <xf numFmtId="0" fontId="8" fillId="19" borderId="0" xfId="4" applyFont="1" applyFill="1" applyBorder="1" applyAlignment="1" applyProtection="1">
      <alignment horizontal="left" vertical="center"/>
      <protection hidden="1"/>
    </xf>
    <xf numFmtId="0" fontId="8" fillId="11" borderId="9" xfId="4" applyNumberFormat="1" applyFont="1" applyFill="1" applyBorder="1" applyAlignment="1" applyProtection="1">
      <alignment vertical="center"/>
      <protection hidden="1"/>
    </xf>
    <xf numFmtId="164" fontId="8" fillId="3" borderId="0" xfId="4" applyNumberFormat="1" applyFont="1" applyFill="1" applyBorder="1" applyAlignment="1" applyProtection="1">
      <protection hidden="1"/>
    </xf>
    <xf numFmtId="0" fontId="9" fillId="3" borderId="0" xfId="4" applyFont="1" applyFill="1" applyBorder="1" applyAlignment="1" applyProtection="1">
      <alignment horizontal="center" vertical="center" wrapText="1"/>
      <protection hidden="1"/>
    </xf>
    <xf numFmtId="0" fontId="28" fillId="3" borderId="0" xfId="4" applyFont="1" applyFill="1" applyBorder="1" applyAlignment="1" applyProtection="1">
      <protection hidden="1"/>
    </xf>
    <xf numFmtId="0" fontId="28" fillId="3" borderId="77" xfId="4" applyFont="1" applyFill="1" applyBorder="1" applyAlignment="1" applyProtection="1">
      <protection hidden="1"/>
    </xf>
    <xf numFmtId="0" fontId="9" fillId="11" borderId="99" xfId="4" applyFont="1" applyFill="1" applyBorder="1" applyAlignment="1" applyProtection="1">
      <protection hidden="1"/>
    </xf>
    <xf numFmtId="0" fontId="9" fillId="3" borderId="0" xfId="4" applyFont="1" applyFill="1" applyBorder="1" applyAlignment="1" applyProtection="1">
      <alignment vertical="center"/>
      <protection hidden="1"/>
    </xf>
    <xf numFmtId="0" fontId="9" fillId="3" borderId="51" xfId="4" applyFont="1" applyFill="1" applyBorder="1" applyAlignment="1" applyProtection="1">
      <alignment vertical="center"/>
      <protection hidden="1"/>
    </xf>
    <xf numFmtId="164" fontId="8" fillId="3" borderId="20" xfId="4" applyNumberFormat="1" applyFont="1" applyFill="1" applyBorder="1" applyAlignment="1" applyProtection="1">
      <alignment horizontal="center" vertical="top" wrapText="1"/>
      <protection hidden="1"/>
    </xf>
    <xf numFmtId="164" fontId="8" fillId="3" borderId="21" xfId="4" applyNumberFormat="1" applyFont="1" applyFill="1" applyBorder="1" applyAlignment="1" applyProtection="1">
      <alignment horizontal="center" vertical="top" wrapText="1"/>
      <protection hidden="1"/>
    </xf>
    <xf numFmtId="0" fontId="8" fillId="3" borderId="25" xfId="4" applyFont="1" applyFill="1" applyBorder="1" applyAlignment="1" applyProtection="1">
      <alignment horizontal="center" vertical="center"/>
      <protection hidden="1"/>
    </xf>
    <xf numFmtId="0" fontId="8" fillId="3" borderId="25" xfId="4" applyFont="1" applyFill="1" applyBorder="1" applyAlignment="1" applyProtection="1">
      <alignment horizontal="center" vertical="center" wrapText="1"/>
      <protection hidden="1"/>
    </xf>
    <xf numFmtId="0" fontId="9" fillId="3" borderId="27" xfId="4" applyFont="1" applyFill="1" applyBorder="1" applyAlignment="1" applyProtection="1">
      <protection hidden="1"/>
    </xf>
    <xf numFmtId="164" fontId="8" fillId="3" borderId="25" xfId="4" applyNumberFormat="1" applyFont="1" applyFill="1" applyBorder="1" applyAlignment="1" applyProtection="1">
      <alignment horizontal="center" vertical="center"/>
      <protection hidden="1"/>
    </xf>
    <xf numFmtId="164" fontId="8" fillId="3" borderId="77" xfId="4" applyNumberFormat="1" applyFont="1" applyFill="1" applyBorder="1" applyAlignment="1" applyProtection="1">
      <alignment horizontal="center" vertical="center"/>
      <protection hidden="1"/>
    </xf>
    <xf numFmtId="164" fontId="8" fillId="3" borderId="27" xfId="4" applyNumberFormat="1" applyFont="1" applyFill="1" applyBorder="1" applyAlignment="1" applyProtection="1">
      <alignment horizontal="center" vertical="center"/>
      <protection hidden="1"/>
    </xf>
    <xf numFmtId="0" fontId="9" fillId="3" borderId="75" xfId="4" applyFont="1" applyFill="1" applyBorder="1" applyAlignment="1" applyProtection="1">
      <alignment horizontal="left" vertical="center" wrapText="1" indent="2"/>
      <protection hidden="1"/>
    </xf>
    <xf numFmtId="176" fontId="8" fillId="3" borderId="4" xfId="4" quotePrefix="1" applyNumberFormat="1" applyFont="1" applyFill="1" applyBorder="1" applyAlignment="1" applyProtection="1">
      <alignment horizontal="center" vertical="center"/>
      <protection hidden="1"/>
    </xf>
    <xf numFmtId="176" fontId="8" fillId="3" borderId="26" xfId="4" quotePrefix="1" applyNumberFormat="1" applyFont="1" applyFill="1" applyBorder="1" applyAlignment="1" applyProtection="1">
      <alignment horizontal="center" vertical="center"/>
      <protection hidden="1"/>
    </xf>
    <xf numFmtId="177" fontId="11" fillId="3" borderId="9" xfId="4" applyNumberFormat="1" applyFont="1" applyFill="1" applyBorder="1" applyAlignment="1" applyProtection="1">
      <alignment horizontal="left" vertical="center" indent="1"/>
      <protection hidden="1"/>
    </xf>
    <xf numFmtId="164" fontId="9" fillId="3" borderId="103" xfId="4" quotePrefix="1" applyNumberFormat="1" applyFont="1" applyFill="1" applyBorder="1" applyAlignment="1" applyProtection="1">
      <alignment horizontal="center" vertical="center"/>
      <protection hidden="1"/>
    </xf>
    <xf numFmtId="164" fontId="9" fillId="3" borderId="77" xfId="4" quotePrefix="1" applyNumberFormat="1" applyFont="1" applyFill="1" applyBorder="1" applyAlignment="1" applyProtection="1">
      <alignment horizontal="center" vertical="center"/>
      <protection hidden="1"/>
    </xf>
    <xf numFmtId="164" fontId="9" fillId="3" borderId="25" xfId="4" quotePrefix="1" applyNumberFormat="1" applyFont="1" applyFill="1" applyBorder="1" applyAlignment="1" applyProtection="1">
      <alignment horizontal="center" vertical="center"/>
      <protection hidden="1"/>
    </xf>
    <xf numFmtId="0" fontId="28" fillId="3" borderId="11" xfId="4" applyFont="1" applyFill="1" applyBorder="1" applyAlignment="1" applyProtection="1">
      <protection hidden="1"/>
    </xf>
    <xf numFmtId="0" fontId="8" fillId="3" borderId="9" xfId="4" applyFont="1" applyFill="1" applyBorder="1" applyAlignment="1" applyProtection="1">
      <alignment horizontal="left" vertical="center" indent="2"/>
      <protection hidden="1"/>
    </xf>
    <xf numFmtId="175" fontId="8" fillId="3" borderId="104" xfId="4" applyNumberFormat="1" applyFont="1" applyFill="1" applyBorder="1" applyAlignment="1" applyProtection="1">
      <alignment vertical="center"/>
      <protection hidden="1"/>
    </xf>
    <xf numFmtId="175" fontId="8" fillId="3" borderId="105" xfId="4" applyNumberFormat="1" applyFont="1" applyFill="1" applyBorder="1" applyAlignment="1" applyProtection="1">
      <alignment vertical="center"/>
      <protection hidden="1"/>
    </xf>
    <xf numFmtId="175" fontId="29" fillId="3" borderId="104" xfId="4" applyNumberFormat="1" applyFont="1" applyFill="1" applyBorder="1" applyAlignment="1" applyProtection="1">
      <alignment vertical="center"/>
      <protection hidden="1"/>
    </xf>
    <xf numFmtId="165" fontId="29" fillId="3" borderId="30" xfId="4" applyNumberFormat="1" applyFont="1" applyFill="1" applyBorder="1" applyAlignment="1" applyProtection="1">
      <alignment vertical="center"/>
      <protection hidden="1"/>
    </xf>
    <xf numFmtId="0" fontId="8" fillId="3" borderId="28" xfId="4" applyFont="1" applyFill="1" applyBorder="1" applyAlignment="1" applyProtection="1">
      <alignment horizontal="center" vertical="center"/>
      <protection hidden="1"/>
    </xf>
    <xf numFmtId="0" fontId="8" fillId="3" borderId="75" xfId="4" applyFont="1" applyFill="1" applyBorder="1" applyAlignment="1" applyProtection="1">
      <alignment horizontal="left" vertical="center" indent="2"/>
      <protection hidden="1"/>
    </xf>
    <xf numFmtId="175" fontId="8" fillId="3" borderId="106" xfId="4" applyNumberFormat="1" applyFont="1" applyFill="1" applyBorder="1" applyAlignment="1" applyProtection="1">
      <alignment vertical="center"/>
      <protection hidden="1"/>
    </xf>
    <xf numFmtId="175" fontId="29" fillId="3" borderId="106" xfId="4" applyNumberFormat="1" applyFont="1" applyFill="1" applyBorder="1" applyAlignment="1" applyProtection="1">
      <alignment vertical="center"/>
      <protection hidden="1"/>
    </xf>
    <xf numFmtId="164" fontId="9" fillId="3" borderId="103" xfId="4" applyNumberFormat="1" applyFont="1" applyFill="1" applyBorder="1" applyAlignment="1" applyProtection="1">
      <alignment vertical="center"/>
      <protection hidden="1"/>
    </xf>
    <xf numFmtId="164" fontId="9" fillId="3" borderId="107" xfId="4" applyNumberFormat="1" applyFont="1" applyFill="1" applyBorder="1" applyAlignment="1" applyProtection="1">
      <alignment vertical="center"/>
      <protection hidden="1"/>
    </xf>
    <xf numFmtId="164" fontId="9" fillId="3" borderId="25" xfId="4" applyNumberFormat="1" applyFont="1" applyFill="1" applyBorder="1" applyAlignment="1" applyProtection="1">
      <alignment vertical="center"/>
      <protection hidden="1"/>
    </xf>
    <xf numFmtId="164" fontId="7" fillId="3" borderId="103" xfId="4" applyNumberFormat="1" applyFont="1" applyFill="1" applyBorder="1" applyAlignment="1" applyProtection="1">
      <alignment vertical="center"/>
      <protection hidden="1"/>
    </xf>
    <xf numFmtId="165" fontId="7" fillId="3" borderId="25" xfId="4" applyNumberFormat="1" applyFont="1" applyFill="1" applyBorder="1" applyAlignment="1" applyProtection="1">
      <alignment vertical="center"/>
      <protection hidden="1"/>
    </xf>
    <xf numFmtId="164" fontId="9" fillId="3" borderId="77" xfId="4" applyNumberFormat="1" applyFont="1" applyFill="1" applyBorder="1" applyAlignment="1" applyProtection="1">
      <alignment vertical="center"/>
      <protection hidden="1"/>
    </xf>
    <xf numFmtId="164" fontId="7" fillId="3" borderId="25" xfId="4" applyNumberFormat="1" applyFont="1" applyFill="1" applyBorder="1" applyAlignment="1" applyProtection="1">
      <alignment vertical="center"/>
      <protection hidden="1"/>
    </xf>
    <xf numFmtId="175" fontId="8" fillId="3" borderId="52" xfId="4" applyNumberFormat="1" applyFont="1" applyFill="1" applyBorder="1" applyAlignment="1" applyProtection="1">
      <alignment vertical="center"/>
      <protection hidden="1"/>
    </xf>
    <xf numFmtId="175" fontId="29" fillId="3" borderId="52" xfId="4" applyNumberFormat="1" applyFont="1" applyFill="1" applyBorder="1" applyAlignment="1" applyProtection="1">
      <alignment vertical="center"/>
      <protection hidden="1"/>
    </xf>
    <xf numFmtId="165" fontId="29" fillId="3" borderId="52" xfId="4" applyNumberFormat="1" applyFont="1" applyFill="1" applyBorder="1" applyAlignment="1" applyProtection="1">
      <alignment vertical="center"/>
      <protection hidden="1"/>
    </xf>
    <xf numFmtId="0" fontId="8" fillId="3" borderId="10" xfId="4" applyFont="1" applyFill="1" applyBorder="1" applyAlignment="1" applyProtection="1">
      <alignment horizontal="center" vertical="center"/>
      <protection hidden="1"/>
    </xf>
    <xf numFmtId="178" fontId="8" fillId="11" borderId="41" xfId="4" applyNumberFormat="1" applyFont="1" applyFill="1" applyBorder="1" applyAlignment="1" applyProtection="1">
      <alignment horizontal="left" vertical="center" indent="2"/>
      <protection hidden="1"/>
    </xf>
    <xf numFmtId="175" fontId="8" fillId="3" borderId="108" xfId="4" applyNumberFormat="1" applyFont="1" applyFill="1" applyBorder="1" applyAlignment="1" applyProtection="1">
      <alignment vertical="center"/>
      <protection hidden="1"/>
    </xf>
    <xf numFmtId="175" fontId="8" fillId="3" borderId="36" xfId="4" applyNumberFormat="1" applyFont="1" applyFill="1" applyBorder="1" applyAlignment="1" applyProtection="1">
      <alignment vertical="center"/>
      <protection hidden="1"/>
    </xf>
    <xf numFmtId="175" fontId="29" fillId="3" borderId="36" xfId="4" applyNumberFormat="1" applyFont="1" applyFill="1" applyBorder="1" applyAlignment="1" applyProtection="1">
      <alignment vertical="center"/>
      <protection hidden="1"/>
    </xf>
    <xf numFmtId="165" fontId="29" fillId="3" borderId="36" xfId="4" applyNumberFormat="1" applyFont="1" applyFill="1" applyBorder="1" applyAlignment="1" applyProtection="1">
      <alignment vertical="center"/>
      <protection hidden="1"/>
    </xf>
    <xf numFmtId="0" fontId="8" fillId="3" borderId="37" xfId="4" applyFont="1" applyFill="1" applyBorder="1" applyAlignment="1" applyProtection="1">
      <alignment horizontal="center" vertical="center"/>
      <protection hidden="1"/>
    </xf>
    <xf numFmtId="0" fontId="28" fillId="11" borderId="77" xfId="4" applyFont="1" applyFill="1" applyBorder="1" applyAlignment="1" applyProtection="1">
      <protection hidden="1"/>
    </xf>
    <xf numFmtId="0" fontId="9" fillId="11" borderId="17" xfId="4" applyFont="1" applyFill="1" applyBorder="1" applyAlignment="1" applyProtection="1">
      <alignment horizontal="center"/>
      <protection hidden="1"/>
    </xf>
    <xf numFmtId="164" fontId="9" fillId="3" borderId="0" xfId="4" applyNumberFormat="1" applyFont="1" applyFill="1" applyBorder="1" applyAlignment="1" applyProtection="1">
      <alignment horizontal="center"/>
      <protection hidden="1"/>
    </xf>
    <xf numFmtId="0" fontId="9" fillId="3" borderId="19" xfId="4" applyFont="1" applyFill="1" applyBorder="1" applyAlignment="1" applyProtection="1">
      <alignment vertical="center"/>
      <protection hidden="1"/>
    </xf>
    <xf numFmtId="164" fontId="8" fillId="3" borderId="25" xfId="4" applyNumberFormat="1" applyFont="1" applyFill="1" applyBorder="1" applyAlignment="1" applyProtection="1">
      <alignment horizontal="center" vertical="top" wrapText="1"/>
      <protection hidden="1"/>
    </xf>
    <xf numFmtId="164" fontId="8" fillId="3" borderId="27" xfId="4" applyNumberFormat="1" applyFont="1" applyFill="1" applyBorder="1" applyAlignment="1" applyProtection="1">
      <alignment horizontal="center" vertical="top" wrapText="1"/>
      <protection hidden="1"/>
    </xf>
    <xf numFmtId="0" fontId="9" fillId="3" borderId="9" xfId="4" applyFont="1" applyFill="1" applyBorder="1" applyAlignment="1" applyProtection="1">
      <alignment horizontal="left" vertical="center" wrapText="1" indent="2"/>
      <protection hidden="1"/>
    </xf>
    <xf numFmtId="0" fontId="8" fillId="3" borderId="84" xfId="4" applyFont="1" applyFill="1" applyBorder="1" applyAlignment="1" applyProtection="1">
      <alignment horizontal="left" vertical="center" wrapText="1" indent="1"/>
      <protection hidden="1"/>
    </xf>
    <xf numFmtId="179" fontId="8" fillId="11" borderId="36" xfId="4" applyNumberFormat="1" applyFont="1" applyFill="1" applyBorder="1" applyAlignment="1" applyProtection="1">
      <alignment vertical="center"/>
      <protection hidden="1"/>
    </xf>
    <xf numFmtId="165" fontId="8" fillId="3" borderId="36" xfId="4" applyNumberFormat="1" applyFont="1" applyFill="1" applyBorder="1" applyAlignment="1" applyProtection="1">
      <alignment vertical="center"/>
      <protection hidden="1"/>
    </xf>
    <xf numFmtId="0" fontId="9" fillId="3" borderId="51" xfId="4" applyFont="1" applyFill="1" applyBorder="1" applyAlignment="1" applyProtection="1">
      <protection hidden="1"/>
    </xf>
    <xf numFmtId="0" fontId="11" fillId="3" borderId="19" xfId="4" applyFont="1" applyFill="1" applyBorder="1" applyAlignment="1" applyProtection="1">
      <alignment horizontal="left" vertical="center" wrapText="1" indent="2"/>
      <protection hidden="1"/>
    </xf>
    <xf numFmtId="164" fontId="8" fillId="3" borderId="74" xfId="4" applyNumberFormat="1" applyFont="1" applyFill="1" applyBorder="1" applyAlignment="1" applyProtection="1">
      <alignment horizontal="center" vertical="top" wrapText="1"/>
      <protection hidden="1"/>
    </xf>
    <xf numFmtId="0" fontId="9" fillId="3" borderId="24" xfId="4" applyFont="1" applyFill="1" applyBorder="1" applyAlignment="1" applyProtection="1">
      <alignment horizontal="left"/>
      <protection hidden="1"/>
    </xf>
    <xf numFmtId="0" fontId="8" fillId="3" borderId="99" xfId="4" applyFont="1" applyFill="1" applyBorder="1" applyAlignment="1" applyProtection="1">
      <alignment horizontal="center" vertical="center"/>
      <protection hidden="1"/>
    </xf>
    <xf numFmtId="164" fontId="8" fillId="3" borderId="99" xfId="4" applyNumberFormat="1" applyFont="1" applyFill="1" applyBorder="1" applyAlignment="1" applyProtection="1">
      <alignment horizontal="center" vertical="center"/>
      <protection hidden="1"/>
    </xf>
    <xf numFmtId="0" fontId="9" fillId="3" borderId="5" xfId="4" applyFont="1" applyFill="1" applyBorder="1" applyAlignment="1" applyProtection="1">
      <alignment horizontal="left" wrapText="1" indent="2"/>
      <protection hidden="1"/>
    </xf>
    <xf numFmtId="177" fontId="11" fillId="3" borderId="24" xfId="4" applyNumberFormat="1" applyFont="1" applyFill="1" applyBorder="1" applyAlignment="1" applyProtection="1">
      <alignment horizontal="left" vertical="center" indent="1"/>
      <protection hidden="1"/>
    </xf>
    <xf numFmtId="0" fontId="9" fillId="3" borderId="90" xfId="4" applyNumberFormat="1" applyFont="1" applyFill="1" applyBorder="1" applyAlignment="1" applyProtection="1">
      <alignment vertical="center"/>
      <protection hidden="1"/>
    </xf>
    <xf numFmtId="175" fontId="8" fillId="3" borderId="25" xfId="4" applyNumberFormat="1" applyFont="1" applyFill="1" applyBorder="1" applyAlignment="1" applyProtection="1">
      <alignment vertical="center"/>
      <protection hidden="1"/>
    </xf>
    <xf numFmtId="165" fontId="8" fillId="3" borderId="25" xfId="4" applyNumberFormat="1" applyFont="1" applyFill="1" applyBorder="1" applyAlignment="1" applyProtection="1">
      <alignment vertical="center"/>
      <protection hidden="1"/>
    </xf>
    <xf numFmtId="0" fontId="13" fillId="3" borderId="24" xfId="4" applyFont="1" applyFill="1" applyBorder="1" applyAlignment="1" applyProtection="1">
      <alignment horizontal="left" vertical="center" indent="2"/>
      <protection hidden="1"/>
    </xf>
    <xf numFmtId="0" fontId="9" fillId="3" borderId="45" xfId="4" applyFont="1" applyFill="1" applyBorder="1" applyProtection="1">
      <protection hidden="1"/>
    </xf>
    <xf numFmtId="175" fontId="8" fillId="3" borderId="4" xfId="4" applyNumberFormat="1" applyFont="1" applyFill="1" applyBorder="1" applyAlignment="1" applyProtection="1">
      <alignment vertical="center"/>
      <protection hidden="1"/>
    </xf>
    <xf numFmtId="165" fontId="8" fillId="3" borderId="4" xfId="4" applyNumberFormat="1" applyFont="1" applyFill="1" applyBorder="1" applyAlignment="1" applyProtection="1">
      <alignment vertical="center"/>
      <protection hidden="1"/>
    </xf>
    <xf numFmtId="164" fontId="8" fillId="3" borderId="26" xfId="4" applyNumberFormat="1" applyFont="1" applyFill="1" applyBorder="1" applyAlignment="1" applyProtection="1">
      <alignment horizontal="center" vertical="center"/>
      <protection hidden="1"/>
    </xf>
    <xf numFmtId="0" fontId="8" fillId="3" borderId="24" xfId="4" applyFont="1" applyFill="1" applyBorder="1" applyAlignment="1" applyProtection="1">
      <alignment horizontal="left" vertical="center" indent="3"/>
      <protection hidden="1"/>
    </xf>
    <xf numFmtId="175" fontId="8" fillId="3" borderId="30" xfId="4" applyNumberFormat="1" applyFont="1" applyFill="1" applyBorder="1" applyAlignment="1" applyProtection="1">
      <alignment vertical="center"/>
      <protection hidden="1"/>
    </xf>
    <xf numFmtId="165" fontId="8" fillId="3" borderId="30" xfId="4" applyNumberFormat="1" applyFont="1" applyFill="1" applyBorder="1" applyAlignment="1" applyProtection="1">
      <alignment vertical="center"/>
      <protection hidden="1"/>
    </xf>
    <xf numFmtId="164" fontId="8" fillId="3" borderId="6" xfId="4" applyNumberFormat="1" applyFont="1" applyFill="1" applyBorder="1" applyAlignment="1" applyProtection="1">
      <alignment horizontal="center" vertical="center"/>
      <protection hidden="1"/>
    </xf>
    <xf numFmtId="0" fontId="9" fillId="3" borderId="47" xfId="4" applyFont="1" applyFill="1" applyBorder="1" applyProtection="1">
      <protection hidden="1"/>
    </xf>
    <xf numFmtId="0" fontId="28" fillId="3" borderId="30" xfId="4" applyFont="1" applyFill="1" applyBorder="1" applyAlignment="1" applyProtection="1">
      <protection hidden="1"/>
    </xf>
    <xf numFmtId="0" fontId="28" fillId="3" borderId="6" xfId="4" applyFont="1" applyFill="1" applyBorder="1" applyAlignment="1" applyProtection="1">
      <protection hidden="1"/>
    </xf>
    <xf numFmtId="0" fontId="13" fillId="3" borderId="24" xfId="4" applyFont="1" applyFill="1" applyBorder="1" applyAlignment="1" applyProtection="1">
      <alignment horizontal="left" vertical="center" wrapText="1" indent="2"/>
      <protection hidden="1"/>
    </xf>
    <xf numFmtId="0" fontId="9" fillId="3" borderId="30" xfId="4" applyFont="1" applyFill="1" applyBorder="1" applyAlignment="1" applyProtection="1">
      <alignment vertical="center"/>
      <protection hidden="1"/>
    </xf>
    <xf numFmtId="0" fontId="9" fillId="3" borderId="6" xfId="4" applyFont="1" applyFill="1" applyBorder="1" applyAlignment="1" applyProtection="1">
      <alignment vertical="center"/>
      <protection hidden="1"/>
    </xf>
    <xf numFmtId="168" fontId="9" fillId="3" borderId="106" xfId="4" applyNumberFormat="1" applyFont="1" applyFill="1" applyBorder="1" applyAlignment="1" applyProtection="1">
      <alignment vertical="center"/>
      <protection hidden="1"/>
    </xf>
    <xf numFmtId="0" fontId="9" fillId="3" borderId="52" xfId="4" applyFont="1" applyFill="1" applyBorder="1" applyAlignment="1" applyProtection="1">
      <alignment vertical="center"/>
      <protection hidden="1"/>
    </xf>
    <xf numFmtId="0" fontId="9" fillId="3" borderId="10" xfId="4" applyFont="1" applyFill="1" applyBorder="1" applyAlignment="1" applyProtection="1">
      <alignment vertical="center"/>
      <protection hidden="1"/>
    </xf>
    <xf numFmtId="0" fontId="8" fillId="3" borderId="24" xfId="4" applyFont="1" applyFill="1" applyBorder="1" applyAlignment="1" applyProtection="1">
      <alignment horizontal="left" vertical="center" wrapText="1" indent="3"/>
      <protection hidden="1"/>
    </xf>
    <xf numFmtId="177" fontId="11" fillId="3" borderId="66" xfId="4" applyNumberFormat="1" applyFont="1" applyFill="1" applyBorder="1" applyAlignment="1" applyProtection="1">
      <alignment horizontal="left" vertical="center" indent="1"/>
      <protection hidden="1"/>
    </xf>
    <xf numFmtId="0" fontId="8" fillId="3" borderId="38" xfId="4" applyFont="1" applyFill="1" applyBorder="1" applyAlignment="1" applyProtection="1">
      <alignment horizontal="left" vertical="center" indent="2"/>
      <protection hidden="1"/>
    </xf>
    <xf numFmtId="164" fontId="8" fillId="3" borderId="37" xfId="4" applyNumberFormat="1" applyFont="1" applyFill="1" applyBorder="1" applyAlignment="1" applyProtection="1">
      <alignment horizontal="center" vertical="center"/>
      <protection hidden="1"/>
    </xf>
    <xf numFmtId="0" fontId="9" fillId="11" borderId="45" xfId="4" applyFont="1" applyFill="1" applyBorder="1" applyProtection="1">
      <protection hidden="1"/>
    </xf>
    <xf numFmtId="178" fontId="9" fillId="3" borderId="100" xfId="4" applyNumberFormat="1" applyFont="1" applyFill="1" applyBorder="1" applyAlignment="1" applyProtection="1">
      <alignment vertical="center"/>
      <protection hidden="1"/>
    </xf>
    <xf numFmtId="0" fontId="9" fillId="3" borderId="100" xfId="4" applyFont="1" applyFill="1" applyBorder="1" applyAlignment="1" applyProtection="1">
      <alignment vertical="center"/>
      <protection hidden="1"/>
    </xf>
    <xf numFmtId="0" fontId="28" fillId="3" borderId="109" xfId="4" applyFont="1" applyFill="1" applyBorder="1" applyAlignment="1" applyProtection="1">
      <protection hidden="1"/>
    </xf>
    <xf numFmtId="0" fontId="9" fillId="3" borderId="0" xfId="4" quotePrefix="1" applyNumberFormat="1" applyFont="1" applyFill="1" applyBorder="1" applyAlignment="1" applyProtection="1">
      <protection hidden="1"/>
    </xf>
    <xf numFmtId="0" fontId="9" fillId="11" borderId="0" xfId="4" applyNumberFormat="1" applyFont="1" applyFill="1" applyBorder="1" applyAlignment="1" applyProtection="1">
      <protection hidden="1"/>
    </xf>
    <xf numFmtId="165" fontId="8" fillId="3" borderId="37" xfId="4" applyNumberFormat="1" applyFont="1" applyFill="1" applyBorder="1" applyAlignment="1" applyProtection="1">
      <alignment horizontal="center" vertical="center"/>
      <protection hidden="1"/>
    </xf>
    <xf numFmtId="175" fontId="9" fillId="0" borderId="77" xfId="4" applyNumberFormat="1" applyFont="1" applyFill="1" applyBorder="1" applyAlignment="1" applyProtection="1">
      <protection hidden="1"/>
    </xf>
    <xf numFmtId="0" fontId="9" fillId="3" borderId="0" xfId="0" applyFont="1" applyFill="1" applyBorder="1" applyAlignment="1" applyProtection="1">
      <protection hidden="1"/>
    </xf>
    <xf numFmtId="0" fontId="9" fillId="6" borderId="0" xfId="0" applyNumberFormat="1" applyFont="1" applyFill="1" applyBorder="1" applyAlignment="1" applyProtection="1">
      <protection hidden="1"/>
    </xf>
    <xf numFmtId="0" fontId="9" fillId="3" borderId="0" xfId="0" quotePrefix="1" applyFont="1" applyFill="1" applyBorder="1" applyAlignment="1" applyProtection="1">
      <protection hidden="1"/>
    </xf>
    <xf numFmtId="0" fontId="8" fillId="2" borderId="0" xfId="0" applyFont="1" applyFill="1" applyBorder="1" applyAlignment="1" applyProtection="1">
      <alignment horizontal="center" vertical="center" wrapText="1"/>
      <protection hidden="1"/>
    </xf>
    <xf numFmtId="0" fontId="9" fillId="15" borderId="0" xfId="0" applyNumberFormat="1" applyFont="1" applyFill="1" applyBorder="1" applyAlignment="1" applyProtection="1">
      <protection hidden="1"/>
    </xf>
    <xf numFmtId="0" fontId="8" fillId="3" borderId="7" xfId="0" applyFont="1" applyFill="1" applyBorder="1" applyAlignment="1" applyProtection="1">
      <alignment horizontal="center" vertical="top" wrapText="1"/>
      <protection hidden="1"/>
    </xf>
    <xf numFmtId="0" fontId="8" fillId="3" borderId="25" xfId="0" applyFont="1" applyFill="1" applyBorder="1" applyAlignment="1" applyProtection="1">
      <alignment horizontal="center" vertical="top" wrapText="1"/>
      <protection hidden="1"/>
    </xf>
    <xf numFmtId="0" fontId="8" fillId="2" borderId="22"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9" fillId="11" borderId="0" xfId="0" applyFont="1" applyFill="1" applyBorder="1" applyAlignment="1" applyProtection="1">
      <protection hidden="1"/>
    </xf>
    <xf numFmtId="0" fontId="9" fillId="2" borderId="22" xfId="0" applyFont="1" applyFill="1" applyBorder="1" applyAlignment="1" applyProtection="1">
      <protection hidden="1"/>
    </xf>
    <xf numFmtId="0" fontId="9" fillId="2" borderId="11" xfId="0" applyFont="1" applyFill="1" applyBorder="1" applyAlignment="1" applyProtection="1">
      <protection hidden="1"/>
    </xf>
    <xf numFmtId="0" fontId="9" fillId="2" borderId="0" xfId="0" applyFont="1" applyFill="1" applyBorder="1" applyAlignment="1" applyProtection="1">
      <protection hidden="1"/>
    </xf>
    <xf numFmtId="176" fontId="8" fillId="3" borderId="9" xfId="0" quotePrefix="1" applyNumberFormat="1" applyFont="1" applyFill="1" applyBorder="1" applyAlignment="1" applyProtection="1">
      <alignment horizontal="center" vertical="center"/>
      <protection hidden="1"/>
    </xf>
    <xf numFmtId="176" fontId="8" fillId="3" borderId="25" xfId="0" quotePrefix="1" applyNumberFormat="1" applyFont="1" applyFill="1" applyBorder="1" applyAlignment="1" applyProtection="1">
      <alignment horizontal="center" vertical="center"/>
      <protection hidden="1"/>
    </xf>
    <xf numFmtId="176" fontId="8" fillId="3" borderId="0" xfId="0" quotePrefix="1" applyNumberFormat="1" applyFont="1" applyFill="1" applyBorder="1" applyAlignment="1" applyProtection="1">
      <alignment horizontal="center" vertical="center"/>
      <protection hidden="1"/>
    </xf>
    <xf numFmtId="0" fontId="8" fillId="3" borderId="25" xfId="0" quotePrefix="1" applyFont="1" applyFill="1" applyBorder="1" applyAlignment="1" applyProtection="1">
      <alignment horizontal="center" vertical="center"/>
      <protection hidden="1"/>
    </xf>
    <xf numFmtId="176" fontId="8" fillId="2" borderId="11" xfId="0" quotePrefix="1" applyNumberFormat="1" applyFont="1" applyFill="1" applyBorder="1" applyAlignment="1" applyProtection="1">
      <alignment horizontal="center" vertical="center"/>
      <protection hidden="1"/>
    </xf>
    <xf numFmtId="0" fontId="8" fillId="2" borderId="0" xfId="0" quotePrefix="1" applyFont="1" applyFill="1" applyBorder="1" applyAlignment="1" applyProtection="1">
      <alignment horizontal="center" vertical="center"/>
      <protection hidden="1"/>
    </xf>
    <xf numFmtId="176" fontId="8" fillId="15" borderId="24" xfId="0" quotePrefix="1" applyNumberFormat="1" applyFont="1" applyFill="1" applyBorder="1" applyAlignment="1" applyProtection="1">
      <alignment horizontal="center" vertical="center"/>
      <protection hidden="1"/>
    </xf>
    <xf numFmtId="176" fontId="8" fillId="15" borderId="25" xfId="0" quotePrefix="1" applyNumberFormat="1" applyFont="1" applyFill="1" applyBorder="1" applyAlignment="1" applyProtection="1">
      <alignment horizontal="center" vertical="center"/>
      <protection hidden="1"/>
    </xf>
    <xf numFmtId="176" fontId="8" fillId="15" borderId="27" xfId="0" quotePrefix="1" applyNumberFormat="1" applyFont="1" applyFill="1" applyBorder="1" applyAlignment="1" applyProtection="1">
      <alignment horizontal="center" vertical="center"/>
      <protection hidden="1"/>
    </xf>
    <xf numFmtId="176" fontId="8" fillId="15" borderId="22" xfId="0" quotePrefix="1" applyNumberFormat="1" applyFont="1" applyFill="1" applyBorder="1" applyAlignment="1" applyProtection="1">
      <alignment horizontal="center" vertical="center"/>
      <protection hidden="1"/>
    </xf>
    <xf numFmtId="0" fontId="8" fillId="3" borderId="9" xfId="0" quotePrefix="1" applyFont="1" applyFill="1" applyBorder="1" applyAlignment="1" applyProtection="1">
      <alignment horizontal="center" vertical="center"/>
      <protection hidden="1"/>
    </xf>
    <xf numFmtId="0" fontId="8" fillId="3" borderId="44" xfId="0" quotePrefix="1" applyFont="1" applyFill="1" applyBorder="1" applyAlignment="1" applyProtection="1">
      <alignment horizontal="center" vertical="center"/>
      <protection hidden="1"/>
    </xf>
    <xf numFmtId="0" fontId="8" fillId="3" borderId="0" xfId="0" quotePrefix="1" applyFont="1" applyFill="1" applyBorder="1" applyAlignment="1" applyProtection="1">
      <alignment horizontal="center" vertical="center"/>
      <protection hidden="1"/>
    </xf>
    <xf numFmtId="0" fontId="8" fillId="3" borderId="1" xfId="0" quotePrefix="1" applyFont="1" applyFill="1" applyBorder="1" applyAlignment="1" applyProtection="1">
      <alignment horizontal="center" vertical="center"/>
      <protection hidden="1"/>
    </xf>
    <xf numFmtId="175" fontId="9" fillId="0" borderId="102" xfId="4" applyNumberFormat="1" applyFont="1" applyFill="1" applyBorder="1" applyAlignment="1" applyProtection="1">
      <protection hidden="1"/>
    </xf>
    <xf numFmtId="175" fontId="8" fillId="3" borderId="110" xfId="4" applyNumberFormat="1" applyFont="1" applyFill="1" applyBorder="1" applyAlignment="1" applyProtection="1">
      <alignment vertical="center"/>
      <protection hidden="1"/>
    </xf>
    <xf numFmtId="168" fontId="8" fillId="0" borderId="71" xfId="4" applyNumberFormat="1" applyFont="1" applyFill="1" applyBorder="1" applyAlignment="1" applyProtection="1">
      <alignment horizontal="right" vertical="center"/>
      <protection hidden="1"/>
    </xf>
    <xf numFmtId="168" fontId="8" fillId="0" borderId="56" xfId="4" applyNumberFormat="1" applyFont="1" applyFill="1" applyBorder="1" applyAlignment="1" applyProtection="1">
      <alignment horizontal="right" vertical="center"/>
      <protection hidden="1"/>
    </xf>
    <xf numFmtId="0" fontId="9" fillId="20" borderId="9" xfId="4" applyFont="1" applyFill="1" applyBorder="1" applyProtection="1">
      <protection hidden="1"/>
    </xf>
    <xf numFmtId="0" fontId="9" fillId="20" borderId="0" xfId="4" applyFont="1" applyFill="1" applyBorder="1" applyProtection="1">
      <protection hidden="1"/>
    </xf>
    <xf numFmtId="169" fontId="9" fillId="20" borderId="0" xfId="4" applyNumberFormat="1" applyFont="1" applyFill="1" applyBorder="1" applyProtection="1">
      <protection hidden="1"/>
    </xf>
    <xf numFmtId="0" fontId="9" fillId="20" borderId="0" xfId="4" applyFont="1" applyFill="1" applyProtection="1">
      <protection hidden="1"/>
    </xf>
    <xf numFmtId="0" fontId="22" fillId="20" borderId="0" xfId="0" applyFont="1" applyFill="1" applyAlignment="1" applyProtection="1">
      <alignment vertical="top"/>
      <protection hidden="1"/>
    </xf>
    <xf numFmtId="0" fontId="22" fillId="20" borderId="0" xfId="0" applyFont="1" applyFill="1" applyBorder="1" applyAlignment="1" applyProtection="1">
      <alignment vertical="top"/>
      <protection hidden="1"/>
    </xf>
    <xf numFmtId="0" fontId="8" fillId="20" borderId="0" xfId="0" applyFont="1" applyFill="1" applyBorder="1" applyAlignment="1" applyProtection="1">
      <alignment vertical="center"/>
      <protection hidden="1"/>
    </xf>
    <xf numFmtId="0" fontId="9" fillId="20" borderId="0" xfId="0" applyFont="1" applyFill="1" applyBorder="1" applyProtection="1">
      <protection hidden="1"/>
    </xf>
    <xf numFmtId="0" fontId="9" fillId="20" borderId="0" xfId="0" applyFont="1" applyFill="1" applyProtection="1">
      <protection hidden="1"/>
    </xf>
    <xf numFmtId="0" fontId="9" fillId="20" borderId="0" xfId="0" applyFont="1" applyFill="1" applyBorder="1" applyAlignment="1" applyProtection="1">
      <protection hidden="1"/>
    </xf>
    <xf numFmtId="0" fontId="9" fillId="20" borderId="59" xfId="0" applyFont="1" applyFill="1" applyBorder="1" applyAlignment="1" applyProtection="1">
      <alignment horizontal="left" vertical="center" indent="1"/>
      <protection hidden="1"/>
    </xf>
    <xf numFmtId="0" fontId="9" fillId="20" borderId="60" xfId="0" applyFont="1" applyFill="1" applyBorder="1" applyProtection="1">
      <protection hidden="1"/>
    </xf>
    <xf numFmtId="168" fontId="9" fillId="20" borderId="61" xfId="0" applyNumberFormat="1" applyFont="1" applyFill="1" applyBorder="1" applyAlignment="1" applyProtection="1">
      <alignment vertical="center"/>
      <protection hidden="1"/>
    </xf>
    <xf numFmtId="0" fontId="9" fillId="20" borderId="62" xfId="0" applyFont="1" applyFill="1" applyBorder="1" applyAlignment="1" applyProtection="1">
      <alignment horizontal="left" vertical="center" indent="1"/>
      <protection hidden="1"/>
    </xf>
    <xf numFmtId="0" fontId="9" fillId="20" borderId="63" xfId="0" applyFont="1" applyFill="1" applyBorder="1" applyProtection="1">
      <protection hidden="1"/>
    </xf>
    <xf numFmtId="0" fontId="9" fillId="20" borderId="64" xfId="0" applyFont="1" applyFill="1" applyBorder="1" applyAlignment="1" applyProtection="1">
      <alignment vertical="center"/>
      <protection hidden="1"/>
    </xf>
    <xf numFmtId="0" fontId="9" fillId="20" borderId="65" xfId="4" applyFont="1" applyFill="1" applyBorder="1" applyProtection="1">
      <protection hidden="1"/>
    </xf>
    <xf numFmtId="0" fontId="9" fillId="20" borderId="17" xfId="0" applyFont="1" applyFill="1" applyBorder="1" applyAlignment="1" applyProtection="1">
      <alignment vertical="center"/>
      <protection hidden="1"/>
    </xf>
    <xf numFmtId="0" fontId="9" fillId="20" borderId="17" xfId="4" applyFont="1" applyFill="1" applyBorder="1" applyProtection="1">
      <protection hidden="1"/>
    </xf>
    <xf numFmtId="0" fontId="9" fillId="20" borderId="18" xfId="4" applyFont="1" applyFill="1" applyBorder="1" applyProtection="1">
      <protection hidden="1"/>
    </xf>
    <xf numFmtId="0" fontId="9" fillId="20" borderId="29" xfId="0" applyFont="1" applyFill="1" applyBorder="1" applyAlignment="1" applyProtection="1">
      <alignment horizontal="left" vertical="center" indent="1"/>
      <protection hidden="1"/>
    </xf>
    <xf numFmtId="0" fontId="9" fillId="20" borderId="48" xfId="0" applyFont="1" applyFill="1" applyBorder="1" applyProtection="1">
      <protection hidden="1"/>
    </xf>
    <xf numFmtId="165" fontId="9" fillId="20" borderId="28" xfId="0" applyNumberFormat="1" applyFont="1" applyFill="1" applyBorder="1" applyAlignment="1" applyProtection="1">
      <alignment vertical="center"/>
      <protection hidden="1"/>
    </xf>
    <xf numFmtId="0" fontId="9" fillId="20" borderId="40" xfId="0" applyFont="1" applyFill="1" applyBorder="1" applyAlignment="1" applyProtection="1">
      <alignment horizontal="left" vertical="center" indent="1"/>
      <protection hidden="1"/>
    </xf>
    <xf numFmtId="0" fontId="9" fillId="20" borderId="47" xfId="0" applyFont="1" applyFill="1" applyBorder="1" applyProtection="1">
      <protection hidden="1"/>
    </xf>
    <xf numFmtId="0" fontId="9" fillId="20" borderId="46" xfId="0" applyFont="1" applyFill="1" applyBorder="1" applyAlignment="1" applyProtection="1">
      <alignment vertical="center"/>
      <protection hidden="1"/>
    </xf>
    <xf numFmtId="0" fontId="9" fillId="20" borderId="30" xfId="4" applyFont="1" applyFill="1" applyBorder="1" applyProtection="1">
      <protection hidden="1"/>
    </xf>
    <xf numFmtId="0" fontId="9" fillId="20" borderId="48" xfId="0" applyFont="1" applyFill="1" applyBorder="1" applyAlignment="1" applyProtection="1">
      <alignment vertical="center"/>
      <protection hidden="1"/>
    </xf>
    <xf numFmtId="0" fontId="9" fillId="20" borderId="48" xfId="4" applyFont="1" applyFill="1" applyBorder="1" applyProtection="1">
      <protection hidden="1"/>
    </xf>
    <xf numFmtId="0" fontId="9" fillId="20" borderId="28" xfId="4" applyFont="1" applyFill="1" applyBorder="1" applyProtection="1">
      <protection hidden="1"/>
    </xf>
    <xf numFmtId="168" fontId="9" fillId="20" borderId="28" xfId="0" applyNumberFormat="1" applyFont="1" applyFill="1" applyBorder="1" applyAlignment="1" applyProtection="1">
      <alignment vertical="center"/>
      <protection hidden="1"/>
    </xf>
    <xf numFmtId="0" fontId="9" fillId="20" borderId="66" xfId="0" applyFont="1" applyFill="1" applyBorder="1" applyAlignment="1" applyProtection="1">
      <alignment horizontal="left" vertical="center" indent="1"/>
      <protection hidden="1"/>
    </xf>
    <xf numFmtId="0" fontId="9" fillId="20" borderId="79" xfId="0" applyFont="1" applyFill="1" applyBorder="1" applyProtection="1">
      <protection hidden="1"/>
    </xf>
    <xf numFmtId="0" fontId="9" fillId="20" borderId="80" xfId="0" applyFont="1" applyFill="1" applyBorder="1" applyProtection="1">
      <protection hidden="1"/>
    </xf>
    <xf numFmtId="0" fontId="9" fillId="20" borderId="81" xfId="0" applyFont="1" applyFill="1" applyBorder="1" applyAlignment="1" applyProtection="1">
      <alignment vertical="center"/>
      <protection hidden="1"/>
    </xf>
    <xf numFmtId="0" fontId="9" fillId="20" borderId="52" xfId="4" applyFont="1" applyFill="1" applyBorder="1" applyProtection="1">
      <protection hidden="1"/>
    </xf>
    <xf numFmtId="0" fontId="9" fillId="20" borderId="0" xfId="0" applyFont="1" applyFill="1" applyBorder="1" applyAlignment="1" applyProtection="1">
      <alignment vertical="center"/>
      <protection hidden="1"/>
    </xf>
    <xf numFmtId="0" fontId="9" fillId="20" borderId="11" xfId="4" applyFont="1" applyFill="1" applyBorder="1" applyProtection="1">
      <protection hidden="1"/>
    </xf>
    <xf numFmtId="0" fontId="9" fillId="20" borderId="35" xfId="0" applyFont="1" applyFill="1" applyBorder="1" applyAlignment="1" applyProtection="1">
      <alignment horizontal="left" vertical="center" indent="1"/>
      <protection hidden="1"/>
    </xf>
    <xf numFmtId="0" fontId="9" fillId="20" borderId="32" xfId="0" applyFont="1" applyFill="1" applyBorder="1" applyProtection="1">
      <protection hidden="1"/>
    </xf>
    <xf numFmtId="0" fontId="9" fillId="20" borderId="32" xfId="0" applyFont="1" applyFill="1" applyBorder="1" applyAlignment="1" applyProtection="1">
      <alignment vertical="center"/>
      <protection hidden="1"/>
    </xf>
    <xf numFmtId="0" fontId="9" fillId="20" borderId="32" xfId="4" applyFont="1" applyFill="1" applyBorder="1" applyProtection="1">
      <protection hidden="1"/>
    </xf>
    <xf numFmtId="0" fontId="9" fillId="20" borderId="34" xfId="4" applyFont="1" applyFill="1" applyBorder="1" applyProtection="1">
      <protection hidden="1"/>
    </xf>
    <xf numFmtId="0" fontId="9" fillId="20" borderId="9" xfId="0" applyFont="1" applyFill="1" applyBorder="1" applyAlignment="1" applyProtection="1">
      <alignment horizontal="left" vertical="center" indent="1"/>
      <protection hidden="1"/>
    </xf>
    <xf numFmtId="165" fontId="9" fillId="20" borderId="67" xfId="0" applyNumberFormat="1" applyFont="1" applyFill="1" applyBorder="1" applyAlignment="1" applyProtection="1">
      <alignment vertical="center"/>
      <protection hidden="1"/>
    </xf>
    <xf numFmtId="0" fontId="9" fillId="20" borderId="84" xfId="0" applyFont="1" applyFill="1" applyBorder="1" applyAlignment="1" applyProtection="1">
      <alignment horizontal="left" vertical="center" indent="1"/>
      <protection hidden="1"/>
    </xf>
    <xf numFmtId="175" fontId="9" fillId="20" borderId="34" xfId="0" applyNumberFormat="1" applyFont="1" applyFill="1" applyBorder="1" applyAlignment="1" applyProtection="1">
      <alignment vertical="center"/>
      <protection hidden="1"/>
    </xf>
    <xf numFmtId="0" fontId="9" fillId="20" borderId="0" xfId="0" applyFont="1" applyFill="1" applyAlignment="1" applyProtection="1">
      <alignment vertical="center"/>
      <protection hidden="1"/>
    </xf>
    <xf numFmtId="0" fontId="9" fillId="20" borderId="0" xfId="4" applyNumberFormat="1" applyFont="1" applyFill="1" applyAlignment="1" applyProtection="1">
      <protection hidden="1"/>
    </xf>
    <xf numFmtId="0" fontId="9" fillId="20" borderId="0" xfId="4" applyFont="1" applyFill="1" applyAlignment="1" applyProtection="1">
      <alignment vertical="top"/>
      <protection hidden="1"/>
    </xf>
    <xf numFmtId="0" fontId="9" fillId="20" borderId="0" xfId="4" applyFont="1" applyFill="1" applyAlignment="1" applyProtection="1">
      <protection hidden="1"/>
    </xf>
    <xf numFmtId="0" fontId="8" fillId="20" borderId="0" xfId="0" applyFont="1" applyFill="1" applyBorder="1" applyAlignment="1" applyProtection="1">
      <alignment wrapText="1"/>
      <protection hidden="1"/>
    </xf>
    <xf numFmtId="0" fontId="9" fillId="20" borderId="22" xfId="0" applyFont="1" applyFill="1" applyBorder="1" applyAlignment="1" applyProtection="1">
      <alignment vertical="center" wrapText="1"/>
      <protection hidden="1"/>
    </xf>
    <xf numFmtId="176" fontId="8" fillId="20" borderId="24" xfId="0" quotePrefix="1" applyNumberFormat="1" applyFont="1" applyFill="1" applyBorder="1" applyAlignment="1" applyProtection="1">
      <alignment horizontal="center" vertical="center" wrapText="1"/>
      <protection hidden="1"/>
    </xf>
    <xf numFmtId="176" fontId="8" fillId="20" borderId="25" xfId="0" quotePrefix="1" applyNumberFormat="1" applyFont="1" applyFill="1" applyBorder="1" applyAlignment="1" applyProtection="1">
      <alignment horizontal="center" vertical="center" wrapText="1"/>
      <protection hidden="1"/>
    </xf>
    <xf numFmtId="176" fontId="8" fillId="20" borderId="27" xfId="0" quotePrefix="1" applyNumberFormat="1" applyFont="1" applyFill="1" applyBorder="1" applyAlignment="1" applyProtection="1">
      <alignment horizontal="center" vertical="center" wrapText="1"/>
      <protection hidden="1"/>
    </xf>
    <xf numFmtId="1" fontId="9" fillId="20" borderId="0" xfId="0" applyNumberFormat="1" applyFont="1" applyFill="1" applyBorder="1" applyAlignment="1" applyProtection="1">
      <alignment horizontal="center" vertical="center"/>
      <protection hidden="1"/>
    </xf>
    <xf numFmtId="0" fontId="9" fillId="20" borderId="5" xfId="0" quotePrefix="1" applyFont="1" applyFill="1" applyBorder="1" applyAlignment="1" applyProtection="1">
      <alignment horizontal="center" vertical="center"/>
      <protection hidden="1"/>
    </xf>
    <xf numFmtId="0" fontId="9" fillId="20" borderId="4"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0" xfId="0" applyFont="1" applyFill="1" applyBorder="1" applyAlignment="1" applyProtection="1">
      <alignment horizontal="center"/>
      <protection hidden="1"/>
    </xf>
    <xf numFmtId="0" fontId="9" fillId="20" borderId="5" xfId="0" quotePrefix="1" applyFont="1" applyFill="1" applyBorder="1" applyAlignment="1" applyProtection="1">
      <protection hidden="1"/>
    </xf>
    <xf numFmtId="0" fontId="9" fillId="20" borderId="4" xfId="0" applyFont="1" applyFill="1" applyBorder="1" applyAlignment="1" applyProtection="1">
      <protection hidden="1"/>
    </xf>
    <xf numFmtId="0" fontId="9" fillId="20" borderId="6" xfId="0" applyFont="1" applyFill="1" applyBorder="1" applyAlignment="1" applyProtection="1">
      <protection hidden="1"/>
    </xf>
    <xf numFmtId="0" fontId="9" fillId="20" borderId="5" xfId="0" quotePrefix="1" applyFont="1" applyFill="1" applyBorder="1" applyAlignment="1" applyProtection="1">
      <alignment horizontal="center"/>
      <protection hidden="1"/>
    </xf>
    <xf numFmtId="0" fontId="9" fillId="20" borderId="4" xfId="0" applyFont="1" applyFill="1" applyBorder="1" applyAlignment="1" applyProtection="1">
      <alignment horizontal="center"/>
      <protection hidden="1"/>
    </xf>
    <xf numFmtId="0" fontId="9" fillId="20" borderId="6" xfId="0" applyFont="1" applyFill="1" applyBorder="1" applyAlignment="1" applyProtection="1">
      <alignment horizontal="center"/>
      <protection hidden="1"/>
    </xf>
    <xf numFmtId="174" fontId="9" fillId="20" borderId="0" xfId="0" applyNumberFormat="1" applyFont="1" applyFill="1" applyBorder="1" applyProtection="1">
      <protection hidden="1"/>
    </xf>
    <xf numFmtId="174" fontId="9" fillId="20" borderId="0" xfId="0" applyNumberFormat="1" applyFont="1" applyFill="1" applyBorder="1" applyAlignment="1" applyProtection="1">
      <alignment vertical="center"/>
      <protection hidden="1"/>
    </xf>
    <xf numFmtId="0" fontId="9" fillId="20" borderId="0" xfId="4" applyNumberFormat="1" applyFont="1" applyFill="1" applyAlignment="1" applyProtection="1">
      <alignment horizontal="center" vertical="center"/>
      <protection hidden="1"/>
    </xf>
    <xf numFmtId="0" fontId="9" fillId="20" borderId="0" xfId="4" applyNumberFormat="1" applyFont="1" applyFill="1" applyBorder="1" applyAlignment="1" applyProtection="1">
      <protection hidden="1"/>
    </xf>
    <xf numFmtId="0" fontId="9" fillId="20" borderId="0" xfId="0" quotePrefix="1" applyFont="1" applyFill="1" applyBorder="1" applyAlignment="1" applyProtection="1">
      <protection hidden="1"/>
    </xf>
    <xf numFmtId="0" fontId="9" fillId="20" borderId="1" xfId="0" applyFont="1" applyFill="1" applyBorder="1" applyAlignment="1" applyProtection="1">
      <protection hidden="1"/>
    </xf>
    <xf numFmtId="0" fontId="9" fillId="20" borderId="0" xfId="0" quotePrefix="1" applyFont="1" applyFill="1" applyBorder="1" applyAlignment="1" applyProtection="1">
      <alignment horizontal="center"/>
      <protection hidden="1"/>
    </xf>
    <xf numFmtId="0" fontId="9" fillId="20" borderId="1" xfId="0" applyFont="1" applyFill="1" applyBorder="1" applyAlignment="1" applyProtection="1">
      <alignment horizontal="center"/>
      <protection hidden="1"/>
    </xf>
    <xf numFmtId="0" fontId="9" fillId="20" borderId="2" xfId="4" applyNumberFormat="1" applyFont="1" applyFill="1" applyBorder="1" applyAlignment="1" applyProtection="1">
      <protection hidden="1"/>
    </xf>
    <xf numFmtId="0" fontId="9" fillId="20" borderId="2" xfId="0" applyFont="1" applyFill="1" applyBorder="1" applyAlignment="1" applyProtection="1">
      <alignment horizontal="center"/>
      <protection hidden="1"/>
    </xf>
    <xf numFmtId="0" fontId="9" fillId="20" borderId="2" xfId="4" applyFont="1" applyFill="1" applyBorder="1" applyProtection="1">
      <protection hidden="1"/>
    </xf>
    <xf numFmtId="0" fontId="9" fillId="20" borderId="3" xfId="0" applyFont="1" applyFill="1" applyBorder="1" applyAlignment="1" applyProtection="1">
      <alignment horizontal="center"/>
      <protection hidden="1"/>
    </xf>
    <xf numFmtId="167" fontId="9" fillId="20" borderId="0" xfId="0" applyNumberFormat="1" applyFont="1" applyFill="1" applyAlignment="1" applyProtection="1">
      <alignment vertical="center"/>
      <protection hidden="1"/>
    </xf>
    <xf numFmtId="0" fontId="9" fillId="20" borderId="0" xfId="0" applyFont="1" applyFill="1" applyAlignment="1" applyProtection="1">
      <alignment horizontal="center" wrapText="1"/>
      <protection hidden="1"/>
    </xf>
    <xf numFmtId="164" fontId="9" fillId="20" borderId="0" xfId="0" applyNumberFormat="1" applyFont="1" applyFill="1" applyProtection="1">
      <protection hidden="1"/>
    </xf>
    <xf numFmtId="0" fontId="9" fillId="20" borderId="0" xfId="0" applyNumberFormat="1" applyFont="1" applyFill="1" applyAlignment="1" applyProtection="1">
      <alignment horizontal="center"/>
      <protection hidden="1"/>
    </xf>
    <xf numFmtId="0" fontId="9" fillId="20" borderId="0" xfId="0" applyFont="1" applyFill="1" applyAlignment="1" applyProtection="1">
      <alignment vertical="top"/>
      <protection hidden="1"/>
    </xf>
    <xf numFmtId="0" fontId="9" fillId="20" borderId="0" xfId="0" applyFont="1" applyFill="1" applyAlignment="1" applyProtection="1">
      <protection hidden="1"/>
    </xf>
    <xf numFmtId="0" fontId="12" fillId="20" borderId="85" xfId="7" applyNumberFormat="1" applyFont="1" applyFill="1" applyBorder="1" applyAlignment="1" applyProtection="1">
      <alignment horizontal="center" vertical="center"/>
      <protection hidden="1"/>
    </xf>
    <xf numFmtId="0" fontId="12" fillId="20" borderId="68" xfId="7" applyNumberFormat="1" applyFont="1" applyFill="1" applyBorder="1" applyAlignment="1" applyProtection="1">
      <alignment horizontal="center" vertical="center"/>
      <protection hidden="1"/>
    </xf>
    <xf numFmtId="0" fontId="9" fillId="20" borderId="86" xfId="7" applyNumberFormat="1" applyFont="1" applyFill="1" applyBorder="1" applyAlignment="1" applyProtection="1">
      <protection hidden="1"/>
    </xf>
    <xf numFmtId="0" fontId="9" fillId="20" borderId="89" xfId="7" applyNumberFormat="1" applyFont="1" applyFill="1" applyBorder="1" applyAlignment="1" applyProtection="1">
      <alignment horizontal="center" vertical="center"/>
      <protection hidden="1"/>
    </xf>
    <xf numFmtId="0" fontId="9" fillId="20" borderId="90" xfId="7" applyNumberFormat="1" applyFont="1" applyFill="1" applyBorder="1" applyAlignment="1" applyProtection="1">
      <alignment horizontal="center" vertical="center"/>
      <protection hidden="1"/>
    </xf>
    <xf numFmtId="0" fontId="9" fillId="20" borderId="91" xfId="0" applyFont="1" applyFill="1" applyBorder="1" applyProtection="1">
      <protection hidden="1"/>
    </xf>
    <xf numFmtId="0" fontId="9" fillId="20" borderId="5" xfId="7" applyNumberFormat="1" applyFont="1" applyFill="1" applyBorder="1" applyAlignment="1" applyProtection="1">
      <alignment horizontal="center" vertical="center"/>
      <protection hidden="1"/>
    </xf>
    <xf numFmtId="0" fontId="9" fillId="20" borderId="4" xfId="7" applyNumberFormat="1" applyFont="1" applyFill="1" applyBorder="1" applyAlignment="1" applyProtection="1">
      <alignment horizontal="center" vertical="center"/>
      <protection hidden="1"/>
    </xf>
    <xf numFmtId="0" fontId="9" fillId="20" borderId="27" xfId="0" applyFont="1" applyFill="1" applyBorder="1" applyProtection="1">
      <protection hidden="1"/>
    </xf>
    <xf numFmtId="0" fontId="9" fillId="20" borderId="93" xfId="0" applyFont="1" applyFill="1" applyBorder="1" applyProtection="1">
      <protection hidden="1"/>
    </xf>
    <xf numFmtId="0" fontId="9" fillId="20" borderId="86" xfId="0" applyFont="1" applyFill="1" applyBorder="1" applyProtection="1">
      <protection hidden="1"/>
    </xf>
    <xf numFmtId="0" fontId="12" fillId="20" borderId="92" xfId="7" applyNumberFormat="1" applyFont="1" applyFill="1" applyBorder="1" applyAlignment="1" applyProtection="1">
      <alignment horizontal="center" vertical="center"/>
      <protection hidden="1"/>
    </xf>
    <xf numFmtId="0" fontId="9" fillId="20" borderId="57" xfId="7" applyNumberFormat="1" applyFont="1" applyFill="1" applyBorder="1" applyAlignment="1" applyProtection="1">
      <alignment horizontal="center" vertical="center"/>
      <protection hidden="1"/>
    </xf>
    <xf numFmtId="0" fontId="9" fillId="20" borderId="94" xfId="7" applyNumberFormat="1" applyFont="1" applyFill="1" applyBorder="1" applyAlignment="1" applyProtection="1">
      <alignment horizontal="center" vertical="center"/>
      <protection hidden="1"/>
    </xf>
    <xf numFmtId="0" fontId="9" fillId="20" borderId="11" xfId="0" applyFont="1" applyFill="1" applyBorder="1" applyProtection="1">
      <protection hidden="1"/>
    </xf>
    <xf numFmtId="0" fontId="9" fillId="20" borderId="66" xfId="7" applyNumberFormat="1" applyFont="1" applyFill="1" applyBorder="1" applyAlignment="1" applyProtection="1">
      <alignment horizontal="center" vertical="center"/>
      <protection hidden="1"/>
    </xf>
    <xf numFmtId="0" fontId="9" fillId="20" borderId="52" xfId="7" applyNumberFormat="1" applyFont="1" applyFill="1" applyBorder="1" applyAlignment="1" applyProtection="1">
      <alignment horizontal="center" vertical="center"/>
      <protection hidden="1"/>
    </xf>
    <xf numFmtId="0" fontId="9" fillId="20" borderId="10" xfId="0" applyFont="1" applyFill="1" applyBorder="1" applyProtection="1">
      <protection hidden="1"/>
    </xf>
    <xf numFmtId="0" fontId="9" fillId="20" borderId="26" xfId="0" applyFont="1" applyFill="1" applyBorder="1" applyProtection="1">
      <protection hidden="1"/>
    </xf>
    <xf numFmtId="0" fontId="9" fillId="20" borderId="85" xfId="7" applyNumberFormat="1" applyFont="1" applyFill="1" applyBorder="1" applyAlignment="1" applyProtection="1">
      <alignment horizontal="center" vertical="center"/>
      <protection hidden="1"/>
    </xf>
    <xf numFmtId="0" fontId="9" fillId="20" borderId="68" xfId="7" applyNumberFormat="1" applyFont="1" applyFill="1" applyBorder="1" applyAlignment="1" applyProtection="1">
      <alignment horizontal="center" vertical="center"/>
      <protection hidden="1"/>
    </xf>
    <xf numFmtId="0" fontId="9" fillId="20" borderId="92" xfId="0" applyFont="1" applyFill="1" applyBorder="1" applyProtection="1">
      <protection hidden="1"/>
    </xf>
    <xf numFmtId="0" fontId="9" fillId="20" borderId="24" xfId="7" applyNumberFormat="1" applyFont="1" applyFill="1" applyBorder="1" applyAlignment="1" applyProtection="1">
      <alignment horizontal="center" vertical="center"/>
      <protection hidden="1"/>
    </xf>
    <xf numFmtId="0" fontId="9" fillId="20" borderId="25" xfId="7" applyNumberFormat="1" applyFont="1" applyFill="1" applyBorder="1" applyAlignment="1" applyProtection="1">
      <alignment horizontal="center" vertical="center"/>
      <protection hidden="1"/>
    </xf>
    <xf numFmtId="0" fontId="9" fillId="20" borderId="95" xfId="7" applyNumberFormat="1" applyFont="1" applyFill="1" applyBorder="1" applyAlignment="1" applyProtection="1">
      <protection hidden="1"/>
    </xf>
    <xf numFmtId="0" fontId="9" fillId="20" borderId="96" xfId="7" applyNumberFormat="1" applyFont="1" applyFill="1" applyBorder="1" applyAlignment="1" applyProtection="1">
      <protection hidden="1"/>
    </xf>
    <xf numFmtId="0" fontId="9" fillId="20" borderId="97" xfId="0" applyFont="1" applyFill="1" applyBorder="1" applyAlignment="1" applyProtection="1">
      <protection hidden="1"/>
    </xf>
    <xf numFmtId="0" fontId="12" fillId="20" borderId="87" xfId="7" applyNumberFormat="1" applyFont="1" applyFill="1" applyBorder="1" applyAlignment="1" applyProtection="1">
      <alignment horizontal="center" vertical="center"/>
      <protection hidden="1"/>
    </xf>
    <xf numFmtId="0" fontId="12" fillId="20" borderId="88" xfId="7" applyNumberFormat="1" applyFont="1" applyFill="1" applyBorder="1" applyAlignment="1" applyProtection="1">
      <alignment horizontal="center" vertical="center"/>
      <protection hidden="1"/>
    </xf>
    <xf numFmtId="0" fontId="9" fillId="20" borderId="42" xfId="0" applyFont="1" applyFill="1" applyBorder="1" applyProtection="1">
      <protection hidden="1"/>
    </xf>
    <xf numFmtId="0" fontId="12" fillId="20" borderId="0" xfId="7" applyNumberFormat="1" applyFont="1" applyFill="1" applyBorder="1" applyAlignment="1" applyProtection="1">
      <alignment horizontal="center"/>
      <protection hidden="1"/>
    </xf>
    <xf numFmtId="0" fontId="15" fillId="20" borderId="0" xfId="0" applyNumberFormat="1" applyFont="1" applyFill="1" applyAlignment="1" applyProtection="1">
      <alignment horizontal="center"/>
      <protection hidden="1"/>
    </xf>
    <xf numFmtId="0" fontId="8" fillId="20" borderId="0" xfId="4" applyFont="1" applyFill="1" applyProtection="1">
      <protection hidden="1"/>
    </xf>
    <xf numFmtId="164" fontId="9" fillId="20" borderId="0" xfId="4" applyNumberFormat="1" applyFont="1" applyFill="1" applyProtection="1">
      <protection hidden="1"/>
    </xf>
    <xf numFmtId="180" fontId="9" fillId="20" borderId="0" xfId="4" applyNumberFormat="1" applyFont="1" applyFill="1" applyProtection="1">
      <protection hidden="1"/>
    </xf>
    <xf numFmtId="181" fontId="9" fillId="20" borderId="0" xfId="4" applyNumberFormat="1" applyFont="1" applyFill="1" applyProtection="1">
      <protection hidden="1"/>
    </xf>
    <xf numFmtId="0" fontId="8" fillId="20" borderId="24" xfId="0" applyFont="1" applyFill="1" applyBorder="1" applyAlignment="1" applyProtection="1">
      <alignment horizontal="center" vertical="top" wrapText="1"/>
      <protection hidden="1"/>
    </xf>
    <xf numFmtId="0" fontId="8" fillId="20" borderId="27" xfId="0" applyFont="1" applyFill="1" applyBorder="1" applyAlignment="1" applyProtection="1">
      <alignment horizontal="center" vertical="top" wrapText="1"/>
      <protection hidden="1"/>
    </xf>
    <xf numFmtId="0" fontId="8" fillId="20" borderId="25" xfId="0" applyFont="1" applyFill="1" applyBorder="1" applyAlignment="1" applyProtection="1">
      <alignment horizontal="center" vertical="top" wrapText="1"/>
      <protection hidden="1"/>
    </xf>
    <xf numFmtId="0" fontId="8" fillId="3" borderId="22" xfId="0" quotePrefix="1" applyFont="1" applyFill="1" applyBorder="1" applyAlignment="1" applyProtection="1">
      <alignment horizontal="center" vertical="center"/>
      <protection hidden="1"/>
    </xf>
    <xf numFmtId="168" fontId="8" fillId="3" borderId="12" xfId="4" applyNumberFormat="1" applyFont="1" applyFill="1" applyBorder="1" applyAlignment="1" applyProtection="1">
      <alignment horizontal="left" vertical="center" wrapText="1" indent="1"/>
      <protection hidden="1"/>
    </xf>
    <xf numFmtId="0" fontId="12" fillId="3" borderId="72" xfId="0" applyFont="1" applyFill="1" applyBorder="1" applyAlignment="1" applyProtection="1">
      <alignment horizontal="left" vertical="center" wrapText="1" indent="1"/>
      <protection hidden="1"/>
    </xf>
    <xf numFmtId="0" fontId="8" fillId="6" borderId="9" xfId="0" applyFont="1" applyFill="1" applyBorder="1" applyAlignment="1" applyProtection="1">
      <alignment horizontal="center" vertical="center"/>
      <protection hidden="1"/>
    </xf>
    <xf numFmtId="0" fontId="8" fillId="6" borderId="27" xfId="0" applyFont="1" applyFill="1" applyBorder="1" applyAlignment="1" applyProtection="1">
      <alignment horizontal="center" vertical="center"/>
      <protection hidden="1"/>
    </xf>
    <xf numFmtId="176" fontId="8" fillId="6" borderId="41" xfId="0" quotePrefix="1" applyNumberFormat="1" applyFont="1" applyFill="1" applyBorder="1" applyAlignment="1" applyProtection="1">
      <alignment horizontal="center" vertical="center"/>
      <protection hidden="1"/>
    </xf>
    <xf numFmtId="176" fontId="8" fillId="6" borderId="56" xfId="0" quotePrefix="1" applyNumberFormat="1" applyFont="1" applyFill="1" applyBorder="1" applyAlignment="1" applyProtection="1">
      <alignment horizontal="center" vertical="center"/>
      <protection hidden="1"/>
    </xf>
    <xf numFmtId="0" fontId="9" fillId="20" borderId="62" xfId="0" quotePrefix="1" applyFont="1" applyFill="1" applyBorder="1" applyAlignment="1" applyProtection="1">
      <alignment horizontal="center" vertical="center"/>
      <protection hidden="1"/>
    </xf>
    <xf numFmtId="0" fontId="9" fillId="20" borderId="65" xfId="0" applyFont="1" applyFill="1" applyBorder="1" applyAlignment="1" applyProtection="1">
      <alignment horizontal="center" vertical="center"/>
      <protection hidden="1"/>
    </xf>
    <xf numFmtId="0" fontId="9" fillId="20" borderId="111" xfId="0" applyFont="1" applyFill="1" applyBorder="1" applyAlignment="1" applyProtection="1">
      <alignment horizontal="center" vertical="center"/>
      <protection hidden="1"/>
    </xf>
    <xf numFmtId="0" fontId="26" fillId="0" borderId="0" xfId="13" applyFont="1" applyProtection="1">
      <protection hidden="1"/>
    </xf>
    <xf numFmtId="0" fontId="27" fillId="0" borderId="0" xfId="13" applyFont="1" applyProtection="1">
      <protection hidden="1"/>
    </xf>
    <xf numFmtId="0" fontId="26" fillId="0" borderId="0" xfId="13" applyFont="1" applyAlignment="1" applyProtection="1">
      <alignment horizontal="left"/>
      <protection hidden="1"/>
    </xf>
    <xf numFmtId="0" fontId="27" fillId="0" borderId="0" xfId="13" applyFont="1" applyAlignment="1" applyProtection="1">
      <alignment horizontal="center"/>
      <protection hidden="1"/>
    </xf>
    <xf numFmtId="0" fontId="27" fillId="0" borderId="0" xfId="13" applyFont="1" applyAlignment="1" applyProtection="1">
      <protection hidden="1"/>
    </xf>
    <xf numFmtId="0" fontId="27" fillId="0" borderId="70" xfId="13" applyFont="1" applyBorder="1" applyProtection="1">
      <protection hidden="1"/>
    </xf>
    <xf numFmtId="0" fontId="27" fillId="0" borderId="18" xfId="13" applyFont="1" applyBorder="1" applyProtection="1">
      <protection hidden="1"/>
    </xf>
    <xf numFmtId="0" fontId="27" fillId="0" borderId="0" xfId="13" applyNumberFormat="1" applyFont="1" applyFill="1" applyBorder="1" applyAlignment="1" applyProtection="1">
      <protection hidden="1"/>
    </xf>
    <xf numFmtId="0" fontId="26" fillId="0" borderId="22" xfId="13" applyFont="1" applyBorder="1" applyAlignment="1" applyProtection="1">
      <alignment horizontal="left" vertical="center" indent="1"/>
      <protection hidden="1"/>
    </xf>
    <xf numFmtId="0" fontId="26" fillId="0" borderId="11" xfId="13" applyFont="1" applyBorder="1" applyAlignment="1" applyProtection="1">
      <alignment horizontal="left" vertical="center" indent="1"/>
      <protection hidden="1"/>
    </xf>
    <xf numFmtId="175" fontId="8" fillId="0" borderId="78" xfId="5" applyNumberFormat="1" applyFont="1" applyFill="1" applyBorder="1" applyAlignment="1" applyProtection="1">
      <alignment horizontal="center" vertical="top" wrapText="1"/>
      <protection hidden="1"/>
    </xf>
    <xf numFmtId="0" fontId="8" fillId="0" borderId="25" xfId="5" applyFont="1" applyFill="1" applyBorder="1" applyAlignment="1" applyProtection="1">
      <alignment horizontal="center" vertical="top" wrapText="1"/>
      <protection hidden="1"/>
    </xf>
    <xf numFmtId="0" fontId="8" fillId="0" borderId="25" xfId="13" applyNumberFormat="1" applyFont="1" applyFill="1" applyBorder="1" applyAlignment="1" applyProtection="1">
      <alignment horizontal="center" vertical="top" wrapText="1"/>
      <protection hidden="1"/>
    </xf>
    <xf numFmtId="0" fontId="8" fillId="0" borderId="78" xfId="5" applyFont="1" applyFill="1" applyBorder="1" applyAlignment="1" applyProtection="1">
      <alignment horizontal="center" vertical="top" wrapText="1"/>
      <protection hidden="1"/>
    </xf>
    <xf numFmtId="0" fontId="26" fillId="0" borderId="9" xfId="13" applyFont="1" applyBorder="1" applyAlignment="1" applyProtection="1">
      <alignment horizontal="center" vertical="top" wrapText="1"/>
      <protection hidden="1"/>
    </xf>
    <xf numFmtId="0" fontId="26" fillId="0" borderId="52" xfId="13" applyFont="1" applyBorder="1" applyAlignment="1" applyProtection="1">
      <alignment horizontal="center" vertical="top" wrapText="1"/>
      <protection hidden="1"/>
    </xf>
    <xf numFmtId="0" fontId="26" fillId="0" borderId="11" xfId="13" applyFont="1" applyBorder="1" applyAlignment="1" applyProtection="1">
      <alignment horizontal="center" vertical="top"/>
      <protection hidden="1"/>
    </xf>
    <xf numFmtId="0" fontId="8" fillId="0" borderId="77" xfId="5" applyNumberFormat="1" applyFont="1" applyFill="1" applyBorder="1" applyAlignment="1" applyProtection="1">
      <alignment horizontal="center" vertical="top" wrapText="1"/>
      <protection hidden="1"/>
    </xf>
    <xf numFmtId="0" fontId="8" fillId="0" borderId="25" xfId="5" applyNumberFormat="1" applyFont="1" applyFill="1" applyBorder="1" applyAlignment="1" applyProtection="1">
      <alignment horizontal="center" vertical="top" wrapText="1"/>
      <protection hidden="1"/>
    </xf>
    <xf numFmtId="175" fontId="8" fillId="0" borderId="9" xfId="5" applyNumberFormat="1" applyFont="1" applyFill="1" applyBorder="1" applyAlignment="1" applyProtection="1">
      <alignment horizontal="center" vertical="top" wrapText="1"/>
      <protection hidden="1"/>
    </xf>
    <xf numFmtId="175" fontId="8" fillId="0" borderId="66" xfId="5" applyNumberFormat="1" applyFont="1" applyFill="1" applyBorder="1" applyAlignment="1" applyProtection="1">
      <alignment horizontal="center" vertical="top" wrapText="1"/>
      <protection hidden="1"/>
    </xf>
    <xf numFmtId="175" fontId="8" fillId="0" borderId="52" xfId="5" applyNumberFormat="1" applyFont="1" applyFill="1" applyBorder="1" applyAlignment="1" applyProtection="1">
      <alignment horizontal="center" vertical="top" wrapText="1"/>
      <protection hidden="1"/>
    </xf>
    <xf numFmtId="0" fontId="26" fillId="0" borderId="77" xfId="13" applyNumberFormat="1" applyFont="1" applyFill="1" applyBorder="1" applyAlignment="1" applyProtection="1">
      <alignment horizontal="center" vertical="top" wrapText="1"/>
      <protection hidden="1"/>
    </xf>
    <xf numFmtId="0" fontId="26" fillId="0" borderId="25" xfId="13" applyNumberFormat="1" applyFont="1" applyFill="1" applyBorder="1" applyAlignment="1" applyProtection="1">
      <alignment horizontal="center" vertical="top" wrapText="1"/>
      <protection hidden="1"/>
    </xf>
    <xf numFmtId="0" fontId="26" fillId="0" borderId="52" xfId="13" applyNumberFormat="1" applyFont="1" applyFill="1" applyBorder="1" applyAlignment="1" applyProtection="1">
      <alignment horizontal="center" vertical="top" wrapText="1"/>
      <protection hidden="1"/>
    </xf>
    <xf numFmtId="0" fontId="26" fillId="0" borderId="78" xfId="13" applyNumberFormat="1" applyFont="1" applyFill="1" applyBorder="1" applyAlignment="1" applyProtection="1">
      <alignment horizontal="center" vertical="top" wrapText="1"/>
      <protection hidden="1"/>
    </xf>
    <xf numFmtId="0" fontId="26" fillId="0" borderId="10" xfId="13" applyFont="1" applyBorder="1" applyAlignment="1" applyProtection="1">
      <alignment horizontal="left" vertical="top" indent="1"/>
      <protection hidden="1"/>
    </xf>
    <xf numFmtId="0" fontId="8" fillId="0" borderId="24" xfId="10" applyFont="1" applyBorder="1" applyAlignment="1" applyProtection="1">
      <alignment horizontal="center" vertical="center"/>
      <protection hidden="1"/>
    </xf>
    <xf numFmtId="0" fontId="8" fillId="0" borderId="25" xfId="10" applyFont="1" applyBorder="1" applyAlignment="1" applyProtection="1">
      <alignment horizontal="center" vertical="center"/>
      <protection hidden="1"/>
    </xf>
    <xf numFmtId="0" fontId="8" fillId="0" borderId="78" xfId="10" applyFont="1" applyBorder="1" applyAlignment="1" applyProtection="1">
      <alignment horizontal="center" vertical="center"/>
      <protection hidden="1"/>
    </xf>
    <xf numFmtId="0" fontId="8" fillId="0" borderId="77" xfId="10" applyFont="1" applyBorder="1" applyAlignment="1" applyProtection="1">
      <alignment horizontal="center" vertical="center"/>
      <protection hidden="1"/>
    </xf>
    <xf numFmtId="0" fontId="8" fillId="0" borderId="78" xfId="11" applyFont="1" applyBorder="1" applyAlignment="1" applyProtection="1">
      <alignment horizontal="center" vertical="center"/>
      <protection hidden="1"/>
    </xf>
    <xf numFmtId="0" fontId="8" fillId="0" borderId="24" xfId="11" applyFont="1" applyBorder="1" applyAlignment="1" applyProtection="1">
      <alignment horizontal="center" vertical="center"/>
      <protection hidden="1"/>
    </xf>
    <xf numFmtId="0" fontId="26" fillId="0" borderId="77" xfId="13" applyFont="1" applyBorder="1" applyAlignment="1" applyProtection="1">
      <alignment horizontal="center" vertical="center"/>
      <protection hidden="1"/>
    </xf>
    <xf numFmtId="0" fontId="26" fillId="0" borderId="25" xfId="13" applyFont="1" applyBorder="1" applyAlignment="1" applyProtection="1">
      <alignment horizontal="center" vertical="center"/>
      <protection hidden="1"/>
    </xf>
    <xf numFmtId="0" fontId="26" fillId="0" borderId="78" xfId="13" applyFont="1" applyBorder="1" applyAlignment="1" applyProtection="1">
      <alignment horizontal="center" vertical="center"/>
      <protection hidden="1"/>
    </xf>
    <xf numFmtId="0" fontId="26" fillId="0" borderId="27" xfId="13" applyFont="1" applyBorder="1" applyAlignment="1" applyProtection="1">
      <alignment horizontal="center" vertical="center"/>
      <protection hidden="1"/>
    </xf>
    <xf numFmtId="0" fontId="27" fillId="0" borderId="26" xfId="13" applyFont="1" applyBorder="1" applyProtection="1">
      <protection hidden="1"/>
    </xf>
    <xf numFmtId="176" fontId="26" fillId="0" borderId="5" xfId="13" quotePrefix="1" applyNumberFormat="1" applyFont="1" applyBorder="1" applyAlignment="1" applyProtection="1">
      <alignment horizontal="center" vertical="center"/>
      <protection hidden="1"/>
    </xf>
    <xf numFmtId="176" fontId="26" fillId="0" borderId="45" xfId="9" quotePrefix="1" applyNumberFormat="1" applyFont="1" applyBorder="1" applyAlignment="1" applyProtection="1">
      <alignment horizontal="center" vertical="center"/>
      <protection hidden="1"/>
    </xf>
    <xf numFmtId="176" fontId="26" fillId="0" borderId="4" xfId="13" quotePrefix="1" applyNumberFormat="1" applyFont="1" applyBorder="1" applyAlignment="1" applyProtection="1">
      <alignment horizontal="center" vertical="center"/>
      <protection hidden="1"/>
    </xf>
    <xf numFmtId="171" fontId="27" fillId="0" borderId="73" xfId="13" applyNumberFormat="1" applyFont="1" applyBorder="1" applyProtection="1">
      <protection hidden="1"/>
    </xf>
    <xf numFmtId="0" fontId="27" fillId="0" borderId="67" xfId="13" applyFont="1" applyFill="1" applyBorder="1" applyAlignment="1" applyProtection="1">
      <alignment horizontal="left" indent="1"/>
      <protection hidden="1"/>
    </xf>
    <xf numFmtId="175" fontId="27" fillId="0" borderId="9" xfId="13" applyNumberFormat="1" applyFont="1" applyBorder="1" applyProtection="1">
      <protection hidden="1"/>
    </xf>
    <xf numFmtId="175" fontId="27" fillId="0" borderId="52" xfId="13" applyNumberFormat="1" applyFont="1" applyBorder="1" applyProtection="1">
      <protection hidden="1"/>
    </xf>
    <xf numFmtId="175" fontId="27" fillId="0" borderId="10" xfId="13" applyNumberFormat="1" applyFont="1" applyBorder="1" applyProtection="1">
      <protection hidden="1"/>
    </xf>
    <xf numFmtId="175" fontId="27" fillId="0" borderId="11" xfId="13" applyNumberFormat="1" applyFont="1" applyBorder="1" applyProtection="1">
      <protection hidden="1"/>
    </xf>
    <xf numFmtId="175" fontId="9" fillId="0" borderId="66" xfId="10" applyNumberFormat="1" applyFont="1" applyFill="1" applyBorder="1" applyAlignment="1" applyProtection="1">
      <protection hidden="1"/>
    </xf>
    <xf numFmtId="175" fontId="27" fillId="0" borderId="25" xfId="13" applyNumberFormat="1" applyFont="1" applyBorder="1" applyProtection="1">
      <protection hidden="1"/>
    </xf>
    <xf numFmtId="175" fontId="9" fillId="0" borderId="52" xfId="10" applyNumberFormat="1" applyFont="1" applyFill="1" applyBorder="1" applyAlignment="1" applyProtection="1">
      <protection hidden="1"/>
    </xf>
    <xf numFmtId="175" fontId="9" fillId="0" borderId="52" xfId="11" applyNumberFormat="1" applyFont="1" applyFill="1" applyBorder="1" applyProtection="1">
      <protection hidden="1"/>
    </xf>
    <xf numFmtId="175" fontId="8" fillId="0" borderId="10" xfId="11" applyNumberFormat="1" applyFont="1" applyFill="1" applyBorder="1" applyAlignment="1" applyProtection="1">
      <protection hidden="1"/>
    </xf>
    <xf numFmtId="182" fontId="27" fillId="0" borderId="77" xfId="11" applyNumberFormat="1" applyFont="1" applyFill="1" applyBorder="1" applyProtection="1">
      <protection hidden="1"/>
    </xf>
    <xf numFmtId="182" fontId="27" fillId="0" borderId="25" xfId="11" applyNumberFormat="1" applyFont="1" applyFill="1" applyBorder="1" applyProtection="1">
      <protection hidden="1"/>
    </xf>
    <xf numFmtId="182" fontId="27" fillId="0" borderId="25" xfId="13" applyNumberFormat="1" applyFont="1" applyBorder="1" applyProtection="1">
      <protection hidden="1"/>
    </xf>
    <xf numFmtId="182" fontId="27" fillId="0" borderId="0" xfId="11" applyNumberFormat="1" applyFont="1" applyFill="1" applyBorder="1" applyProtection="1">
      <protection hidden="1"/>
    </xf>
    <xf numFmtId="182" fontId="27" fillId="0" borderId="78" xfId="11" applyNumberFormat="1" applyFont="1" applyFill="1" applyBorder="1" applyProtection="1">
      <protection hidden="1"/>
    </xf>
    <xf numFmtId="182" fontId="27" fillId="0" borderId="27" xfId="13" applyNumberFormat="1" applyFont="1" applyBorder="1" applyProtection="1">
      <protection hidden="1"/>
    </xf>
    <xf numFmtId="171" fontId="27" fillId="0" borderId="9" xfId="13" applyNumberFormat="1" applyFont="1" applyBorder="1" applyProtection="1">
      <protection hidden="1"/>
    </xf>
    <xf numFmtId="0" fontId="27" fillId="0" borderId="11" xfId="13" applyFont="1" applyFill="1" applyBorder="1" applyAlignment="1" applyProtection="1">
      <alignment horizontal="left" indent="1"/>
      <protection hidden="1"/>
    </xf>
    <xf numFmtId="175" fontId="27" fillId="0" borderId="27" xfId="13" applyNumberFormat="1" applyFont="1" applyBorder="1" applyProtection="1">
      <protection hidden="1"/>
    </xf>
    <xf numFmtId="175" fontId="8" fillId="0" borderId="27" xfId="10" applyNumberFormat="1" applyFont="1" applyFill="1" applyBorder="1" applyAlignment="1" applyProtection="1">
      <protection hidden="1"/>
    </xf>
    <xf numFmtId="175" fontId="9" fillId="0" borderId="25" xfId="11" applyNumberFormat="1" applyFont="1" applyFill="1" applyBorder="1" applyAlignment="1" applyProtection="1">
      <protection hidden="1"/>
    </xf>
    <xf numFmtId="0" fontId="27" fillId="0" borderId="41" xfId="13" applyFont="1" applyBorder="1" applyProtection="1">
      <protection hidden="1"/>
    </xf>
    <xf numFmtId="0" fontId="26" fillId="0" borderId="42" xfId="13" applyFont="1" applyFill="1" applyBorder="1" applyAlignment="1" applyProtection="1">
      <alignment horizontal="left" vertical="center" indent="1"/>
      <protection hidden="1"/>
    </xf>
    <xf numFmtId="175" fontId="26" fillId="0" borderId="71" xfId="13" applyNumberFormat="1" applyFont="1" applyBorder="1" applyAlignment="1" applyProtection="1">
      <alignment vertical="center"/>
      <protection hidden="1"/>
    </xf>
    <xf numFmtId="175" fontId="26" fillId="0" borderId="39" xfId="13" applyNumberFormat="1" applyFont="1" applyBorder="1" applyAlignment="1" applyProtection="1">
      <alignment vertical="center"/>
      <protection hidden="1"/>
    </xf>
    <xf numFmtId="175" fontId="26" fillId="0" borderId="51" xfId="13" applyNumberFormat="1" applyFont="1" applyBorder="1" applyAlignment="1" applyProtection="1">
      <alignment vertical="center"/>
      <protection hidden="1"/>
    </xf>
    <xf numFmtId="175" fontId="26" fillId="0" borderId="41" xfId="13" applyNumberFormat="1" applyFont="1" applyBorder="1" applyAlignment="1" applyProtection="1">
      <alignment vertical="center"/>
      <protection hidden="1"/>
    </xf>
    <xf numFmtId="175" fontId="26" fillId="0" borderId="56" xfId="13" applyNumberFormat="1" applyFont="1" applyBorder="1" applyAlignment="1" applyProtection="1">
      <alignment vertical="center"/>
      <protection hidden="1"/>
    </xf>
    <xf numFmtId="175" fontId="26" fillId="0" borderId="42" xfId="13" applyNumberFormat="1" applyFont="1" applyBorder="1" applyAlignment="1" applyProtection="1">
      <alignment vertical="center"/>
      <protection hidden="1"/>
    </xf>
    <xf numFmtId="175" fontId="26" fillId="0" borderId="38" xfId="13" applyNumberFormat="1" applyFont="1" applyBorder="1" applyAlignment="1" applyProtection="1">
      <alignment vertical="center"/>
      <protection hidden="1"/>
    </xf>
    <xf numFmtId="182" fontId="26" fillId="0" borderId="38" xfId="13" applyNumberFormat="1" applyFont="1" applyBorder="1" applyAlignment="1" applyProtection="1">
      <alignment vertical="center"/>
      <protection hidden="1"/>
    </xf>
    <xf numFmtId="182" fontId="26" fillId="0" borderId="39" xfId="13" applyNumberFormat="1" applyFont="1" applyBorder="1" applyAlignment="1" applyProtection="1">
      <alignment vertical="center"/>
      <protection hidden="1"/>
    </xf>
    <xf numFmtId="182" fontId="26" fillId="0" borderId="56" xfId="11" applyNumberFormat="1" applyFont="1" applyFill="1" applyBorder="1" applyAlignment="1" applyProtection="1">
      <alignment vertical="center"/>
      <protection hidden="1"/>
    </xf>
    <xf numFmtId="0" fontId="27" fillId="0" borderId="0" xfId="13" applyFont="1" applyBorder="1" applyProtection="1">
      <protection hidden="1"/>
    </xf>
    <xf numFmtId="0" fontId="27" fillId="0" borderId="0" xfId="13" applyFont="1" applyBorder="1" applyAlignment="1" applyProtection="1">
      <alignment horizontal="left" indent="1"/>
      <protection hidden="1"/>
    </xf>
    <xf numFmtId="179" fontId="27" fillId="0" borderId="0" xfId="13" applyNumberFormat="1" applyFont="1" applyBorder="1" applyProtection="1">
      <protection hidden="1"/>
    </xf>
    <xf numFmtId="175" fontId="27" fillId="0" borderId="0" xfId="13" applyNumberFormat="1" applyFont="1" applyProtection="1">
      <protection hidden="1"/>
    </xf>
    <xf numFmtId="175" fontId="9" fillId="0" borderId="0" xfId="11" applyNumberFormat="1" applyFont="1" applyFill="1" applyBorder="1" applyAlignment="1" applyProtection="1">
      <protection hidden="1"/>
    </xf>
    <xf numFmtId="175" fontId="27" fillId="0" borderId="0" xfId="13" applyNumberFormat="1" applyFont="1" applyBorder="1" applyProtection="1">
      <protection hidden="1"/>
    </xf>
    <xf numFmtId="182" fontId="27" fillId="0" borderId="17" xfId="11" applyNumberFormat="1" applyFont="1" applyFill="1" applyBorder="1" applyAlignment="1" applyProtection="1">
      <protection hidden="1"/>
    </xf>
    <xf numFmtId="182" fontId="27" fillId="0" borderId="17" xfId="11" applyNumberFormat="1" applyFont="1" applyBorder="1" applyAlignment="1" applyProtection="1">
      <protection hidden="1"/>
    </xf>
    <xf numFmtId="182" fontId="27" fillId="0" borderId="17" xfId="13" applyNumberFormat="1" applyFont="1" applyBorder="1" applyAlignment="1" applyProtection="1">
      <protection hidden="1"/>
    </xf>
    <xf numFmtId="182" fontId="27" fillId="0" borderId="0" xfId="13" applyNumberFormat="1" applyFont="1" applyBorder="1" applyProtection="1">
      <protection hidden="1"/>
    </xf>
    <xf numFmtId="0" fontId="9" fillId="11" borderId="79" xfId="0" applyNumberFormat="1" applyFont="1" applyFill="1" applyBorder="1" applyProtection="1">
      <protection hidden="1"/>
    </xf>
    <xf numFmtId="164" fontId="8" fillId="3" borderId="0" xfId="4" applyNumberFormat="1" applyFont="1" applyFill="1" applyBorder="1" applyAlignment="1" applyProtection="1">
      <alignment vertical="center"/>
      <protection hidden="1"/>
    </xf>
    <xf numFmtId="164" fontId="9" fillId="11" borderId="0" xfId="4" applyNumberFormat="1" applyFont="1" applyFill="1" applyBorder="1" applyAlignment="1" applyProtection="1">
      <alignment vertical="center"/>
      <protection hidden="1"/>
    </xf>
    <xf numFmtId="164" fontId="9" fillId="11" borderId="77" xfId="4" applyNumberFormat="1" applyFont="1" applyFill="1" applyBorder="1" applyAlignment="1" applyProtection="1">
      <alignment vertical="center"/>
      <protection hidden="1"/>
    </xf>
    <xf numFmtId="164" fontId="8" fillId="11" borderId="0" xfId="4" applyNumberFormat="1" applyFont="1" applyFill="1" applyBorder="1" applyAlignment="1" applyProtection="1">
      <alignment vertical="center"/>
      <protection hidden="1"/>
    </xf>
    <xf numFmtId="164" fontId="8" fillId="11" borderId="77" xfId="4" applyNumberFormat="1" applyFont="1" applyFill="1" applyBorder="1" applyAlignment="1" applyProtection="1">
      <alignment vertical="center"/>
      <protection hidden="1"/>
    </xf>
    <xf numFmtId="0" fontId="8" fillId="11" borderId="0" xfId="0" applyFont="1" applyFill="1" applyBorder="1" applyProtection="1">
      <protection hidden="1"/>
    </xf>
    <xf numFmtId="0" fontId="9" fillId="11" borderId="0" xfId="0" applyFont="1" applyFill="1" applyBorder="1" applyProtection="1">
      <protection hidden="1"/>
    </xf>
    <xf numFmtId="0" fontId="9" fillId="11" borderId="77" xfId="0" applyFont="1" applyFill="1" applyBorder="1" applyProtection="1">
      <protection hidden="1"/>
    </xf>
    <xf numFmtId="0" fontId="8" fillId="11" borderId="40" xfId="0" applyFont="1" applyFill="1" applyBorder="1" applyAlignment="1" applyProtection="1">
      <alignment horizontal="center" vertical="top" wrapText="1"/>
      <protection hidden="1"/>
    </xf>
    <xf numFmtId="0" fontId="8" fillId="11" borderId="47" xfId="0" applyFont="1" applyFill="1" applyBorder="1" applyAlignment="1" applyProtection="1">
      <alignment horizontal="left" vertical="top" indent="1"/>
      <protection hidden="1"/>
    </xf>
    <xf numFmtId="0" fontId="33" fillId="0" borderId="66" xfId="0" applyFont="1" applyFill="1" applyBorder="1" applyAlignment="1" applyProtection="1">
      <alignment horizontal="left" vertical="center" indent="1"/>
      <protection hidden="1"/>
    </xf>
    <xf numFmtId="0" fontId="34" fillId="0" borderId="11" xfId="0" applyFont="1" applyFill="1" applyBorder="1" applyAlignment="1" applyProtection="1">
      <alignment horizontal="center" vertical="center"/>
      <protection hidden="1"/>
    </xf>
    <xf numFmtId="0" fontId="9" fillId="11" borderId="77" xfId="0" applyFont="1" applyFill="1" applyBorder="1" applyAlignment="1" applyProtection="1">
      <alignment horizontal="center" vertical="center"/>
      <protection hidden="1"/>
    </xf>
    <xf numFmtId="0" fontId="35" fillId="11" borderId="40" xfId="0" applyFont="1" applyFill="1" applyBorder="1" applyAlignment="1" applyProtection="1">
      <alignment horizontal="left" vertical="center" indent="1"/>
      <protection hidden="1"/>
    </xf>
    <xf numFmtId="0" fontId="35" fillId="11" borderId="46" xfId="0" applyFont="1" applyFill="1" applyBorder="1" applyAlignment="1" applyProtection="1">
      <alignment horizontal="left" vertical="center" indent="1"/>
      <protection hidden="1"/>
    </xf>
    <xf numFmtId="0" fontId="34" fillId="11" borderId="28" xfId="0" applyFont="1" applyFill="1" applyBorder="1" applyAlignment="1" applyProtection="1">
      <alignment horizontal="center" vertical="center"/>
      <protection hidden="1"/>
    </xf>
    <xf numFmtId="0" fontId="36" fillId="11" borderId="77" xfId="0" applyFont="1" applyFill="1" applyBorder="1" applyAlignment="1" applyProtection="1">
      <alignment horizontal="center" vertical="center"/>
      <protection hidden="1"/>
    </xf>
    <xf numFmtId="0" fontId="35" fillId="11" borderId="66" xfId="0" applyFont="1" applyFill="1" applyBorder="1" applyAlignment="1" applyProtection="1">
      <alignment horizontal="left" vertical="center" indent="1"/>
      <protection hidden="1"/>
    </xf>
    <xf numFmtId="0" fontId="34" fillId="11" borderId="67" xfId="0" applyFont="1" applyFill="1" applyBorder="1" applyAlignment="1" applyProtection="1">
      <alignment horizontal="center" vertical="center"/>
      <protection hidden="1"/>
    </xf>
    <xf numFmtId="0" fontId="9" fillId="11" borderId="2" xfId="0" applyFont="1" applyFill="1" applyBorder="1" applyProtection="1">
      <protection hidden="1"/>
    </xf>
    <xf numFmtId="0" fontId="9" fillId="11" borderId="3" xfId="0" applyFont="1" applyFill="1" applyBorder="1" applyProtection="1">
      <protection hidden="1"/>
    </xf>
    <xf numFmtId="0" fontId="37" fillId="3" borderId="0" xfId="0" applyFont="1" applyFill="1" applyAlignment="1" applyProtection="1">
      <alignment vertical="center"/>
      <protection hidden="1"/>
    </xf>
    <xf numFmtId="0" fontId="9" fillId="3" borderId="0" xfId="0" applyFont="1" applyFill="1" applyAlignment="1" applyProtection="1">
      <protection hidden="1"/>
    </xf>
    <xf numFmtId="0" fontId="9" fillId="11" borderId="79" xfId="0" applyFont="1" applyFill="1" applyBorder="1" applyAlignment="1" applyProtection="1">
      <alignment vertical="center"/>
      <protection hidden="1"/>
    </xf>
    <xf numFmtId="0" fontId="8" fillId="3" borderId="80" xfId="0" applyNumberFormat="1" applyFont="1" applyFill="1" applyBorder="1" applyAlignment="1" applyProtection="1">
      <protection hidden="1"/>
    </xf>
    <xf numFmtId="0" fontId="9" fillId="3" borderId="81" xfId="0" applyFont="1" applyFill="1" applyBorder="1" applyAlignment="1" applyProtection="1">
      <alignment vertical="center"/>
      <protection hidden="1"/>
    </xf>
    <xf numFmtId="0" fontId="9" fillId="11" borderId="78" xfId="0" applyFont="1" applyFill="1" applyBorder="1" applyProtection="1">
      <protection hidden="1"/>
    </xf>
    <xf numFmtId="0" fontId="8" fillId="19" borderId="0" xfId="0" applyFont="1" applyFill="1" applyBorder="1" applyAlignment="1" applyProtection="1">
      <alignment horizontal="left" vertical="center"/>
      <protection hidden="1"/>
    </xf>
    <xf numFmtId="0" fontId="9" fillId="11" borderId="0" xfId="0" applyNumberFormat="1" applyFont="1" applyFill="1" applyBorder="1" applyAlignment="1" applyProtection="1">
      <alignment vertical="center"/>
      <protection hidden="1"/>
    </xf>
    <xf numFmtId="0" fontId="8" fillId="0" borderId="30" xfId="0" applyNumberFormat="1" applyFont="1" applyFill="1" applyBorder="1" applyAlignment="1" applyProtection="1">
      <alignment horizontal="left" vertical="center" indent="1"/>
      <protection hidden="1"/>
    </xf>
    <xf numFmtId="0" fontId="36" fillId="11" borderId="0" xfId="0" applyFont="1" applyFill="1" applyBorder="1" applyAlignment="1" applyProtection="1">
      <alignment horizontal="center" vertical="center"/>
      <protection hidden="1"/>
    </xf>
    <xf numFmtId="0" fontId="9" fillId="11" borderId="78" xfId="0" applyFont="1" applyFill="1" applyBorder="1" applyAlignment="1" applyProtection="1">
      <protection hidden="1"/>
    </xf>
    <xf numFmtId="0" fontId="9" fillId="3" borderId="77" xfId="0" applyFont="1" applyFill="1" applyBorder="1" applyAlignment="1" applyProtection="1">
      <protection hidden="1"/>
    </xf>
    <xf numFmtId="0" fontId="8" fillId="19" borderId="0" xfId="0" applyFont="1" applyFill="1" applyBorder="1" applyAlignment="1" applyProtection="1">
      <protection hidden="1"/>
    </xf>
    <xf numFmtId="0" fontId="12" fillId="3" borderId="0" xfId="0" applyNumberFormat="1" applyFont="1" applyFill="1" applyAlignment="1" applyProtection="1">
      <protection hidden="1"/>
    </xf>
    <xf numFmtId="0" fontId="9" fillId="3" borderId="77" xfId="0" applyNumberFormat="1" applyFont="1" applyFill="1" applyBorder="1" applyAlignment="1" applyProtection="1">
      <protection hidden="1"/>
    </xf>
    <xf numFmtId="0" fontId="9" fillId="3" borderId="77" xfId="0" applyFont="1" applyFill="1" applyBorder="1" applyProtection="1">
      <protection hidden="1"/>
    </xf>
    <xf numFmtId="0" fontId="9" fillId="12" borderId="0" xfId="0" applyFont="1" applyFill="1" applyBorder="1" applyAlignment="1" applyProtection="1">
      <protection hidden="1"/>
    </xf>
    <xf numFmtId="0" fontId="9" fillId="11" borderId="45" xfId="0" applyFont="1" applyFill="1" applyBorder="1" applyProtection="1">
      <protection hidden="1"/>
    </xf>
    <xf numFmtId="0" fontId="9" fillId="12" borderId="2" xfId="0" applyFont="1" applyFill="1" applyBorder="1" applyAlignment="1" applyProtection="1">
      <protection hidden="1"/>
    </xf>
    <xf numFmtId="0" fontId="9" fillId="20" borderId="0" xfId="0" applyNumberFormat="1" applyFont="1" applyFill="1" applyBorder="1" applyProtection="1">
      <protection hidden="1"/>
    </xf>
    <xf numFmtId="0" fontId="37" fillId="11" borderId="0" xfId="0" applyFont="1" applyFill="1" applyAlignment="1" applyProtection="1">
      <alignment vertical="center"/>
      <protection hidden="1"/>
    </xf>
    <xf numFmtId="0" fontId="9" fillId="11" borderId="0" xfId="0" applyFont="1" applyFill="1" applyAlignment="1" applyProtection="1">
      <protection hidden="1"/>
    </xf>
    <xf numFmtId="0" fontId="8" fillId="19" borderId="0" xfId="0" applyFont="1" applyFill="1" applyBorder="1" applyAlignment="1" applyProtection="1">
      <alignment horizontal="left"/>
      <protection hidden="1"/>
    </xf>
    <xf numFmtId="0" fontId="9" fillId="3" borderId="0" xfId="0" applyFont="1" applyFill="1" applyBorder="1" applyAlignment="1" applyProtection="1">
      <alignment horizontal="center" vertical="center" wrapText="1"/>
      <protection hidden="1"/>
    </xf>
    <xf numFmtId="0" fontId="9" fillId="11" borderId="77" xfId="0" applyFont="1" applyFill="1" applyBorder="1" applyAlignment="1" applyProtection="1">
      <protection hidden="1"/>
    </xf>
    <xf numFmtId="0" fontId="8" fillId="3" borderId="22" xfId="0" applyFont="1" applyFill="1" applyBorder="1" applyAlignment="1" applyProtection="1">
      <protection hidden="1"/>
    </xf>
    <xf numFmtId="164" fontId="8" fillId="3" borderId="22" xfId="0" applyNumberFormat="1" applyFont="1" applyFill="1" applyBorder="1" applyAlignment="1" applyProtection="1">
      <alignment horizontal="center" vertical="center"/>
      <protection hidden="1"/>
    </xf>
    <xf numFmtId="0" fontId="11" fillId="3" borderId="22" xfId="0" applyFont="1" applyFill="1" applyBorder="1" applyAlignment="1" applyProtection="1">
      <alignment vertical="center"/>
      <protection hidden="1"/>
    </xf>
    <xf numFmtId="177" fontId="11" fillId="3" borderId="31" xfId="0" applyNumberFormat="1" applyFont="1" applyFill="1" applyBorder="1" applyAlignment="1" applyProtection="1">
      <protection hidden="1"/>
    </xf>
    <xf numFmtId="176" fontId="8" fillId="3" borderId="31" xfId="0" quotePrefix="1" applyNumberFormat="1" applyFont="1" applyFill="1" applyBorder="1" applyAlignment="1" applyProtection="1">
      <alignment horizontal="center" vertical="center"/>
      <protection hidden="1"/>
    </xf>
    <xf numFmtId="0" fontId="8" fillId="11" borderId="31" xfId="0" applyFont="1" applyFill="1" applyBorder="1" applyAlignment="1" applyProtection="1">
      <alignment horizontal="left" vertical="center" indent="1"/>
      <protection hidden="1"/>
    </xf>
    <xf numFmtId="168" fontId="8" fillId="11" borderId="31" xfId="0" applyNumberFormat="1" applyFont="1" applyFill="1" applyBorder="1" applyAlignment="1" applyProtection="1">
      <alignment vertical="center"/>
      <protection hidden="1"/>
    </xf>
    <xf numFmtId="0" fontId="8" fillId="3" borderId="80" xfId="0" applyFont="1" applyFill="1" applyBorder="1" applyAlignment="1" applyProtection="1">
      <alignment horizontal="center" vertical="center" wrapText="1"/>
      <protection hidden="1"/>
    </xf>
    <xf numFmtId="0" fontId="8" fillId="11" borderId="77" xfId="0" applyNumberFormat="1" applyFont="1" applyFill="1" applyBorder="1" applyAlignment="1" applyProtection="1">
      <alignment vertical="center"/>
      <protection hidden="1"/>
    </xf>
    <xf numFmtId="0" fontId="9" fillId="11" borderId="77" xfId="0" applyNumberFormat="1" applyFont="1" applyFill="1" applyBorder="1" applyAlignment="1" applyProtection="1">
      <protection hidden="1"/>
    </xf>
    <xf numFmtId="0" fontId="9" fillId="3" borderId="8" xfId="0" applyFont="1" applyFill="1" applyBorder="1" applyAlignment="1" applyProtection="1">
      <protection hidden="1"/>
    </xf>
    <xf numFmtId="164" fontId="8" fillId="3" borderId="11" xfId="0" applyNumberFormat="1" applyFont="1" applyFill="1" applyBorder="1" applyAlignment="1" applyProtection="1">
      <alignment horizontal="center" vertical="center"/>
      <protection hidden="1"/>
    </xf>
    <xf numFmtId="0" fontId="9" fillId="11" borderId="77" xfId="0" applyFont="1" applyFill="1" applyBorder="1" applyAlignment="1" applyProtection="1">
      <alignment vertical="top" wrapText="1"/>
      <protection hidden="1"/>
    </xf>
    <xf numFmtId="176" fontId="8" fillId="3" borderId="42" xfId="0" quotePrefix="1" applyNumberFormat="1" applyFont="1" applyFill="1" applyBorder="1" applyAlignment="1" applyProtection="1">
      <alignment horizontal="center" vertical="center"/>
      <protection hidden="1"/>
    </xf>
    <xf numFmtId="0" fontId="8" fillId="11" borderId="77" xfId="0" applyFont="1" applyFill="1" applyBorder="1" applyAlignment="1" applyProtection="1">
      <alignment vertical="top" wrapText="1"/>
      <protection hidden="1"/>
    </xf>
    <xf numFmtId="0" fontId="8" fillId="11" borderId="112" xfId="5" applyFont="1" applyFill="1" applyBorder="1" applyAlignment="1" applyProtection="1">
      <alignment horizontal="left" vertical="center" indent="1"/>
      <protection hidden="1"/>
    </xf>
    <xf numFmtId="168" fontId="29" fillId="3" borderId="61" xfId="0" applyNumberFormat="1" applyFont="1" applyFill="1" applyBorder="1" applyAlignment="1" applyProtection="1">
      <alignment vertical="center"/>
      <protection hidden="1"/>
    </xf>
    <xf numFmtId="0" fontId="8" fillId="11" borderId="33" xfId="0" applyFont="1" applyFill="1" applyBorder="1" applyAlignment="1" applyProtection="1">
      <alignment horizontal="left" vertical="center" indent="1"/>
      <protection hidden="1"/>
    </xf>
    <xf numFmtId="168" fontId="8" fillId="11" borderId="42" xfId="0" applyNumberFormat="1" applyFont="1" applyFill="1" applyBorder="1" applyAlignment="1" applyProtection="1">
      <alignment vertical="center"/>
      <protection hidden="1"/>
    </xf>
    <xf numFmtId="0" fontId="9" fillId="12" borderId="17" xfId="0" applyFont="1" applyFill="1" applyBorder="1" applyAlignment="1" applyProtection="1">
      <protection hidden="1"/>
    </xf>
    <xf numFmtId="164" fontId="9" fillId="11" borderId="0" xfId="0" applyNumberFormat="1" applyFont="1" applyFill="1" applyBorder="1" applyProtection="1">
      <protection hidden="1"/>
    </xf>
    <xf numFmtId="164" fontId="9" fillId="11" borderId="2" xfId="0" applyNumberFormat="1" applyFont="1" applyFill="1" applyBorder="1" applyProtection="1">
      <protection hidden="1"/>
    </xf>
    <xf numFmtId="0" fontId="9" fillId="11" borderId="79" xfId="0" applyFont="1" applyFill="1" applyBorder="1" applyProtection="1">
      <protection hidden="1"/>
    </xf>
    <xf numFmtId="0" fontId="9" fillId="11" borderId="78" xfId="0" applyFont="1" applyFill="1" applyBorder="1" applyAlignment="1" applyProtection="1">
      <alignment vertical="center"/>
      <protection hidden="1"/>
    </xf>
    <xf numFmtId="0" fontId="8" fillId="3" borderId="0" xfId="0" applyNumberFormat="1" applyFont="1" applyFill="1" applyBorder="1" applyAlignment="1" applyProtection="1">
      <protection hidden="1"/>
    </xf>
    <xf numFmtId="0" fontId="8" fillId="3" borderId="0" xfId="0" applyFont="1" applyFill="1" applyBorder="1" applyAlignment="1" applyProtection="1">
      <alignment horizontal="center" vertical="center" wrapText="1"/>
      <protection hidden="1"/>
    </xf>
    <xf numFmtId="0" fontId="8" fillId="3" borderId="77" xfId="0" applyFont="1" applyFill="1" applyBorder="1" applyAlignment="1" applyProtection="1">
      <alignment horizontal="right" indent="1"/>
      <protection hidden="1"/>
    </xf>
    <xf numFmtId="0" fontId="38" fillId="19" borderId="0" xfId="0" applyFont="1" applyFill="1" applyBorder="1" applyAlignment="1" applyProtection="1">
      <alignment horizontal="center" vertical="center"/>
      <protection hidden="1"/>
    </xf>
    <xf numFmtId="0" fontId="9" fillId="3" borderId="51" xfId="0" applyFont="1" applyFill="1" applyBorder="1" applyAlignment="1" applyProtection="1">
      <alignment vertical="center"/>
      <protection hidden="1"/>
    </xf>
    <xf numFmtId="0" fontId="38" fillId="19" borderId="51" xfId="0" applyFont="1" applyFill="1" applyBorder="1" applyAlignment="1" applyProtection="1">
      <alignment horizontal="center" vertical="center"/>
      <protection hidden="1"/>
    </xf>
    <xf numFmtId="164" fontId="8" fillId="3" borderId="0" xfId="0" applyNumberFormat="1" applyFont="1" applyFill="1" applyBorder="1" applyAlignment="1" applyProtection="1">
      <alignment horizontal="center" vertical="top" wrapText="1"/>
      <protection hidden="1"/>
    </xf>
    <xf numFmtId="0" fontId="8" fillId="3" borderId="22" xfId="0" applyFont="1" applyFill="1" applyBorder="1" applyAlignment="1" applyProtection="1">
      <alignment horizontal="left" vertical="center" indent="1"/>
      <protection hidden="1"/>
    </xf>
    <xf numFmtId="164" fontId="8" fillId="3" borderId="77" xfId="0" applyNumberFormat="1" applyFont="1" applyFill="1" applyBorder="1" applyAlignment="1" applyProtection="1">
      <alignment horizontal="center" vertical="center"/>
      <protection hidden="1"/>
    </xf>
    <xf numFmtId="164" fontId="8" fillId="3" borderId="25" xfId="0" applyNumberFormat="1" applyFont="1" applyFill="1" applyBorder="1" applyAlignment="1" applyProtection="1">
      <alignment horizontal="center" vertical="center"/>
      <protection hidden="1"/>
    </xf>
    <xf numFmtId="164" fontId="8" fillId="3" borderId="27" xfId="0" applyNumberFormat="1" applyFont="1" applyFill="1" applyBorder="1" applyAlignment="1" applyProtection="1">
      <alignment horizontal="center" vertical="center"/>
      <protection hidden="1"/>
    </xf>
    <xf numFmtId="164" fontId="8" fillId="3" borderId="0" xfId="0" applyNumberFormat="1" applyFont="1" applyFill="1" applyBorder="1" applyAlignment="1" applyProtection="1">
      <alignment horizontal="center" vertical="center"/>
      <protection hidden="1"/>
    </xf>
    <xf numFmtId="176" fontId="8" fillId="3" borderId="71" xfId="0" quotePrefix="1" applyNumberFormat="1" applyFont="1" applyFill="1" applyBorder="1" applyAlignment="1" applyProtection="1">
      <alignment horizontal="center" vertical="center"/>
      <protection hidden="1"/>
    </xf>
    <xf numFmtId="176" fontId="8" fillId="3" borderId="56" xfId="0" quotePrefix="1" applyNumberFormat="1" applyFont="1" applyFill="1" applyBorder="1" applyAlignment="1" applyProtection="1">
      <alignment horizontal="center" vertical="center"/>
      <protection hidden="1"/>
    </xf>
    <xf numFmtId="164" fontId="8" fillId="3" borderId="0" xfId="0" quotePrefix="1" applyNumberFormat="1" applyFont="1" applyFill="1" applyBorder="1" applyAlignment="1" applyProtection="1">
      <alignment horizontal="center" vertical="center"/>
      <protection hidden="1"/>
    </xf>
    <xf numFmtId="0" fontId="8" fillId="11" borderId="31" xfId="5" applyFont="1" applyFill="1" applyBorder="1" applyAlignment="1" applyProtection="1">
      <alignment horizontal="left" vertical="center" indent="1"/>
      <protection hidden="1"/>
    </xf>
    <xf numFmtId="168" fontId="29" fillId="3" borderId="114" xfId="0" applyNumberFormat="1" applyFont="1" applyFill="1" applyBorder="1" applyAlignment="1" applyProtection="1">
      <alignment vertical="center"/>
      <protection hidden="1"/>
    </xf>
    <xf numFmtId="168" fontId="29" fillId="3" borderId="0" xfId="0" applyNumberFormat="1" applyFont="1" applyFill="1" applyBorder="1" applyAlignment="1" applyProtection="1">
      <alignment vertical="center"/>
      <protection hidden="1"/>
    </xf>
    <xf numFmtId="183" fontId="9" fillId="3" borderId="0" xfId="0" applyNumberFormat="1" applyFont="1" applyFill="1" applyBorder="1" applyAlignment="1" applyProtection="1">
      <alignment vertical="center"/>
      <protection hidden="1"/>
    </xf>
    <xf numFmtId="0" fontId="9" fillId="11" borderId="24" xfId="0" applyFont="1" applyFill="1" applyBorder="1" applyAlignment="1" applyProtection="1">
      <alignment vertical="top" wrapText="1"/>
      <protection hidden="1"/>
    </xf>
    <xf numFmtId="0" fontId="11" fillId="3" borderId="9" xfId="0" applyFont="1" applyFill="1" applyBorder="1" applyAlignment="1" applyProtection="1">
      <alignment vertical="center"/>
      <protection hidden="1"/>
    </xf>
    <xf numFmtId="0" fontId="8" fillId="11" borderId="75" xfId="5" applyFont="1" applyFill="1" applyBorder="1" applyAlignment="1" applyProtection="1">
      <alignment horizontal="left" vertical="center" indent="1"/>
      <protection hidden="1"/>
    </xf>
    <xf numFmtId="0" fontId="8" fillId="11" borderId="41" xfId="0" applyFont="1" applyFill="1" applyBorder="1" applyAlignment="1" applyProtection="1">
      <alignment horizontal="left" vertical="center" indent="1"/>
      <protection hidden="1"/>
    </xf>
    <xf numFmtId="164" fontId="8" fillId="3" borderId="52" xfId="0" applyNumberFormat="1" applyFont="1" applyFill="1" applyBorder="1" applyAlignment="1" applyProtection="1">
      <alignment horizontal="center" vertical="top" wrapText="1"/>
      <protection hidden="1"/>
    </xf>
    <xf numFmtId="164" fontId="8" fillId="3" borderId="67" xfId="0" applyNumberFormat="1" applyFont="1" applyFill="1" applyBorder="1" applyAlignment="1" applyProtection="1">
      <alignment horizontal="center" vertical="top"/>
      <protection hidden="1"/>
    </xf>
    <xf numFmtId="168" fontId="29" fillId="3" borderId="60" xfId="0" applyNumberFormat="1" applyFont="1" applyFill="1" applyBorder="1" applyAlignment="1" applyProtection="1">
      <alignment vertical="center"/>
      <protection hidden="1"/>
    </xf>
    <xf numFmtId="168" fontId="29" fillId="3" borderId="65" xfId="0" applyNumberFormat="1" applyFont="1" applyFill="1" applyBorder="1" applyAlignment="1" applyProtection="1">
      <alignment vertical="center"/>
      <protection hidden="1"/>
    </xf>
    <xf numFmtId="168" fontId="29" fillId="3" borderId="111" xfId="0" applyNumberFormat="1" applyFont="1" applyFill="1" applyBorder="1" applyAlignment="1" applyProtection="1">
      <alignment vertical="center"/>
      <protection hidden="1"/>
    </xf>
    <xf numFmtId="168" fontId="8" fillId="11" borderId="51" xfId="0" applyNumberFormat="1" applyFont="1" applyFill="1" applyBorder="1" applyAlignment="1" applyProtection="1">
      <alignment vertical="center"/>
      <protection hidden="1"/>
    </xf>
    <xf numFmtId="168" fontId="8" fillId="11" borderId="39" xfId="0" applyNumberFormat="1" applyFont="1" applyFill="1" applyBorder="1" applyAlignment="1" applyProtection="1">
      <alignment vertical="center"/>
      <protection hidden="1"/>
    </xf>
    <xf numFmtId="168" fontId="8" fillId="11" borderId="56" xfId="0" applyNumberFormat="1" applyFont="1" applyFill="1" applyBorder="1" applyAlignment="1" applyProtection="1">
      <alignment vertical="center"/>
      <protection hidden="1"/>
    </xf>
    <xf numFmtId="0" fontId="8" fillId="0" borderId="9" xfId="0" applyFont="1" applyFill="1" applyBorder="1" applyAlignment="1" applyProtection="1">
      <alignment horizontal="left" vertical="center" indent="1"/>
      <protection hidden="1"/>
    </xf>
    <xf numFmtId="0" fontId="8" fillId="0" borderId="9" xfId="0" applyFont="1" applyFill="1" applyBorder="1" applyAlignment="1" applyProtection="1">
      <protection hidden="1"/>
    </xf>
    <xf numFmtId="0" fontId="8" fillId="0" borderId="11" xfId="0" applyNumberFormat="1" applyFont="1" applyFill="1" applyBorder="1" applyAlignment="1" applyProtection="1">
      <alignment horizontal="center" vertical="center" wrapText="1"/>
      <protection hidden="1"/>
    </xf>
    <xf numFmtId="164" fontId="8" fillId="0" borderId="11" xfId="0" applyNumberFormat="1" applyFont="1" applyFill="1" applyBorder="1" applyAlignment="1" applyProtection="1">
      <alignment horizontal="center" vertical="center"/>
      <protection hidden="1"/>
    </xf>
    <xf numFmtId="0" fontId="8" fillId="0" borderId="10" xfId="0" applyNumberFormat="1" applyFont="1" applyFill="1" applyBorder="1" applyAlignment="1" applyProtection="1">
      <alignment horizontal="center" vertical="center" wrapText="1"/>
      <protection hidden="1"/>
    </xf>
    <xf numFmtId="0" fontId="8" fillId="0" borderId="66" xfId="0" applyFont="1" applyFill="1" applyBorder="1" applyAlignment="1" applyProtection="1">
      <alignment horizontal="left" vertical="center" indent="1"/>
      <protection hidden="1"/>
    </xf>
    <xf numFmtId="164" fontId="8" fillId="0" borderId="27" xfId="0" applyNumberFormat="1" applyFont="1" applyFill="1" applyBorder="1" applyAlignment="1" applyProtection="1">
      <alignment horizontal="center" vertical="center"/>
      <protection hidden="1"/>
    </xf>
    <xf numFmtId="0" fontId="8" fillId="0" borderId="24" xfId="0" applyFont="1" applyFill="1" applyBorder="1" applyAlignment="1" applyProtection="1">
      <protection hidden="1"/>
    </xf>
    <xf numFmtId="176" fontId="8" fillId="0" borderId="56" xfId="0" quotePrefix="1" applyNumberFormat="1" applyFont="1" applyFill="1" applyBorder="1" applyAlignment="1" applyProtection="1">
      <alignment horizontal="center" vertical="center"/>
      <protection hidden="1"/>
    </xf>
    <xf numFmtId="176" fontId="8" fillId="0" borderId="41" xfId="0" applyNumberFormat="1" applyFont="1" applyFill="1" applyBorder="1" applyAlignment="1" applyProtection="1">
      <alignment horizontal="center" vertical="center"/>
      <protection hidden="1"/>
    </xf>
    <xf numFmtId="0" fontId="8" fillId="0" borderId="14" xfId="5" applyFont="1" applyFill="1" applyBorder="1" applyAlignment="1" applyProtection="1">
      <alignment horizontal="left" vertical="center" indent="1"/>
      <protection hidden="1"/>
    </xf>
    <xf numFmtId="168" fontId="8" fillId="0" borderId="16" xfId="0" applyNumberFormat="1" applyFont="1" applyFill="1" applyBorder="1" applyAlignment="1" applyProtection="1">
      <alignment vertical="center"/>
      <protection hidden="1"/>
    </xf>
    <xf numFmtId="0" fontId="8" fillId="0" borderId="43" xfId="5" applyFont="1" applyFill="1" applyBorder="1" applyAlignment="1" applyProtection="1">
      <alignment horizontal="left" vertical="center" indent="1"/>
      <protection hidden="1"/>
    </xf>
    <xf numFmtId="168" fontId="8" fillId="0" borderId="72" xfId="0" applyNumberFormat="1" applyFont="1" applyFill="1" applyBorder="1" applyAlignment="1" applyProtection="1">
      <alignment vertical="center"/>
      <protection hidden="1"/>
    </xf>
    <xf numFmtId="164" fontId="8" fillId="0" borderId="10" xfId="0" applyNumberFormat="1" applyFont="1" applyFill="1" applyBorder="1" applyAlignment="1" applyProtection="1">
      <alignment horizontal="center" vertical="center" wrapText="1"/>
      <protection hidden="1"/>
    </xf>
    <xf numFmtId="164" fontId="8" fillId="0" borderId="99" xfId="0" applyNumberFormat="1" applyFont="1" applyFill="1" applyBorder="1" applyAlignment="1" applyProtection="1">
      <alignment horizontal="center" vertical="center"/>
      <protection hidden="1"/>
    </xf>
    <xf numFmtId="176" fontId="8" fillId="0" borderId="50" xfId="0" quotePrefix="1" applyNumberFormat="1" applyFont="1" applyFill="1" applyBorder="1" applyAlignment="1" applyProtection="1">
      <alignment horizontal="center" vertical="center"/>
      <protection hidden="1"/>
    </xf>
    <xf numFmtId="168" fontId="8" fillId="0" borderId="115" xfId="0" applyNumberFormat="1" applyFont="1" applyFill="1" applyBorder="1" applyAlignment="1" applyProtection="1">
      <alignment vertical="center"/>
      <protection hidden="1"/>
    </xf>
    <xf numFmtId="164" fontId="8" fillId="0" borderId="79" xfId="0" applyNumberFormat="1" applyFont="1" applyFill="1" applyBorder="1" applyAlignment="1" applyProtection="1">
      <alignment horizontal="center" vertical="top" wrapText="1"/>
      <protection hidden="1"/>
    </xf>
    <xf numFmtId="176" fontId="8" fillId="0" borderId="50" xfId="0" applyNumberFormat="1" applyFont="1" applyFill="1" applyBorder="1" applyAlignment="1" applyProtection="1">
      <alignment horizontal="center" vertical="center"/>
      <protection hidden="1"/>
    </xf>
    <xf numFmtId="164" fontId="8" fillId="0" borderId="10" xfId="0" applyNumberFormat="1" applyFont="1" applyFill="1" applyBorder="1" applyAlignment="1" applyProtection="1">
      <alignment horizontal="center" vertical="top"/>
      <protection hidden="1"/>
    </xf>
    <xf numFmtId="0" fontId="8" fillId="0" borderId="77" xfId="0" applyFont="1" applyFill="1" applyBorder="1" applyAlignment="1" applyProtection="1">
      <protection hidden="1"/>
    </xf>
    <xf numFmtId="164" fontId="8" fillId="0" borderId="25"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indent="1"/>
      <protection hidden="1"/>
    </xf>
    <xf numFmtId="176" fontId="8" fillId="0" borderId="51" xfId="0" applyNumberFormat="1" applyFont="1" applyFill="1" applyBorder="1" applyAlignment="1" applyProtection="1">
      <alignment horizontal="center" vertical="center"/>
      <protection hidden="1"/>
    </xf>
    <xf numFmtId="0" fontId="8" fillId="0" borderId="76" xfId="5" applyFont="1" applyFill="1" applyBorder="1" applyAlignment="1" applyProtection="1">
      <alignment horizontal="left" vertical="center" indent="1"/>
      <protection hidden="1"/>
    </xf>
    <xf numFmtId="170" fontId="27" fillId="0" borderId="25" xfId="13" applyNumberFormat="1" applyFont="1" applyFill="1" applyBorder="1" applyAlignment="1" applyProtection="1">
      <alignment horizontal="center" vertical="center"/>
      <protection hidden="1"/>
    </xf>
    <xf numFmtId="0" fontId="9" fillId="0" borderId="25" xfId="0" applyNumberFormat="1" applyFont="1" applyFill="1" applyBorder="1" applyAlignment="1" applyProtection="1">
      <protection hidden="1"/>
    </xf>
    <xf numFmtId="170" fontId="27" fillId="0" borderId="24" xfId="13" applyNumberFormat="1" applyFont="1" applyFill="1" applyBorder="1" applyAlignment="1" applyProtection="1">
      <alignment horizontal="center" vertical="center"/>
      <protection hidden="1"/>
    </xf>
    <xf numFmtId="0" fontId="9" fillId="0" borderId="27" xfId="0" applyNumberFormat="1" applyFont="1" applyFill="1" applyBorder="1" applyAlignment="1" applyProtection="1">
      <protection hidden="1"/>
    </xf>
    <xf numFmtId="0" fontId="27" fillId="0" borderId="38" xfId="13" applyNumberFormat="1" applyFont="1" applyFill="1" applyBorder="1" applyAlignment="1" applyProtection="1">
      <protection hidden="1"/>
    </xf>
    <xf numFmtId="0" fontId="9" fillId="0" borderId="56" xfId="0" applyNumberFormat="1" applyFont="1" applyFill="1" applyBorder="1" applyAlignment="1" applyProtection="1">
      <protection hidden="1"/>
    </xf>
    <xf numFmtId="170" fontId="27" fillId="0" borderId="99" xfId="13" applyNumberFormat="1" applyFont="1" applyFill="1" applyBorder="1" applyAlignment="1" applyProtection="1">
      <alignment horizontal="center" vertical="center"/>
      <protection hidden="1"/>
    </xf>
    <xf numFmtId="0" fontId="8" fillId="0" borderId="52" xfId="0" applyNumberFormat="1" applyFont="1" applyFill="1" applyBorder="1" applyAlignment="1" applyProtection="1">
      <alignment horizontal="center" vertical="top" wrapText="1"/>
      <protection hidden="1"/>
    </xf>
    <xf numFmtId="170" fontId="27" fillId="0" borderId="27" xfId="13" applyNumberFormat="1" applyFont="1" applyFill="1" applyBorder="1" applyAlignment="1" applyProtection="1">
      <alignment horizontal="center" vertical="center"/>
      <protection hidden="1"/>
    </xf>
    <xf numFmtId="0" fontId="8" fillId="0" borderId="73" xfId="0" applyNumberFormat="1" applyFont="1" applyFill="1" applyBorder="1" applyAlignment="1" applyProtection="1">
      <alignment horizontal="center" vertical="top" wrapText="1"/>
      <protection hidden="1"/>
    </xf>
    <xf numFmtId="0" fontId="8" fillId="0" borderId="10" xfId="0" applyNumberFormat="1" applyFont="1" applyFill="1" applyBorder="1" applyAlignment="1" applyProtection="1">
      <alignment horizontal="center" vertical="top" wrapText="1"/>
      <protection hidden="1"/>
    </xf>
    <xf numFmtId="0" fontId="9" fillId="0" borderId="24" xfId="0" applyNumberFormat="1" applyFont="1" applyFill="1" applyBorder="1" applyAlignment="1" applyProtection="1">
      <protection hidden="1"/>
    </xf>
    <xf numFmtId="172" fontId="9" fillId="0" borderId="77" xfId="0" applyNumberFormat="1" applyFont="1" applyFill="1" applyBorder="1" applyAlignment="1" applyProtection="1">
      <alignment vertical="center"/>
      <protection hidden="1"/>
    </xf>
    <xf numFmtId="172" fontId="9" fillId="0" borderId="99" xfId="0" applyNumberFormat="1" applyFont="1" applyFill="1" applyBorder="1" applyAlignment="1" applyProtection="1">
      <alignment vertical="center"/>
      <protection hidden="1"/>
    </xf>
    <xf numFmtId="176" fontId="8" fillId="0" borderId="3" xfId="0" applyNumberFormat="1" applyFont="1" applyFill="1" applyBorder="1" applyAlignment="1" applyProtection="1">
      <alignment horizontal="center" vertical="center"/>
      <protection hidden="1"/>
    </xf>
    <xf numFmtId="176" fontId="8" fillId="0" borderId="45" xfId="0" applyNumberFormat="1" applyFont="1" applyFill="1" applyBorder="1" applyAlignment="1" applyProtection="1">
      <alignment horizontal="center" vertical="center"/>
      <protection hidden="1"/>
    </xf>
    <xf numFmtId="176" fontId="8" fillId="0" borderId="26" xfId="0" applyNumberFormat="1" applyFont="1" applyFill="1" applyBorder="1" applyAlignment="1" applyProtection="1">
      <alignment horizontal="center" vertical="center"/>
      <protection hidden="1"/>
    </xf>
    <xf numFmtId="176" fontId="8" fillId="0" borderId="5" xfId="0" applyNumberFormat="1" applyFont="1" applyFill="1" applyBorder="1" applyAlignment="1" applyProtection="1">
      <alignment horizontal="center" vertical="center"/>
      <protection hidden="1"/>
    </xf>
    <xf numFmtId="176" fontId="8" fillId="0" borderId="4" xfId="0" applyNumberFormat="1" applyFont="1" applyFill="1" applyBorder="1" applyAlignment="1" applyProtection="1">
      <alignment horizontal="center" vertical="center"/>
      <protection hidden="1"/>
    </xf>
    <xf numFmtId="0" fontId="8" fillId="0" borderId="81" xfId="0" applyNumberFormat="1" applyFont="1" applyFill="1" applyBorder="1" applyAlignment="1" applyProtection="1">
      <alignment horizontal="center" vertical="top" wrapText="1"/>
      <protection hidden="1"/>
    </xf>
    <xf numFmtId="0" fontId="10" fillId="21" borderId="75" xfId="0" applyNumberFormat="1" applyFont="1" applyFill="1" applyBorder="1" applyAlignment="1" applyProtection="1">
      <alignment horizontal="center" vertical="center" wrapText="1"/>
      <protection hidden="1"/>
    </xf>
    <xf numFmtId="0" fontId="10" fillId="21" borderId="2" xfId="0" applyNumberFormat="1" applyFont="1" applyFill="1" applyBorder="1" applyAlignment="1" applyProtection="1">
      <alignment horizontal="center" vertical="center" wrapText="1"/>
      <protection hidden="1"/>
    </xf>
    <xf numFmtId="0" fontId="10" fillId="21" borderId="13" xfId="0" applyNumberFormat="1" applyFont="1" applyFill="1" applyBorder="1" applyAlignment="1" applyProtection="1">
      <alignment horizontal="center" vertical="center" wrapText="1"/>
      <protection hidden="1"/>
    </xf>
    <xf numFmtId="164" fontId="8" fillId="3" borderId="0" xfId="0" applyNumberFormat="1" applyFont="1" applyFill="1" applyBorder="1" applyAlignment="1" applyProtection="1">
      <alignment horizontal="left" vertical="center" indent="1"/>
      <protection hidden="1"/>
    </xf>
    <xf numFmtId="0" fontId="8" fillId="3" borderId="9" xfId="0" applyNumberFormat="1" applyFont="1" applyFill="1" applyBorder="1" applyAlignment="1" applyProtection="1">
      <alignment horizontal="left" vertical="center" indent="1"/>
      <protection hidden="1"/>
    </xf>
    <xf numFmtId="168" fontId="29" fillId="3" borderId="42" xfId="0" applyNumberFormat="1" applyFont="1" applyFill="1" applyBorder="1" applyAlignment="1" applyProtection="1">
      <alignment vertical="center"/>
      <protection hidden="1"/>
    </xf>
    <xf numFmtId="183" fontId="8" fillId="3" borderId="27" xfId="0" applyNumberFormat="1" applyFont="1" applyFill="1" applyBorder="1" applyAlignment="1" applyProtection="1">
      <alignment vertical="center"/>
      <protection hidden="1"/>
    </xf>
    <xf numFmtId="0" fontId="8" fillId="3" borderId="59" xfId="0" applyNumberFormat="1" applyFont="1" applyFill="1" applyBorder="1" applyAlignment="1" applyProtection="1">
      <alignment horizontal="left" vertical="center" indent="1"/>
      <protection hidden="1"/>
    </xf>
    <xf numFmtId="164" fontId="8" fillId="3" borderId="9" xfId="0" applyNumberFormat="1" applyFont="1" applyFill="1" applyBorder="1" applyAlignment="1" applyProtection="1">
      <alignment horizontal="left" vertical="center" indent="2"/>
      <protection hidden="1"/>
    </xf>
    <xf numFmtId="0" fontId="8" fillId="3" borderId="9" xfId="0" applyNumberFormat="1" applyFont="1" applyFill="1" applyBorder="1" applyAlignment="1" applyProtection="1">
      <alignment horizontal="left" vertical="center" indent="2"/>
      <protection hidden="1"/>
    </xf>
    <xf numFmtId="0" fontId="8" fillId="3" borderId="41" xfId="0" applyNumberFormat="1" applyFont="1" applyFill="1" applyBorder="1" applyAlignment="1" applyProtection="1">
      <alignment horizontal="left" vertical="center" indent="2"/>
      <protection hidden="1"/>
    </xf>
    <xf numFmtId="183" fontId="8" fillId="3" borderId="73" xfId="0" applyNumberFormat="1" applyFont="1" applyFill="1" applyBorder="1" applyAlignment="1" applyProtection="1">
      <alignment horizontal="left" vertical="center" indent="2"/>
      <protection hidden="1"/>
    </xf>
    <xf numFmtId="0" fontId="9" fillId="3" borderId="22" xfId="0" applyFont="1" applyFill="1" applyBorder="1" applyAlignment="1" applyProtection="1">
      <protection hidden="1"/>
    </xf>
    <xf numFmtId="164" fontId="8" fillId="3" borderId="77" xfId="0" applyNumberFormat="1" applyFont="1" applyFill="1" applyBorder="1" applyAlignment="1" applyProtection="1">
      <alignment horizontal="center" vertical="top" wrapText="1"/>
      <protection hidden="1"/>
    </xf>
    <xf numFmtId="164" fontId="8" fillId="3" borderId="27" xfId="0" applyNumberFormat="1" applyFont="1" applyFill="1" applyBorder="1" applyAlignment="1" applyProtection="1">
      <alignment horizontal="center" vertical="top" wrapText="1"/>
      <protection hidden="1"/>
    </xf>
    <xf numFmtId="0" fontId="8" fillId="3" borderId="102" xfId="0" applyFont="1" applyFill="1" applyBorder="1" applyAlignment="1" applyProtection="1">
      <alignment horizontal="center" vertical="center" wrapText="1"/>
      <protection hidden="1"/>
    </xf>
    <xf numFmtId="164" fontId="8" fillId="3" borderId="0" xfId="0" applyNumberFormat="1" applyFont="1" applyFill="1" applyBorder="1" applyAlignment="1" applyProtection="1">
      <alignment horizontal="center" vertical="center" wrapText="1"/>
      <protection hidden="1"/>
    </xf>
    <xf numFmtId="168" fontId="8" fillId="11" borderId="0" xfId="0" applyNumberFormat="1" applyFont="1" applyFill="1" applyBorder="1" applyAlignment="1" applyProtection="1">
      <alignment vertical="center"/>
      <protection hidden="1"/>
    </xf>
    <xf numFmtId="164" fontId="9" fillId="11" borderId="100" xfId="0" applyNumberFormat="1" applyFont="1" applyFill="1" applyBorder="1" applyProtection="1">
      <protection hidden="1"/>
    </xf>
    <xf numFmtId="0" fontId="12" fillId="3" borderId="0" xfId="0" applyFont="1" applyFill="1" applyBorder="1" applyAlignment="1" applyProtection="1">
      <alignment vertical="center"/>
      <protection hidden="1"/>
    </xf>
    <xf numFmtId="0" fontId="9"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11" borderId="0" xfId="0" applyFont="1" applyFill="1" applyBorder="1" applyAlignment="1" applyProtection="1">
      <alignment vertical="center"/>
      <protection hidden="1"/>
    </xf>
    <xf numFmtId="183" fontId="9" fillId="3" borderId="0" xfId="0" applyNumberFormat="1" applyFont="1" applyFill="1" applyBorder="1" applyAlignment="1" applyProtection="1">
      <protection hidden="1"/>
    </xf>
    <xf numFmtId="0" fontId="12" fillId="3" borderId="0" xfId="0" applyFont="1" applyFill="1" applyBorder="1" applyAlignment="1" applyProtection="1">
      <protection hidden="1"/>
    </xf>
    <xf numFmtId="0" fontId="38" fillId="19" borderId="0" xfId="0" applyFont="1" applyFill="1" applyBorder="1" applyAlignment="1" applyProtection="1">
      <protection hidden="1"/>
    </xf>
    <xf numFmtId="168" fontId="29" fillId="11" borderId="0" xfId="0" applyNumberFormat="1" applyFont="1" applyFill="1" applyBorder="1" applyAlignment="1" applyProtection="1">
      <alignment vertical="center"/>
      <protection hidden="1"/>
    </xf>
    <xf numFmtId="183" fontId="7" fillId="11" borderId="0" xfId="0" applyNumberFormat="1" applyFont="1" applyFill="1" applyBorder="1" applyAlignment="1" applyProtection="1">
      <alignment vertical="center"/>
      <protection locked="0"/>
    </xf>
    <xf numFmtId="0" fontId="36" fillId="11" borderId="78" xfId="0" applyFont="1" applyFill="1" applyBorder="1" applyAlignment="1" applyProtection="1">
      <alignment horizontal="center" vertical="center"/>
      <protection hidden="1"/>
    </xf>
    <xf numFmtId="0" fontId="8" fillId="3" borderId="102" xfId="0" applyNumberFormat="1" applyFont="1" applyFill="1" applyBorder="1" applyAlignment="1" applyProtection="1">
      <protection hidden="1"/>
    </xf>
    <xf numFmtId="0" fontId="8" fillId="3" borderId="0" xfId="0" applyNumberFormat="1" applyFont="1" applyFill="1" applyBorder="1" applyAlignment="1" applyProtection="1">
      <alignment horizontal="center" vertical="center" wrapText="1"/>
      <protection hidden="1"/>
    </xf>
    <xf numFmtId="168" fontId="8" fillId="3" borderId="0" xfId="0" applyNumberFormat="1" applyFont="1" applyFill="1" applyBorder="1" applyAlignment="1" applyProtection="1">
      <alignment vertical="center"/>
      <protection hidden="1"/>
    </xf>
    <xf numFmtId="0" fontId="9" fillId="11" borderId="100" xfId="0" applyFont="1" applyFill="1" applyBorder="1" applyProtection="1">
      <protection hidden="1"/>
    </xf>
    <xf numFmtId="186" fontId="8" fillId="3" borderId="0" xfId="0" applyNumberFormat="1" applyFont="1" applyFill="1" applyBorder="1" applyAlignment="1" applyProtection="1">
      <alignment vertical="center"/>
      <protection hidden="1"/>
    </xf>
    <xf numFmtId="186" fontId="8" fillId="3" borderId="31" xfId="0" applyNumberFormat="1" applyFont="1" applyFill="1" applyBorder="1" applyAlignment="1" applyProtection="1">
      <alignment vertical="center"/>
      <protection hidden="1"/>
    </xf>
    <xf numFmtId="0" fontId="8" fillId="3" borderId="22" xfId="0" applyNumberFormat="1" applyFont="1" applyFill="1" applyBorder="1" applyAlignment="1" applyProtection="1">
      <alignment horizontal="center" vertical="center" wrapText="1"/>
      <protection hidden="1"/>
    </xf>
    <xf numFmtId="183" fontId="9" fillId="11" borderId="49" xfId="0" applyNumberFormat="1" applyFont="1" applyFill="1" applyBorder="1" applyAlignment="1" applyProtection="1">
      <alignment vertical="center"/>
      <protection locked="0"/>
    </xf>
    <xf numFmtId="183" fontId="9" fillId="11" borderId="82" xfId="0" applyNumberFormat="1" applyFont="1" applyFill="1" applyBorder="1" applyAlignment="1" applyProtection="1">
      <alignment vertical="center"/>
      <protection locked="0"/>
    </xf>
    <xf numFmtId="0" fontId="8" fillId="3" borderId="22" xfId="0" applyFont="1" applyFill="1" applyBorder="1" applyAlignment="1" applyProtection="1">
      <alignment horizontal="center" vertical="center"/>
      <protection hidden="1"/>
    </xf>
    <xf numFmtId="183" fontId="8" fillId="11" borderId="49" xfId="0" applyNumberFormat="1" applyFont="1" applyFill="1" applyBorder="1" applyAlignment="1" applyProtection="1">
      <alignment vertical="center"/>
      <protection hidden="1"/>
    </xf>
    <xf numFmtId="183" fontId="9" fillId="11" borderId="0" xfId="0" applyNumberFormat="1" applyFont="1" applyFill="1" applyBorder="1" applyAlignment="1" applyProtection="1">
      <alignment vertical="center"/>
      <protection hidden="1"/>
    </xf>
    <xf numFmtId="183" fontId="8" fillId="11" borderId="82" xfId="0" applyNumberFormat="1" applyFont="1" applyFill="1" applyBorder="1" applyAlignment="1" applyProtection="1">
      <alignment vertical="center"/>
      <protection hidden="1"/>
    </xf>
    <xf numFmtId="183" fontId="8" fillId="3" borderId="10" xfId="0" applyNumberFormat="1" applyFont="1" applyFill="1" applyBorder="1" applyAlignment="1" applyProtection="1">
      <alignment vertical="center"/>
      <protection locked="0"/>
    </xf>
    <xf numFmtId="0" fontId="38" fillId="11" borderId="0" xfId="0" applyFont="1" applyFill="1" applyBorder="1" applyAlignment="1" applyProtection="1">
      <protection hidden="1"/>
    </xf>
    <xf numFmtId="0" fontId="12" fillId="11" borderId="0" xfId="0" applyFont="1" applyFill="1" applyBorder="1" applyAlignment="1" applyProtection="1">
      <protection hidden="1"/>
    </xf>
    <xf numFmtId="0" fontId="9" fillId="11" borderId="23" xfId="5" applyNumberFormat="1" applyFont="1" applyFill="1" applyBorder="1" applyAlignment="1" applyProtection="1">
      <alignment horizontal="left" vertical="center" wrapText="1" indent="1"/>
      <protection locked="0"/>
    </xf>
    <xf numFmtId="183" fontId="7" fillId="11" borderId="11" xfId="0" applyNumberFormat="1" applyFont="1" applyFill="1" applyBorder="1" applyAlignment="1" applyProtection="1">
      <alignment vertical="center"/>
      <protection locked="0"/>
    </xf>
    <xf numFmtId="0" fontId="9" fillId="11" borderId="49" xfId="5" applyNumberFormat="1" applyFont="1" applyFill="1" applyBorder="1" applyAlignment="1" applyProtection="1">
      <alignment horizontal="left" vertical="center" wrapText="1" indent="1"/>
      <protection locked="0"/>
    </xf>
    <xf numFmtId="183" fontId="7" fillId="11" borderId="28" xfId="0" applyNumberFormat="1" applyFont="1" applyFill="1" applyBorder="1" applyAlignment="1" applyProtection="1">
      <alignment vertical="center"/>
      <protection locked="0"/>
    </xf>
    <xf numFmtId="185" fontId="8" fillId="11" borderId="49" xfId="0" applyNumberFormat="1" applyFont="1" applyFill="1" applyBorder="1" applyAlignment="1" applyProtection="1">
      <alignment horizontal="left" vertical="center" wrapText="1" indent="1"/>
      <protection hidden="1"/>
    </xf>
    <xf numFmtId="185" fontId="8" fillId="11" borderId="82" xfId="0" applyNumberFormat="1" applyFont="1" applyFill="1" applyBorder="1" applyAlignment="1" applyProtection="1">
      <alignment horizontal="left" vertical="center" wrapText="1" indent="1"/>
      <protection hidden="1"/>
    </xf>
    <xf numFmtId="0" fontId="9" fillId="11" borderId="49" xfId="0" applyFont="1" applyFill="1" applyBorder="1" applyAlignment="1" applyProtection="1">
      <alignment horizontal="left" vertical="center" wrapText="1" indent="1"/>
      <protection locked="0"/>
    </xf>
    <xf numFmtId="0" fontId="9" fillId="11" borderId="82" xfId="0" applyFont="1" applyFill="1" applyBorder="1" applyAlignment="1" applyProtection="1">
      <alignment horizontal="left" vertical="center" wrapText="1" indent="1"/>
      <protection locked="0"/>
    </xf>
    <xf numFmtId="183" fontId="7" fillId="11" borderId="0" xfId="0" applyNumberFormat="1" applyFont="1" applyFill="1" applyBorder="1" applyAlignment="1" applyProtection="1">
      <alignment vertical="center"/>
      <protection hidden="1"/>
    </xf>
    <xf numFmtId="183" fontId="29" fillId="11" borderId="28" xfId="0" applyNumberFormat="1" applyFont="1" applyFill="1" applyBorder="1" applyAlignment="1" applyProtection="1">
      <alignment vertical="center"/>
      <protection hidden="1"/>
    </xf>
    <xf numFmtId="183" fontId="29" fillId="11" borderId="11" xfId="0" applyNumberFormat="1" applyFont="1" applyFill="1" applyBorder="1" applyAlignment="1" applyProtection="1">
      <alignment vertical="center"/>
      <protection hidden="1"/>
    </xf>
    <xf numFmtId="185" fontId="8" fillId="11" borderId="49" xfId="5" applyNumberFormat="1" applyFont="1" applyFill="1" applyBorder="1" applyAlignment="1" applyProtection="1">
      <alignment horizontal="left" vertical="center" wrapText="1" indent="1"/>
      <protection hidden="1"/>
    </xf>
    <xf numFmtId="185" fontId="8" fillId="11" borderId="82" xfId="5" applyNumberFormat="1" applyFont="1" applyFill="1" applyBorder="1" applyAlignment="1" applyProtection="1">
      <alignment horizontal="left" vertical="center" wrapText="1" indent="1"/>
      <protection hidden="1"/>
    </xf>
    <xf numFmtId="168" fontId="8" fillId="3" borderId="112" xfId="0" applyNumberFormat="1" applyFont="1" applyFill="1" applyBorder="1" applyAlignment="1" applyProtection="1">
      <alignment vertical="center"/>
      <protection hidden="1"/>
    </xf>
    <xf numFmtId="164" fontId="8" fillId="3" borderId="22" xfId="0" applyNumberFormat="1" applyFont="1" applyFill="1" applyBorder="1" applyAlignment="1" applyProtection="1">
      <alignment horizontal="center" vertical="center" wrapText="1"/>
      <protection hidden="1"/>
    </xf>
    <xf numFmtId="164" fontId="8" fillId="3" borderId="0" xfId="0" applyNumberFormat="1" applyFont="1" applyFill="1" applyBorder="1" applyAlignment="1" applyProtection="1">
      <alignment horizontal="center" vertical="top"/>
      <protection hidden="1"/>
    </xf>
    <xf numFmtId="0" fontId="8" fillId="11" borderId="0" xfId="0" applyNumberFormat="1" applyFont="1" applyFill="1" applyBorder="1" applyAlignment="1" applyProtection="1">
      <alignment horizontal="left" vertical="center" indent="1"/>
      <protection hidden="1"/>
    </xf>
    <xf numFmtId="183" fontId="7" fillId="11" borderId="30" xfId="0" applyNumberFormat="1" applyFont="1" applyFill="1" applyBorder="1" applyAlignment="1" applyProtection="1">
      <alignment vertical="center"/>
      <protection locked="0"/>
    </xf>
    <xf numFmtId="183" fontId="7" fillId="11" borderId="6" xfId="0" applyNumberFormat="1" applyFont="1" applyFill="1" applyBorder="1" applyAlignment="1" applyProtection="1">
      <alignment vertical="center"/>
      <protection locked="0"/>
    </xf>
    <xf numFmtId="183" fontId="7" fillId="11" borderId="25" xfId="0" applyNumberFormat="1" applyFont="1" applyFill="1" applyBorder="1" applyAlignment="1" applyProtection="1">
      <alignment vertical="center"/>
      <protection locked="0"/>
    </xf>
    <xf numFmtId="183" fontId="7" fillId="11" borderId="27" xfId="0" applyNumberFormat="1" applyFont="1" applyFill="1" applyBorder="1" applyAlignment="1" applyProtection="1">
      <alignment vertical="center"/>
      <protection locked="0"/>
    </xf>
    <xf numFmtId="0" fontId="9" fillId="19" borderId="0" xfId="0" applyFont="1" applyFill="1" applyBorder="1" applyAlignment="1" applyProtection="1">
      <alignment horizontal="center" vertical="center"/>
      <protection hidden="1"/>
    </xf>
    <xf numFmtId="177" fontId="11" fillId="3" borderId="41" xfId="0" applyNumberFormat="1" applyFont="1" applyFill="1" applyBorder="1" applyAlignment="1" applyProtection="1">
      <protection hidden="1"/>
    </xf>
    <xf numFmtId="0" fontId="9" fillId="3" borderId="51" xfId="0" quotePrefix="1" applyNumberFormat="1" applyFont="1" applyFill="1" applyBorder="1" applyAlignment="1" applyProtection="1">
      <protection hidden="1"/>
    </xf>
    <xf numFmtId="176" fontId="8" fillId="3" borderId="39" xfId="0" quotePrefix="1" applyNumberFormat="1" applyFont="1" applyFill="1" applyBorder="1" applyAlignment="1" applyProtection="1">
      <alignment horizontal="center" vertical="center"/>
      <protection hidden="1"/>
    </xf>
    <xf numFmtId="164" fontId="8" fillId="3" borderId="11" xfId="0" applyNumberFormat="1" applyFont="1" applyFill="1" applyBorder="1" applyAlignment="1" applyProtection="1">
      <alignment horizontal="center" vertical="center" wrapText="1"/>
      <protection hidden="1"/>
    </xf>
    <xf numFmtId="0" fontId="9" fillId="3" borderId="11" xfId="0" applyFont="1" applyFill="1" applyBorder="1" applyAlignment="1" applyProtection="1">
      <protection hidden="1"/>
    </xf>
    <xf numFmtId="0" fontId="9" fillId="11" borderId="11" xfId="0" applyFont="1" applyFill="1" applyBorder="1" applyProtection="1">
      <protection hidden="1"/>
    </xf>
    <xf numFmtId="0" fontId="9" fillId="11" borderId="42" xfId="0" applyFont="1" applyFill="1" applyBorder="1" applyProtection="1">
      <protection hidden="1"/>
    </xf>
    <xf numFmtId="0" fontId="9" fillId="3" borderId="100" xfId="0" applyNumberFormat="1" applyFont="1" applyFill="1" applyBorder="1" applyAlignment="1" applyProtection="1">
      <protection hidden="1"/>
    </xf>
    <xf numFmtId="0" fontId="9" fillId="11" borderId="61" xfId="0" applyFont="1" applyFill="1" applyBorder="1" applyProtection="1">
      <protection hidden="1"/>
    </xf>
    <xf numFmtId="0" fontId="8" fillId="3" borderId="82" xfId="0" applyFont="1" applyFill="1" applyBorder="1" applyAlignment="1" applyProtection="1">
      <alignment horizontal="center" vertical="center"/>
      <protection hidden="1"/>
    </xf>
    <xf numFmtId="0" fontId="9" fillId="11" borderId="33" xfId="5" applyNumberFormat="1" applyFont="1" applyFill="1" applyBorder="1" applyAlignment="1" applyProtection="1">
      <alignment horizontal="left" vertical="center" wrapText="1" indent="1"/>
      <protection locked="0"/>
    </xf>
    <xf numFmtId="183" fontId="7" fillId="11" borderId="48" xfId="0" applyNumberFormat="1" applyFont="1" applyFill="1" applyBorder="1" applyAlignment="1" applyProtection="1">
      <alignment vertical="center"/>
      <protection locked="0"/>
    </xf>
    <xf numFmtId="185" fontId="8" fillId="11" borderId="112" xfId="0" applyNumberFormat="1" applyFont="1" applyFill="1" applyBorder="1" applyAlignment="1" applyProtection="1">
      <alignment horizontal="left" vertical="center" wrapText="1" indent="1"/>
      <protection hidden="1"/>
    </xf>
    <xf numFmtId="0" fontId="9" fillId="11" borderId="112" xfId="5" applyNumberFormat="1" applyFont="1" applyFill="1" applyBorder="1" applyAlignment="1" applyProtection="1">
      <alignment horizontal="left" vertical="center" wrapText="1" indent="1"/>
      <protection locked="0"/>
    </xf>
    <xf numFmtId="183" fontId="8" fillId="11" borderId="100" xfId="0" applyNumberFormat="1" applyFont="1" applyFill="1" applyBorder="1" applyAlignment="1" applyProtection="1">
      <alignment vertical="center"/>
      <protection hidden="1"/>
    </xf>
    <xf numFmtId="164" fontId="8" fillId="3" borderId="102" xfId="0" applyNumberFormat="1" applyFont="1" applyFill="1" applyBorder="1" applyAlignment="1" applyProtection="1">
      <alignment horizontal="center" vertical="top" wrapText="1"/>
      <protection hidden="1"/>
    </xf>
    <xf numFmtId="176" fontId="8" fillId="3" borderId="51" xfId="0" quotePrefix="1" applyNumberFormat="1" applyFont="1" applyFill="1" applyBorder="1" applyAlignment="1" applyProtection="1">
      <alignment horizontal="center" vertical="center"/>
      <protection hidden="1"/>
    </xf>
    <xf numFmtId="0" fontId="26" fillId="0" borderId="0" xfId="13" applyNumberFormat="1" applyFont="1" applyFill="1" applyBorder="1" applyAlignment="1" applyProtection="1">
      <alignment vertical="center"/>
      <protection hidden="1"/>
    </xf>
    <xf numFmtId="0" fontId="9" fillId="0" borderId="0" xfId="8" applyFont="1" applyFill="1" applyBorder="1" applyAlignment="1" applyProtection="1">
      <protection hidden="1"/>
    </xf>
    <xf numFmtId="183" fontId="29" fillId="11" borderId="65" xfId="0" applyNumberFormat="1" applyFont="1" applyFill="1" applyBorder="1" applyAlignment="1" applyProtection="1">
      <alignment vertical="center"/>
      <protection hidden="1"/>
    </xf>
    <xf numFmtId="183" fontId="29" fillId="11" borderId="27" xfId="0" applyNumberFormat="1" applyFont="1" applyFill="1" applyBorder="1" applyAlignment="1" applyProtection="1">
      <alignment vertical="center"/>
      <protection hidden="1"/>
    </xf>
    <xf numFmtId="183" fontId="29" fillId="11" borderId="48" xfId="0" applyNumberFormat="1" applyFont="1" applyFill="1" applyBorder="1" applyAlignment="1" applyProtection="1">
      <alignment vertical="center"/>
      <protection hidden="1"/>
    </xf>
    <xf numFmtId="183" fontId="29" fillId="11" borderId="30" xfId="0" applyNumberFormat="1" applyFont="1" applyFill="1" applyBorder="1" applyAlignment="1" applyProtection="1">
      <alignment vertical="center"/>
      <protection hidden="1"/>
    </xf>
    <xf numFmtId="183" fontId="29" fillId="11" borderId="6" xfId="0" applyNumberFormat="1" applyFont="1" applyFill="1" applyBorder="1" applyAlignment="1" applyProtection="1">
      <alignment vertical="center"/>
      <protection hidden="1"/>
    </xf>
    <xf numFmtId="183" fontId="29" fillId="11" borderId="0" xfId="0" applyNumberFormat="1" applyFont="1" applyFill="1" applyBorder="1" applyAlignment="1" applyProtection="1">
      <alignment vertical="center"/>
      <protection hidden="1"/>
    </xf>
    <xf numFmtId="183" fontId="29" fillId="11" borderId="25" xfId="0" applyNumberFormat="1" applyFont="1" applyFill="1" applyBorder="1" applyAlignment="1" applyProtection="1">
      <alignment vertical="center"/>
      <protection hidden="1"/>
    </xf>
    <xf numFmtId="0" fontId="35" fillId="11" borderId="41" xfId="0" applyFont="1" applyFill="1" applyBorder="1" applyAlignment="1" applyProtection="1">
      <alignment horizontal="left" vertical="center" indent="1"/>
      <protection hidden="1"/>
    </xf>
    <xf numFmtId="0" fontId="33" fillId="11" borderId="71" xfId="0" applyFont="1" applyFill="1" applyBorder="1" applyAlignment="1" applyProtection="1">
      <alignment horizontal="left" vertical="center" indent="1"/>
      <protection hidden="1"/>
    </xf>
    <xf numFmtId="0" fontId="33" fillId="11" borderId="42" xfId="0" applyFont="1" applyFill="1" applyBorder="1" applyAlignment="1" applyProtection="1">
      <alignment horizontal="center" vertical="center"/>
      <protection hidden="1"/>
    </xf>
    <xf numFmtId="0" fontId="34" fillId="0" borderId="34" xfId="0" applyFont="1" applyFill="1" applyBorder="1" applyAlignment="1" applyProtection="1">
      <alignment horizontal="center" vertical="center"/>
      <protection hidden="1"/>
    </xf>
    <xf numFmtId="0" fontId="8" fillId="11" borderId="102" xfId="0" applyFont="1" applyFill="1" applyBorder="1" applyAlignment="1" applyProtection="1">
      <alignment horizontal="center" vertical="center" wrapText="1"/>
      <protection hidden="1"/>
    </xf>
    <xf numFmtId="0" fontId="8" fillId="12" borderId="0" xfId="0" applyFont="1" applyFill="1" applyBorder="1" applyAlignment="1" applyProtection="1">
      <alignment horizontal="left"/>
      <protection hidden="1"/>
    </xf>
    <xf numFmtId="0" fontId="8" fillId="11" borderId="0" xfId="0" applyFont="1" applyFill="1" applyBorder="1" applyAlignment="1" applyProtection="1">
      <alignment horizontal="center" vertical="center" wrapText="1"/>
      <protection hidden="1"/>
    </xf>
    <xf numFmtId="0" fontId="8" fillId="12" borderId="0" xfId="0" applyFont="1" applyFill="1" applyBorder="1" applyAlignment="1" applyProtection="1">
      <alignment horizontal="left" vertical="center"/>
      <protection hidden="1"/>
    </xf>
    <xf numFmtId="0" fontId="8" fillId="11" borderId="102" xfId="0" applyNumberFormat="1" applyFont="1" applyFill="1" applyBorder="1" applyAlignment="1" applyProtection="1">
      <protection hidden="1"/>
    </xf>
    <xf numFmtId="0" fontId="8" fillId="11" borderId="101" xfId="0" applyFont="1" applyFill="1" applyBorder="1" applyAlignment="1" applyProtection="1">
      <alignment horizontal="center" vertical="center" wrapText="1"/>
      <protection hidden="1"/>
    </xf>
    <xf numFmtId="0" fontId="8" fillId="11" borderId="77" xfId="0" applyFont="1" applyFill="1" applyBorder="1" applyAlignment="1" applyProtection="1">
      <alignment horizontal="center" vertical="center" wrapText="1"/>
      <protection hidden="1"/>
    </xf>
    <xf numFmtId="0" fontId="36" fillId="11" borderId="77" xfId="0" applyNumberFormat="1" applyFont="1" applyFill="1" applyBorder="1" applyAlignment="1" applyProtection="1">
      <alignment horizontal="center" vertical="center"/>
      <protection hidden="1"/>
    </xf>
    <xf numFmtId="0" fontId="8" fillId="11" borderId="19" xfId="0" applyFont="1" applyFill="1" applyBorder="1" applyAlignment="1" applyProtection="1">
      <alignment horizontal="left" vertical="center" indent="1"/>
      <protection hidden="1"/>
    </xf>
    <xf numFmtId="0" fontId="8" fillId="11" borderId="20" xfId="0" applyFont="1" applyFill="1" applyBorder="1" applyAlignment="1" applyProtection="1">
      <alignment horizontal="left" vertical="center" indent="1"/>
      <protection hidden="1"/>
    </xf>
    <xf numFmtId="0" fontId="8" fillId="11" borderId="21" xfId="0" applyFont="1" applyFill="1" applyBorder="1" applyAlignment="1" applyProtection="1">
      <alignment horizontal="center" vertical="top" wrapText="1"/>
      <protection hidden="1"/>
    </xf>
    <xf numFmtId="0" fontId="8" fillId="11" borderId="116" xfId="0" applyFont="1" applyFill="1" applyBorder="1" applyAlignment="1" applyProtection="1">
      <alignment horizontal="left" vertical="center" indent="1"/>
      <protection hidden="1"/>
    </xf>
    <xf numFmtId="0" fontId="8" fillId="11" borderId="25" xfId="0" applyFont="1" applyFill="1" applyBorder="1" applyAlignment="1" applyProtection="1">
      <alignment horizontal="left" vertical="center" indent="1"/>
      <protection hidden="1"/>
    </xf>
    <xf numFmtId="0" fontId="8" fillId="11" borderId="27" xfId="0" applyFont="1" applyFill="1" applyBorder="1" applyAlignment="1" applyProtection="1">
      <alignment horizontal="center" vertical="center"/>
      <protection hidden="1"/>
    </xf>
    <xf numFmtId="0" fontId="9" fillId="11" borderId="38" xfId="0" applyFont="1" applyFill="1" applyBorder="1" applyProtection="1">
      <protection hidden="1"/>
    </xf>
    <xf numFmtId="0" fontId="9" fillId="11" borderId="39" xfId="0" applyFont="1" applyFill="1" applyBorder="1" applyProtection="1">
      <protection hidden="1"/>
    </xf>
    <xf numFmtId="0" fontId="8" fillId="11" borderId="14" xfId="0" applyFont="1" applyFill="1" applyBorder="1" applyAlignment="1" applyProtection="1">
      <alignment horizontal="left" vertical="center" indent="1"/>
      <protection hidden="1"/>
    </xf>
    <xf numFmtId="0" fontId="9" fillId="11" borderId="76" xfId="0" applyFont="1" applyFill="1" applyBorder="1" applyAlignment="1" applyProtection="1">
      <alignment horizontal="left" vertical="center" indent="1"/>
      <protection hidden="1"/>
    </xf>
    <xf numFmtId="0" fontId="8" fillId="11" borderId="18" xfId="0" applyFont="1" applyFill="1" applyBorder="1" applyAlignment="1" applyProtection="1">
      <alignment horizontal="center" vertical="top" wrapText="1"/>
      <protection hidden="1"/>
    </xf>
    <xf numFmtId="0" fontId="8" fillId="11" borderId="11" xfId="0" applyFont="1" applyFill="1" applyBorder="1" applyAlignment="1" applyProtection="1">
      <alignment horizontal="center" vertical="center"/>
      <protection hidden="1"/>
    </xf>
    <xf numFmtId="176" fontId="8" fillId="11" borderId="42" xfId="0" applyNumberFormat="1" applyFont="1" applyFill="1" applyBorder="1" applyAlignment="1" applyProtection="1">
      <alignment horizontal="center" vertical="center"/>
      <protection hidden="1"/>
    </xf>
    <xf numFmtId="168" fontId="9" fillId="0" borderId="11" xfId="0" applyNumberFormat="1" applyFont="1" applyFill="1" applyBorder="1" applyAlignment="1" applyProtection="1">
      <alignment vertical="center"/>
      <protection locked="0"/>
    </xf>
    <xf numFmtId="168" fontId="9" fillId="0" borderId="28" xfId="0" applyNumberFormat="1" applyFont="1" applyFill="1" applyBorder="1" applyAlignment="1" applyProtection="1">
      <alignment vertical="center"/>
      <protection locked="0"/>
    </xf>
    <xf numFmtId="168" fontId="9" fillId="0" borderId="42" xfId="0" applyNumberFormat="1" applyFont="1" applyFill="1" applyBorder="1" applyAlignment="1" applyProtection="1">
      <alignment vertical="center"/>
      <protection locked="0"/>
    </xf>
    <xf numFmtId="0" fontId="9" fillId="11" borderId="56" xfId="0" applyFont="1" applyFill="1" applyBorder="1" applyProtection="1">
      <protection hidden="1"/>
    </xf>
    <xf numFmtId="179" fontId="9" fillId="11" borderId="72" xfId="0" applyNumberFormat="1" applyFont="1" applyFill="1" applyBorder="1" applyAlignment="1" applyProtection="1">
      <alignment vertical="center"/>
      <protection hidden="1"/>
    </xf>
    <xf numFmtId="168" fontId="8" fillId="11" borderId="72" xfId="0" applyNumberFormat="1" applyFont="1" applyFill="1" applyBorder="1" applyAlignment="1" applyProtection="1">
      <alignment vertical="center"/>
      <protection hidden="1"/>
    </xf>
    <xf numFmtId="0" fontId="9" fillId="20" borderId="26" xfId="0" applyFont="1" applyFill="1" applyBorder="1" applyAlignment="1" applyProtection="1">
      <protection hidden="1"/>
    </xf>
    <xf numFmtId="0" fontId="9" fillId="20" borderId="35" xfId="0" quotePrefix="1" applyFont="1" applyFill="1" applyBorder="1" applyAlignment="1" applyProtection="1">
      <protection hidden="1"/>
    </xf>
    <xf numFmtId="0" fontId="9" fillId="20" borderId="36" xfId="0" applyFont="1" applyFill="1" applyBorder="1" applyAlignment="1" applyProtection="1">
      <protection hidden="1"/>
    </xf>
    <xf numFmtId="0" fontId="9" fillId="20" borderId="37" xfId="0" applyFont="1" applyFill="1" applyBorder="1" applyAlignment="1" applyProtection="1">
      <protection hidden="1"/>
    </xf>
    <xf numFmtId="0" fontId="9" fillId="20" borderId="38" xfId="0" quotePrefix="1" applyFont="1" applyFill="1" applyBorder="1" applyAlignment="1" applyProtection="1">
      <protection hidden="1"/>
    </xf>
    <xf numFmtId="0" fontId="9" fillId="20" borderId="39" xfId="0" applyFont="1" applyFill="1" applyBorder="1" applyAlignment="1" applyProtection="1">
      <protection hidden="1"/>
    </xf>
    <xf numFmtId="0" fontId="9" fillId="20" borderId="56" xfId="0" applyFont="1" applyFill="1" applyBorder="1" applyAlignment="1" applyProtection="1">
      <protection hidden="1"/>
    </xf>
    <xf numFmtId="0" fontId="7" fillId="11" borderId="6" xfId="0" applyNumberFormat="1" applyFont="1" applyFill="1" applyBorder="1" applyAlignment="1" applyProtection="1">
      <alignment horizontal="left" vertical="top" wrapText="1"/>
      <protection locked="0"/>
    </xf>
    <xf numFmtId="0" fontId="7" fillId="11" borderId="6" xfId="0" applyNumberFormat="1" applyFont="1" applyFill="1" applyBorder="1" applyAlignment="1" applyProtection="1"/>
    <xf numFmtId="0" fontId="8" fillId="3" borderId="7" xfId="0" applyNumberFormat="1" applyFont="1" applyFill="1" applyBorder="1" applyAlignment="1" applyProtection="1">
      <alignment horizontal="right" vertical="center"/>
      <protection hidden="1"/>
    </xf>
    <xf numFmtId="0" fontId="8" fillId="11" borderId="84" xfId="0" applyFont="1" applyFill="1" applyBorder="1" applyAlignment="1" applyProtection="1">
      <alignment horizontal="left" vertical="center" indent="1"/>
      <protection hidden="1"/>
    </xf>
    <xf numFmtId="0" fontId="8" fillId="11" borderId="32" xfId="0" applyFont="1" applyFill="1" applyBorder="1" applyAlignment="1" applyProtection="1">
      <alignment horizontal="left" vertical="center" indent="1"/>
      <protection hidden="1"/>
    </xf>
    <xf numFmtId="0" fontId="8" fillId="11" borderId="34" xfId="0" applyFont="1" applyFill="1" applyBorder="1" applyAlignment="1" applyProtection="1">
      <alignment horizontal="left" vertical="center" indent="1"/>
      <protection hidden="1"/>
    </xf>
    <xf numFmtId="0" fontId="8" fillId="11" borderId="40" xfId="0" applyFont="1" applyFill="1" applyBorder="1" applyAlignment="1" applyProtection="1">
      <alignment horizontal="left" vertical="center" indent="1"/>
      <protection hidden="1"/>
    </xf>
    <xf numFmtId="0" fontId="8" fillId="11" borderId="38" xfId="0" applyFont="1" applyFill="1" applyBorder="1" applyAlignment="1" applyProtection="1">
      <alignment horizontal="left" vertical="center" indent="1"/>
      <protection hidden="1"/>
    </xf>
    <xf numFmtId="0" fontId="8" fillId="11" borderId="30" xfId="0" applyFont="1" applyFill="1" applyBorder="1" applyAlignment="1" applyProtection="1">
      <alignment horizontal="left" vertical="center" indent="1"/>
      <protection hidden="1"/>
    </xf>
    <xf numFmtId="0" fontId="8" fillId="11" borderId="39" xfId="0" applyFont="1" applyFill="1" applyBorder="1" applyAlignment="1" applyProtection="1">
      <alignment horizontal="left" vertical="center" indent="1"/>
      <protection hidden="1"/>
    </xf>
    <xf numFmtId="179" fontId="8" fillId="11" borderId="27" xfId="0" applyNumberFormat="1" applyFont="1" applyFill="1" applyBorder="1" applyAlignment="1" applyProtection="1">
      <alignment vertical="center"/>
      <protection hidden="1"/>
    </xf>
    <xf numFmtId="179" fontId="8" fillId="11" borderId="6" xfId="0" applyNumberFormat="1" applyFont="1" applyFill="1" applyBorder="1" applyAlignment="1" applyProtection="1">
      <alignment vertical="center"/>
      <protection hidden="1"/>
    </xf>
    <xf numFmtId="179" fontId="8" fillId="11" borderId="56" xfId="0" applyNumberFormat="1" applyFont="1" applyFill="1" applyBorder="1" applyAlignment="1" applyProtection="1">
      <alignment vertical="center"/>
      <protection hidden="1"/>
    </xf>
    <xf numFmtId="0" fontId="9" fillId="0" borderId="0" xfId="0" applyFont="1" applyProtection="1">
      <protection hidden="1"/>
    </xf>
    <xf numFmtId="0" fontId="8" fillId="0" borderId="0" xfId="0" applyFont="1" applyAlignment="1" applyProtection="1">
      <alignment vertical="center"/>
      <protection hidden="1"/>
    </xf>
    <xf numFmtId="0" fontId="8" fillId="0" borderId="9" xfId="0" applyFont="1" applyBorder="1" applyAlignment="1" applyProtection="1">
      <alignment horizontal="left" vertical="center" indent="1"/>
      <protection hidden="1"/>
    </xf>
    <xf numFmtId="0" fontId="8" fillId="0" borderId="0" xfId="0" applyFont="1" applyBorder="1" applyAlignment="1" applyProtection="1">
      <alignment vertical="center"/>
      <protection hidden="1"/>
    </xf>
    <xf numFmtId="0" fontId="8"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0" borderId="0" xfId="0" applyFont="1" applyAlignment="1" applyProtection="1">
      <protection hidden="1"/>
    </xf>
    <xf numFmtId="0" fontId="9" fillId="0" borderId="70" xfId="0" applyFont="1" applyBorder="1" applyProtection="1">
      <protection hidden="1"/>
    </xf>
    <xf numFmtId="0" fontId="9" fillId="0" borderId="17" xfId="0" applyFont="1" applyBorder="1" applyProtection="1">
      <protection hidden="1"/>
    </xf>
    <xf numFmtId="0" fontId="9" fillId="0" borderId="9" xfId="0" applyFont="1" applyBorder="1" applyProtection="1">
      <protection hidden="1"/>
    </xf>
    <xf numFmtId="0" fontId="9" fillId="0" borderId="0" xfId="0" applyFont="1" applyBorder="1" applyProtection="1">
      <protection hidden="1"/>
    </xf>
    <xf numFmtId="0" fontId="9" fillId="0" borderId="77" xfId="0" applyFont="1" applyBorder="1" applyProtection="1">
      <protection hidden="1"/>
    </xf>
    <xf numFmtId="0" fontId="8" fillId="0" borderId="66" xfId="0" applyFont="1" applyBorder="1" applyAlignment="1" applyProtection="1">
      <alignment horizontal="center" vertical="top"/>
      <protection hidden="1"/>
    </xf>
    <xf numFmtId="0" fontId="8" fillId="0" borderId="52" xfId="0" applyFont="1" applyBorder="1" applyAlignment="1" applyProtection="1">
      <alignment horizontal="center" vertical="top"/>
      <protection hidden="1"/>
    </xf>
    <xf numFmtId="0" fontId="8" fillId="0" borderId="25" xfId="0" applyFont="1" applyBorder="1" applyAlignment="1" applyProtection="1">
      <alignment horizontal="center" vertical="top"/>
      <protection hidden="1"/>
    </xf>
    <xf numFmtId="0" fontId="8" fillId="0" borderId="78" xfId="0" applyFont="1" applyBorder="1" applyAlignment="1" applyProtection="1">
      <alignment horizontal="center" vertical="top" wrapText="1"/>
      <protection hidden="1"/>
    </xf>
    <xf numFmtId="0" fontId="8" fillId="0" borderId="10" xfId="0" applyFont="1" applyBorder="1" applyAlignment="1" applyProtection="1">
      <alignment horizontal="center" vertical="top" wrapText="1"/>
      <protection hidden="1"/>
    </xf>
    <xf numFmtId="0" fontId="9" fillId="0" borderId="75" xfId="0" applyFont="1" applyBorder="1" applyProtection="1">
      <protection hidden="1"/>
    </xf>
    <xf numFmtId="0" fontId="9" fillId="0" borderId="3" xfId="0" applyFont="1" applyBorder="1" applyProtection="1">
      <protection hidden="1"/>
    </xf>
    <xf numFmtId="0" fontId="8" fillId="0" borderId="0" xfId="0" applyFont="1" applyBorder="1" applyAlignment="1" applyProtection="1">
      <alignment horizontal="center" vertical="center"/>
      <protection hidden="1"/>
    </xf>
    <xf numFmtId="171" fontId="9" fillId="0" borderId="9" xfId="0" applyNumberFormat="1" applyFont="1" applyBorder="1" applyAlignment="1" applyProtection="1">
      <alignment vertical="center"/>
      <protection hidden="1"/>
    </xf>
    <xf numFmtId="0" fontId="9" fillId="0" borderId="77" xfId="0" applyFont="1" applyFill="1" applyBorder="1" applyAlignment="1" applyProtection="1">
      <alignment horizontal="left" vertical="center" indent="1"/>
      <protection hidden="1"/>
    </xf>
    <xf numFmtId="0" fontId="9" fillId="0" borderId="27" xfId="0" applyFont="1" applyBorder="1" applyAlignment="1" applyProtection="1">
      <alignment horizontal="center" vertical="center"/>
      <protection hidden="1"/>
    </xf>
    <xf numFmtId="173" fontId="9" fillId="0" borderId="9" xfId="0" applyNumberFormat="1" applyFont="1" applyBorder="1" applyAlignment="1" applyProtection="1">
      <alignment vertical="center"/>
      <protection hidden="1"/>
    </xf>
    <xf numFmtId="173" fontId="9" fillId="0" borderId="52" xfId="0" applyNumberFormat="1" applyFont="1" applyBorder="1" applyAlignment="1" applyProtection="1">
      <alignment vertical="center"/>
      <protection hidden="1"/>
    </xf>
    <xf numFmtId="0" fontId="9" fillId="0" borderId="52" xfId="0" applyFont="1" applyBorder="1" applyAlignment="1" applyProtection="1">
      <alignment horizontal="center"/>
      <protection hidden="1"/>
    </xf>
    <xf numFmtId="0" fontId="9" fillId="0" borderId="52" xfId="0" applyFont="1" applyBorder="1" applyAlignment="1" applyProtection="1">
      <protection hidden="1"/>
    </xf>
    <xf numFmtId="0" fontId="9" fillId="0" borderId="10" xfId="0" applyFont="1" applyBorder="1" applyAlignment="1" applyProtection="1">
      <protection hidden="1"/>
    </xf>
    <xf numFmtId="0" fontId="9" fillId="0" borderId="1" xfId="0" applyFont="1" applyFill="1" applyBorder="1" applyAlignment="1" applyProtection="1">
      <alignment horizontal="left" vertical="center" indent="1"/>
      <protection hidden="1"/>
    </xf>
    <xf numFmtId="173" fontId="9" fillId="0" borderId="25" xfId="0" applyNumberFormat="1" applyFont="1" applyBorder="1" applyAlignment="1" applyProtection="1">
      <alignment vertical="center"/>
      <protection hidden="1"/>
    </xf>
    <xf numFmtId="0" fontId="9" fillId="0" borderId="25" xfId="0" applyFont="1" applyBorder="1" applyProtection="1">
      <protection hidden="1"/>
    </xf>
    <xf numFmtId="0" fontId="9" fillId="0" borderId="25" xfId="0" applyFont="1" applyBorder="1" applyAlignment="1" applyProtection="1">
      <protection hidden="1"/>
    </xf>
    <xf numFmtId="0" fontId="9" fillId="0" borderId="27" xfId="0" applyFont="1" applyBorder="1" applyAlignment="1" applyProtection="1">
      <protection hidden="1"/>
    </xf>
    <xf numFmtId="173" fontId="9" fillId="0" borderId="9" xfId="0" applyNumberFormat="1" applyFont="1" applyBorder="1" applyAlignment="1" applyProtection="1">
      <protection hidden="1"/>
    </xf>
    <xf numFmtId="173" fontId="9" fillId="0" borderId="25" xfId="0" applyNumberFormat="1" applyFont="1" applyBorder="1" applyAlignment="1" applyProtection="1">
      <protection hidden="1"/>
    </xf>
    <xf numFmtId="173" fontId="9" fillId="0" borderId="27" xfId="0" applyNumberFormat="1" applyFont="1" applyBorder="1" applyAlignment="1" applyProtection="1">
      <alignment vertical="center"/>
      <protection hidden="1"/>
    </xf>
    <xf numFmtId="0" fontId="9" fillId="0" borderId="27" xfId="0" applyFont="1" applyBorder="1" applyProtection="1">
      <protection hidden="1"/>
    </xf>
    <xf numFmtId="0" fontId="9" fillId="0" borderId="1" xfId="9" applyNumberFormat="1" applyFont="1" applyBorder="1" applyAlignment="1" applyProtection="1">
      <alignment horizontal="left" vertical="center" indent="1"/>
      <protection hidden="1"/>
    </xf>
    <xf numFmtId="173" fontId="9" fillId="0" borderId="41" xfId="0" applyNumberFormat="1" applyFont="1" applyBorder="1" applyAlignment="1" applyProtection="1">
      <alignment vertical="center"/>
      <protection hidden="1"/>
    </xf>
    <xf numFmtId="0" fontId="9" fillId="0" borderId="71" xfId="0" applyFont="1" applyFill="1" applyBorder="1" applyAlignment="1" applyProtection="1">
      <alignment horizontal="left" vertical="center" indent="1"/>
      <protection hidden="1"/>
    </xf>
    <xf numFmtId="0" fontId="9" fillId="0" borderId="56" xfId="0" applyFont="1" applyBorder="1" applyAlignment="1" applyProtection="1">
      <alignment horizontal="center" vertical="center"/>
      <protection hidden="1"/>
    </xf>
    <xf numFmtId="0" fontId="9" fillId="0" borderId="50" xfId="0" applyFont="1" applyBorder="1" applyAlignment="1" applyProtection="1">
      <alignment horizontal="center"/>
      <protection hidden="1"/>
    </xf>
    <xf numFmtId="0" fontId="9" fillId="0" borderId="39" xfId="0" applyFont="1" applyBorder="1" applyAlignment="1" applyProtection="1">
      <alignment horizontal="center"/>
      <protection hidden="1"/>
    </xf>
    <xf numFmtId="0" fontId="9" fillId="0" borderId="41" xfId="0" applyFont="1" applyBorder="1" applyProtection="1">
      <protection hidden="1"/>
    </xf>
    <xf numFmtId="0" fontId="9" fillId="0" borderId="39" xfId="0" applyFont="1" applyBorder="1" applyProtection="1">
      <protection hidden="1"/>
    </xf>
    <xf numFmtId="0" fontId="9" fillId="0" borderId="56" xfId="0" applyFont="1" applyBorder="1" applyProtection="1">
      <protection hidden="1"/>
    </xf>
    <xf numFmtId="0" fontId="2" fillId="0" borderId="0" xfId="13" applyProtection="1">
      <protection hidden="1"/>
    </xf>
    <xf numFmtId="0" fontId="9" fillId="0" borderId="0" xfId="13" applyNumberFormat="1" applyFont="1" applyFill="1" applyBorder="1" applyAlignment="1" applyProtection="1">
      <protection hidden="1"/>
    </xf>
    <xf numFmtId="0" fontId="9" fillId="0" borderId="0" xfId="11" applyNumberFormat="1" applyFont="1" applyFill="1" applyBorder="1" applyAlignment="1" applyProtection="1">
      <protection hidden="1"/>
    </xf>
    <xf numFmtId="0" fontId="9" fillId="0" borderId="0" xfId="9" quotePrefix="1" applyNumberFormat="1" applyFont="1" applyFill="1" applyBorder="1" applyAlignment="1" applyProtection="1">
      <protection hidden="1"/>
    </xf>
    <xf numFmtId="175" fontId="9" fillId="0" borderId="101" xfId="10" applyNumberFormat="1" applyFont="1" applyFill="1" applyBorder="1" applyAlignment="1" applyProtection="1">
      <protection hidden="1"/>
    </xf>
    <xf numFmtId="175" fontId="9" fillId="0" borderId="79" xfId="10" applyNumberFormat="1" applyFont="1" applyFill="1" applyBorder="1" applyAlignment="1" applyProtection="1">
      <protection hidden="1"/>
    </xf>
    <xf numFmtId="175" fontId="9" fillId="0" borderId="24" xfId="11" applyNumberFormat="1" applyFont="1" applyBorder="1" applyProtection="1">
      <protection hidden="1"/>
    </xf>
    <xf numFmtId="175" fontId="9" fillId="0" borderId="25" xfId="11" applyNumberFormat="1" applyFont="1" applyBorder="1" applyProtection="1">
      <protection hidden="1"/>
    </xf>
    <xf numFmtId="0" fontId="9" fillId="0" borderId="0" xfId="0" applyFont="1" applyBorder="1" applyAlignment="1" applyProtection="1">
      <protection hidden="1"/>
    </xf>
    <xf numFmtId="0" fontId="9" fillId="0" borderId="0" xfId="10" applyNumberFormat="1" applyFont="1" applyFill="1" applyBorder="1" applyAlignment="1" applyProtection="1">
      <protection hidden="1"/>
    </xf>
    <xf numFmtId="175" fontId="9" fillId="0" borderId="77" xfId="10" applyNumberFormat="1" applyFont="1" applyFill="1" applyBorder="1" applyAlignment="1" applyProtection="1">
      <protection hidden="1"/>
    </xf>
    <xf numFmtId="175" fontId="9" fillId="0" borderId="78" xfId="10" applyNumberFormat="1" applyFont="1" applyFill="1" applyBorder="1" applyAlignment="1" applyProtection="1">
      <protection hidden="1"/>
    </xf>
    <xf numFmtId="0" fontId="9" fillId="0" borderId="0" xfId="9" applyNumberFormat="1" applyFont="1" applyFill="1" applyBorder="1" applyAlignment="1" applyProtection="1">
      <protection hidden="1"/>
    </xf>
    <xf numFmtId="175" fontId="9" fillId="0" borderId="0" xfId="10" applyNumberFormat="1" applyFont="1" applyFill="1" applyBorder="1" applyAlignment="1" applyProtection="1">
      <protection hidden="1"/>
    </xf>
    <xf numFmtId="179" fontId="9" fillId="0" borderId="0" xfId="10" applyNumberFormat="1" applyFont="1" applyFill="1" applyBorder="1" applyAlignment="1" applyProtection="1">
      <protection hidden="1"/>
    </xf>
    <xf numFmtId="175" fontId="9" fillId="0" borderId="17" xfId="10" applyNumberFormat="1" applyFont="1" applyFill="1" applyBorder="1" applyAlignment="1" applyProtection="1">
      <protection hidden="1"/>
    </xf>
    <xf numFmtId="0" fontId="9" fillId="0" borderId="0" xfId="11" applyNumberFormat="1" applyFont="1" applyBorder="1" applyAlignment="1" applyProtection="1">
      <protection hidden="1"/>
    </xf>
    <xf numFmtId="0" fontId="8" fillId="0" borderId="0" xfId="0" applyFont="1" applyProtection="1">
      <protection hidden="1"/>
    </xf>
    <xf numFmtId="0" fontId="9" fillId="0" borderId="18" xfId="0" applyFont="1" applyBorder="1" applyProtection="1">
      <protection hidden="1"/>
    </xf>
    <xf numFmtId="0" fontId="8" fillId="0" borderId="59" xfId="0" applyFont="1" applyBorder="1" applyAlignment="1" applyProtection="1">
      <alignment horizontal="centerContinuous" vertical="center"/>
      <protection hidden="1"/>
    </xf>
    <xf numFmtId="0" fontId="8" fillId="0" borderId="60" xfId="0" applyFont="1" applyBorder="1" applyAlignment="1" applyProtection="1">
      <alignment horizontal="centerContinuous" vertical="center"/>
      <protection hidden="1"/>
    </xf>
    <xf numFmtId="0" fontId="8" fillId="0" borderId="61" xfId="0" applyFont="1" applyBorder="1" applyAlignment="1" applyProtection="1">
      <alignment horizontal="centerContinuous" vertical="center"/>
      <protection hidden="1"/>
    </xf>
    <xf numFmtId="0" fontId="8" fillId="0" borderId="0" xfId="0" applyFont="1" applyBorder="1" applyAlignment="1" applyProtection="1">
      <alignment horizontal="center" vertical="center" wrapText="1"/>
      <protection hidden="1"/>
    </xf>
    <xf numFmtId="0" fontId="9" fillId="0" borderId="11" xfId="0" applyFont="1" applyBorder="1" applyProtection="1">
      <protection hidden="1"/>
    </xf>
    <xf numFmtId="0" fontId="8" fillId="0" borderId="9" xfId="0" applyFont="1" applyFill="1" applyBorder="1" applyAlignment="1" applyProtection="1">
      <alignment horizontal="center" vertical="top" wrapText="1"/>
      <protection hidden="1"/>
    </xf>
    <xf numFmtId="0" fontId="8" fillId="0" borderId="25" xfId="0" applyFont="1" applyFill="1" applyBorder="1" applyAlignment="1" applyProtection="1">
      <alignment horizontal="center" vertical="top" wrapText="1"/>
      <protection hidden="1"/>
    </xf>
    <xf numFmtId="0" fontId="8" fillId="0" borderId="25" xfId="9" applyNumberFormat="1" applyFont="1" applyBorder="1" applyAlignment="1" applyProtection="1">
      <alignment horizontal="center" vertical="top" wrapText="1"/>
      <protection hidden="1"/>
    </xf>
    <xf numFmtId="0" fontId="8" fillId="0" borderId="99" xfId="0" applyFont="1" applyFill="1" applyBorder="1" applyAlignment="1" applyProtection="1">
      <alignment horizontal="center" vertical="top" wrapText="1"/>
      <protection hidden="1"/>
    </xf>
    <xf numFmtId="0" fontId="8" fillId="0" borderId="22" xfId="0" applyFont="1" applyFill="1" applyBorder="1" applyAlignment="1" applyProtection="1">
      <alignment horizontal="center" vertical="top"/>
      <protection hidden="1"/>
    </xf>
    <xf numFmtId="0" fontId="8" fillId="0" borderId="0" xfId="0" applyFont="1" applyBorder="1" applyAlignment="1" applyProtection="1">
      <alignment horizontal="center" vertical="top" wrapText="1"/>
      <protection hidden="1"/>
    </xf>
    <xf numFmtId="0" fontId="8" fillId="0" borderId="11" xfId="0" applyFont="1" applyBorder="1" applyAlignment="1" applyProtection="1">
      <alignment horizontal="left" vertical="center" indent="1"/>
      <protection hidden="1"/>
    </xf>
    <xf numFmtId="0" fontId="8" fillId="0" borderId="52" xfId="0" applyFont="1" applyBorder="1" applyAlignment="1" applyProtection="1">
      <alignment horizontal="center" vertical="center"/>
      <protection hidden="1"/>
    </xf>
    <xf numFmtId="0" fontId="8" fillId="0" borderId="79" xfId="0" applyFont="1" applyBorder="1" applyAlignment="1" applyProtection="1">
      <alignment horizontal="center" vertical="center"/>
      <protection hidden="1"/>
    </xf>
    <xf numFmtId="0" fontId="8" fillId="0" borderId="66"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24" xfId="0" applyFont="1" applyBorder="1" applyProtection="1">
      <protection hidden="1"/>
    </xf>
    <xf numFmtId="0" fontId="9" fillId="0" borderId="78" xfId="0" applyFont="1" applyBorder="1" applyProtection="1">
      <protection hidden="1"/>
    </xf>
    <xf numFmtId="0" fontId="9" fillId="0" borderId="22" xfId="0" applyFont="1" applyBorder="1" applyProtection="1">
      <protection hidden="1"/>
    </xf>
    <xf numFmtId="0" fontId="9" fillId="0" borderId="9" xfId="0" applyFont="1" applyBorder="1" applyAlignment="1" applyProtection="1">
      <protection hidden="1"/>
    </xf>
    <xf numFmtId="0" fontId="8" fillId="0" borderId="11" xfId="0" applyFont="1" applyBorder="1" applyAlignment="1" applyProtection="1">
      <alignment horizontal="left" vertical="top" indent="1"/>
      <protection hidden="1"/>
    </xf>
    <xf numFmtId="0" fontId="8" fillId="0" borderId="4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78"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9" fillId="0" borderId="75" xfId="0" applyFont="1" applyBorder="1" applyAlignment="1" applyProtection="1">
      <protection hidden="1"/>
    </xf>
    <xf numFmtId="0" fontId="9" fillId="0" borderId="13" xfId="0" applyFont="1" applyBorder="1" applyProtection="1">
      <protection hidden="1"/>
    </xf>
    <xf numFmtId="176" fontId="8" fillId="0" borderId="0" xfId="0" quotePrefix="1" applyNumberFormat="1" applyFont="1" applyBorder="1" applyAlignment="1" applyProtection="1">
      <alignment horizontal="center" vertical="center"/>
      <protection hidden="1"/>
    </xf>
    <xf numFmtId="176" fontId="8" fillId="0" borderId="44" xfId="9" quotePrefix="1" applyNumberFormat="1" applyFont="1" applyBorder="1" applyAlignment="1" applyProtection="1">
      <alignment horizontal="center" vertical="center"/>
      <protection hidden="1"/>
    </xf>
    <xf numFmtId="176" fontId="8" fillId="0" borderId="45" xfId="9" quotePrefix="1" applyNumberFormat="1" applyFont="1" applyBorder="1" applyAlignment="1" applyProtection="1">
      <alignment horizontal="center" vertical="center"/>
      <protection hidden="1"/>
    </xf>
    <xf numFmtId="176" fontId="8" fillId="0" borderId="4" xfId="9" quotePrefix="1" applyNumberFormat="1" applyFont="1" applyBorder="1" applyAlignment="1" applyProtection="1">
      <alignment horizontal="center" vertical="center"/>
      <protection hidden="1"/>
    </xf>
    <xf numFmtId="176" fontId="8" fillId="0" borderId="26" xfId="9" quotePrefix="1" applyNumberFormat="1" applyFont="1" applyBorder="1" applyAlignment="1" applyProtection="1">
      <alignment horizontal="center" vertical="center"/>
      <protection hidden="1"/>
    </xf>
    <xf numFmtId="176" fontId="8" fillId="0" borderId="75" xfId="9" quotePrefix="1" applyNumberFormat="1" applyFont="1" applyBorder="1" applyAlignment="1" applyProtection="1">
      <alignment horizontal="center" vertical="center"/>
      <protection hidden="1"/>
    </xf>
    <xf numFmtId="176" fontId="8" fillId="0" borderId="4" xfId="0" quotePrefix="1" applyNumberFormat="1" applyFont="1" applyBorder="1" applyAlignment="1" applyProtection="1">
      <alignment horizontal="center" vertical="center"/>
      <protection hidden="1"/>
    </xf>
    <xf numFmtId="176" fontId="8" fillId="0" borderId="45" xfId="0" quotePrefix="1" applyNumberFormat="1" applyFont="1" applyBorder="1" applyAlignment="1" applyProtection="1">
      <alignment horizontal="center" vertical="center"/>
      <protection hidden="1"/>
    </xf>
    <xf numFmtId="176" fontId="8" fillId="0" borderId="23" xfId="9" quotePrefix="1" applyNumberFormat="1" applyFont="1" applyBorder="1" applyAlignment="1" applyProtection="1">
      <alignment horizontal="center" vertical="center"/>
      <protection hidden="1"/>
    </xf>
    <xf numFmtId="176" fontId="8" fillId="0" borderId="0" xfId="9" quotePrefix="1" applyNumberFormat="1" applyFont="1" applyBorder="1" applyAlignment="1" applyProtection="1">
      <alignment horizontal="center" vertical="center"/>
      <protection hidden="1"/>
    </xf>
    <xf numFmtId="174" fontId="9" fillId="0" borderId="9" xfId="0" applyNumberFormat="1" applyFont="1" applyBorder="1" applyProtection="1">
      <protection hidden="1"/>
    </xf>
    <xf numFmtId="0" fontId="9" fillId="0" borderId="52" xfId="0" applyFont="1" applyBorder="1" applyProtection="1">
      <protection hidden="1"/>
    </xf>
    <xf numFmtId="0" fontId="9" fillId="0" borderId="79" xfId="0" applyFont="1" applyBorder="1" applyProtection="1">
      <protection hidden="1"/>
    </xf>
    <xf numFmtId="0" fontId="9" fillId="0" borderId="82" xfId="0" applyFont="1" applyBorder="1" applyProtection="1">
      <protection hidden="1"/>
    </xf>
    <xf numFmtId="174" fontId="9" fillId="0" borderId="9" xfId="0" applyNumberFormat="1" applyFont="1" applyBorder="1" applyAlignment="1" applyProtection="1">
      <alignment vertical="center"/>
      <protection hidden="1"/>
    </xf>
    <xf numFmtId="175" fontId="8" fillId="0" borderId="22" xfId="0" applyNumberFormat="1" applyFont="1" applyBorder="1" applyAlignment="1" applyProtection="1">
      <alignment vertical="center"/>
      <protection hidden="1"/>
    </xf>
    <xf numFmtId="175" fontId="9" fillId="0" borderId="9" xfId="0" applyNumberFormat="1" applyFont="1" applyBorder="1" applyAlignment="1" applyProtection="1">
      <alignment horizontal="center" vertical="center"/>
      <protection hidden="1"/>
    </xf>
    <xf numFmtId="175" fontId="9" fillId="0" borderId="0" xfId="0" applyNumberFormat="1" applyFont="1" applyBorder="1" applyAlignment="1" applyProtection="1">
      <alignment horizontal="center" vertical="center"/>
      <protection hidden="1"/>
    </xf>
    <xf numFmtId="175" fontId="9" fillId="0" borderId="99" xfId="0" applyNumberFormat="1" applyFont="1" applyBorder="1" applyAlignment="1" applyProtection="1">
      <alignment horizontal="center" vertical="center"/>
      <protection hidden="1"/>
    </xf>
    <xf numFmtId="175" fontId="9" fillId="0" borderId="77" xfId="0" applyNumberFormat="1" applyFont="1" applyBorder="1" applyAlignment="1" applyProtection="1">
      <alignment horizontal="center" vertical="center"/>
      <protection hidden="1"/>
    </xf>
    <xf numFmtId="174" fontId="9" fillId="0" borderId="9" xfId="0" applyNumberFormat="1" applyFont="1" applyBorder="1" applyAlignment="1" applyProtection="1">
      <protection hidden="1"/>
    </xf>
    <xf numFmtId="0" fontId="9" fillId="0" borderId="9"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99" xfId="0" applyFont="1" applyBorder="1" applyAlignment="1" applyProtection="1">
      <alignment horizontal="center" vertical="center"/>
      <protection hidden="1"/>
    </xf>
    <xf numFmtId="0" fontId="9" fillId="0" borderId="77" xfId="0" applyFont="1" applyBorder="1" applyAlignment="1" applyProtection="1">
      <alignment horizontal="center" vertical="center"/>
      <protection hidden="1"/>
    </xf>
    <xf numFmtId="172" fontId="9" fillId="0" borderId="41" xfId="0" applyNumberFormat="1" applyFont="1" applyBorder="1" applyAlignment="1" applyProtection="1">
      <alignment vertical="center"/>
      <protection hidden="1"/>
    </xf>
    <xf numFmtId="0" fontId="8" fillId="0" borderId="42" xfId="0" applyFont="1" applyBorder="1" applyAlignment="1" applyProtection="1">
      <alignment horizontal="left" vertical="center" indent="1"/>
      <protection hidden="1"/>
    </xf>
    <xf numFmtId="0" fontId="9" fillId="0" borderId="0" xfId="0" applyFont="1" applyAlignment="1" applyProtection="1">
      <alignment horizontal="left" indent="1"/>
      <protection hidden="1"/>
    </xf>
    <xf numFmtId="0" fontId="8" fillId="0" borderId="0" xfId="0" applyFont="1" applyBorder="1" applyAlignment="1" applyProtection="1">
      <protection hidden="1"/>
    </xf>
    <xf numFmtId="0" fontId="9" fillId="0" borderId="0" xfId="0" applyNumberFormat="1" applyFont="1" applyBorder="1" applyAlignment="1" applyProtection="1">
      <protection hidden="1"/>
    </xf>
    <xf numFmtId="0" fontId="8" fillId="0" borderId="0" xfId="0" applyFont="1" applyBorder="1" applyAlignment="1" applyProtection="1">
      <alignment horizontal="center"/>
      <protection hidden="1"/>
    </xf>
    <xf numFmtId="0" fontId="8" fillId="0" borderId="52" xfId="0" applyFont="1" applyBorder="1" applyAlignment="1" applyProtection="1">
      <alignment horizontal="center" vertical="top" wrapText="1"/>
      <protection hidden="1"/>
    </xf>
    <xf numFmtId="0" fontId="9" fillId="0" borderId="2" xfId="0" applyFont="1" applyBorder="1" applyProtection="1">
      <protection hidden="1"/>
    </xf>
    <xf numFmtId="176" fontId="8" fillId="0" borderId="4" xfId="0" applyNumberFormat="1" applyFont="1" applyBorder="1" applyAlignment="1" applyProtection="1">
      <alignment horizontal="center" vertical="center"/>
      <protection hidden="1"/>
    </xf>
    <xf numFmtId="176" fontId="8" fillId="0" borderId="26" xfId="0" applyNumberFormat="1" applyFont="1" applyBorder="1" applyAlignment="1" applyProtection="1">
      <alignment horizontal="center" vertical="center"/>
      <protection hidden="1"/>
    </xf>
    <xf numFmtId="171" fontId="9" fillId="0" borderId="73" xfId="0" applyNumberFormat="1" applyFont="1" applyBorder="1" applyAlignment="1" applyProtection="1">
      <protection hidden="1"/>
    </xf>
    <xf numFmtId="0" fontId="27" fillId="0" borderId="0" xfId="14" applyNumberFormat="1" applyFont="1" applyFill="1" applyBorder="1" applyAlignment="1" applyProtection="1">
      <alignment horizontal="left" indent="1"/>
      <protection hidden="1"/>
    </xf>
    <xf numFmtId="179" fontId="9" fillId="0" borderId="99" xfId="0" applyNumberFormat="1" applyFont="1" applyBorder="1" applyProtection="1">
      <protection hidden="1"/>
    </xf>
    <xf numFmtId="0" fontId="9" fillId="0" borderId="10" xfId="0" applyFont="1" applyBorder="1" applyProtection="1">
      <protection hidden="1"/>
    </xf>
    <xf numFmtId="171" fontId="9" fillId="0" borderId="9" xfId="0" applyNumberFormat="1" applyFont="1" applyBorder="1" applyAlignment="1" applyProtection="1">
      <protection hidden="1"/>
    </xf>
    <xf numFmtId="179" fontId="9" fillId="0" borderId="27" xfId="0" applyNumberFormat="1" applyFont="1" applyBorder="1" applyProtection="1">
      <protection hidden="1"/>
    </xf>
    <xf numFmtId="0" fontId="26" fillId="0" borderId="51" xfId="14" applyNumberFormat="1" applyFont="1" applyBorder="1" applyAlignment="1" applyProtection="1">
      <alignment horizontal="left" vertical="center" indent="1"/>
      <protection hidden="1"/>
    </xf>
    <xf numFmtId="179" fontId="8" fillId="0" borderId="50" xfId="0" applyNumberFormat="1" applyFont="1" applyBorder="1" applyAlignment="1" applyProtection="1">
      <alignment vertical="center"/>
      <protection hidden="1"/>
    </xf>
    <xf numFmtId="179" fontId="8" fillId="0" borderId="56" xfId="0" applyNumberFormat="1" applyFont="1" applyBorder="1" applyAlignment="1" applyProtection="1">
      <alignment vertical="center"/>
      <protection hidden="1"/>
    </xf>
    <xf numFmtId="0" fontId="9" fillId="0" borderId="0" xfId="0" applyFont="1" applyAlignment="1" applyProtection="1">
      <alignment horizontal="center" vertical="center"/>
      <protection hidden="1"/>
    </xf>
    <xf numFmtId="0" fontId="9" fillId="0" borderId="19" xfId="0" applyFont="1" applyBorder="1" applyProtection="1">
      <protection hidden="1"/>
    </xf>
    <xf numFmtId="0" fontId="9" fillId="0" borderId="38" xfId="0" applyFont="1" applyBorder="1" applyProtection="1">
      <protection hidden="1"/>
    </xf>
    <xf numFmtId="173" fontId="9" fillId="0" borderId="24" xfId="0" applyNumberFormat="1" applyFont="1" applyBorder="1" applyAlignment="1" applyProtection="1">
      <alignment vertical="center"/>
      <protection hidden="1"/>
    </xf>
    <xf numFmtId="0" fontId="9" fillId="0" borderId="2" xfId="0" applyFont="1" applyFill="1" applyBorder="1" applyAlignment="1" applyProtection="1">
      <alignment horizontal="left" vertical="center" wrapText="1" indent="2"/>
      <protection hidden="1"/>
    </xf>
    <xf numFmtId="183" fontId="9" fillId="0" borderId="26" xfId="0" applyNumberFormat="1" applyFont="1" applyFill="1" applyBorder="1" applyAlignment="1" applyProtection="1">
      <alignment vertical="center"/>
      <protection hidden="1"/>
    </xf>
    <xf numFmtId="0" fontId="9" fillId="0" borderId="5" xfId="0" applyFont="1" applyFill="1" applyBorder="1" applyAlignment="1" applyProtection="1">
      <alignment horizontal="left" vertical="center" wrapText="1" indent="2"/>
      <protection hidden="1"/>
    </xf>
    <xf numFmtId="183" fontId="9" fillId="0" borderId="13" xfId="0" applyNumberFormat="1" applyFont="1" applyFill="1" applyBorder="1" applyAlignment="1" applyProtection="1">
      <alignment vertical="center"/>
      <protection hidden="1"/>
    </xf>
    <xf numFmtId="0" fontId="9" fillId="0" borderId="75" xfId="0" applyFont="1" applyFill="1" applyBorder="1" applyAlignment="1" applyProtection="1">
      <alignment horizontal="left" vertical="center" wrapText="1" indent="2"/>
      <protection hidden="1"/>
    </xf>
    <xf numFmtId="173" fontId="9" fillId="0" borderId="40" xfId="0" applyNumberFormat="1" applyFont="1" applyBorder="1" applyAlignment="1" applyProtection="1">
      <alignment vertical="center"/>
      <protection hidden="1"/>
    </xf>
    <xf numFmtId="0" fontId="9" fillId="0" borderId="48" xfId="0" applyFont="1" applyFill="1" applyBorder="1" applyAlignment="1" applyProtection="1">
      <alignment horizontal="left" vertical="center" wrapText="1" indent="2"/>
      <protection hidden="1"/>
    </xf>
    <xf numFmtId="183" fontId="9" fillId="0" borderId="6" xfId="0" applyNumberFormat="1" applyFont="1" applyFill="1" applyBorder="1" applyAlignment="1" applyProtection="1">
      <alignment vertical="center"/>
      <protection hidden="1"/>
    </xf>
    <xf numFmtId="0" fontId="9" fillId="0" borderId="40" xfId="0" applyFont="1" applyFill="1" applyBorder="1" applyAlignment="1" applyProtection="1">
      <alignment horizontal="left" vertical="center" wrapText="1" indent="2"/>
      <protection hidden="1"/>
    </xf>
    <xf numFmtId="183" fontId="9" fillId="0" borderId="28" xfId="0" applyNumberFormat="1" applyFont="1" applyFill="1" applyBorder="1" applyAlignment="1" applyProtection="1">
      <alignment vertical="center"/>
      <protection hidden="1"/>
    </xf>
    <xf numFmtId="0" fontId="9" fillId="0" borderId="29" xfId="0" applyFont="1" applyFill="1" applyBorder="1" applyAlignment="1" applyProtection="1">
      <alignment horizontal="left" vertical="center" wrapText="1" indent="2"/>
      <protection hidden="1"/>
    </xf>
    <xf numFmtId="173" fontId="9" fillId="0" borderId="35" xfId="0" applyNumberFormat="1" applyFont="1" applyBorder="1" applyAlignment="1" applyProtection="1">
      <alignment vertical="center"/>
      <protection hidden="1"/>
    </xf>
    <xf numFmtId="0" fontId="9" fillId="0" borderId="66" xfId="0" applyFont="1" applyFill="1" applyBorder="1" applyAlignment="1" applyProtection="1">
      <alignment horizontal="left" vertical="center" wrapText="1" indent="2"/>
      <protection hidden="1"/>
    </xf>
    <xf numFmtId="183" fontId="9" fillId="0" borderId="67" xfId="0" applyNumberFormat="1" applyFont="1" applyFill="1" applyBorder="1" applyAlignment="1" applyProtection="1">
      <alignment vertical="center"/>
      <protection hidden="1"/>
    </xf>
    <xf numFmtId="0" fontId="9" fillId="0" borderId="73" xfId="0" applyFont="1" applyFill="1" applyBorder="1" applyAlignment="1" applyProtection="1">
      <alignment horizontal="left" vertical="center" wrapText="1" indent="2"/>
      <protection hidden="1"/>
    </xf>
    <xf numFmtId="183" fontId="9" fillId="0" borderId="10" xfId="0" applyNumberFormat="1" applyFont="1" applyFill="1" applyBorder="1" applyAlignment="1" applyProtection="1">
      <alignment vertical="center"/>
      <protection hidden="1"/>
    </xf>
    <xf numFmtId="0" fontId="9" fillId="0" borderId="17" xfId="0" applyFont="1" applyBorder="1" applyAlignment="1" applyProtection="1">
      <alignment horizontal="left" indent="1"/>
      <protection hidden="1"/>
    </xf>
    <xf numFmtId="179" fontId="9" fillId="0" borderId="17" xfId="0" applyNumberFormat="1" applyFont="1" applyBorder="1" applyAlignment="1" applyProtection="1">
      <protection hidden="1"/>
    </xf>
    <xf numFmtId="179" fontId="9" fillId="0" borderId="17" xfId="0" applyNumberFormat="1" applyFont="1" applyFill="1" applyBorder="1" applyAlignment="1" applyProtection="1">
      <protection hidden="1"/>
    </xf>
    <xf numFmtId="173" fontId="9" fillId="0" borderId="62" xfId="0" applyNumberFormat="1" applyFont="1" applyBorder="1" applyAlignment="1" applyProtection="1">
      <alignment vertical="center"/>
      <protection hidden="1"/>
    </xf>
    <xf numFmtId="0" fontId="9" fillId="0" borderId="80" xfId="0" applyFont="1" applyFill="1" applyBorder="1" applyAlignment="1" applyProtection="1">
      <alignment horizontal="left" vertical="center" wrapText="1" indent="2"/>
      <protection hidden="1"/>
    </xf>
    <xf numFmtId="0" fontId="9" fillId="0" borderId="0" xfId="0" applyFont="1" applyBorder="1" applyAlignment="1" applyProtection="1">
      <alignment horizontal="left" indent="1"/>
      <protection hidden="1"/>
    </xf>
    <xf numFmtId="179" fontId="9" fillId="0" borderId="17" xfId="0" applyNumberFormat="1" applyFont="1" applyBorder="1" applyProtection="1">
      <protection hidden="1"/>
    </xf>
    <xf numFmtId="179" fontId="9" fillId="0" borderId="17" xfId="0" applyNumberFormat="1" applyFont="1" applyFill="1" applyBorder="1" applyAlignment="1" applyProtection="1">
      <alignment vertical="center"/>
      <protection hidden="1"/>
    </xf>
    <xf numFmtId="183" fontId="9" fillId="0" borderId="17" xfId="0" applyNumberFormat="1" applyFont="1" applyFill="1" applyBorder="1" applyAlignment="1" applyProtection="1">
      <alignment vertical="center"/>
      <protection hidden="1"/>
    </xf>
    <xf numFmtId="173" fontId="9" fillId="0" borderId="66" xfId="0" applyNumberFormat="1" applyFont="1" applyBorder="1" applyAlignment="1" applyProtection="1">
      <alignment vertical="center"/>
      <protection hidden="1"/>
    </xf>
    <xf numFmtId="0" fontId="9" fillId="0" borderId="12" xfId="0" applyFont="1" applyBorder="1" applyProtection="1">
      <protection hidden="1"/>
    </xf>
    <xf numFmtId="183" fontId="9" fillId="0" borderId="17" xfId="0" applyNumberFormat="1" applyFont="1" applyFill="1" applyBorder="1" applyAlignment="1" applyProtection="1">
      <protection hidden="1"/>
    </xf>
    <xf numFmtId="0" fontId="9" fillId="0" borderId="8" xfId="0" applyFont="1" applyBorder="1" applyProtection="1">
      <protection hidden="1"/>
    </xf>
    <xf numFmtId="173" fontId="9" fillId="0" borderId="112" xfId="0" applyNumberFormat="1" applyFont="1" applyBorder="1" applyAlignment="1" applyProtection="1">
      <alignment vertical="center"/>
      <protection hidden="1"/>
    </xf>
    <xf numFmtId="0" fontId="9" fillId="0" borderId="29" xfId="0" applyFont="1" applyFill="1" applyBorder="1" applyAlignment="1" applyProtection="1">
      <alignment horizontal="left" vertical="center" indent="2"/>
      <protection hidden="1"/>
    </xf>
    <xf numFmtId="184" fontId="9" fillId="0" borderId="47" xfId="0" applyNumberFormat="1" applyFont="1" applyFill="1" applyBorder="1" applyAlignment="1" applyProtection="1">
      <alignment vertical="center"/>
      <protection hidden="1"/>
    </xf>
    <xf numFmtId="184" fontId="9" fillId="0" borderId="6" xfId="0" applyNumberFormat="1" applyFont="1" applyFill="1" applyBorder="1" applyAlignment="1" applyProtection="1">
      <alignment vertical="center"/>
      <protection hidden="1"/>
    </xf>
    <xf numFmtId="183" fontId="9" fillId="0" borderId="30" xfId="0" applyNumberFormat="1" applyFont="1" applyFill="1" applyBorder="1" applyAlignment="1" applyProtection="1">
      <alignment vertical="center"/>
      <protection hidden="1"/>
    </xf>
    <xf numFmtId="183" fontId="9" fillId="0" borderId="46" xfId="0" applyNumberFormat="1" applyFont="1" applyFill="1" applyBorder="1" applyAlignment="1" applyProtection="1">
      <alignment vertical="center"/>
      <protection hidden="1"/>
    </xf>
    <xf numFmtId="173" fontId="9" fillId="0" borderId="49" xfId="0" applyNumberFormat="1" applyFont="1" applyBorder="1" applyAlignment="1" applyProtection="1">
      <alignment vertical="center"/>
      <protection hidden="1"/>
    </xf>
    <xf numFmtId="173" fontId="9" fillId="0" borderId="82" xfId="0" applyNumberFormat="1" applyFont="1" applyBorder="1" applyAlignment="1" applyProtection="1">
      <alignment vertical="center"/>
      <protection hidden="1"/>
    </xf>
    <xf numFmtId="184" fontId="9" fillId="0" borderId="17" xfId="0" applyNumberFormat="1" applyFont="1" applyFill="1" applyBorder="1" applyAlignment="1" applyProtection="1">
      <protection hidden="1"/>
    </xf>
    <xf numFmtId="168" fontId="8" fillId="3" borderId="27" xfId="0" applyNumberFormat="1" applyFont="1" applyFill="1" applyBorder="1" applyAlignment="1" applyProtection="1">
      <alignment vertical="center"/>
      <protection hidden="1"/>
    </xf>
    <xf numFmtId="168" fontId="8" fillId="3" borderId="56" xfId="0" applyNumberFormat="1" applyFont="1" applyFill="1" applyBorder="1" applyAlignment="1" applyProtection="1">
      <alignment vertical="center"/>
      <protection hidden="1"/>
    </xf>
    <xf numFmtId="168" fontId="8" fillId="3" borderId="111" xfId="0" applyNumberFormat="1" applyFont="1" applyFill="1" applyBorder="1" applyAlignment="1" applyProtection="1">
      <alignment vertical="center"/>
      <protection hidden="1"/>
    </xf>
    <xf numFmtId="0" fontId="12" fillId="20" borderId="0" xfId="7" applyNumberFormat="1" applyFont="1" applyFill="1" applyBorder="1" applyAlignment="1" applyProtection="1">
      <alignment horizontal="center" vertical="center"/>
      <protection hidden="1"/>
    </xf>
    <xf numFmtId="0" fontId="20" fillId="20" borderId="0" xfId="0" applyFont="1" applyFill="1" applyAlignment="1" applyProtection="1">
      <alignment vertical="center"/>
      <protection hidden="1"/>
    </xf>
    <xf numFmtId="0" fontId="9" fillId="3" borderId="17" xfId="4" applyFont="1" applyFill="1" applyBorder="1" applyAlignment="1" applyProtection="1">
      <protection hidden="1"/>
    </xf>
    <xf numFmtId="0" fontId="8" fillId="22" borderId="17" xfId="4" applyFont="1" applyFill="1" applyBorder="1" applyAlignment="1" applyProtection="1">
      <alignment horizontal="right" vertical="center"/>
      <protection hidden="1"/>
    </xf>
    <xf numFmtId="0" fontId="36" fillId="11" borderId="77" xfId="0" applyFont="1" applyFill="1" applyBorder="1" applyAlignment="1" applyProtection="1">
      <protection hidden="1"/>
    </xf>
    <xf numFmtId="0" fontId="8" fillId="0" borderId="59" xfId="0" applyFont="1" applyBorder="1" applyAlignment="1" applyProtection="1">
      <alignment horizontal="center" vertical="center"/>
      <protection hidden="1"/>
    </xf>
    <xf numFmtId="0" fontId="8" fillId="0" borderId="60" xfId="0" applyFont="1" applyBorder="1" applyAlignment="1" applyProtection="1">
      <alignment horizontal="center" vertical="center"/>
      <protection hidden="1"/>
    </xf>
    <xf numFmtId="0" fontId="8" fillId="0" borderId="61" xfId="0" applyFont="1" applyBorder="1" applyAlignment="1" applyProtection="1">
      <alignment horizontal="center" vertical="center"/>
      <protection hidden="1"/>
    </xf>
    <xf numFmtId="0" fontId="8" fillId="0" borderId="79" xfId="0" applyNumberFormat="1" applyFont="1" applyFill="1" applyBorder="1" applyAlignment="1" applyProtection="1">
      <alignment horizontal="center" vertical="top" wrapText="1"/>
      <protection hidden="1"/>
    </xf>
    <xf numFmtId="0" fontId="9" fillId="11" borderId="99" xfId="0" applyNumberFormat="1" applyFont="1" applyFill="1" applyBorder="1" applyProtection="1">
      <protection hidden="1"/>
    </xf>
    <xf numFmtId="0" fontId="8" fillId="11" borderId="102" xfId="0" applyFont="1" applyFill="1" applyBorder="1" applyProtection="1">
      <protection hidden="1"/>
    </xf>
    <xf numFmtId="0" fontId="9" fillId="11" borderId="102" xfId="0" applyFont="1" applyFill="1" applyBorder="1" applyProtection="1">
      <protection hidden="1"/>
    </xf>
    <xf numFmtId="0" fontId="9" fillId="11" borderId="101" xfId="0" applyFont="1" applyFill="1" applyBorder="1" applyProtection="1">
      <protection hidden="1"/>
    </xf>
    <xf numFmtId="0" fontId="33" fillId="0" borderId="101" xfId="0" applyFont="1" applyFill="1" applyBorder="1" applyAlignment="1" applyProtection="1">
      <alignment horizontal="left" vertical="center" indent="1"/>
      <protection hidden="1"/>
    </xf>
    <xf numFmtId="0" fontId="35" fillId="11" borderId="101" xfId="0" applyFont="1" applyFill="1" applyBorder="1" applyAlignment="1" applyProtection="1">
      <alignment horizontal="left" vertical="center" indent="1"/>
      <protection hidden="1"/>
    </xf>
    <xf numFmtId="0" fontId="9" fillId="11" borderId="99" xfId="0" applyFont="1" applyFill="1" applyBorder="1" applyAlignment="1" applyProtection="1">
      <alignment horizontal="left" indent="1"/>
      <protection hidden="1"/>
    </xf>
    <xf numFmtId="0" fontId="9" fillId="11" borderId="99" xfId="0" applyFont="1" applyFill="1" applyBorder="1" applyAlignment="1" applyProtection="1">
      <protection hidden="1"/>
    </xf>
    <xf numFmtId="0" fontId="40" fillId="19" borderId="0" xfId="15" applyFill="1" applyBorder="1" applyAlignment="1" applyProtection="1">
      <protection hidden="1"/>
    </xf>
    <xf numFmtId="0" fontId="9" fillId="11" borderId="99" xfId="0" applyFont="1" applyFill="1" applyBorder="1" applyAlignment="1" applyProtection="1">
      <alignment vertical="center"/>
      <protection hidden="1"/>
    </xf>
    <xf numFmtId="0" fontId="9" fillId="11" borderId="99" xfId="0" applyFont="1" applyFill="1" applyBorder="1" applyProtection="1">
      <protection hidden="1"/>
    </xf>
    <xf numFmtId="0" fontId="9" fillId="11" borderId="99" xfId="0" applyNumberFormat="1" applyFont="1" applyFill="1" applyBorder="1" applyAlignment="1" applyProtection="1">
      <alignment vertical="center"/>
      <protection hidden="1"/>
    </xf>
    <xf numFmtId="0" fontId="25" fillId="11" borderId="6" xfId="0" applyFont="1" applyFill="1" applyBorder="1" applyProtection="1">
      <protection locked="0"/>
    </xf>
    <xf numFmtId="0" fontId="25" fillId="11" borderId="37" xfId="0" applyFont="1" applyFill="1" applyBorder="1" applyProtection="1">
      <protection locked="0"/>
    </xf>
    <xf numFmtId="183" fontId="8" fillId="3" borderId="113" xfId="0" applyNumberFormat="1" applyFont="1" applyFill="1" applyBorder="1" applyAlignment="1" applyProtection="1">
      <alignment vertical="center"/>
      <protection hidden="1"/>
    </xf>
    <xf numFmtId="168" fontId="29" fillId="3" borderId="43" xfId="0" applyNumberFormat="1" applyFont="1" applyFill="1" applyBorder="1" applyAlignment="1" applyProtection="1">
      <alignment vertical="center"/>
      <protection locked="0"/>
    </xf>
    <xf numFmtId="0" fontId="8" fillId="0" borderId="12" xfId="0" applyFont="1" applyBorder="1" applyAlignment="1" applyProtection="1">
      <alignment horizontal="center" vertical="center"/>
      <protection hidden="1"/>
    </xf>
    <xf numFmtId="0" fontId="33" fillId="0" borderId="35" xfId="0" applyFont="1" applyFill="1" applyBorder="1" applyAlignment="1" applyProtection="1">
      <alignment horizontal="left" vertical="center" indent="1"/>
      <protection hidden="1"/>
    </xf>
    <xf numFmtId="0" fontId="33" fillId="0" borderId="36" xfId="0" applyFont="1" applyFill="1" applyBorder="1" applyAlignment="1" applyProtection="1">
      <alignment horizontal="left" vertical="center" indent="1"/>
      <protection hidden="1"/>
    </xf>
    <xf numFmtId="185" fontId="9" fillId="11" borderId="49" xfId="0"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64" fontId="9" fillId="20" borderId="0" xfId="0" applyNumberFormat="1" applyFont="1" applyFill="1" applyProtection="1">
      <protection locked="0" hidden="1"/>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49" xfId="5" applyNumberFormat="1" applyFont="1" applyFill="1" applyBorder="1" applyAlignment="1" applyProtection="1">
      <alignment horizontal="left" vertical="center" wrapText="1" indent="1"/>
      <protection locked="0"/>
    </xf>
    <xf numFmtId="185" fontId="9" fillId="11" borderId="82" xfId="5" applyNumberFormat="1" applyFont="1" applyFill="1" applyBorder="1" applyAlignment="1" applyProtection="1">
      <alignment horizontal="left" vertical="center" wrapText="1" indent="1"/>
      <protection locked="0"/>
    </xf>
    <xf numFmtId="164" fontId="8" fillId="0" borderId="47" xfId="4" applyNumberFormat="1" applyFont="1" applyFill="1" applyBorder="1" applyAlignment="1" applyProtection="1">
      <alignment horizontal="left" vertical="center" indent="1"/>
      <protection hidden="1"/>
    </xf>
    <xf numFmtId="164" fontId="8" fillId="0" borderId="46" xfId="4" applyNumberFormat="1" applyFont="1" applyFill="1" applyBorder="1" applyAlignment="1" applyProtection="1">
      <alignment horizontal="left" vertical="center" indent="1"/>
      <protection hidden="1"/>
    </xf>
    <xf numFmtId="0" fontId="8" fillId="11" borderId="70" xfId="0" applyFont="1" applyFill="1" applyBorder="1" applyAlignment="1" applyProtection="1">
      <alignment horizontal="center" vertical="center"/>
      <protection hidden="1"/>
    </xf>
    <xf numFmtId="0" fontId="8" fillId="11" borderId="17" xfId="0" applyFont="1" applyFill="1" applyBorder="1" applyAlignment="1" applyProtection="1">
      <alignment horizontal="center" vertical="center"/>
      <protection hidden="1"/>
    </xf>
    <xf numFmtId="0" fontId="8" fillId="11" borderId="21" xfId="0" applyFont="1" applyFill="1" applyBorder="1" applyAlignment="1" applyProtection="1">
      <alignment horizontal="center" vertical="center" wrapText="1"/>
      <protection hidden="1"/>
    </xf>
    <xf numFmtId="0" fontId="8" fillId="11" borderId="26" xfId="0" applyFont="1" applyFill="1" applyBorder="1" applyAlignment="1" applyProtection="1">
      <alignment horizontal="center" vertical="center" wrapText="1"/>
      <protection hidden="1"/>
    </xf>
    <xf numFmtId="0" fontId="8" fillId="20" borderId="52" xfId="0" applyFont="1" applyFill="1" applyBorder="1" applyAlignment="1" applyProtection="1">
      <alignment horizontal="center" vertical="top" wrapText="1"/>
      <protection hidden="1"/>
    </xf>
    <xf numFmtId="0" fontId="8" fillId="20" borderId="25" xfId="0" applyFont="1" applyFill="1" applyBorder="1" applyAlignment="1" applyProtection="1">
      <alignment horizontal="center" vertical="top" wrapText="1"/>
      <protection hidden="1"/>
    </xf>
    <xf numFmtId="0" fontId="8" fillId="20" borderId="0" xfId="4" applyFont="1" applyFill="1" applyAlignment="1" applyProtection="1">
      <alignment horizontal="center" wrapText="1"/>
      <protection hidden="1"/>
    </xf>
    <xf numFmtId="0" fontId="8" fillId="20" borderId="66" xfId="0" applyFont="1" applyFill="1" applyBorder="1" applyAlignment="1" applyProtection="1">
      <alignment horizontal="center" vertical="top" wrapText="1"/>
      <protection hidden="1"/>
    </xf>
    <xf numFmtId="0" fontId="8" fillId="20" borderId="24" xfId="0" applyFont="1" applyFill="1" applyBorder="1" applyAlignment="1" applyProtection="1">
      <alignment horizontal="center" vertical="top" wrapText="1"/>
      <protection hidden="1"/>
    </xf>
    <xf numFmtId="0" fontId="8" fillId="20" borderId="59" xfId="0" applyFont="1" applyFill="1" applyBorder="1" applyAlignment="1" applyProtection="1">
      <alignment horizontal="center" vertical="center" wrapText="1"/>
      <protection hidden="1"/>
    </xf>
    <xf numFmtId="0" fontId="8" fillId="20" borderId="60" xfId="0" applyFont="1" applyFill="1" applyBorder="1" applyAlignment="1" applyProtection="1">
      <alignment horizontal="center" vertical="center" wrapText="1"/>
      <protection hidden="1"/>
    </xf>
    <xf numFmtId="0" fontId="8" fillId="20" borderId="61" xfId="0" applyFont="1" applyFill="1" applyBorder="1" applyAlignment="1" applyProtection="1">
      <alignment horizontal="center" vertical="center" wrapText="1"/>
      <protection hidden="1"/>
    </xf>
    <xf numFmtId="0" fontId="8" fillId="20" borderId="10" xfId="0" applyFont="1" applyFill="1" applyBorder="1" applyAlignment="1" applyProtection="1">
      <alignment horizontal="center" vertical="top" wrapText="1"/>
      <protection hidden="1"/>
    </xf>
    <xf numFmtId="0" fontId="8" fillId="20" borderId="27" xfId="0" applyFont="1" applyFill="1" applyBorder="1" applyAlignment="1" applyProtection="1">
      <alignment horizontal="center" vertical="top" wrapText="1"/>
      <protection hidden="1"/>
    </xf>
    <xf numFmtId="164" fontId="8" fillId="0" borderId="48" xfId="4" applyNumberFormat="1" applyFont="1" applyFill="1" applyBorder="1" applyAlignment="1" applyProtection="1">
      <alignment horizontal="left" vertical="center" indent="1"/>
      <protection hidden="1"/>
    </xf>
    <xf numFmtId="0" fontId="8" fillId="2" borderId="7"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3" borderId="73" xfId="4" applyFont="1" applyFill="1" applyBorder="1" applyAlignment="1" applyProtection="1">
      <alignment horizontal="center" vertical="center" wrapText="1"/>
      <protection hidden="1"/>
    </xf>
    <xf numFmtId="0" fontId="8" fillId="3" borderId="7" xfId="4" applyFont="1" applyFill="1" applyBorder="1" applyAlignment="1" applyProtection="1">
      <alignment horizontal="center" vertical="center" wrapText="1"/>
      <protection hidden="1"/>
    </xf>
    <xf numFmtId="0" fontId="11" fillId="3" borderId="59" xfId="4" applyFont="1" applyFill="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9" fillId="0" borderId="61" xfId="0" applyFont="1" applyBorder="1" applyAlignment="1" applyProtection="1">
      <alignment horizontal="center" vertical="center"/>
      <protection hidden="1"/>
    </xf>
    <xf numFmtId="164" fontId="17" fillId="4" borderId="29" xfId="0" applyNumberFormat="1" applyFont="1" applyFill="1" applyBorder="1" applyAlignment="1" applyProtection="1">
      <alignment horizontal="center" vertical="center"/>
      <protection hidden="1"/>
    </xf>
    <xf numFmtId="0" fontId="9" fillId="0" borderId="48" xfId="0" applyFont="1" applyBorder="1" applyAlignment="1" applyProtection="1">
      <alignment horizontal="center" vertical="center"/>
      <protection hidden="1"/>
    </xf>
    <xf numFmtId="0" fontId="9" fillId="0" borderId="28" xfId="0" applyFont="1" applyBorder="1" applyAlignment="1" applyProtection="1">
      <alignment horizontal="center" vertical="center"/>
      <protection hidden="1"/>
    </xf>
    <xf numFmtId="0" fontId="23" fillId="3" borderId="8" xfId="0" applyNumberFormat="1" applyFont="1" applyFill="1" applyBorder="1" applyAlignment="1" applyProtection="1">
      <alignment horizontal="center" vertical="center" wrapText="1"/>
      <protection hidden="1"/>
    </xf>
    <xf numFmtId="0" fontId="23" fillId="3" borderId="22" xfId="0" applyNumberFormat="1" applyFont="1" applyFill="1" applyBorder="1" applyAlignment="1" applyProtection="1">
      <alignment horizontal="center" vertical="center" wrapText="1"/>
      <protection hidden="1"/>
    </xf>
    <xf numFmtId="0" fontId="8" fillId="3" borderId="59" xfId="0" applyFont="1" applyFill="1" applyBorder="1" applyAlignment="1" applyProtection="1">
      <alignment horizontal="center" vertical="center"/>
      <protection hidden="1"/>
    </xf>
    <xf numFmtId="0" fontId="8" fillId="3" borderId="60" xfId="0" applyFont="1" applyFill="1" applyBorder="1" applyAlignment="1" applyProtection="1">
      <alignment horizontal="center" vertical="center"/>
      <protection hidden="1"/>
    </xf>
    <xf numFmtId="0" fontId="8" fillId="3" borderId="61" xfId="0" applyFont="1" applyFill="1" applyBorder="1" applyAlignment="1" applyProtection="1">
      <alignment horizontal="center" vertical="center"/>
      <protection hidden="1"/>
    </xf>
    <xf numFmtId="0" fontId="8" fillId="2" borderId="29" xfId="0" applyFont="1" applyFill="1" applyBorder="1" applyAlignment="1" applyProtection="1">
      <alignment horizontal="center" vertical="center" wrapText="1"/>
      <protection hidden="1"/>
    </xf>
    <xf numFmtId="0" fontId="8" fillId="2" borderId="28" xfId="0" applyFont="1" applyFill="1" applyBorder="1" applyAlignment="1" applyProtection="1">
      <alignment horizontal="center" vertical="center" wrapText="1"/>
      <protection hidden="1"/>
    </xf>
    <xf numFmtId="0" fontId="8" fillId="2" borderId="82" xfId="0" applyFont="1" applyFill="1" applyBorder="1" applyAlignment="1" applyProtection="1">
      <alignment horizontal="center" vertical="top" wrapText="1"/>
      <protection hidden="1"/>
    </xf>
    <xf numFmtId="0" fontId="8" fillId="2" borderId="22" xfId="0" applyFont="1" applyFill="1" applyBorder="1" applyAlignment="1" applyProtection="1">
      <alignment horizontal="center" vertical="top" wrapText="1"/>
      <protection hidden="1"/>
    </xf>
    <xf numFmtId="164" fontId="17" fillId="4" borderId="82" xfId="0" applyNumberFormat="1" applyFont="1" applyFill="1" applyBorder="1" applyAlignment="1" applyProtection="1">
      <alignment horizontal="center" vertical="top" wrapText="1"/>
      <protection hidden="1"/>
    </xf>
    <xf numFmtId="164" fontId="17" fillId="4" borderId="22" xfId="0" applyNumberFormat="1" applyFont="1" applyFill="1" applyBorder="1" applyAlignment="1" applyProtection="1">
      <alignment horizontal="center" vertical="top" wrapText="1"/>
      <protection hidden="1"/>
    </xf>
    <xf numFmtId="0" fontId="8" fillId="6" borderId="75" xfId="4" applyNumberFormat="1" applyFont="1" applyFill="1" applyBorder="1" applyAlignment="1" applyProtection="1">
      <alignment horizontal="center" vertical="center" wrapText="1"/>
      <protection hidden="1"/>
    </xf>
    <xf numFmtId="0" fontId="8" fillId="6" borderId="13" xfId="4" applyNumberFormat="1" applyFont="1" applyFill="1" applyBorder="1" applyAlignment="1" applyProtection="1">
      <alignment horizontal="center" vertical="center" wrapText="1"/>
      <protection hidden="1"/>
    </xf>
    <xf numFmtId="0" fontId="8" fillId="6" borderId="59" xfId="4" applyNumberFormat="1" applyFont="1" applyFill="1" applyBorder="1" applyAlignment="1" applyProtection="1">
      <alignment horizontal="center" vertical="center" wrapText="1"/>
      <protection hidden="1"/>
    </xf>
    <xf numFmtId="0" fontId="8" fillId="6" borderId="60" xfId="4" applyNumberFormat="1" applyFont="1" applyFill="1" applyBorder="1" applyAlignment="1" applyProtection="1">
      <alignment horizontal="center" vertical="center" wrapText="1"/>
      <protection hidden="1"/>
    </xf>
    <xf numFmtId="0" fontId="8" fillId="6" borderId="61" xfId="4" applyNumberFormat="1" applyFont="1" applyFill="1" applyBorder="1" applyAlignment="1" applyProtection="1">
      <alignment horizontal="center" vertical="center" wrapText="1"/>
      <protection hidden="1"/>
    </xf>
    <xf numFmtId="0" fontId="8" fillId="6" borderId="22" xfId="4" applyNumberFormat="1" applyFont="1" applyFill="1" applyBorder="1" applyAlignment="1" applyProtection="1">
      <alignment horizontal="center" vertical="center" wrapText="1"/>
      <protection hidden="1"/>
    </xf>
    <xf numFmtId="0" fontId="10" fillId="21" borderId="70" xfId="0" applyNumberFormat="1" applyFont="1" applyFill="1" applyBorder="1" applyAlignment="1" applyProtection="1">
      <alignment horizontal="center" vertical="center" wrapText="1"/>
      <protection hidden="1"/>
    </xf>
    <xf numFmtId="0" fontId="10" fillId="21" borderId="17" xfId="0" applyNumberFormat="1" applyFont="1" applyFill="1" applyBorder="1" applyAlignment="1" applyProtection="1">
      <alignment horizontal="center" vertical="center" wrapText="1"/>
      <protection hidden="1"/>
    </xf>
    <xf numFmtId="0" fontId="10" fillId="21" borderId="18" xfId="0" applyNumberFormat="1" applyFont="1" applyFill="1" applyBorder="1" applyAlignment="1" applyProtection="1">
      <alignment horizontal="center" vertical="center" wrapText="1"/>
      <protection hidden="1"/>
    </xf>
    <xf numFmtId="0" fontId="10" fillId="21" borderId="9" xfId="0" applyNumberFormat="1" applyFont="1" applyFill="1" applyBorder="1" applyAlignment="1" applyProtection="1">
      <alignment horizontal="center" vertical="center" wrapText="1"/>
      <protection hidden="1"/>
    </xf>
    <xf numFmtId="0" fontId="10" fillId="21" borderId="0" xfId="0" applyNumberFormat="1" applyFont="1" applyFill="1" applyBorder="1" applyAlignment="1" applyProtection="1">
      <alignment horizontal="center" vertical="center" wrapText="1"/>
      <protection hidden="1"/>
    </xf>
    <xf numFmtId="0" fontId="10" fillId="21" borderId="11" xfId="0" applyNumberFormat="1" applyFont="1" applyFill="1" applyBorder="1" applyAlignment="1" applyProtection="1">
      <alignment horizontal="center" vertical="center" wrapText="1"/>
      <protection hidden="1"/>
    </xf>
    <xf numFmtId="0" fontId="20" fillId="20" borderId="27" xfId="0" applyFont="1" applyFill="1" applyBorder="1" applyAlignment="1" applyProtection="1">
      <alignment horizontal="center" vertical="center"/>
      <protection hidden="1"/>
    </xf>
    <xf numFmtId="0" fontId="20" fillId="20" borderId="26" xfId="0" applyFont="1" applyFill="1" applyBorder="1" applyAlignment="1" applyProtection="1">
      <alignment horizontal="center" vertical="center"/>
      <protection hidden="1"/>
    </xf>
    <xf numFmtId="167" fontId="11" fillId="2" borderId="70" xfId="0" applyNumberFormat="1" applyFont="1" applyFill="1" applyBorder="1" applyAlignment="1" applyProtection="1">
      <alignment horizontal="left" vertical="center" wrapText="1" indent="1"/>
      <protection hidden="1"/>
    </xf>
    <xf numFmtId="167" fontId="11" fillId="2" borderId="75" xfId="0" applyNumberFormat="1" applyFont="1" applyFill="1" applyBorder="1" applyAlignment="1" applyProtection="1">
      <alignment horizontal="left" vertical="center" wrapText="1" indent="1"/>
      <protection hidden="1"/>
    </xf>
    <xf numFmtId="164" fontId="8" fillId="2" borderId="63" xfId="0" applyNumberFormat="1" applyFont="1" applyFill="1" applyBorder="1" applyAlignment="1" applyProtection="1">
      <alignment horizontal="center" vertical="center" wrapText="1"/>
      <protection hidden="1"/>
    </xf>
    <xf numFmtId="0" fontId="9" fillId="0" borderId="60" xfId="0" applyFont="1" applyBorder="1" applyAlignment="1"/>
    <xf numFmtId="164" fontId="8" fillId="2" borderId="59" xfId="0" applyNumberFormat="1" applyFont="1" applyFill="1" applyBorder="1" applyAlignment="1" applyProtection="1">
      <alignment horizontal="center" vertical="center" wrapText="1"/>
      <protection hidden="1"/>
    </xf>
    <xf numFmtId="0" fontId="9" fillId="0" borderId="61" xfId="0" applyFont="1" applyBorder="1" applyAlignment="1"/>
    <xf numFmtId="0" fontId="10" fillId="21" borderId="116" xfId="0" applyNumberFormat="1" applyFont="1" applyFill="1" applyBorder="1" applyAlignment="1" applyProtection="1">
      <alignment horizontal="center" vertical="center" wrapText="1"/>
      <protection hidden="1"/>
    </xf>
    <xf numFmtId="0" fontId="9" fillId="20" borderId="5" xfId="0" applyFont="1" applyFill="1" applyBorder="1" applyAlignment="1" applyProtection="1">
      <alignment horizontal="center" wrapText="1"/>
      <protection hidden="1"/>
    </xf>
    <xf numFmtId="0" fontId="10" fillId="21" borderId="25" xfId="0" applyNumberFormat="1" applyFont="1" applyFill="1" applyBorder="1" applyAlignment="1" applyProtection="1">
      <alignment horizontal="center" vertical="center" wrapText="1"/>
      <protection hidden="1"/>
    </xf>
    <xf numFmtId="0" fontId="9" fillId="20" borderId="4" xfId="0" applyFont="1" applyFill="1" applyBorder="1" applyAlignment="1" applyProtection="1">
      <alignment horizontal="center" wrapText="1"/>
      <protection hidden="1"/>
    </xf>
    <xf numFmtId="0" fontId="8" fillId="11" borderId="14" xfId="0" applyFont="1" applyFill="1" applyBorder="1" applyAlignment="1" applyProtection="1">
      <alignment horizontal="center" vertical="center"/>
      <protection hidden="1"/>
    </xf>
    <xf numFmtId="0" fontId="8" fillId="11" borderId="72" xfId="0" applyFont="1" applyFill="1" applyBorder="1" applyAlignment="1" applyProtection="1">
      <alignment horizontal="center" vertical="center"/>
      <protection hidden="1"/>
    </xf>
    <xf numFmtId="185" fontId="8" fillId="11" borderId="29" xfId="5" applyNumberFormat="1" applyFont="1" applyFill="1" applyBorder="1" applyAlignment="1" applyProtection="1">
      <alignment horizontal="left" vertical="center" wrapText="1" indent="1"/>
      <protection hidden="1"/>
    </xf>
    <xf numFmtId="185" fontId="8" fillId="11" borderId="48" xfId="5" applyNumberFormat="1" applyFont="1" applyFill="1" applyBorder="1" applyAlignment="1" applyProtection="1">
      <alignment horizontal="left" vertical="center" wrapText="1" indent="1"/>
      <protection hidden="1"/>
    </xf>
    <xf numFmtId="185" fontId="8" fillId="11" borderId="28" xfId="5" applyNumberFormat="1" applyFont="1" applyFill="1" applyBorder="1" applyAlignment="1" applyProtection="1">
      <alignment horizontal="left" vertical="center" wrapText="1" indent="1"/>
      <protection hidden="1"/>
    </xf>
    <xf numFmtId="185" fontId="8" fillId="11" borderId="84" xfId="5" applyNumberFormat="1" applyFont="1" applyFill="1" applyBorder="1" applyAlignment="1" applyProtection="1">
      <alignment horizontal="left" vertical="center" wrapText="1" indent="1"/>
      <protection hidden="1"/>
    </xf>
    <xf numFmtId="185" fontId="8" fillId="11" borderId="32" xfId="5" applyNumberFormat="1" applyFont="1" applyFill="1" applyBorder="1" applyAlignment="1" applyProtection="1">
      <alignment horizontal="left" vertical="center" wrapText="1" indent="1"/>
      <protection hidden="1"/>
    </xf>
    <xf numFmtId="185" fontId="8" fillId="11" borderId="34" xfId="5" applyNumberFormat="1" applyFont="1" applyFill="1" applyBorder="1" applyAlignment="1" applyProtection="1">
      <alignment horizontal="left" vertical="center" wrapText="1" indent="1"/>
      <protection hidden="1"/>
    </xf>
    <xf numFmtId="0" fontId="8" fillId="0" borderId="47" xfId="0" applyNumberFormat="1" applyFont="1" applyFill="1" applyBorder="1" applyAlignment="1" applyProtection="1">
      <alignment horizontal="left" vertical="center" indent="1"/>
      <protection hidden="1"/>
    </xf>
    <xf numFmtId="0" fontId="8" fillId="0" borderId="46" xfId="0" applyNumberFormat="1" applyFont="1" applyFill="1" applyBorder="1" applyAlignment="1" applyProtection="1">
      <alignment horizontal="left" vertical="center" indent="1"/>
      <protection hidden="1"/>
    </xf>
    <xf numFmtId="164" fontId="8" fillId="3" borderId="60" xfId="0" applyNumberFormat="1" applyFont="1" applyFill="1" applyBorder="1" applyAlignment="1" applyProtection="1">
      <alignment horizontal="center" vertical="center"/>
      <protection hidden="1"/>
    </xf>
    <xf numFmtId="164" fontId="8" fillId="3" borderId="61" xfId="0" applyNumberFormat="1" applyFont="1" applyFill="1" applyBorder="1" applyAlignment="1" applyProtection="1">
      <alignment horizontal="center" vertical="center"/>
      <protection hidden="1"/>
    </xf>
    <xf numFmtId="185" fontId="8" fillId="11" borderId="59" xfId="5" applyNumberFormat="1" applyFont="1" applyFill="1" applyBorder="1" applyAlignment="1" applyProtection="1">
      <alignment horizontal="left" vertical="center" wrapText="1" indent="1"/>
      <protection hidden="1"/>
    </xf>
    <xf numFmtId="185" fontId="8" fillId="11" borderId="60" xfId="5" applyNumberFormat="1" applyFont="1" applyFill="1" applyBorder="1" applyAlignment="1" applyProtection="1">
      <alignment horizontal="left" vertical="center" wrapText="1" indent="1"/>
      <protection hidden="1"/>
    </xf>
    <xf numFmtId="185" fontId="8" fillId="11" borderId="61" xfId="5" applyNumberFormat="1" applyFont="1" applyFill="1" applyBorder="1" applyAlignment="1" applyProtection="1">
      <alignment horizontal="left" vertical="center" wrapText="1" indent="1"/>
      <protection hidden="1"/>
    </xf>
    <xf numFmtId="0" fontId="8" fillId="3" borderId="73" xfId="0" applyFont="1" applyFill="1" applyBorder="1" applyAlignment="1" applyProtection="1">
      <alignment horizontal="center" vertical="center"/>
      <protection hidden="1"/>
    </xf>
    <xf numFmtId="0" fontId="8" fillId="3" borderId="102" xfId="0" applyFont="1" applyFill="1" applyBorder="1" applyAlignment="1" applyProtection="1">
      <alignment horizontal="center" vertical="center"/>
      <protection hidden="1"/>
    </xf>
    <xf numFmtId="0" fontId="8" fillId="3" borderId="67" xfId="0" applyFont="1" applyFill="1" applyBorder="1" applyAlignment="1" applyProtection="1">
      <alignment horizontal="center" vertical="center"/>
      <protection hidden="1"/>
    </xf>
    <xf numFmtId="164" fontId="8" fillId="3" borderId="59" xfId="0" applyNumberFormat="1" applyFont="1" applyFill="1" applyBorder="1" applyAlignment="1" applyProtection="1">
      <alignment horizontal="center" vertical="center" wrapText="1"/>
      <protection hidden="1"/>
    </xf>
    <xf numFmtId="164" fontId="8" fillId="3" borderId="8" xfId="0" applyNumberFormat="1" applyFont="1" applyFill="1" applyBorder="1" applyAlignment="1" applyProtection="1">
      <alignment horizontal="center" vertical="top" wrapText="1"/>
      <protection hidden="1"/>
    </xf>
    <xf numFmtId="164" fontId="8" fillId="3" borderId="22" xfId="0" applyNumberFormat="1" applyFont="1" applyFill="1" applyBorder="1" applyAlignment="1" applyProtection="1">
      <alignment horizontal="center" vertical="top" wrapText="1"/>
      <protection hidden="1"/>
    </xf>
    <xf numFmtId="0" fontId="8" fillId="0" borderId="48" xfId="0" applyNumberFormat="1" applyFont="1" applyFill="1" applyBorder="1" applyAlignment="1" applyProtection="1">
      <alignment horizontal="left" vertical="center" indent="1"/>
      <protection hidden="1"/>
    </xf>
    <xf numFmtId="164" fontId="8" fillId="3" borderId="17" xfId="0" applyNumberFormat="1" applyFont="1" applyFill="1" applyBorder="1" applyAlignment="1" applyProtection="1">
      <alignment horizontal="center" vertical="center"/>
      <protection hidden="1"/>
    </xf>
    <xf numFmtId="164" fontId="8" fillId="3" borderId="18" xfId="0" applyNumberFormat="1" applyFont="1" applyFill="1" applyBorder="1" applyAlignment="1" applyProtection="1">
      <alignment horizontal="center" vertical="center"/>
      <protection hidden="1"/>
    </xf>
    <xf numFmtId="0" fontId="8" fillId="3" borderId="14" xfId="0" applyFont="1" applyFill="1" applyBorder="1" applyAlignment="1" applyProtection="1">
      <alignment horizontal="center" vertical="center"/>
      <protection hidden="1"/>
    </xf>
    <xf numFmtId="0" fontId="8" fillId="3" borderId="76" xfId="0" applyFont="1" applyFill="1" applyBorder="1" applyAlignment="1" applyProtection="1">
      <alignment horizontal="center" vertical="center"/>
      <protection hidden="1"/>
    </xf>
    <xf numFmtId="0" fontId="8" fillId="3" borderId="72" xfId="0" applyFont="1" applyFill="1" applyBorder="1" applyAlignment="1" applyProtection="1">
      <alignment horizontal="center" vertical="center"/>
      <protection hidden="1"/>
    </xf>
    <xf numFmtId="164" fontId="8" fillId="3" borderId="63" xfId="4" applyNumberFormat="1" applyFont="1" applyFill="1" applyBorder="1" applyAlignment="1" applyProtection="1">
      <alignment horizontal="center" vertical="top" wrapText="1"/>
      <protection hidden="1"/>
    </xf>
    <xf numFmtId="0" fontId="9" fillId="3" borderId="64" xfId="4" applyFont="1" applyFill="1" applyBorder="1" applyAlignment="1" applyProtection="1">
      <alignment horizontal="center" vertical="top" wrapText="1"/>
      <protection hidden="1"/>
    </xf>
    <xf numFmtId="0" fontId="8" fillId="3" borderId="63" xfId="4" applyFont="1" applyFill="1" applyBorder="1" applyAlignment="1" applyProtection="1">
      <alignment horizontal="center" vertical="center"/>
      <protection hidden="1"/>
    </xf>
    <xf numFmtId="0" fontId="8" fillId="3" borderId="60" xfId="4" applyFont="1" applyFill="1" applyBorder="1" applyAlignment="1" applyProtection="1">
      <alignment horizontal="center" vertical="center"/>
      <protection hidden="1"/>
    </xf>
    <xf numFmtId="0" fontId="8" fillId="3" borderId="61" xfId="4" applyFont="1" applyFill="1" applyBorder="1" applyAlignment="1" applyProtection="1">
      <alignment horizontal="center" vertical="center"/>
      <protection hidden="1"/>
    </xf>
    <xf numFmtId="0" fontId="8" fillId="0" borderId="14" xfId="4" applyNumberFormat="1" applyFont="1" applyFill="1" applyBorder="1" applyAlignment="1" applyProtection="1">
      <alignment horizontal="left" vertical="center" indent="1"/>
      <protection hidden="1"/>
    </xf>
    <xf numFmtId="0" fontId="8" fillId="0" borderId="76" xfId="4" applyNumberFormat="1" applyFont="1" applyFill="1" applyBorder="1" applyAlignment="1" applyProtection="1">
      <alignment horizontal="left" vertical="center" indent="1"/>
      <protection hidden="1"/>
    </xf>
    <xf numFmtId="0" fontId="8" fillId="0" borderId="72" xfId="4" applyNumberFormat="1" applyFont="1" applyFill="1" applyBorder="1" applyAlignment="1" applyProtection="1">
      <alignment horizontal="left" vertical="center" indent="1"/>
      <protection hidden="1"/>
    </xf>
    <xf numFmtId="0" fontId="11" fillId="3" borderId="70" xfId="4" applyFont="1" applyFill="1" applyBorder="1" applyAlignment="1" applyProtection="1">
      <alignment horizontal="left" vertical="center" wrapText="1" indent="2"/>
      <protection hidden="1"/>
    </xf>
    <xf numFmtId="0" fontId="9" fillId="0" borderId="9" xfId="4" applyFont="1" applyBorder="1" applyAlignment="1" applyProtection="1">
      <alignment horizontal="left" vertical="center" wrapText="1" indent="2"/>
      <protection hidden="1"/>
    </xf>
    <xf numFmtId="0" fontId="9" fillId="0" borderId="64" xfId="4" applyFont="1" applyBorder="1" applyAlignment="1" applyProtection="1">
      <alignment horizontal="center" vertical="top" wrapText="1"/>
      <protection hidden="1"/>
    </xf>
    <xf numFmtId="0" fontId="11" fillId="3" borderId="9" xfId="4" applyFont="1" applyFill="1" applyBorder="1" applyAlignment="1" applyProtection="1">
      <alignment horizontal="left" vertical="center" wrapText="1" indent="2"/>
      <protection hidden="1"/>
    </xf>
    <xf numFmtId="164" fontId="8" fillId="3" borderId="47" xfId="4" applyNumberFormat="1" applyFont="1" applyFill="1" applyBorder="1" applyAlignment="1" applyProtection="1">
      <alignment horizontal="center" vertical="top"/>
      <protection hidden="1"/>
    </xf>
    <xf numFmtId="164" fontId="8" fillId="3" borderId="46" xfId="4" applyNumberFormat="1" applyFont="1" applyFill="1" applyBorder="1" applyAlignment="1" applyProtection="1">
      <alignment horizontal="center" vertical="top"/>
      <protection hidden="1"/>
    </xf>
    <xf numFmtId="164" fontId="26" fillId="0" borderId="59" xfId="13" applyNumberFormat="1" applyFont="1" applyFill="1" applyBorder="1" applyAlignment="1" applyProtection="1">
      <alignment horizontal="center" vertical="center"/>
      <protection hidden="1"/>
    </xf>
    <xf numFmtId="164" fontId="26" fillId="0" borderId="60" xfId="13" applyNumberFormat="1" applyFont="1" applyFill="1" applyBorder="1" applyAlignment="1" applyProtection="1">
      <alignment horizontal="center" vertical="center"/>
      <protection hidden="1"/>
    </xf>
    <xf numFmtId="164" fontId="26" fillId="0" borderId="61" xfId="13" applyNumberFormat="1" applyFont="1" applyFill="1" applyBorder="1" applyAlignment="1" applyProtection="1">
      <alignment horizontal="center" vertical="center"/>
      <protection hidden="1"/>
    </xf>
    <xf numFmtId="0" fontId="8" fillId="0" borderId="29" xfId="0" applyNumberFormat="1" applyFont="1" applyFill="1" applyBorder="1" applyAlignment="1" applyProtection="1">
      <alignment horizontal="center" vertical="top"/>
      <protection hidden="1"/>
    </xf>
    <xf numFmtId="0" fontId="8" fillId="0" borderId="46" xfId="0" applyNumberFormat="1" applyFont="1" applyFill="1" applyBorder="1" applyAlignment="1" applyProtection="1">
      <alignment horizontal="center" vertical="top"/>
      <protection hidden="1"/>
    </xf>
    <xf numFmtId="0" fontId="8" fillId="0" borderId="79" xfId="0" applyNumberFormat="1" applyFont="1" applyFill="1" applyBorder="1" applyAlignment="1" applyProtection="1">
      <alignment horizontal="center" vertical="top" wrapText="1"/>
      <protection hidden="1"/>
    </xf>
    <xf numFmtId="0" fontId="8" fillId="0" borderId="101" xfId="0" applyNumberFormat="1" applyFont="1" applyFill="1" applyBorder="1" applyAlignment="1" applyProtection="1">
      <alignment horizontal="center" vertical="top" wrapText="1"/>
      <protection hidden="1"/>
    </xf>
    <xf numFmtId="0" fontId="26" fillId="0" borderId="59" xfId="13" applyNumberFormat="1" applyFont="1" applyFill="1" applyBorder="1" applyAlignment="1" applyProtection="1">
      <alignment horizontal="center" vertical="center"/>
      <protection hidden="1"/>
    </xf>
    <xf numFmtId="0" fontId="26" fillId="0" borderId="60" xfId="13" applyNumberFormat="1" applyFont="1" applyFill="1" applyBorder="1" applyAlignment="1" applyProtection="1">
      <alignment horizontal="center" vertical="center"/>
      <protection hidden="1"/>
    </xf>
    <xf numFmtId="0" fontId="26" fillId="0" borderId="61" xfId="13" applyNumberFormat="1" applyFont="1" applyFill="1" applyBorder="1" applyAlignment="1" applyProtection="1">
      <alignment horizontal="center" vertical="center"/>
      <protection hidden="1"/>
    </xf>
    <xf numFmtId="0" fontId="26" fillId="0" borderId="66" xfId="13" applyFont="1" applyBorder="1" applyAlignment="1" applyProtection="1">
      <alignment horizontal="center" vertical="top" wrapText="1"/>
      <protection hidden="1"/>
    </xf>
    <xf numFmtId="0" fontId="26" fillId="0" borderId="5" xfId="13" applyFont="1" applyBorder="1" applyAlignment="1" applyProtection="1">
      <alignment horizontal="center" vertical="top" wrapText="1"/>
      <protection hidden="1"/>
    </xf>
    <xf numFmtId="0" fontId="26" fillId="0" borderId="59" xfId="13" applyFont="1" applyBorder="1" applyAlignment="1" applyProtection="1">
      <alignment horizontal="center" vertical="center"/>
      <protection hidden="1"/>
    </xf>
    <xf numFmtId="0" fontId="26" fillId="0" borderId="60" xfId="13" applyFont="1" applyBorder="1" applyAlignment="1" applyProtection="1">
      <alignment horizontal="center" vertical="center"/>
      <protection hidden="1"/>
    </xf>
    <xf numFmtId="0" fontId="26" fillId="0" borderId="64" xfId="13" applyFont="1" applyBorder="1" applyAlignment="1" applyProtection="1">
      <alignment horizontal="center" vertical="center"/>
      <protection hidden="1"/>
    </xf>
    <xf numFmtId="0" fontId="26" fillId="0" borderId="63" xfId="13" applyNumberFormat="1" applyFont="1" applyFill="1" applyBorder="1" applyAlignment="1" applyProtection="1">
      <alignment horizontal="center" vertical="center" wrapText="1"/>
      <protection hidden="1"/>
    </xf>
    <xf numFmtId="0" fontId="26" fillId="0" borderId="60" xfId="13" applyNumberFormat="1" applyFont="1" applyFill="1" applyBorder="1" applyAlignment="1" applyProtection="1">
      <alignment horizontal="center" vertical="center" wrapText="1"/>
      <protection hidden="1"/>
    </xf>
    <xf numFmtId="0" fontId="26" fillId="0" borderId="59" xfId="13" applyFont="1" applyBorder="1" applyAlignment="1" applyProtection="1">
      <alignment horizontal="center" vertical="center" wrapText="1"/>
      <protection hidden="1"/>
    </xf>
    <xf numFmtId="0" fontId="26" fillId="0" borderId="60" xfId="13" applyFont="1" applyBorder="1" applyAlignment="1" applyProtection="1">
      <alignment horizontal="center" vertical="center" wrapText="1"/>
      <protection hidden="1"/>
    </xf>
    <xf numFmtId="0" fontId="26" fillId="0" borderId="61" xfId="13" applyFont="1" applyBorder="1" applyAlignment="1" applyProtection="1">
      <alignment horizontal="center" vertical="center" wrapText="1"/>
      <protection hidden="1"/>
    </xf>
    <xf numFmtId="0" fontId="26" fillId="0" borderId="59" xfId="13" applyNumberFormat="1" applyFont="1" applyFill="1" applyBorder="1" applyAlignment="1" applyProtection="1">
      <alignment horizontal="center" vertical="center" wrapText="1"/>
      <protection hidden="1"/>
    </xf>
    <xf numFmtId="0" fontId="26" fillId="0" borderId="61" xfId="13" applyNumberFormat="1" applyFont="1" applyFill="1" applyBorder="1" applyAlignment="1" applyProtection="1">
      <alignment horizontal="center" vertical="center" wrapText="1"/>
      <protection hidden="1"/>
    </xf>
    <xf numFmtId="0" fontId="8" fillId="0" borderId="63" xfId="0" applyNumberFormat="1" applyFont="1" applyFill="1" applyBorder="1" applyAlignment="1" applyProtection="1">
      <alignment horizontal="center" vertical="center" wrapText="1"/>
      <protection hidden="1"/>
    </xf>
    <xf numFmtId="0" fontId="8" fillId="0" borderId="60" xfId="0" applyNumberFormat="1" applyFont="1" applyFill="1" applyBorder="1" applyAlignment="1" applyProtection="1">
      <alignment horizontal="center" vertical="center" wrapText="1"/>
      <protection hidden="1"/>
    </xf>
    <xf numFmtId="0" fontId="8" fillId="0" borderId="61" xfId="0" applyNumberFormat="1" applyFont="1" applyFill="1" applyBorder="1" applyAlignment="1" applyProtection="1">
      <alignment horizontal="center" vertical="center" wrapText="1"/>
      <protection hidden="1"/>
    </xf>
    <xf numFmtId="0" fontId="8" fillId="0" borderId="47" xfId="0" applyNumberFormat="1" applyFont="1" applyFill="1" applyBorder="1" applyAlignment="1" applyProtection="1">
      <alignment horizontal="center" vertical="top" wrapText="1"/>
      <protection hidden="1"/>
    </xf>
    <xf numFmtId="0" fontId="8" fillId="0" borderId="46" xfId="0" applyNumberFormat="1" applyFont="1" applyFill="1" applyBorder="1" applyAlignment="1" applyProtection="1">
      <alignment horizontal="center" vertical="top" wrapText="1"/>
      <protection hidden="1"/>
    </xf>
    <xf numFmtId="0" fontId="8" fillId="0" borderId="47" xfId="0" applyNumberFormat="1" applyFont="1" applyFill="1" applyBorder="1" applyAlignment="1" applyProtection="1">
      <alignment horizontal="center" vertical="top"/>
      <protection hidden="1"/>
    </xf>
    <xf numFmtId="0" fontId="8" fillId="0" borderId="48" xfId="0" applyNumberFormat="1" applyFont="1" applyFill="1" applyBorder="1" applyAlignment="1" applyProtection="1">
      <alignment horizontal="center" vertical="top"/>
      <protection hidden="1"/>
    </xf>
    <xf numFmtId="0" fontId="8" fillId="0" borderId="28" xfId="0" applyNumberFormat="1" applyFont="1" applyFill="1" applyBorder="1" applyAlignment="1" applyProtection="1">
      <alignment horizontal="center" vertical="top"/>
      <protection hidden="1"/>
    </xf>
    <xf numFmtId="0" fontId="8" fillId="0" borderId="2" xfId="0" applyFont="1" applyFill="1" applyBorder="1" applyAlignment="1" applyProtection="1">
      <alignment horizontal="center" vertical="top" wrapText="1"/>
      <protection hidden="1"/>
    </xf>
    <xf numFmtId="0" fontId="8" fillId="0" borderId="2" xfId="0" applyFont="1" applyFill="1" applyBorder="1" applyAlignment="1" applyProtection="1">
      <alignment horizontal="center" vertical="top"/>
      <protection hidden="1"/>
    </xf>
    <xf numFmtId="0" fontId="8" fillId="0" borderId="45" xfId="0" applyFont="1" applyFill="1" applyBorder="1" applyAlignment="1" applyProtection="1">
      <alignment horizontal="center" vertical="top" wrapText="1"/>
      <protection hidden="1"/>
    </xf>
    <xf numFmtId="0" fontId="8" fillId="0" borderId="3" xfId="0" applyFont="1" applyFill="1" applyBorder="1" applyAlignment="1" applyProtection="1">
      <alignment horizontal="center" vertical="top"/>
      <protection hidden="1"/>
    </xf>
    <xf numFmtId="0" fontId="8" fillId="0" borderId="59" xfId="0" applyFont="1" applyBorder="1" applyAlignment="1" applyProtection="1">
      <alignment horizontal="center" vertical="center"/>
      <protection hidden="1"/>
    </xf>
    <xf numFmtId="0" fontId="8" fillId="0" borderId="60" xfId="0" applyFont="1" applyBorder="1" applyAlignment="1" applyProtection="1">
      <alignment horizontal="center" vertical="center"/>
      <protection hidden="1"/>
    </xf>
    <xf numFmtId="0" fontId="8" fillId="0" borderId="61" xfId="0" applyFont="1" applyBorder="1" applyAlignment="1" applyProtection="1">
      <alignment horizontal="center" vertical="center"/>
      <protection hidden="1"/>
    </xf>
    <xf numFmtId="0" fontId="8" fillId="0" borderId="26" xfId="0" applyFont="1" applyFill="1" applyBorder="1" applyAlignment="1" applyProtection="1">
      <alignment horizontal="center" vertical="top" wrapText="1"/>
      <protection hidden="1"/>
    </xf>
    <xf numFmtId="0" fontId="8" fillId="0" borderId="3" xfId="0" applyFont="1" applyFill="1" applyBorder="1" applyAlignment="1" applyProtection="1">
      <alignment horizontal="center" vertical="top" wrapText="1"/>
      <protection hidden="1"/>
    </xf>
    <xf numFmtId="0" fontId="8" fillId="0" borderId="45" xfId="0" applyFont="1" applyFill="1" applyBorder="1" applyAlignment="1" applyProtection="1">
      <alignment horizontal="center" vertical="top"/>
      <protection hidden="1"/>
    </xf>
    <xf numFmtId="0" fontId="26" fillId="0" borderId="64" xfId="13" applyNumberFormat="1" applyFont="1" applyFill="1" applyBorder="1" applyAlignment="1" applyProtection="1">
      <alignment horizontal="center" vertical="center"/>
      <protection hidden="1"/>
    </xf>
    <xf numFmtId="0" fontId="26" fillId="0" borderId="21" xfId="13" applyNumberFormat="1" applyFont="1" applyFill="1" applyBorder="1" applyAlignment="1" applyProtection="1">
      <alignment horizontal="center" vertical="top" wrapText="1"/>
      <protection hidden="1"/>
    </xf>
    <xf numFmtId="0" fontId="26" fillId="0" borderId="27" xfId="13" applyNumberFormat="1" applyFont="1" applyFill="1" applyBorder="1" applyAlignment="1" applyProtection="1">
      <alignment horizontal="center" vertical="top" wrapText="1"/>
      <protection hidden="1"/>
    </xf>
    <xf numFmtId="0" fontId="26" fillId="0" borderId="61" xfId="13" applyFont="1" applyBorder="1" applyAlignment="1" applyProtection="1">
      <alignment horizontal="center" vertical="center"/>
      <protection hidden="1"/>
    </xf>
    <xf numFmtId="0" fontId="8" fillId="0" borderId="22" xfId="0" applyFont="1" applyFill="1" applyBorder="1" applyAlignment="1" applyProtection="1">
      <alignment horizontal="center" vertical="top" wrapText="1"/>
      <protection hidden="1"/>
    </xf>
    <xf numFmtId="0" fontId="8" fillId="0" borderId="45" xfId="9" applyNumberFormat="1" applyFont="1" applyBorder="1" applyAlignment="1" applyProtection="1">
      <alignment horizontal="center" vertical="top" wrapText="1"/>
      <protection hidden="1"/>
    </xf>
    <xf numFmtId="0" fontId="8" fillId="0" borderId="3" xfId="9" applyNumberFormat="1" applyFont="1" applyBorder="1" applyAlignment="1" applyProtection="1">
      <alignment horizontal="center" vertical="top" wrapText="1"/>
      <protection hidden="1"/>
    </xf>
    <xf numFmtId="0" fontId="8" fillId="0" borderId="13" xfId="0" applyFont="1" applyFill="1" applyBorder="1" applyAlignment="1" applyProtection="1">
      <alignment horizontal="center" vertical="top"/>
      <protection hidden="1"/>
    </xf>
    <xf numFmtId="0" fontId="8" fillId="0" borderId="63" xfId="0" applyFont="1" applyBorder="1" applyAlignment="1" applyProtection="1">
      <alignment horizontal="center" vertical="center" wrapText="1"/>
      <protection hidden="1"/>
    </xf>
    <xf numFmtId="0" fontId="8" fillId="0" borderId="61" xfId="0" applyFont="1" applyBorder="1" applyAlignment="1" applyProtection="1">
      <alignment horizontal="center" vertical="center" wrapText="1"/>
      <protection hidden="1"/>
    </xf>
    <xf numFmtId="0" fontId="8" fillId="0" borderId="75" xfId="0" applyFont="1" applyFill="1" applyBorder="1" applyAlignment="1" applyProtection="1">
      <alignment horizontal="center" vertical="top" wrapText="1"/>
      <protection hidden="1"/>
    </xf>
    <xf numFmtId="0" fontId="8" fillId="0" borderId="18" xfId="0" applyFont="1" applyBorder="1" applyAlignment="1" applyProtection="1">
      <alignment horizontal="center" vertical="center"/>
      <protection hidden="1"/>
    </xf>
  </cellXfs>
  <cellStyles count="18">
    <cellStyle name="Comma 2" xfId="1"/>
    <cellStyle name="Comma 2 2" xfId="2"/>
    <cellStyle name="Comma 3" xfId="3"/>
    <cellStyle name="Comma 3 3" xfId="12"/>
    <cellStyle name="Hyperlink" xfId="15" builtinId="8"/>
    <cellStyle name="Normal" xfId="0" builtinId="0"/>
    <cellStyle name="Normal 2" xfId="4"/>
    <cellStyle name="Normal 2 2" xfId="5"/>
    <cellStyle name="Normal 2 3" xfId="11"/>
    <cellStyle name="Normal 2_RUK by FSG, 08-09 to 10-11" xfId="10"/>
    <cellStyle name="Normal 3" xfId="6"/>
    <cellStyle name="Normal 4" xfId="13"/>
    <cellStyle name="Normal 4 2" xfId="17"/>
    <cellStyle name="Normal 5" xfId="16"/>
    <cellStyle name="Normal_ABDN" xfId="7"/>
    <cellStyle name="Normal_GFU and SSI Teaching Grants for 2012-13, Additional Science inc STEM" xfId="9"/>
    <cellStyle name="Normal_MASTER_Student_vol_template" xfId="14"/>
    <cellStyle name="Normal_Table1 ABER first cut" xfId="8"/>
  </cellStyles>
  <dxfs count="95">
    <dxf>
      <font>
        <b/>
        <i val="0"/>
        <color rgb="FFFF0000"/>
      </font>
    </dxf>
    <dxf>
      <font>
        <b/>
        <i val="0"/>
        <color rgb="FFFF0000"/>
      </font>
    </dxf>
    <dxf>
      <font>
        <b/>
        <i/>
        <condense val="0"/>
        <extend val="0"/>
      </font>
      <fill>
        <patternFill>
          <bgColor indexed="44"/>
        </patternFill>
      </fill>
      <border>
        <left/>
        <right/>
        <top/>
        <bottom/>
      </border>
    </dxf>
    <dxf>
      <font>
        <b/>
        <i val="0"/>
        <color rgb="FFFF0000"/>
      </font>
    </dxf>
    <dxf>
      <font>
        <b/>
        <i val="0"/>
        <color rgb="FFFF0000"/>
      </font>
    </dxf>
    <dxf>
      <font>
        <b/>
        <i val="0"/>
        <color rgb="FFFF0000"/>
      </font>
    </dxf>
    <dxf>
      <font>
        <u val="none"/>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condense val="0"/>
        <extend val="0"/>
      </font>
      <fill>
        <patternFill>
          <bgColor indexed="44"/>
        </patternFill>
      </fill>
      <border>
        <left/>
        <right/>
        <top/>
        <bottom/>
      </border>
    </dxf>
    <dxf>
      <fill>
        <patternFill patternType="none">
          <bgColor auto="1"/>
        </patternFill>
      </fill>
    </dxf>
    <dxf>
      <fill>
        <patternFill patternType="none">
          <bgColor indexed="65"/>
        </patternFill>
      </fill>
    </dxf>
    <dxf>
      <fill>
        <patternFill patternType="solid">
          <bgColor rgb="FFFFFFFF"/>
        </patternFill>
      </fill>
    </dxf>
    <dxf>
      <fill>
        <patternFill patternType="none">
          <bgColor indexed="65"/>
        </patternFill>
      </fill>
    </dxf>
    <dxf>
      <font>
        <b/>
        <i/>
        <condense val="0"/>
        <extend val="0"/>
      </font>
      <fill>
        <patternFill>
          <bgColor indexed="44"/>
        </patternFill>
      </fill>
      <border>
        <left/>
        <right/>
        <top/>
        <bottom/>
      </border>
    </dxf>
    <dxf>
      <fill>
        <patternFill patternType="none">
          <bgColor auto="1"/>
        </patternFill>
      </fill>
    </dxf>
    <dxf>
      <fill>
        <patternFill>
          <bgColor rgb="FFFFFFFF"/>
        </patternFill>
      </fill>
    </dxf>
    <dxf>
      <font>
        <b val="0"/>
        <i val="0"/>
        <condense val="0"/>
        <extend val="0"/>
        <color auto="1"/>
      </font>
      <fill>
        <patternFill patternType="none">
          <bgColor indexed="65"/>
        </patternFill>
      </fill>
    </dxf>
    <dxf>
      <font>
        <b val="0"/>
        <i val="0"/>
        <condense val="0"/>
        <extend val="0"/>
        <color auto="1"/>
      </font>
      <fill>
        <patternFill>
          <bgColor indexed="41"/>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1"/>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1"/>
        </patternFill>
      </fill>
      <border>
        <left style="thin">
          <color indexed="64"/>
        </left>
        <right style="thin">
          <color indexed="64"/>
        </right>
        <top style="thin">
          <color indexed="64"/>
        </top>
        <bottom style="thin">
          <color indexed="64"/>
        </bottom>
      </border>
    </dxf>
    <dxf>
      <fill>
        <patternFill patternType="none">
          <bgColor indexed="65"/>
        </patternFill>
      </fill>
    </dxf>
    <dxf>
      <font>
        <b val="0"/>
        <i val="0"/>
        <condense val="0"/>
        <extend val="0"/>
        <color auto="1"/>
      </font>
      <fill>
        <patternFill>
          <bgColor indexed="41"/>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1"/>
        </patternFill>
      </fill>
      <border>
        <left style="thin">
          <color indexed="64"/>
        </left>
        <right style="thin">
          <color indexed="64"/>
        </right>
        <top style="thin">
          <color indexed="64"/>
        </top>
        <bottom style="thin">
          <color indexed="64"/>
        </bottom>
      </border>
    </dxf>
    <dxf>
      <font>
        <b val="0"/>
        <i val="0"/>
        <condense val="0"/>
        <extend val="0"/>
        <color auto="1"/>
      </font>
      <fill>
        <patternFill patternType="none">
          <bgColor indexed="65"/>
        </patternFill>
      </fill>
    </dxf>
    <dxf>
      <font>
        <color rgb="FFFF0000"/>
      </font>
    </dxf>
    <dxf>
      <font>
        <color rgb="FFFF0000"/>
      </font>
    </dxf>
    <dxf>
      <font>
        <color rgb="FFFF0000"/>
      </font>
    </dxf>
    <dxf>
      <font>
        <color rgb="FFFF0000"/>
      </font>
    </dxf>
    <dxf>
      <font>
        <color rgb="FFFF0000"/>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theme="0" tint="-0.24994659260841701"/>
      </font>
    </dxf>
    <dxf>
      <font>
        <b/>
        <i val="0"/>
      </font>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CFFFF"/>
      <color rgb="FFFF9900"/>
      <color rgb="FFC0C0C0"/>
      <color rgb="FFFFFFFF"/>
      <color rgb="FF000080"/>
      <color rgb="FFFFFFCC"/>
      <color rgb="FF969696"/>
      <color rgb="FF808080"/>
      <color rgb="FF777777"/>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fc.ac.uk/communications/Guidance/2016/SFCGD232016.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fc.ac.uk/communications/Guidance/2016/SFCGD232016.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fc.ac.uk/communications/Guidance/2016/SFCGD232016.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fc.ac.uk/communications/Guidance/2016/SFCGD232016.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fc.ac.uk/communications/Guidance/2016/SFCGD232016.asp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80" zoomScaleNormal="80" workbookViewId="0"/>
  </sheetViews>
  <sheetFormatPr defaultColWidth="9.140625" defaultRowHeight="15"/>
  <cols>
    <col min="1" max="1" width="3.7109375" style="584" customWidth="1"/>
    <col min="2" max="2" width="7.7109375" style="584" customWidth="1"/>
    <col min="3" max="3" width="145.7109375" style="584" customWidth="1"/>
    <col min="4" max="4" width="14.28515625" style="584" customWidth="1"/>
    <col min="5" max="16384" width="9.140625" style="584"/>
  </cols>
  <sheetData>
    <row r="1" spans="1:5" ht="24.95" customHeight="1">
      <c r="A1" s="795"/>
      <c r="B1" s="1281" t="s">
        <v>235</v>
      </c>
      <c r="C1" s="1282"/>
      <c r="D1" s="1282"/>
      <c r="E1" s="1283"/>
    </row>
    <row r="2" spans="1:5" ht="24.95" customHeight="1">
      <c r="A2" s="1280"/>
      <c r="B2" s="796" t="s">
        <v>5</v>
      </c>
      <c r="C2" s="797"/>
      <c r="D2" s="797"/>
      <c r="E2" s="798"/>
    </row>
    <row r="3" spans="1:5" ht="30" customHeight="1">
      <c r="A3" s="1280"/>
      <c r="B3" s="1318" t="str">
        <f>'Background Data'!$D$2</f>
        <v>Glasgow, University of</v>
      </c>
      <c r="C3" s="1319"/>
      <c r="D3" s="799"/>
      <c r="E3" s="800"/>
    </row>
    <row r="4" spans="1:5" ht="24.95" customHeight="1">
      <c r="A4" s="1280"/>
      <c r="B4" s="801" t="s">
        <v>225</v>
      </c>
      <c r="C4" s="802"/>
      <c r="D4" s="802"/>
      <c r="E4" s="803"/>
    </row>
    <row r="5" spans="1:5" ht="9.9499999999999993" customHeight="1" thickBot="1">
      <c r="A5" s="1280"/>
      <c r="B5" s="802"/>
      <c r="C5" s="802"/>
      <c r="D5" s="802"/>
      <c r="E5" s="803"/>
    </row>
    <row r="6" spans="1:5" ht="24.95" customHeight="1">
      <c r="A6" s="1280"/>
      <c r="B6" s="1320" t="s">
        <v>226</v>
      </c>
      <c r="C6" s="1321"/>
      <c r="D6" s="1322" t="s">
        <v>227</v>
      </c>
      <c r="E6" s="803"/>
    </row>
    <row r="7" spans="1:5" ht="45" customHeight="1">
      <c r="A7" s="1280"/>
      <c r="B7" s="804" t="s">
        <v>153</v>
      </c>
      <c r="C7" s="805" t="s">
        <v>154</v>
      </c>
      <c r="D7" s="1323"/>
      <c r="E7" s="803"/>
    </row>
    <row r="8" spans="1:5" ht="30" customHeight="1">
      <c r="A8" s="1280"/>
      <c r="B8" s="806">
        <v>1</v>
      </c>
      <c r="C8" s="1284" t="s">
        <v>497</v>
      </c>
      <c r="D8" s="807" t="s">
        <v>228</v>
      </c>
      <c r="E8" s="808"/>
    </row>
    <row r="9" spans="1:5" ht="30" customHeight="1">
      <c r="A9" s="1280"/>
      <c r="B9" s="809">
        <v>2</v>
      </c>
      <c r="C9" s="810" t="s">
        <v>312</v>
      </c>
      <c r="D9" s="811" t="str">
        <f t="shared" ref="D9:D14" si="0">IF(E9&gt;0,"YES","")</f>
        <v>YES</v>
      </c>
      <c r="E9" s="812">
        <f>'T2 Comments'!M38</f>
        <v>2</v>
      </c>
    </row>
    <row r="10" spans="1:5" ht="30" customHeight="1">
      <c r="A10" s="1280"/>
      <c r="B10" s="809" t="s">
        <v>272</v>
      </c>
      <c r="C10" s="810" t="s">
        <v>229</v>
      </c>
      <c r="D10" s="811" t="str">
        <f t="shared" si="0"/>
        <v>YES</v>
      </c>
      <c r="E10" s="812">
        <f>VLOOKUP('Background Data'!$C$2,Inst_Tables,6,FALSE)</f>
        <v>1</v>
      </c>
    </row>
    <row r="11" spans="1:5" ht="30" customHeight="1">
      <c r="A11" s="1280"/>
      <c r="B11" s="809" t="s">
        <v>273</v>
      </c>
      <c r="C11" s="810" t="s">
        <v>230</v>
      </c>
      <c r="D11" s="811" t="str">
        <f t="shared" si="0"/>
        <v>YES</v>
      </c>
      <c r="E11" s="812">
        <f>VLOOKUP('Background Data'!$C$2,Inst_Tables,7,FALSE)</f>
        <v>1</v>
      </c>
    </row>
    <row r="12" spans="1:5" ht="30" customHeight="1">
      <c r="A12" s="1280"/>
      <c r="B12" s="809" t="s">
        <v>274</v>
      </c>
      <c r="C12" s="810" t="s">
        <v>231</v>
      </c>
      <c r="D12" s="811" t="str">
        <f t="shared" si="0"/>
        <v>YES</v>
      </c>
      <c r="E12" s="812">
        <f>VLOOKUP('Background Data'!$C$2,Inst_Tables,8,FALSE)</f>
        <v>1</v>
      </c>
    </row>
    <row r="13" spans="1:5" ht="30" customHeight="1">
      <c r="A13" s="1280"/>
      <c r="B13" s="813" t="s">
        <v>275</v>
      </c>
      <c r="C13" s="1285" t="s">
        <v>232</v>
      </c>
      <c r="D13" s="814" t="str">
        <f t="shared" si="0"/>
        <v>YES</v>
      </c>
      <c r="E13" s="812">
        <f>VLOOKUP('Background Data'!$C$2,Inst_Tables,9,FALSE)+VLOOKUP('Background Data'!$C$2,Inst_Tables,10,FALSE)</f>
        <v>1</v>
      </c>
    </row>
    <row r="14" spans="1:5" ht="30" customHeight="1">
      <c r="A14" s="1280"/>
      <c r="B14" s="813" t="s">
        <v>276</v>
      </c>
      <c r="C14" s="1285" t="s">
        <v>233</v>
      </c>
      <c r="D14" s="814" t="str">
        <f t="shared" si="0"/>
        <v/>
      </c>
      <c r="E14" s="812">
        <f>VLOOKUP('Background Data'!$C$2,Inst_Tables,11,FALSE)</f>
        <v>0</v>
      </c>
    </row>
    <row r="15" spans="1:5" ht="30" customHeight="1" thickBot="1">
      <c r="A15" s="1280"/>
      <c r="B15" s="1297" t="s">
        <v>311</v>
      </c>
      <c r="C15" s="1298" t="s">
        <v>334</v>
      </c>
      <c r="D15" s="1039" t="s">
        <v>335</v>
      </c>
      <c r="E15" s="1275"/>
    </row>
    <row r="16" spans="1:5" ht="30" customHeight="1" thickBot="1">
      <c r="A16" s="1280"/>
      <c r="B16" s="1036"/>
      <c r="C16" s="1037" t="s">
        <v>218</v>
      </c>
      <c r="D16" s="1038" t="s">
        <v>234</v>
      </c>
      <c r="E16" s="803"/>
    </row>
    <row r="17" spans="1:5" ht="30" customHeight="1">
      <c r="A17" s="1286"/>
      <c r="B17" s="554" t="s">
        <v>345</v>
      </c>
      <c r="C17" s="802"/>
      <c r="D17" s="802"/>
      <c r="E17" s="803"/>
    </row>
    <row r="18" spans="1:5">
      <c r="A18" s="834"/>
      <c r="B18" s="815"/>
      <c r="C18" s="815"/>
      <c r="D18" s="815"/>
      <c r="E18" s="816"/>
    </row>
  </sheetData>
  <sheetProtection password="E23E" sheet="1" objects="1" scenarios="1"/>
  <mergeCells count="3">
    <mergeCell ref="B3:C3"/>
    <mergeCell ref="B6:C6"/>
    <mergeCell ref="D6:D7"/>
  </mergeCells>
  <conditionalFormatting sqref="B9:D14">
    <cfRule type="expression" dxfId="94" priority="3">
      <formula>$E9&gt;0</formula>
    </cfRule>
  </conditionalFormatting>
  <conditionalFormatting sqref="B15">
    <cfRule type="expression" dxfId="93" priority="2">
      <formula>$E15&gt;0</formula>
    </cfRule>
  </conditionalFormatting>
  <pageMargins left="0.19685039370078741" right="0.19685039370078741" top="0.19685039370078741" bottom="0.39370078740157483" header="0" footer="0"/>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80" zoomScaleNormal="80" workbookViewId="0"/>
  </sheetViews>
  <sheetFormatPr defaultColWidth="10.7109375" defaultRowHeight="18.95" customHeight="1"/>
  <cols>
    <col min="1" max="1" width="5.7109375" style="579" customWidth="1"/>
    <col min="2" max="2" width="55.85546875" style="579" customWidth="1"/>
    <col min="3" max="7" width="12.7109375" style="694" customWidth="1"/>
    <col min="8" max="9" width="12.7109375" style="579" customWidth="1"/>
    <col min="10" max="10" width="5.7109375" style="579" customWidth="1"/>
    <col min="11" max="16384" width="10.7109375" style="579"/>
  </cols>
  <sheetData>
    <row r="1" spans="1:10" ht="30" customHeight="1">
      <c r="A1" s="434"/>
      <c r="B1" s="435" t="s">
        <v>217</v>
      </c>
      <c r="C1" s="436"/>
      <c r="D1" s="436"/>
      <c r="E1" s="436"/>
      <c r="F1" s="436"/>
      <c r="G1" s="436"/>
      <c r="H1" s="437"/>
      <c r="I1" s="437"/>
      <c r="J1" s="438"/>
    </row>
    <row r="2" spans="1:10" ht="9.9499999999999993" customHeight="1" thickBot="1">
      <c r="A2" s="439"/>
      <c r="B2" s="440"/>
      <c r="C2" s="441"/>
      <c r="D2" s="441"/>
      <c r="E2" s="441"/>
      <c r="F2" s="441"/>
      <c r="G2" s="441"/>
      <c r="H2" s="113"/>
      <c r="I2" s="113"/>
      <c r="J2" s="442"/>
    </row>
    <row r="3" spans="1:10" ht="35.1" customHeight="1" thickBot="1">
      <c r="A3" s="439"/>
      <c r="B3" s="443" t="s">
        <v>5</v>
      </c>
      <c r="C3" s="1413" t="str">
        <f>'Background Data'!$D$2</f>
        <v>Glasgow, University of</v>
      </c>
      <c r="D3" s="1414"/>
      <c r="E3" s="1415"/>
      <c r="F3" s="444"/>
      <c r="G3" s="441"/>
      <c r="H3" s="113"/>
      <c r="I3" s="113"/>
      <c r="J3" s="442"/>
    </row>
    <row r="4" spans="1:10" ht="35.1" customHeight="1">
      <c r="A4" s="439"/>
      <c r="B4" s="445" t="s">
        <v>218</v>
      </c>
      <c r="C4" s="446"/>
      <c r="D4" s="446"/>
      <c r="E4" s="446"/>
      <c r="F4" s="446"/>
      <c r="G4" s="446"/>
      <c r="H4" s="447"/>
      <c r="I4" s="447"/>
      <c r="J4" s="448"/>
    </row>
    <row r="5" spans="1:10" s="626" customFormat="1" ht="30" customHeight="1">
      <c r="A5" s="449"/>
      <c r="B5" s="445" t="s">
        <v>219</v>
      </c>
      <c r="C5" s="450"/>
      <c r="D5" s="450"/>
      <c r="E5" s="450"/>
      <c r="F5" s="450"/>
      <c r="G5" s="450"/>
      <c r="H5" s="450"/>
      <c r="I5" s="450"/>
      <c r="J5" s="448"/>
    </row>
    <row r="6" spans="1:10" s="626" customFormat="1" ht="30" customHeight="1">
      <c r="A6" s="449"/>
      <c r="B6" s="445" t="s">
        <v>155</v>
      </c>
      <c r="C6" s="450"/>
      <c r="D6" s="450"/>
      <c r="E6" s="450"/>
      <c r="F6" s="450"/>
      <c r="G6" s="450"/>
      <c r="H6" s="450"/>
      <c r="I6" s="450"/>
      <c r="J6" s="448"/>
    </row>
    <row r="7" spans="1:10" s="626" customFormat="1" ht="15" customHeight="1" thickBot="1">
      <c r="A7" s="449"/>
      <c r="B7" s="451"/>
      <c r="C7" s="451"/>
      <c r="D7" s="451"/>
      <c r="E7" s="451"/>
      <c r="F7" s="451"/>
      <c r="G7" s="451"/>
      <c r="H7" s="451"/>
      <c r="I7" s="451"/>
      <c r="J7" s="448"/>
    </row>
    <row r="8" spans="1:10" ht="120" customHeight="1">
      <c r="A8" s="439"/>
      <c r="B8" s="1416" t="s">
        <v>156</v>
      </c>
      <c r="C8" s="452" t="s">
        <v>157</v>
      </c>
      <c r="D8" s="452" t="s">
        <v>158</v>
      </c>
      <c r="E8" s="452" t="s">
        <v>159</v>
      </c>
      <c r="F8" s="452" t="s">
        <v>220</v>
      </c>
      <c r="G8" s="1408" t="s">
        <v>160</v>
      </c>
      <c r="H8" s="1418"/>
      <c r="I8" s="453" t="s">
        <v>161</v>
      </c>
      <c r="J8" s="448"/>
    </row>
    <row r="9" spans="1:10" ht="30" customHeight="1">
      <c r="A9" s="439"/>
      <c r="B9" s="1417"/>
      <c r="C9" s="454" t="s">
        <v>27</v>
      </c>
      <c r="D9" s="454" t="s">
        <v>27</v>
      </c>
      <c r="E9" s="454" t="s">
        <v>27</v>
      </c>
      <c r="F9" s="454" t="s">
        <v>27</v>
      </c>
      <c r="G9" s="454" t="s">
        <v>27</v>
      </c>
      <c r="H9" s="455" t="s">
        <v>162</v>
      </c>
      <c r="I9" s="456"/>
      <c r="J9" s="448"/>
    </row>
    <row r="10" spans="1:10" ht="30" customHeight="1">
      <c r="A10" s="439"/>
      <c r="B10" s="1417"/>
      <c r="C10" s="457" t="s">
        <v>7</v>
      </c>
      <c r="D10" s="458" t="s">
        <v>7</v>
      </c>
      <c r="E10" s="458" t="s">
        <v>7</v>
      </c>
      <c r="F10" s="458" t="s">
        <v>7</v>
      </c>
      <c r="G10" s="458" t="s">
        <v>163</v>
      </c>
      <c r="H10" s="458" t="s">
        <v>163</v>
      </c>
      <c r="I10" s="459" t="s">
        <v>163</v>
      </c>
      <c r="J10" s="448"/>
    </row>
    <row r="11" spans="1:10" ht="30" customHeight="1">
      <c r="A11" s="439"/>
      <c r="B11" s="460"/>
      <c r="C11" s="461">
        <v>1</v>
      </c>
      <c r="D11" s="461">
        <v>2</v>
      </c>
      <c r="E11" s="461">
        <v>3</v>
      </c>
      <c r="F11" s="461">
        <v>4</v>
      </c>
      <c r="G11" s="461">
        <v>5</v>
      </c>
      <c r="H11" s="461">
        <v>6</v>
      </c>
      <c r="I11" s="462">
        <v>7</v>
      </c>
      <c r="J11" s="448"/>
    </row>
    <row r="12" spans="1:10" ht="35.1" customHeight="1">
      <c r="A12" s="439"/>
      <c r="B12" s="463" t="s">
        <v>33</v>
      </c>
      <c r="C12" s="464"/>
      <c r="D12" s="465"/>
      <c r="E12" s="466"/>
      <c r="F12" s="466"/>
      <c r="G12" s="464"/>
      <c r="H12" s="466"/>
      <c r="I12" s="467"/>
      <c r="J12" s="448"/>
    </row>
    <row r="13" spans="1:10" ht="24.95" customHeight="1">
      <c r="A13" s="439"/>
      <c r="B13" s="468" t="s">
        <v>24</v>
      </c>
      <c r="C13" s="469">
        <f>VLOOKUP('Background Data'!$C$2,FPs_Ind_Nos_1617,15,FALSE)</f>
        <v>484.4</v>
      </c>
      <c r="D13" s="469">
        <f>VLOOKUP('Background Data'!$C$2,FPs_Ind_Nos_1617,27,FALSE)</f>
        <v>81</v>
      </c>
      <c r="E13" s="469">
        <f>SUM(C13:D13)</f>
        <v>565.4</v>
      </c>
      <c r="F13" s="469">
        <f>'T1 Final Figures 2016-17'!$H$26</f>
        <v>551</v>
      </c>
      <c r="G13" s="471">
        <f>F13-E13</f>
        <v>-14.399999999999977</v>
      </c>
      <c r="H13" s="472">
        <f>IF(E13&gt;0,G13/E13,"")</f>
        <v>-2.5468694729395079E-2</v>
      </c>
      <c r="I13" s="473" t="str">
        <f>IF(H13&lt;-Controlled_Tol,"YES","NO")</f>
        <v>NO</v>
      </c>
      <c r="J13" s="448"/>
    </row>
    <row r="14" spans="1:10" ht="24.95" customHeight="1">
      <c r="A14" s="439"/>
      <c r="B14" s="468" t="s">
        <v>25</v>
      </c>
      <c r="C14" s="469">
        <f>VLOOKUP('Background Data'!$C$2,FPs_Ind_Nos_1617,16,FALSE)</f>
        <v>240.5</v>
      </c>
      <c r="D14" s="469">
        <f>VLOOKUP('Background Data'!$C$2,FPs_Ind_Nos_1617,28,FALSE)</f>
        <v>0</v>
      </c>
      <c r="E14" s="469">
        <f>SUM(C14:D14)</f>
        <v>240.5</v>
      </c>
      <c r="F14" s="469">
        <f>'T1 Final Figures 2016-17'!$H$27</f>
        <v>242</v>
      </c>
      <c r="G14" s="471">
        <f>F14-E14</f>
        <v>1.5</v>
      </c>
      <c r="H14" s="472">
        <f>IF(E14&gt;0,G14/E14,"")</f>
        <v>6.2370062370062374E-3</v>
      </c>
      <c r="I14" s="473" t="str">
        <f>IF(H14&lt;-Controlled_Tol,"YES","NO")</f>
        <v>NO</v>
      </c>
      <c r="J14" s="448"/>
    </row>
    <row r="15" spans="1:10" ht="24.95" customHeight="1">
      <c r="A15" s="439"/>
      <c r="B15" s="468" t="s">
        <v>8</v>
      </c>
      <c r="C15" s="469">
        <f>VLOOKUP('Background Data'!$C$2,FPs_Ind_Nos_1617,17,FALSE)</f>
        <v>301.89999999999998</v>
      </c>
      <c r="D15" s="470">
        <f>VLOOKUP('Background Data'!$C$2,FPs_Ind_Nos_1617,29,FALSE)</f>
        <v>10</v>
      </c>
      <c r="E15" s="469">
        <f>SUM(C15:D15)</f>
        <v>311.89999999999998</v>
      </c>
      <c r="F15" s="469">
        <f>'T1 Final Figures 2016-17'!$H$28</f>
        <v>324</v>
      </c>
      <c r="G15" s="471">
        <f>F15-E15</f>
        <v>12.100000000000023</v>
      </c>
      <c r="H15" s="472">
        <f>IF(E15&gt;0,G15/E15,"")</f>
        <v>3.8794485411991098E-2</v>
      </c>
      <c r="I15" s="473" t="str">
        <f>IF(H15&lt;-Controlled_Tol,"YES","NO")</f>
        <v>NO</v>
      </c>
      <c r="J15" s="448"/>
    </row>
    <row r="16" spans="1:10" ht="24.95" customHeight="1">
      <c r="A16" s="439"/>
      <c r="B16" s="474" t="s">
        <v>9</v>
      </c>
      <c r="C16" s="469">
        <f>VLOOKUP('Background Data'!$C$2,FPs_Ind_Nos_1617,18,FALSE)</f>
        <v>53.5</v>
      </c>
      <c r="D16" s="470"/>
      <c r="E16" s="475">
        <f>SUM(C16:D16)</f>
        <v>53.5</v>
      </c>
      <c r="F16" s="469">
        <f>'T1 Final Figures 2016-17'!$H$29</f>
        <v>54</v>
      </c>
      <c r="G16" s="476">
        <f>F16-E16</f>
        <v>0.5</v>
      </c>
      <c r="H16" s="472">
        <f>IF(E16&gt;0,G16/E16,"")</f>
        <v>9.3457943925233638E-3</v>
      </c>
      <c r="I16" s="473" t="str">
        <f>IF(H16&lt;-Controlled_Tol,"YES","NO")</f>
        <v>NO</v>
      </c>
      <c r="J16" s="448"/>
    </row>
    <row r="17" spans="1:10" ht="35.1" customHeight="1">
      <c r="A17" s="439"/>
      <c r="B17" s="74" t="s">
        <v>10</v>
      </c>
      <c r="C17" s="477"/>
      <c r="D17" s="478"/>
      <c r="E17" s="479"/>
      <c r="F17" s="479"/>
      <c r="G17" s="480"/>
      <c r="H17" s="481"/>
      <c r="I17" s="467"/>
      <c r="J17" s="448"/>
    </row>
    <row r="18" spans="1:10" ht="24.95" customHeight="1">
      <c r="A18" s="439"/>
      <c r="B18" s="468" t="s">
        <v>34</v>
      </c>
      <c r="C18" s="469">
        <f>VLOOKUP('Background Data'!$C$2,FPs_Ind_Nos_1617,19,FALSE)</f>
        <v>487.6</v>
      </c>
      <c r="D18" s="469">
        <f>VLOOKUP('Background Data'!$C$2,FPs_Ind_Nos_1617,30,FALSE)</f>
        <v>0</v>
      </c>
      <c r="E18" s="469">
        <f t="shared" ref="E18:E23" si="0">SUM(C18:D18)</f>
        <v>487.6</v>
      </c>
      <c r="F18" s="469">
        <f>'T1 Final Figures 2016-17'!$H$31</f>
        <v>539.20000000000005</v>
      </c>
      <c r="G18" s="471">
        <f t="shared" ref="G18:G23" si="1">F18-E18</f>
        <v>51.600000000000023</v>
      </c>
      <c r="H18" s="472">
        <f t="shared" ref="H18:H23" si="2">IF(E18&gt;0,G18/E18,"")</f>
        <v>0.10582444626743236</v>
      </c>
      <c r="I18" s="473" t="str">
        <f t="shared" ref="I18:I23" si="3">IF(H18&lt;-Controlled_Tol,"YES","NO")</f>
        <v>NO</v>
      </c>
      <c r="J18" s="448"/>
    </row>
    <row r="19" spans="1:10" ht="24.95" customHeight="1">
      <c r="A19" s="439"/>
      <c r="B19" s="468" t="s">
        <v>35</v>
      </c>
      <c r="C19" s="469">
        <f>VLOOKUP('Background Data'!$C$2,FPs_Ind_Nos_1617,20,FALSE)</f>
        <v>0</v>
      </c>
      <c r="D19" s="470"/>
      <c r="E19" s="469">
        <f t="shared" si="0"/>
        <v>0</v>
      </c>
      <c r="F19" s="469">
        <f>'T1 Final Figures 2016-17'!$H$32</f>
        <v>0</v>
      </c>
      <c r="G19" s="471">
        <f t="shared" si="1"/>
        <v>0</v>
      </c>
      <c r="H19" s="472" t="str">
        <f t="shared" si="2"/>
        <v/>
      </c>
      <c r="I19" s="473" t="str">
        <f t="shared" si="3"/>
        <v>NO</v>
      </c>
      <c r="J19" s="448"/>
    </row>
    <row r="20" spans="1:10" ht="24.95" customHeight="1">
      <c r="A20" s="439"/>
      <c r="B20" s="468" t="s">
        <v>164</v>
      </c>
      <c r="C20" s="469">
        <f>VLOOKUP('Background Data'!$C$2,FPs_Ind_Nos_1617,21,FALSE)</f>
        <v>0</v>
      </c>
      <c r="D20" s="470"/>
      <c r="E20" s="469">
        <f t="shared" si="0"/>
        <v>0</v>
      </c>
      <c r="F20" s="469">
        <f>'T1 Final Figures 2016-17'!$H$33</f>
        <v>0</v>
      </c>
      <c r="G20" s="471">
        <f t="shared" si="1"/>
        <v>0</v>
      </c>
      <c r="H20" s="472" t="str">
        <f t="shared" si="2"/>
        <v/>
      </c>
      <c r="I20" s="473" t="str">
        <f t="shared" si="3"/>
        <v>NO</v>
      </c>
      <c r="J20" s="448"/>
    </row>
    <row r="21" spans="1:10" ht="24.95" customHeight="1">
      <c r="A21" s="439"/>
      <c r="B21" s="468" t="s">
        <v>37</v>
      </c>
      <c r="C21" s="469">
        <f>VLOOKUP('Background Data'!$C$2,FPs_Ind_Nos_1617,22,FALSE)</f>
        <v>94.5</v>
      </c>
      <c r="D21" s="470"/>
      <c r="E21" s="469">
        <f t="shared" si="0"/>
        <v>94.5</v>
      </c>
      <c r="F21" s="469">
        <f>'T1 Final Figures 2016-17'!$H$34</f>
        <v>89.4</v>
      </c>
      <c r="G21" s="471">
        <f t="shared" si="1"/>
        <v>-5.0999999999999943</v>
      </c>
      <c r="H21" s="472">
        <f t="shared" si="2"/>
        <v>-5.3968253968253908E-2</v>
      </c>
      <c r="I21" s="473" t="str">
        <f t="shared" si="3"/>
        <v>YES</v>
      </c>
      <c r="J21" s="448"/>
    </row>
    <row r="22" spans="1:10" ht="24.95" customHeight="1">
      <c r="A22" s="439"/>
      <c r="B22" s="468" t="s">
        <v>165</v>
      </c>
      <c r="C22" s="469">
        <f>VLOOKUP('Background Data'!$C$2,FPs_Ind_Nos_1617,23,FALSE)</f>
        <v>68.900000000000006</v>
      </c>
      <c r="D22" s="469">
        <f>VLOOKUP('Background Data'!$C$2,FPs_Ind_Nos_1617,31,FALSE)</f>
        <v>104</v>
      </c>
      <c r="E22" s="469">
        <f t="shared" si="0"/>
        <v>172.9</v>
      </c>
      <c r="F22" s="469">
        <f>'T1 Final Figures 2016-17'!$H$19</f>
        <v>170</v>
      </c>
      <c r="G22" s="471">
        <f t="shared" si="1"/>
        <v>-2.9000000000000057</v>
      </c>
      <c r="H22" s="472">
        <f t="shared" si="2"/>
        <v>-1.6772700983227331E-2</v>
      </c>
      <c r="I22" s="473" t="str">
        <f t="shared" si="3"/>
        <v>NO</v>
      </c>
      <c r="J22" s="448"/>
    </row>
    <row r="23" spans="1:10" ht="24.95" customHeight="1">
      <c r="A23" s="439"/>
      <c r="B23" s="474" t="s">
        <v>166</v>
      </c>
      <c r="C23" s="469">
        <f>VLOOKUP('Background Data'!$C$2,FPs_Ind_Nos_1617,24,FALSE)</f>
        <v>121.3</v>
      </c>
      <c r="D23" s="469">
        <f>VLOOKUP('Background Data'!$C$2,FPs_Ind_Nos_1617,32,FALSE)</f>
        <v>91</v>
      </c>
      <c r="E23" s="475">
        <f t="shared" si="0"/>
        <v>212.3</v>
      </c>
      <c r="F23" s="469">
        <f>'T1 Final Figures 2016-17'!$H$20</f>
        <v>192</v>
      </c>
      <c r="G23" s="476">
        <f t="shared" si="1"/>
        <v>-20.300000000000011</v>
      </c>
      <c r="H23" s="472">
        <f t="shared" si="2"/>
        <v>-9.5619406500235565E-2</v>
      </c>
      <c r="I23" s="473" t="str">
        <f t="shared" si="3"/>
        <v>YES</v>
      </c>
      <c r="J23" s="448"/>
    </row>
    <row r="24" spans="1:10" ht="35.1" customHeight="1">
      <c r="A24" s="439"/>
      <c r="B24" s="74" t="s">
        <v>29</v>
      </c>
      <c r="C24" s="479"/>
      <c r="D24" s="482"/>
      <c r="E24" s="479"/>
      <c r="F24" s="479"/>
      <c r="G24" s="483"/>
      <c r="H24" s="481"/>
      <c r="I24" s="467"/>
      <c r="J24" s="448"/>
    </row>
    <row r="25" spans="1:10" ht="24.95" customHeight="1">
      <c r="A25" s="439"/>
      <c r="B25" s="468" t="s">
        <v>291</v>
      </c>
      <c r="C25" s="484"/>
      <c r="D25" s="469">
        <f>VLOOKUP('Background Data'!$C$2,FPs_Ind_Nos_1617,33,FALSE)</f>
        <v>0</v>
      </c>
      <c r="E25" s="484">
        <f>SUM(C25:D25)</f>
        <v>0</v>
      </c>
      <c r="F25" s="469">
        <f>'T1 Final Figures 2016-17'!$H$14+'T1 Final Figures 2016-17'!$H$36</f>
        <v>0</v>
      </c>
      <c r="G25" s="485">
        <f>F25-E25</f>
        <v>0</v>
      </c>
      <c r="H25" s="486" t="str">
        <f>IF(E25&gt;0,G25/E25,"")</f>
        <v/>
      </c>
      <c r="I25" s="487" t="str">
        <f>IF(H25&lt;-Controlled_Tol,"YES","NO")</f>
        <v>NO</v>
      </c>
      <c r="J25" s="448"/>
    </row>
    <row r="26" spans="1:10" ht="24.95" customHeight="1" thickBot="1">
      <c r="A26" s="439"/>
      <c r="B26" s="488" t="s">
        <v>292</v>
      </c>
      <c r="C26" s="573">
        <f>VLOOKUP('Background Data'!$C$2,FPs_Ind_Nos_1617,25,FALSE)</f>
        <v>115</v>
      </c>
      <c r="D26" s="489"/>
      <c r="E26" s="489">
        <f t="shared" ref="E26" si="4">SUM(C26:D26)</f>
        <v>115</v>
      </c>
      <c r="F26" s="490">
        <f>'T1 Final Figures 2016-17'!$H$37</f>
        <v>129.167</v>
      </c>
      <c r="G26" s="491">
        <f>F26-E26</f>
        <v>14.167000000000002</v>
      </c>
      <c r="H26" s="492">
        <f>IF(E26&gt;0,G26/E26,"")</f>
        <v>0.1231913043478261</v>
      </c>
      <c r="I26" s="493" t="str">
        <f>IF(H26&lt;-Controlled_Tol,"YES","NO")</f>
        <v>NO</v>
      </c>
      <c r="J26" s="494"/>
    </row>
    <row r="27" spans="1:10" ht="24" customHeight="1">
      <c r="A27" s="439"/>
      <c r="B27" s="495"/>
      <c r="C27" s="113"/>
      <c r="D27" s="496"/>
      <c r="E27" s="496"/>
      <c r="F27" s="496"/>
      <c r="G27" s="496"/>
      <c r="H27" s="113"/>
      <c r="I27" s="447"/>
      <c r="J27" s="448"/>
    </row>
    <row r="28" spans="1:10" ht="24.95" customHeight="1">
      <c r="A28" s="439"/>
      <c r="B28" s="445" t="s">
        <v>221</v>
      </c>
      <c r="C28" s="450"/>
      <c r="D28" s="450"/>
      <c r="E28" s="450"/>
      <c r="F28" s="450"/>
      <c r="G28" s="450"/>
      <c r="H28" s="450"/>
      <c r="I28" s="447"/>
      <c r="J28" s="448"/>
    </row>
    <row r="29" spans="1:10" ht="24.95" customHeight="1">
      <c r="A29" s="439"/>
      <c r="B29" s="445" t="s">
        <v>155</v>
      </c>
      <c r="C29" s="450"/>
      <c r="D29" s="450"/>
      <c r="E29" s="450"/>
      <c r="F29" s="450"/>
      <c r="G29" s="450"/>
      <c r="H29" s="450"/>
      <c r="I29" s="447"/>
      <c r="J29" s="448"/>
    </row>
    <row r="30" spans="1:10" ht="9.9499999999999993" customHeight="1" thickBot="1">
      <c r="A30" s="439"/>
      <c r="B30" s="451"/>
      <c r="C30" s="451"/>
      <c r="D30" s="451"/>
      <c r="E30" s="451"/>
      <c r="F30" s="451"/>
      <c r="G30" s="451"/>
      <c r="H30" s="450"/>
      <c r="I30" s="447"/>
      <c r="J30" s="448"/>
    </row>
    <row r="31" spans="1:10" ht="45" customHeight="1">
      <c r="A31" s="439"/>
      <c r="B31" s="497"/>
      <c r="C31" s="1410" t="s">
        <v>167</v>
      </c>
      <c r="D31" s="1411"/>
      <c r="E31" s="1411"/>
      <c r="F31" s="1411"/>
      <c r="G31" s="1412"/>
      <c r="H31" s="542"/>
      <c r="I31" s="49"/>
      <c r="J31" s="448"/>
    </row>
    <row r="32" spans="1:10" ht="120" customHeight="1">
      <c r="A32" s="439"/>
      <c r="B32" s="1419" t="s">
        <v>167</v>
      </c>
      <c r="C32" s="498" t="s">
        <v>159</v>
      </c>
      <c r="D32" s="498" t="s">
        <v>222</v>
      </c>
      <c r="E32" s="1420" t="s">
        <v>160</v>
      </c>
      <c r="F32" s="1421"/>
      <c r="G32" s="499" t="s">
        <v>161</v>
      </c>
      <c r="H32" s="542"/>
      <c r="I32" s="49"/>
      <c r="J32" s="448"/>
    </row>
    <row r="33" spans="1:10" ht="30" customHeight="1">
      <c r="A33" s="439"/>
      <c r="B33" s="1417"/>
      <c r="C33" s="454" t="s">
        <v>27</v>
      </c>
      <c r="D33" s="454" t="s">
        <v>27</v>
      </c>
      <c r="E33" s="454" t="s">
        <v>27</v>
      </c>
      <c r="F33" s="455" t="s">
        <v>162</v>
      </c>
      <c r="G33" s="456"/>
      <c r="H33" s="542"/>
      <c r="I33" s="49"/>
      <c r="J33" s="448"/>
    </row>
    <row r="34" spans="1:10" ht="30" customHeight="1">
      <c r="A34" s="439"/>
      <c r="B34" s="500"/>
      <c r="C34" s="457" t="s">
        <v>7</v>
      </c>
      <c r="D34" s="458" t="s">
        <v>7</v>
      </c>
      <c r="E34" s="458" t="s">
        <v>163</v>
      </c>
      <c r="F34" s="458" t="s">
        <v>163</v>
      </c>
      <c r="G34" s="459" t="s">
        <v>163</v>
      </c>
      <c r="H34" s="542"/>
      <c r="I34" s="49"/>
      <c r="J34" s="448"/>
    </row>
    <row r="35" spans="1:10" ht="30" customHeight="1">
      <c r="A35" s="439"/>
      <c r="B35" s="500"/>
      <c r="C35" s="461">
        <v>1</v>
      </c>
      <c r="D35" s="461">
        <v>2</v>
      </c>
      <c r="E35" s="461">
        <v>4</v>
      </c>
      <c r="F35" s="461">
        <v>5</v>
      </c>
      <c r="G35" s="462">
        <v>6</v>
      </c>
      <c r="H35" s="542"/>
      <c r="I35" s="541"/>
      <c r="J35" s="448"/>
    </row>
    <row r="36" spans="1:10" ht="50.1" customHeight="1" thickBot="1">
      <c r="A36" s="439"/>
      <c r="B36" s="501" t="s">
        <v>168</v>
      </c>
      <c r="C36" s="489">
        <f>VLOOKUP('Background Data'!$C$2,FPs_Ind_Nos_1617,14,FALSE)</f>
        <v>12233.699999999999</v>
      </c>
      <c r="D36" s="489">
        <f>'T1 Final Figures 2016-17'!$H$15+'T1 Final Figures 2016-17'!$H$21+'T1 Final Figures 2016-17'!$H$39+'T1 Final Figures 2016-17'!$H$40</f>
        <v>12938.51331299999</v>
      </c>
      <c r="E36" s="502">
        <f>D36-C36</f>
        <v>704.81331299999147</v>
      </c>
      <c r="F36" s="503">
        <f>IF(C36&gt;0,E36/C36,"")</f>
        <v>5.7612440471810779E-2</v>
      </c>
      <c r="G36" s="543" t="str">
        <f>IF(F36&lt;-Non_controlled_Tol,"YES","NO")</f>
        <v>NO</v>
      </c>
      <c r="H36" s="542"/>
      <c r="I36" s="49"/>
      <c r="J36" s="448"/>
    </row>
    <row r="37" spans="1:10" ht="15">
      <c r="A37" s="439"/>
      <c r="B37" s="496"/>
      <c r="C37" s="496"/>
      <c r="D37" s="496"/>
      <c r="E37" s="496"/>
      <c r="F37" s="496"/>
      <c r="G37" s="496"/>
      <c r="H37" s="496"/>
      <c r="I37" s="447"/>
      <c r="J37" s="448"/>
    </row>
    <row r="38" spans="1:10" ht="24.95" customHeight="1">
      <c r="A38" s="439"/>
      <c r="B38" s="445" t="s">
        <v>223</v>
      </c>
      <c r="C38" s="496"/>
      <c r="D38" s="496"/>
      <c r="E38" s="496"/>
      <c r="F38" s="496"/>
      <c r="G38" s="496"/>
      <c r="H38" s="496"/>
      <c r="I38" s="447"/>
      <c r="J38" s="448"/>
    </row>
    <row r="39" spans="1:10" ht="24.95" customHeight="1">
      <c r="A39" s="439"/>
      <c r="B39" s="445" t="s">
        <v>169</v>
      </c>
      <c r="C39" s="450"/>
      <c r="D39" s="450"/>
      <c r="E39" s="450"/>
      <c r="F39" s="55"/>
      <c r="G39" s="55"/>
      <c r="H39" s="55"/>
      <c r="I39" s="447"/>
      <c r="J39" s="448"/>
    </row>
    <row r="40" spans="1:10" ht="24.95" customHeight="1">
      <c r="A40" s="439"/>
      <c r="B40" s="445" t="s">
        <v>170</v>
      </c>
      <c r="C40" s="450"/>
      <c r="D40" s="450"/>
      <c r="E40" s="450"/>
      <c r="F40" s="55"/>
      <c r="G40" s="55"/>
      <c r="H40" s="55"/>
      <c r="I40" s="447"/>
      <c r="J40" s="448"/>
    </row>
    <row r="41" spans="1:10" ht="9.9499999999999993" customHeight="1" thickBot="1">
      <c r="A41" s="439"/>
      <c r="B41" s="451"/>
      <c r="C41" s="451"/>
      <c r="D41" s="451"/>
      <c r="E41" s="451"/>
      <c r="F41" s="504"/>
      <c r="G41" s="504"/>
      <c r="H41" s="55"/>
      <c r="I41" s="447"/>
      <c r="J41" s="448"/>
    </row>
    <row r="42" spans="1:10" ht="99.95" customHeight="1">
      <c r="A42" s="439"/>
      <c r="B42" s="505" t="s">
        <v>171</v>
      </c>
      <c r="C42" s="506" t="s">
        <v>224</v>
      </c>
      <c r="D42" s="452" t="s">
        <v>172</v>
      </c>
      <c r="E42" s="1408" t="s">
        <v>173</v>
      </c>
      <c r="F42" s="1409"/>
      <c r="G42" s="453" t="s">
        <v>174</v>
      </c>
      <c r="H42" s="217"/>
      <c r="I42" s="447"/>
      <c r="J42" s="448"/>
    </row>
    <row r="43" spans="1:10" ht="30" customHeight="1">
      <c r="A43" s="439"/>
      <c r="B43" s="507"/>
      <c r="C43" s="508" t="s">
        <v>27</v>
      </c>
      <c r="D43" s="454" t="s">
        <v>27</v>
      </c>
      <c r="E43" s="454" t="s">
        <v>27</v>
      </c>
      <c r="F43" s="454" t="s">
        <v>162</v>
      </c>
      <c r="G43" s="456"/>
      <c r="H43" s="113"/>
      <c r="I43" s="447"/>
      <c r="J43" s="448"/>
    </row>
    <row r="44" spans="1:10" ht="30" customHeight="1">
      <c r="A44" s="439"/>
      <c r="B44" s="507"/>
      <c r="C44" s="509" t="s">
        <v>7</v>
      </c>
      <c r="D44" s="457" t="s">
        <v>7</v>
      </c>
      <c r="E44" s="457" t="s">
        <v>163</v>
      </c>
      <c r="F44" s="457" t="s">
        <v>163</v>
      </c>
      <c r="G44" s="459" t="s">
        <v>163</v>
      </c>
      <c r="H44" s="113"/>
      <c r="I44" s="447"/>
      <c r="J44" s="448"/>
    </row>
    <row r="45" spans="1:10" ht="30" customHeight="1">
      <c r="A45" s="439"/>
      <c r="B45" s="510"/>
      <c r="C45" s="461">
        <v>1</v>
      </c>
      <c r="D45" s="461">
        <v>2</v>
      </c>
      <c r="E45" s="461">
        <v>3</v>
      </c>
      <c r="F45" s="461">
        <v>4</v>
      </c>
      <c r="G45" s="462">
        <v>5</v>
      </c>
      <c r="H45" s="113"/>
      <c r="I45" s="447"/>
      <c r="J45" s="448"/>
    </row>
    <row r="46" spans="1:10" ht="35.1" customHeight="1">
      <c r="A46" s="439"/>
      <c r="B46" s="511" t="s">
        <v>28</v>
      </c>
      <c r="C46" s="512"/>
      <c r="D46" s="513"/>
      <c r="E46" s="513"/>
      <c r="F46" s="514"/>
      <c r="G46" s="459"/>
      <c r="H46" s="113"/>
      <c r="I46" s="447"/>
      <c r="J46" s="448"/>
    </row>
    <row r="47" spans="1:10" ht="35.1" customHeight="1">
      <c r="A47" s="439"/>
      <c r="B47" s="515" t="s">
        <v>175</v>
      </c>
      <c r="C47" s="516"/>
      <c r="D47" s="517"/>
      <c r="E47" s="517"/>
      <c r="F47" s="518"/>
      <c r="G47" s="519"/>
      <c r="H47" s="113"/>
      <c r="I47" s="447"/>
      <c r="J47" s="448"/>
    </row>
    <row r="48" spans="1:10" ht="30" customHeight="1">
      <c r="A48" s="439"/>
      <c r="B48" s="520" t="s">
        <v>176</v>
      </c>
      <c r="C48" s="469">
        <f>VLOOKUP('Background Data'!$C$2,FPs_Ind_Nos_1617,35,FALSE)</f>
        <v>1168</v>
      </c>
      <c r="D48" s="521">
        <f>'T1 Final Figures 2016-17'!$H$26+'T1 Final Figures 2016-17'!$J$26+'T1 Final Figures 2016-17'!$H$28+'T1 Final Figures 2016-17'!$J$28</f>
        <v>1149</v>
      </c>
      <c r="E48" s="521">
        <f>D48-C48</f>
        <v>-19</v>
      </c>
      <c r="F48" s="522">
        <f>IF(C48&gt;0,E48/C48,"")</f>
        <v>-1.6267123287671232E-2</v>
      </c>
      <c r="G48" s="523" t="str">
        <f>IF(C48&gt;=100,IF(F48&gt;Consol_Tol_Per,"YES","NO"),IF(C48&gt;0,IF(E48&gt;Consol_Tol_FTE,"YES","NO"),"NO"))</f>
        <v>NO</v>
      </c>
      <c r="H48" s="113"/>
      <c r="I48" s="447"/>
      <c r="J48" s="448"/>
    </row>
    <row r="49" spans="1:10" ht="35.1" customHeight="1">
      <c r="A49" s="439"/>
      <c r="B49" s="515" t="s">
        <v>177</v>
      </c>
      <c r="C49" s="524"/>
      <c r="D49" s="525"/>
      <c r="E49" s="525"/>
      <c r="F49" s="525"/>
      <c r="G49" s="526"/>
      <c r="H49" s="113"/>
      <c r="I49" s="447"/>
      <c r="J49" s="448"/>
    </row>
    <row r="50" spans="1:10" ht="30" customHeight="1">
      <c r="A50" s="439"/>
      <c r="B50" s="520" t="s">
        <v>176</v>
      </c>
      <c r="C50" s="469">
        <f>VLOOKUP('Background Data'!$C$2,FPs_Ind_Nos_1617,36,FALSE)</f>
        <v>357</v>
      </c>
      <c r="D50" s="521">
        <f>'T1 Final Figures 2016-17'!$H$27+'T1 Final Figures 2016-17'!$J$27+'T1 Final Figures 2016-17'!$H$29+'T1 Final Figures 2016-17'!$J$29</f>
        <v>364</v>
      </c>
      <c r="E50" s="521">
        <f>D50-C50</f>
        <v>7</v>
      </c>
      <c r="F50" s="522">
        <f>IF(C50&gt;0,E50/C50,"")</f>
        <v>1.9607843137254902E-2</v>
      </c>
      <c r="G50" s="523" t="str">
        <f>IF(C50&gt;=100,IF(F50&gt;Consol_Tol_Per,"YES","NO"),IF(C50&gt;0,IF(E50&gt;Consol_Tol_FTE,"YES","NO"),"NO"))</f>
        <v>NO</v>
      </c>
      <c r="H50" s="113"/>
      <c r="I50" s="447"/>
      <c r="J50" s="448"/>
    </row>
    <row r="51" spans="1:10" ht="50.1" customHeight="1">
      <c r="A51" s="439"/>
      <c r="B51" s="527" t="s">
        <v>178</v>
      </c>
      <c r="C51" s="113"/>
      <c r="D51" s="528"/>
      <c r="E51" s="528"/>
      <c r="F51" s="528"/>
      <c r="G51" s="529"/>
      <c r="H51" s="113"/>
      <c r="I51" s="450"/>
      <c r="J51" s="448"/>
    </row>
    <row r="52" spans="1:10" ht="30" customHeight="1">
      <c r="A52" s="439"/>
      <c r="B52" s="520" t="s">
        <v>179</v>
      </c>
      <c r="C52" s="469">
        <f>VLOOKUP('Background Data'!$C$2,FPs_Ind_Nos_1617,37,FALSE)</f>
        <v>666</v>
      </c>
      <c r="D52" s="521">
        <f>'T1 Final Figures 2016-17'!$H$19+'T1 Final Figures 2016-17'!$J$19+'T1 Final Figures 2016-17'!$H$31+'T1 Final Figures 2016-17'!$J$31</f>
        <v>719.2</v>
      </c>
      <c r="E52" s="521">
        <f>D52-C52</f>
        <v>53.200000000000045</v>
      </c>
      <c r="F52" s="522">
        <f>IF(C52&gt;0,E52/C52,"")</f>
        <v>7.9879879879879948E-2</v>
      </c>
      <c r="G52" s="523" t="str">
        <f>IF(C52&gt;=100,IF(F52&gt;Consol_Tol_Per,"YES","NO"),IF(C52&gt;0,IF(E52&gt;Consol_Tol_FTE,"YES","NO"),"NO"))</f>
        <v>NO</v>
      </c>
      <c r="H52" s="113"/>
      <c r="I52" s="450"/>
      <c r="J52" s="448"/>
    </row>
    <row r="53" spans="1:10" ht="30" customHeight="1">
      <c r="A53" s="439"/>
      <c r="B53" s="520" t="s">
        <v>180</v>
      </c>
      <c r="C53" s="469">
        <f>VLOOKUP('Background Data'!$C$2,FPs_Ind_Nos_1617,38,FALSE)</f>
        <v>312</v>
      </c>
      <c r="D53" s="521">
        <f>+'T1 Final Figures 2016-17'!$H$20+'T1 Final Figures 2016-17'!$J$20+'T1 Final Figures 2016-17'!$H$32+'T1 Final Figures 2016-17'!$J$32+'T1 Final Figures 2016-17'!$H$33+'T1 Final Figures 2016-17'!$J$33+'T1 Final Figures 2016-17'!$H$34+'T1 Final Figures 2016-17'!$J$34</f>
        <v>287.39999999999998</v>
      </c>
      <c r="E53" s="521">
        <f>D53-C53</f>
        <v>-24.600000000000023</v>
      </c>
      <c r="F53" s="522">
        <f>IF(C53&gt;0,E53/C53,"")</f>
        <v>-7.8846153846153913E-2</v>
      </c>
      <c r="G53" s="523" t="str">
        <f>IF(C53&gt;=100,IF(F53&gt;Consol_Tol_Per,"YES","NO"),IF(C53&gt;0,IF(E53&gt;Consol_Tol_FTE,"YES","NO"),"NO"))</f>
        <v>NO</v>
      </c>
      <c r="H53" s="113"/>
      <c r="I53" s="450"/>
      <c r="J53" s="448"/>
    </row>
    <row r="54" spans="1:10" ht="35.1" customHeight="1">
      <c r="A54" s="439"/>
      <c r="B54" s="527" t="s">
        <v>181</v>
      </c>
      <c r="C54" s="530"/>
      <c r="D54" s="531"/>
      <c r="E54" s="531"/>
      <c r="F54" s="531"/>
      <c r="G54" s="532"/>
      <c r="H54" s="113"/>
      <c r="I54" s="450"/>
      <c r="J54" s="448"/>
    </row>
    <row r="55" spans="1:10" ht="30" customHeight="1">
      <c r="A55" s="439"/>
      <c r="B55" s="533" t="s">
        <v>176</v>
      </c>
      <c r="C55" s="469">
        <f>VLOOKUP('Background Data'!$C$2,FPs_Ind_Nos_1617,39,FALSE)</f>
        <v>115</v>
      </c>
      <c r="D55" s="521">
        <f>'T1 Final Figures 2016-17'!$H$14+'T1 Final Figures 2016-17'!$H$36+'T1 Final Figures 2016-17'!$H$37</f>
        <v>129.167</v>
      </c>
      <c r="E55" s="521">
        <f>D55-C55</f>
        <v>14.167000000000002</v>
      </c>
      <c r="F55" s="522">
        <f>IF(C55&gt;0,E55/C55,"")</f>
        <v>0.1231913043478261</v>
      </c>
      <c r="G55" s="523" t="str">
        <f>IF(C55&gt;=100,IF(F55&gt;Consol_Tol_Per,"YES","NO"),IF(C55&gt;0,IF(E55&gt;Consol_Tol_FTE,"YES","NO"),"NO"))</f>
        <v>YES</v>
      </c>
      <c r="H55" s="113"/>
      <c r="I55" s="450"/>
      <c r="J55" s="448"/>
    </row>
    <row r="56" spans="1:10" ht="35.1" customHeight="1">
      <c r="A56" s="439"/>
      <c r="B56" s="534" t="s">
        <v>182</v>
      </c>
      <c r="C56" s="528"/>
      <c r="D56" s="528"/>
      <c r="E56" s="528"/>
      <c r="F56" s="528"/>
      <c r="G56" s="529"/>
      <c r="H56" s="113"/>
      <c r="I56" s="450"/>
      <c r="J56" s="448"/>
    </row>
    <row r="57" spans="1:10" ht="30" customHeight="1" thickBot="1">
      <c r="A57" s="439"/>
      <c r="B57" s="535" t="s">
        <v>183</v>
      </c>
      <c r="C57" s="490">
        <f>VLOOKUP('Background Data'!$C$2,FPs_Ind_Nos_1617,40,FALSE)</f>
        <v>11131</v>
      </c>
      <c r="D57" s="490">
        <f>'T1 Final Figures 2016-17'!$C$39+'T1 Final Figures 2016-17'!$C$40</f>
        <v>11158.30099999999</v>
      </c>
      <c r="E57" s="490">
        <f>D57-C57</f>
        <v>27.300999999990381</v>
      </c>
      <c r="F57" s="503">
        <f>IF(C57&gt;0,E57/C57,"")</f>
        <v>2.4526996675941406E-3</v>
      </c>
      <c r="G57" s="536" t="str">
        <f>IF(C57&gt;=100,IF(F57&gt;Consol_Tol_Per,"YES","NO"),IF(C57&gt;0,IF(E57&gt;Consol_Tol_FTE,"YES","NO"),"NO"))</f>
        <v>NO</v>
      </c>
      <c r="H57" s="113"/>
      <c r="I57" s="450"/>
      <c r="J57" s="448"/>
    </row>
    <row r="58" spans="1:10" ht="18.95" customHeight="1">
      <c r="A58" s="537"/>
      <c r="B58" s="538"/>
      <c r="C58" s="539"/>
      <c r="D58" s="539"/>
      <c r="E58" s="539"/>
      <c r="F58" s="539"/>
      <c r="G58" s="539"/>
      <c r="H58" s="539"/>
      <c r="I58" s="539"/>
      <c r="J58" s="540"/>
    </row>
    <row r="59" spans="1:10" ht="24.95" hidden="1" customHeight="1">
      <c r="B59" s="693" t="s">
        <v>184</v>
      </c>
    </row>
    <row r="60" spans="1:10" ht="24.95" hidden="1" customHeight="1">
      <c r="B60" s="579" t="s">
        <v>185</v>
      </c>
      <c r="C60" s="695">
        <v>0.03</v>
      </c>
    </row>
    <row r="61" spans="1:10" ht="24.95" hidden="1" customHeight="1">
      <c r="B61" s="579" t="s">
        <v>186</v>
      </c>
      <c r="C61" s="695">
        <v>0.02</v>
      </c>
    </row>
    <row r="62" spans="1:10" ht="24.95" hidden="1" customHeight="1">
      <c r="B62" s="579" t="s">
        <v>187</v>
      </c>
      <c r="C62" s="695">
        <v>0.1</v>
      </c>
    </row>
    <row r="63" spans="1:10" ht="24.95" hidden="1" customHeight="1">
      <c r="B63" s="579" t="s">
        <v>188</v>
      </c>
      <c r="C63" s="696">
        <v>10</v>
      </c>
    </row>
  </sheetData>
  <sheetProtection password="E23E" sheet="1" objects="1" scenarios="1"/>
  <mergeCells count="7">
    <mergeCell ref="E42:F42"/>
    <mergeCell ref="C31:G31"/>
    <mergeCell ref="C3:E3"/>
    <mergeCell ref="B8:B10"/>
    <mergeCell ref="G8:H8"/>
    <mergeCell ref="B32:B33"/>
    <mergeCell ref="E32:F32"/>
  </mergeCells>
  <conditionalFormatting sqref="I13:I16 I18:I23 I25">
    <cfRule type="cellIs" dxfId="5" priority="7" operator="equal">
      <formula>"YES"</formula>
    </cfRule>
  </conditionalFormatting>
  <conditionalFormatting sqref="I36">
    <cfRule type="cellIs" dxfId="4" priority="6" operator="equal">
      <formula>"YES"</formula>
    </cfRule>
  </conditionalFormatting>
  <conditionalFormatting sqref="G48 G50 G52:G53 G55 G57">
    <cfRule type="cellIs" dxfId="3" priority="4" operator="equal">
      <formula>"YES"</formula>
    </cfRule>
  </conditionalFormatting>
  <conditionalFormatting sqref="B1:B2">
    <cfRule type="expression" dxfId="2" priority="3" stopIfTrue="1">
      <formula>#REF!=0</formula>
    </cfRule>
  </conditionalFormatting>
  <conditionalFormatting sqref="I26">
    <cfRule type="cellIs" dxfId="1" priority="2" operator="equal">
      <formula>"YES"</formula>
    </cfRule>
  </conditionalFormatting>
  <conditionalFormatting sqref="G36">
    <cfRule type="cellIs" dxfId="0" priority="1" operator="equal">
      <formula>"YES"</formula>
    </cfRule>
  </conditionalFormatting>
  <dataValidations count="1">
    <dataValidation allowBlank="1" sqref="G44:G45 C42:E44 B42 I8 B8 J27:J58 H4:I4 C33:C35 B36:C36 G42 D45:F45 D55:G55 F43:F44 B46:B47 C45:C46 F34:G36 G32:I32 C57:G57 C8:G27 C50 C3 K27:FL27 K4:FL4 K5:FI7 J8:FJ26 B12:B27 H9:H27 I10:I30 D33:D36 C52:C55 E34:E35 I34:I50 C37:H38 B37 B49:B58 E33:F33 B48:C48 B32:E32 D46:G50 D52:G53 J4:J7"/>
  </dataValidations>
  <printOptions horizontalCentered="1"/>
  <pageMargins left="0.15748031496062992" right="0.15748031496062992" top="0.15748031496062992" bottom="0.15748031496062992" header="0.15748031496062992" footer="0.15748031496062992"/>
  <pageSetup paperSize="9" scale="65" fitToHeight="2" orientation="portrait" r:id="rId1"/>
  <headerFooter alignWithMargins="0"/>
  <rowBreaks count="1" manualBreakCount="1">
    <brk id="36" min="1" max="9"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FB230"/>
  <sheetViews>
    <sheetView zoomScale="80" zoomScaleNormal="80" workbookViewId="0"/>
  </sheetViews>
  <sheetFormatPr defaultColWidth="9.140625" defaultRowHeight="15"/>
  <cols>
    <col min="1" max="1" width="9.140625" style="1087"/>
    <col min="2" max="2" width="48.5703125" style="1087" customWidth="1"/>
    <col min="3" max="4" width="12.7109375" style="1087" customWidth="1"/>
    <col min="5" max="5" width="14.28515625" style="1087" customWidth="1"/>
    <col min="6" max="40" width="12.7109375" style="1087" customWidth="1"/>
    <col min="41" max="66" width="13.7109375" style="1087" customWidth="1"/>
    <col min="67" max="67" width="6.7109375" style="1087" customWidth="1"/>
    <col min="68" max="68" width="68.85546875" style="1087" customWidth="1"/>
    <col min="69" max="72" width="13.7109375" style="1087" customWidth="1"/>
    <col min="73" max="73" width="5.7109375" style="1087" customWidth="1"/>
    <col min="74" max="74" width="75.7109375" style="1087" customWidth="1"/>
    <col min="75" max="75" width="14.7109375" style="1087" customWidth="1"/>
    <col min="76" max="76" width="75.7109375" style="1087" customWidth="1"/>
    <col min="77" max="77" width="14.7109375" style="1087" customWidth="1"/>
    <col min="78" max="78" width="75.7109375" style="1087" customWidth="1"/>
    <col min="79" max="79" width="14.7109375" style="1087" customWidth="1"/>
    <col min="80" max="80" width="75.7109375" style="1087" customWidth="1"/>
    <col min="81" max="81" width="14.7109375" style="1087" customWidth="1"/>
    <col min="82" max="82" width="75.7109375" style="1087" customWidth="1"/>
    <col min="83" max="83" width="14.7109375" style="1087" customWidth="1"/>
    <col min="84" max="84" width="75.7109375" style="1087" customWidth="1"/>
    <col min="85" max="85" width="14.7109375" style="1087" customWidth="1"/>
    <col min="86" max="86" width="75.7109375" style="1087" customWidth="1"/>
    <col min="87" max="87" width="14.7109375" style="1087" customWidth="1"/>
    <col min="88" max="88" width="110.7109375" style="1087" customWidth="1"/>
    <col min="89" max="89" width="14.7109375" style="1087" customWidth="1"/>
    <col min="90" max="90" width="110.7109375" style="1087" customWidth="1"/>
    <col min="91" max="91" width="14.7109375" style="1087" customWidth="1"/>
    <col min="92" max="92" width="110.7109375" style="1087" customWidth="1"/>
    <col min="93" max="93" width="14.7109375" style="1087" customWidth="1"/>
    <col min="94" max="94" width="110.7109375" style="1087" customWidth="1"/>
    <col min="95" max="95" width="14.7109375" style="1087" customWidth="1"/>
    <col min="96" max="96" width="110.7109375" style="1087" customWidth="1"/>
    <col min="97" max="97" width="14.7109375" style="1087" customWidth="1"/>
    <col min="98" max="98" width="110.7109375" style="1087" customWidth="1"/>
    <col min="99" max="99" width="14.7109375" style="1087" customWidth="1"/>
    <col min="100" max="100" width="110.7109375" style="1087" customWidth="1"/>
    <col min="101" max="101" width="14.7109375" style="1087" customWidth="1"/>
    <col min="102" max="103" width="13.7109375" style="1087" customWidth="1"/>
    <col min="104" max="104" width="5.7109375" style="1087" customWidth="1"/>
    <col min="105" max="105" width="110.7109375" style="1087" customWidth="1"/>
    <col min="106" max="106" width="14.7109375" style="1087" customWidth="1"/>
    <col min="107" max="107" width="110.7109375" style="1087" customWidth="1"/>
    <col min="108" max="108" width="14.7109375" style="1087" customWidth="1"/>
    <col min="109" max="109" width="110.7109375" style="1087" customWidth="1"/>
    <col min="110" max="110" width="14.7109375" style="1087" customWidth="1"/>
    <col min="111" max="111" width="110.7109375" style="1087" customWidth="1"/>
    <col min="112" max="112" width="14.7109375" style="1087" customWidth="1"/>
    <col min="113" max="113" width="110.7109375" style="1087" customWidth="1"/>
    <col min="114" max="114" width="14.7109375" style="1087" customWidth="1"/>
    <col min="115" max="115" width="110.7109375" style="1087" customWidth="1"/>
    <col min="116" max="116" width="14.7109375" style="1087" customWidth="1"/>
    <col min="117" max="117" width="110.7109375" style="1087" customWidth="1"/>
    <col min="118" max="118" width="14.7109375" style="1087" customWidth="1"/>
    <col min="119" max="119" width="110.7109375" style="1087" customWidth="1"/>
    <col min="120" max="120" width="14.7109375" style="1087" customWidth="1"/>
    <col min="121" max="121" width="110.7109375" style="1087" customWidth="1"/>
    <col min="122" max="122" width="14.7109375" style="1087" customWidth="1"/>
    <col min="123" max="123" width="110.7109375" style="1087" customWidth="1"/>
    <col min="124" max="124" width="14.7109375" style="1087" customWidth="1"/>
    <col min="125" max="125" width="110.7109375" style="1087" customWidth="1"/>
    <col min="126" max="126" width="14.7109375" style="1087" customWidth="1"/>
    <col min="127" max="127" width="110.7109375" style="1087" customWidth="1"/>
    <col min="128" max="128" width="14.7109375" style="1087" customWidth="1"/>
    <col min="129" max="129" width="110.7109375" style="1087" customWidth="1"/>
    <col min="130" max="130" width="14.7109375" style="1087" customWidth="1"/>
    <col min="131" max="131" width="110.7109375" style="1087" customWidth="1"/>
    <col min="132" max="132" width="14.7109375" style="1087" customWidth="1"/>
    <col min="133" max="133" width="110.7109375" style="1087" customWidth="1"/>
    <col min="134" max="134" width="14.7109375" style="1087" customWidth="1"/>
    <col min="135" max="135" width="110.7109375" style="1087" customWidth="1"/>
    <col min="136" max="136" width="14.7109375" style="1087" customWidth="1"/>
    <col min="137" max="137" width="110.7109375" style="1087" customWidth="1"/>
    <col min="138" max="138" width="14.7109375" style="1087" customWidth="1"/>
    <col min="139" max="141" width="9.140625" style="1087"/>
    <col min="142" max="142" width="50.7109375" style="1087" customWidth="1"/>
    <col min="143" max="143" width="14.7109375" style="1087" customWidth="1"/>
    <col min="144" max="146" width="9.140625" style="1087"/>
    <col min="147" max="147" width="70.7109375" style="1087" customWidth="1"/>
    <col min="148" max="150" width="14.7109375" style="1087" customWidth="1"/>
    <col min="151" max="151" width="70.7109375" style="1087" customWidth="1"/>
    <col min="152" max="154" width="14.7109375" style="1087" customWidth="1"/>
    <col min="155" max="155" width="70.7109375" style="1087" customWidth="1"/>
    <col min="156" max="158" width="14.7109375" style="1087" customWidth="1"/>
    <col min="159" max="16384" width="9.140625" style="1087"/>
  </cols>
  <sheetData>
    <row r="2" spans="1:51" ht="24.95" hidden="1" customHeight="1" thickBot="1">
      <c r="A2" s="1088" t="s">
        <v>61</v>
      </c>
      <c r="C2" s="1296">
        <v>8</v>
      </c>
      <c r="D2" s="1089" t="str">
        <f>VLOOKUP(C2,Inst_Tables,2,FALSE)</f>
        <v>Glasgow, University of</v>
      </c>
      <c r="E2" s="1090"/>
      <c r="F2" s="1090"/>
      <c r="G2" s="1090"/>
    </row>
    <row r="3" spans="1:51" hidden="1"/>
    <row r="4" spans="1:51" ht="20.100000000000001" hidden="1" customHeight="1">
      <c r="A4" s="1" t="s">
        <v>99</v>
      </c>
      <c r="C4" s="2"/>
      <c r="D4" s="3"/>
      <c r="E4" s="3"/>
      <c r="F4" s="3"/>
      <c r="G4" s="2"/>
      <c r="H4" s="2"/>
      <c r="I4" s="3"/>
      <c r="J4" s="4"/>
    </row>
    <row r="5" spans="1:51" hidden="1">
      <c r="B5" s="5"/>
      <c r="C5" s="2"/>
      <c r="D5" s="6"/>
      <c r="E5" s="6"/>
      <c r="F5" s="6"/>
      <c r="G5" s="2"/>
      <c r="H5" s="2"/>
      <c r="I5" s="6"/>
      <c r="J5" s="6"/>
    </row>
    <row r="6" spans="1:51" ht="20.100000000000001" hidden="1" customHeight="1">
      <c r="A6" s="1091" t="s">
        <v>62</v>
      </c>
      <c r="B6" s="5"/>
      <c r="C6" s="2"/>
      <c r="D6" s="6"/>
      <c r="E6" s="6"/>
      <c r="F6" s="6"/>
      <c r="G6" s="2"/>
      <c r="H6" s="2"/>
      <c r="I6" s="6"/>
      <c r="J6" s="6"/>
    </row>
    <row r="7" spans="1:51" ht="20.100000000000001" hidden="1" customHeight="1">
      <c r="A7" s="1092">
        <v>1</v>
      </c>
      <c r="B7" s="7">
        <v>2</v>
      </c>
      <c r="C7" s="1092">
        <v>3</v>
      </c>
      <c r="D7" s="7">
        <v>4</v>
      </c>
      <c r="E7" s="1092">
        <v>5</v>
      </c>
      <c r="F7" s="7">
        <v>6</v>
      </c>
      <c r="G7" s="1092">
        <v>7</v>
      </c>
      <c r="H7" s="7">
        <v>8</v>
      </c>
      <c r="I7" s="1092">
        <v>9</v>
      </c>
      <c r="J7" s="7">
        <v>10</v>
      </c>
      <c r="K7" s="1092">
        <v>11</v>
      </c>
      <c r="L7" s="7">
        <v>12</v>
      </c>
      <c r="M7" s="1092">
        <v>13</v>
      </c>
      <c r="N7" s="7">
        <v>14</v>
      </c>
      <c r="O7" s="1092">
        <v>15</v>
      </c>
      <c r="P7" s="7">
        <v>16</v>
      </c>
      <c r="Q7" s="1092">
        <v>17</v>
      </c>
      <c r="R7" s="7">
        <v>18</v>
      </c>
      <c r="S7" s="1092">
        <v>19</v>
      </c>
      <c r="T7" s="1093"/>
      <c r="U7" s="1028"/>
    </row>
    <row r="8" spans="1:51" ht="9.9499999999999993" hidden="1" customHeight="1" thickBot="1">
      <c r="B8" s="5"/>
      <c r="C8" s="2"/>
      <c r="D8" s="6"/>
      <c r="E8" s="8"/>
      <c r="F8" s="8"/>
      <c r="G8" s="8"/>
      <c r="H8" s="8"/>
      <c r="I8" s="8"/>
      <c r="J8" s="8"/>
    </row>
    <row r="9" spans="1:51" ht="30" hidden="1" customHeight="1">
      <c r="A9" s="1094"/>
      <c r="B9" s="1095"/>
      <c r="C9" s="1444" t="s">
        <v>255</v>
      </c>
      <c r="D9" s="1445"/>
      <c r="E9" s="1446"/>
      <c r="F9" s="1422" t="s">
        <v>271</v>
      </c>
      <c r="G9" s="1423"/>
      <c r="H9" s="1423"/>
      <c r="I9" s="1423"/>
      <c r="J9" s="1423"/>
      <c r="K9" s="1424"/>
      <c r="L9" s="1429" t="s">
        <v>279</v>
      </c>
      <c r="M9" s="1430"/>
      <c r="N9" s="1430"/>
      <c r="O9" s="1430"/>
      <c r="P9" s="1430"/>
      <c r="Q9" s="1430"/>
      <c r="R9" s="1430"/>
      <c r="S9" s="1431"/>
      <c r="T9" s="1027"/>
      <c r="U9" s="1027"/>
    </row>
    <row r="10" spans="1:51" ht="99.95" hidden="1" customHeight="1">
      <c r="A10" s="1096"/>
      <c r="B10" s="1097"/>
      <c r="C10" s="1447" t="s">
        <v>118</v>
      </c>
      <c r="D10" s="1448"/>
      <c r="E10" s="288" t="s">
        <v>119</v>
      </c>
      <c r="F10" s="932" t="s">
        <v>280</v>
      </c>
      <c r="G10" s="930" t="s">
        <v>281</v>
      </c>
      <c r="H10" s="930" t="s">
        <v>282</v>
      </c>
      <c r="I10" s="930" t="s">
        <v>277</v>
      </c>
      <c r="J10" s="930" t="s">
        <v>278</v>
      </c>
      <c r="K10" s="933" t="s">
        <v>283</v>
      </c>
      <c r="L10" s="1425" t="s">
        <v>286</v>
      </c>
      <c r="M10" s="1426"/>
      <c r="N10" s="1427" t="s">
        <v>285</v>
      </c>
      <c r="O10" s="1428"/>
      <c r="P10" s="1449" t="s">
        <v>287</v>
      </c>
      <c r="Q10" s="1450"/>
      <c r="R10" s="1450"/>
      <c r="S10" s="1451"/>
    </row>
    <row r="11" spans="1:51" ht="39.950000000000003" hidden="1" customHeight="1">
      <c r="A11" s="1096"/>
      <c r="B11" s="1098"/>
      <c r="C11" s="942" t="s">
        <v>23</v>
      </c>
      <c r="D11" s="1279" t="s">
        <v>2</v>
      </c>
      <c r="E11" s="926"/>
      <c r="F11" s="934"/>
      <c r="G11" s="924"/>
      <c r="H11" s="924"/>
      <c r="I11" s="924"/>
      <c r="J11" s="924"/>
      <c r="K11" s="926"/>
      <c r="L11" s="1099" t="s">
        <v>240</v>
      </c>
      <c r="M11" s="1100" t="s">
        <v>284</v>
      </c>
      <c r="N11" s="1100" t="s">
        <v>244</v>
      </c>
      <c r="O11" s="1100" t="s">
        <v>284</v>
      </c>
      <c r="P11" s="1101" t="s">
        <v>244</v>
      </c>
      <c r="Q11" s="1102" t="s">
        <v>288</v>
      </c>
      <c r="R11" s="1102" t="s">
        <v>289</v>
      </c>
      <c r="S11" s="1103" t="s">
        <v>290</v>
      </c>
    </row>
    <row r="12" spans="1:51" ht="24.95" hidden="1" customHeight="1">
      <c r="A12" s="1104"/>
      <c r="B12" s="1105"/>
      <c r="C12" s="937">
        <v>1</v>
      </c>
      <c r="D12" s="938">
        <v>2</v>
      </c>
      <c r="E12" s="939">
        <v>3</v>
      </c>
      <c r="F12" s="940">
        <v>4</v>
      </c>
      <c r="G12" s="941">
        <v>5</v>
      </c>
      <c r="H12" s="941">
        <v>6</v>
      </c>
      <c r="I12" s="941">
        <v>7</v>
      </c>
      <c r="J12" s="941">
        <v>8</v>
      </c>
      <c r="K12" s="939">
        <v>9</v>
      </c>
      <c r="L12" s="940">
        <v>10</v>
      </c>
      <c r="M12" s="941">
        <v>11</v>
      </c>
      <c r="N12" s="941">
        <v>12</v>
      </c>
      <c r="O12" s="941">
        <v>13</v>
      </c>
      <c r="P12" s="941">
        <v>14</v>
      </c>
      <c r="Q12" s="941">
        <v>15</v>
      </c>
      <c r="R12" s="941">
        <v>16</v>
      </c>
      <c r="S12" s="939">
        <v>17</v>
      </c>
      <c r="V12" s="1106"/>
      <c r="W12" s="1097"/>
      <c r="X12" s="1106"/>
      <c r="Y12" s="1097"/>
      <c r="Z12" s="1106"/>
      <c r="AA12" s="1097"/>
      <c r="AB12" s="1106"/>
      <c r="AC12" s="1097"/>
      <c r="AD12" s="1106"/>
      <c r="AE12" s="1097"/>
      <c r="AF12" s="1106"/>
      <c r="AG12" s="1097"/>
      <c r="AH12" s="1106"/>
      <c r="AI12" s="1097"/>
      <c r="AJ12" s="1106"/>
      <c r="AK12" s="1097"/>
      <c r="AL12" s="1106"/>
      <c r="AM12" s="1097"/>
      <c r="AN12" s="1106"/>
      <c r="AO12" s="1097"/>
      <c r="AP12" s="1106"/>
      <c r="AQ12" s="1097"/>
      <c r="AR12" s="1106"/>
      <c r="AS12" s="1097"/>
      <c r="AT12" s="1106"/>
      <c r="AU12" s="1097"/>
      <c r="AV12" s="1106"/>
      <c r="AW12" s="1097"/>
      <c r="AX12" s="1097"/>
      <c r="AY12" s="1097"/>
    </row>
    <row r="13" spans="1:51" ht="24.95" hidden="1" customHeight="1">
      <c r="A13" s="1107">
        <v>1</v>
      </c>
      <c r="B13" s="1108" t="s">
        <v>18</v>
      </c>
      <c r="C13" s="935">
        <v>3</v>
      </c>
      <c r="D13" s="936">
        <v>4</v>
      </c>
      <c r="E13" s="1109">
        <v>45</v>
      </c>
      <c r="F13" s="925">
        <v>1</v>
      </c>
      <c r="G13" s="929">
        <v>1</v>
      </c>
      <c r="H13" s="923">
        <v>1</v>
      </c>
      <c r="I13" s="923">
        <v>0</v>
      </c>
      <c r="J13" s="923">
        <v>0</v>
      </c>
      <c r="K13" s="931">
        <v>0</v>
      </c>
      <c r="L13" s="1110">
        <v>2</v>
      </c>
      <c r="M13" s="1111">
        <v>3</v>
      </c>
      <c r="N13" s="1111">
        <v>2</v>
      </c>
      <c r="O13" s="1111">
        <v>3</v>
      </c>
      <c r="P13" s="1112"/>
      <c r="Q13" s="1112"/>
      <c r="R13" s="1113"/>
      <c r="S13" s="1114"/>
      <c r="V13" s="1092"/>
      <c r="W13" s="1092"/>
      <c r="X13" s="1092"/>
      <c r="Y13" s="1092"/>
      <c r="Z13" s="1092"/>
      <c r="AA13" s="1092"/>
      <c r="AB13" s="1092"/>
      <c r="AC13" s="1092"/>
      <c r="AD13" s="1092"/>
      <c r="AE13" s="1092"/>
      <c r="AF13" s="1092"/>
    </row>
    <row r="14" spans="1:51" ht="24.95" hidden="1" customHeight="1">
      <c r="A14" s="1107">
        <v>2</v>
      </c>
      <c r="B14" s="1115" t="s">
        <v>63</v>
      </c>
      <c r="C14" s="9">
        <v>5</v>
      </c>
      <c r="D14" s="286">
        <v>6</v>
      </c>
      <c r="E14" s="1109">
        <v>46</v>
      </c>
      <c r="F14" s="925">
        <v>0</v>
      </c>
      <c r="G14" s="929">
        <v>1</v>
      </c>
      <c r="H14" s="923">
        <v>1</v>
      </c>
      <c r="I14" s="923">
        <v>0</v>
      </c>
      <c r="J14" s="923">
        <v>0</v>
      </c>
      <c r="K14" s="931">
        <v>0</v>
      </c>
      <c r="L14" s="1110">
        <v>4</v>
      </c>
      <c r="M14" s="1116">
        <v>5</v>
      </c>
      <c r="N14" s="1116">
        <v>4</v>
      </c>
      <c r="O14" s="1116">
        <v>5</v>
      </c>
      <c r="P14" s="1117"/>
      <c r="Q14" s="1117"/>
      <c r="R14" s="1118"/>
      <c r="S14" s="1119"/>
      <c r="V14" s="1092"/>
      <c r="W14" s="1092"/>
    </row>
    <row r="15" spans="1:51" ht="24.95" hidden="1" customHeight="1">
      <c r="A15" s="1107">
        <v>3</v>
      </c>
      <c r="B15" s="1115" t="s">
        <v>64</v>
      </c>
      <c r="C15" s="9">
        <v>7</v>
      </c>
      <c r="D15" s="286">
        <v>8</v>
      </c>
      <c r="E15" s="1109">
        <v>47</v>
      </c>
      <c r="F15" s="925">
        <v>1</v>
      </c>
      <c r="G15" s="929">
        <v>1</v>
      </c>
      <c r="H15" s="923">
        <v>1</v>
      </c>
      <c r="I15" s="923">
        <v>0</v>
      </c>
      <c r="J15" s="923">
        <v>0</v>
      </c>
      <c r="K15" s="931">
        <v>0</v>
      </c>
      <c r="L15" s="1110">
        <v>6</v>
      </c>
      <c r="M15" s="1116">
        <v>7</v>
      </c>
      <c r="N15" s="1116">
        <v>6</v>
      </c>
      <c r="O15" s="1116">
        <v>7</v>
      </c>
      <c r="P15" s="1117"/>
      <c r="Q15" s="1117"/>
      <c r="R15" s="1118"/>
      <c r="S15" s="1119"/>
      <c r="V15" s="1092"/>
      <c r="W15" s="1092"/>
    </row>
    <row r="16" spans="1:51" ht="24.95" hidden="1" customHeight="1">
      <c r="A16" s="1107">
        <v>4</v>
      </c>
      <c r="B16" s="1115" t="s">
        <v>65</v>
      </c>
      <c r="C16" s="9">
        <v>9</v>
      </c>
      <c r="D16" s="286">
        <v>10</v>
      </c>
      <c r="E16" s="1109">
        <v>48</v>
      </c>
      <c r="F16" s="925">
        <v>0</v>
      </c>
      <c r="G16" s="929">
        <v>1</v>
      </c>
      <c r="H16" s="923">
        <v>1</v>
      </c>
      <c r="I16" s="923">
        <v>0</v>
      </c>
      <c r="J16" s="923">
        <v>0</v>
      </c>
      <c r="K16" s="931">
        <v>0</v>
      </c>
      <c r="L16" s="1110">
        <v>8</v>
      </c>
      <c r="M16" s="1116">
        <v>9</v>
      </c>
      <c r="N16" s="1116">
        <v>8</v>
      </c>
      <c r="O16" s="1116">
        <v>9</v>
      </c>
      <c r="P16" s="1117"/>
      <c r="Q16" s="1117"/>
      <c r="R16" s="1118"/>
      <c r="S16" s="1119"/>
      <c r="V16" s="1092"/>
      <c r="W16" s="1092"/>
    </row>
    <row r="17" spans="1:23" ht="24.95" hidden="1" customHeight="1">
      <c r="A17" s="1107">
        <v>5</v>
      </c>
      <c r="B17" s="1115" t="s">
        <v>66</v>
      </c>
      <c r="C17" s="9">
        <v>11</v>
      </c>
      <c r="D17" s="286">
        <v>12</v>
      </c>
      <c r="E17" s="1109">
        <v>49</v>
      </c>
      <c r="F17" s="925">
        <v>1</v>
      </c>
      <c r="G17" s="929">
        <v>0</v>
      </c>
      <c r="H17" s="923">
        <v>1</v>
      </c>
      <c r="I17" s="923">
        <v>0</v>
      </c>
      <c r="J17" s="923">
        <v>0</v>
      </c>
      <c r="K17" s="931">
        <v>1</v>
      </c>
      <c r="L17" s="1120"/>
      <c r="M17" s="1121"/>
      <c r="N17" s="1116">
        <v>10</v>
      </c>
      <c r="O17" s="1116">
        <v>11</v>
      </c>
      <c r="P17" s="1116">
        <v>2</v>
      </c>
      <c r="Q17" s="1116">
        <v>3</v>
      </c>
      <c r="R17" s="1116">
        <v>4</v>
      </c>
      <c r="S17" s="1122">
        <v>5</v>
      </c>
      <c r="V17" s="1092"/>
      <c r="W17" s="1092"/>
    </row>
    <row r="18" spans="1:23" ht="24.95" hidden="1" customHeight="1">
      <c r="A18" s="1107">
        <v>6</v>
      </c>
      <c r="B18" s="1115" t="s">
        <v>67</v>
      </c>
      <c r="C18" s="9">
        <v>13</v>
      </c>
      <c r="D18" s="286">
        <v>14</v>
      </c>
      <c r="E18" s="1109">
        <v>50</v>
      </c>
      <c r="F18" s="925">
        <v>0</v>
      </c>
      <c r="G18" s="929">
        <v>1</v>
      </c>
      <c r="H18" s="923">
        <v>1</v>
      </c>
      <c r="I18" s="923">
        <v>0</v>
      </c>
      <c r="J18" s="923">
        <v>0</v>
      </c>
      <c r="K18" s="931">
        <v>0</v>
      </c>
      <c r="L18" s="1110">
        <v>10</v>
      </c>
      <c r="M18" s="1116">
        <v>11</v>
      </c>
      <c r="N18" s="1116">
        <v>12</v>
      </c>
      <c r="O18" s="1116">
        <v>13</v>
      </c>
      <c r="P18" s="1117"/>
      <c r="Q18" s="1117"/>
      <c r="R18" s="1118"/>
      <c r="S18" s="1119"/>
      <c r="V18" s="1092"/>
      <c r="W18" s="1092"/>
    </row>
    <row r="19" spans="1:23" ht="24.95" hidden="1" customHeight="1">
      <c r="A19" s="1107">
        <v>7</v>
      </c>
      <c r="B19" s="1115" t="s">
        <v>68</v>
      </c>
      <c r="C19" s="9">
        <v>15</v>
      </c>
      <c r="D19" s="286">
        <v>16</v>
      </c>
      <c r="E19" s="1109">
        <v>51</v>
      </c>
      <c r="F19" s="925">
        <v>1</v>
      </c>
      <c r="G19" s="929">
        <v>1</v>
      </c>
      <c r="H19" s="923">
        <v>1</v>
      </c>
      <c r="I19" s="923">
        <v>0</v>
      </c>
      <c r="J19" s="923">
        <v>0</v>
      </c>
      <c r="K19" s="931">
        <v>0</v>
      </c>
      <c r="L19" s="1110">
        <v>12</v>
      </c>
      <c r="M19" s="1116">
        <v>13</v>
      </c>
      <c r="N19" s="1116">
        <v>14</v>
      </c>
      <c r="O19" s="1116">
        <v>15</v>
      </c>
      <c r="P19" s="1117"/>
      <c r="Q19" s="1117"/>
      <c r="R19" s="1118"/>
      <c r="S19" s="1119"/>
      <c r="V19" s="1092"/>
      <c r="W19" s="1092"/>
    </row>
    <row r="20" spans="1:23" ht="24.95" hidden="1" customHeight="1">
      <c r="A20" s="1107">
        <v>8</v>
      </c>
      <c r="B20" s="1115" t="s">
        <v>69</v>
      </c>
      <c r="C20" s="9">
        <v>17</v>
      </c>
      <c r="D20" s="286">
        <v>18</v>
      </c>
      <c r="E20" s="1109">
        <v>52</v>
      </c>
      <c r="F20" s="925">
        <v>1</v>
      </c>
      <c r="G20" s="929">
        <v>1</v>
      </c>
      <c r="H20" s="923">
        <v>1</v>
      </c>
      <c r="I20" s="923">
        <v>0</v>
      </c>
      <c r="J20" s="923">
        <v>1</v>
      </c>
      <c r="K20" s="931">
        <v>0</v>
      </c>
      <c r="L20" s="1110">
        <v>14</v>
      </c>
      <c r="M20" s="1116">
        <v>15</v>
      </c>
      <c r="N20" s="1116">
        <v>16</v>
      </c>
      <c r="O20" s="1116">
        <v>17</v>
      </c>
      <c r="P20" s="1117"/>
      <c r="Q20" s="1117"/>
      <c r="R20" s="1118"/>
      <c r="S20" s="1119"/>
      <c r="V20" s="1092"/>
      <c r="W20" s="1092"/>
    </row>
    <row r="21" spans="1:23" ht="24.95" hidden="1" customHeight="1">
      <c r="A21" s="1107">
        <v>9</v>
      </c>
      <c r="B21" s="1115" t="s">
        <v>70</v>
      </c>
      <c r="C21" s="9">
        <v>19</v>
      </c>
      <c r="D21" s="286">
        <v>20</v>
      </c>
      <c r="E21" s="1109">
        <v>53</v>
      </c>
      <c r="F21" s="925">
        <v>1</v>
      </c>
      <c r="G21" s="929">
        <v>1</v>
      </c>
      <c r="H21" s="923">
        <v>1</v>
      </c>
      <c r="I21" s="923">
        <v>0</v>
      </c>
      <c r="J21" s="923">
        <v>0</v>
      </c>
      <c r="K21" s="931">
        <v>0</v>
      </c>
      <c r="L21" s="1110">
        <v>16</v>
      </c>
      <c r="M21" s="1116">
        <v>17</v>
      </c>
      <c r="N21" s="1116">
        <v>18</v>
      </c>
      <c r="O21" s="1116">
        <v>19</v>
      </c>
      <c r="P21" s="1117"/>
      <c r="Q21" s="1117"/>
      <c r="R21" s="1118"/>
      <c r="S21" s="1119"/>
      <c r="V21" s="1092"/>
      <c r="W21" s="1092"/>
    </row>
    <row r="22" spans="1:23" ht="24.95" hidden="1" customHeight="1">
      <c r="A22" s="1107">
        <v>10</v>
      </c>
      <c r="B22" s="1115" t="s">
        <v>71</v>
      </c>
      <c r="C22" s="9">
        <v>21</v>
      </c>
      <c r="D22" s="286">
        <v>22</v>
      </c>
      <c r="E22" s="1109">
        <v>54</v>
      </c>
      <c r="F22" s="925">
        <v>0</v>
      </c>
      <c r="G22" s="929">
        <v>0</v>
      </c>
      <c r="H22" s="923">
        <v>0</v>
      </c>
      <c r="I22" s="923">
        <v>0</v>
      </c>
      <c r="J22" s="923">
        <v>0</v>
      </c>
      <c r="K22" s="931">
        <v>1</v>
      </c>
      <c r="L22" s="1120"/>
      <c r="M22" s="1121"/>
      <c r="N22" s="1116"/>
      <c r="O22" s="1116"/>
      <c r="P22" s="1116">
        <v>6</v>
      </c>
      <c r="Q22" s="1116">
        <v>7</v>
      </c>
      <c r="R22" s="1116">
        <v>8</v>
      </c>
      <c r="S22" s="1122">
        <v>9</v>
      </c>
    </row>
    <row r="23" spans="1:23" ht="24.95" hidden="1" customHeight="1">
      <c r="A23" s="1107">
        <v>11</v>
      </c>
      <c r="B23" s="1115" t="s">
        <v>72</v>
      </c>
      <c r="C23" s="9">
        <v>23</v>
      </c>
      <c r="D23" s="286">
        <v>24</v>
      </c>
      <c r="E23" s="1109">
        <v>55</v>
      </c>
      <c r="F23" s="925">
        <v>0</v>
      </c>
      <c r="G23" s="929">
        <v>1</v>
      </c>
      <c r="H23" s="923">
        <v>1</v>
      </c>
      <c r="I23" s="923">
        <v>0</v>
      </c>
      <c r="J23" s="923">
        <v>0</v>
      </c>
      <c r="K23" s="931">
        <v>0</v>
      </c>
      <c r="L23" s="1120"/>
      <c r="M23" s="1121"/>
      <c r="N23" s="1116"/>
      <c r="O23" s="1116"/>
      <c r="P23" s="1117"/>
      <c r="Q23" s="1117"/>
      <c r="R23" s="1117"/>
      <c r="S23" s="1123"/>
    </row>
    <row r="24" spans="1:23" ht="24.95" hidden="1" customHeight="1">
      <c r="A24" s="1107">
        <v>12</v>
      </c>
      <c r="B24" s="1115" t="s">
        <v>73</v>
      </c>
      <c r="C24" s="9">
        <v>25</v>
      </c>
      <c r="D24" s="286">
        <v>26</v>
      </c>
      <c r="E24" s="1109">
        <v>56</v>
      </c>
      <c r="F24" s="925">
        <v>0</v>
      </c>
      <c r="G24" s="929">
        <v>1</v>
      </c>
      <c r="H24" s="923">
        <v>1</v>
      </c>
      <c r="I24" s="923">
        <v>1</v>
      </c>
      <c r="J24" s="923">
        <v>0</v>
      </c>
      <c r="K24" s="931">
        <v>0</v>
      </c>
      <c r="L24" s="1110">
        <v>18</v>
      </c>
      <c r="M24" s="1116">
        <v>19</v>
      </c>
      <c r="N24" s="1116">
        <v>20</v>
      </c>
      <c r="O24" s="1116">
        <v>21</v>
      </c>
      <c r="P24" s="1117"/>
      <c r="Q24" s="1117"/>
      <c r="R24" s="1118"/>
      <c r="S24" s="1119"/>
      <c r="V24" s="1092"/>
      <c r="W24" s="1092"/>
    </row>
    <row r="25" spans="1:23" ht="24.95" hidden="1" customHeight="1">
      <c r="A25" s="1107">
        <v>13</v>
      </c>
      <c r="B25" s="1115" t="s">
        <v>74</v>
      </c>
      <c r="C25" s="9">
        <v>27</v>
      </c>
      <c r="D25" s="286">
        <v>28</v>
      </c>
      <c r="E25" s="1109">
        <v>57</v>
      </c>
      <c r="F25" s="925">
        <v>0</v>
      </c>
      <c r="G25" s="929">
        <v>1</v>
      </c>
      <c r="H25" s="923">
        <v>1</v>
      </c>
      <c r="I25" s="923">
        <v>0</v>
      </c>
      <c r="J25" s="923">
        <v>0</v>
      </c>
      <c r="K25" s="931">
        <v>0</v>
      </c>
      <c r="L25" s="1110">
        <v>20</v>
      </c>
      <c r="M25" s="1116">
        <v>21</v>
      </c>
      <c r="N25" s="1116">
        <v>22</v>
      </c>
      <c r="O25" s="1116">
        <v>23</v>
      </c>
      <c r="P25" s="1117"/>
      <c r="Q25" s="1117"/>
      <c r="R25" s="1118"/>
      <c r="S25" s="1119"/>
      <c r="V25" s="1092"/>
      <c r="W25" s="1092"/>
    </row>
    <row r="26" spans="1:23" ht="24.95" hidden="1" customHeight="1">
      <c r="A26" s="1107">
        <v>14</v>
      </c>
      <c r="B26" s="1124" t="s">
        <v>75</v>
      </c>
      <c r="C26" s="9">
        <v>29</v>
      </c>
      <c r="D26" s="286">
        <v>30</v>
      </c>
      <c r="E26" s="1109">
        <v>58</v>
      </c>
      <c r="F26" s="925">
        <v>1</v>
      </c>
      <c r="G26" s="929">
        <v>0</v>
      </c>
      <c r="H26" s="923">
        <v>1</v>
      </c>
      <c r="I26" s="923">
        <v>0</v>
      </c>
      <c r="J26" s="923">
        <v>0</v>
      </c>
      <c r="K26" s="931">
        <v>0</v>
      </c>
      <c r="L26" s="1120"/>
      <c r="M26" s="1121"/>
      <c r="N26" s="1116">
        <v>24</v>
      </c>
      <c r="O26" s="1116">
        <v>25</v>
      </c>
      <c r="P26" s="1117"/>
      <c r="Q26" s="1117"/>
      <c r="R26" s="1117"/>
      <c r="S26" s="1119"/>
      <c r="V26" s="1092"/>
      <c r="W26" s="1092"/>
    </row>
    <row r="27" spans="1:23" ht="24.95" hidden="1" customHeight="1">
      <c r="A27" s="1107">
        <v>15</v>
      </c>
      <c r="B27" s="1115" t="s">
        <v>100</v>
      </c>
      <c r="C27" s="9">
        <v>31</v>
      </c>
      <c r="D27" s="286">
        <v>32</v>
      </c>
      <c r="E27" s="1109">
        <v>59</v>
      </c>
      <c r="F27" s="925">
        <v>0</v>
      </c>
      <c r="G27" s="929">
        <v>1</v>
      </c>
      <c r="H27" s="923">
        <v>1</v>
      </c>
      <c r="I27" s="923">
        <v>0</v>
      </c>
      <c r="J27" s="923">
        <v>0</v>
      </c>
      <c r="K27" s="931">
        <v>1</v>
      </c>
      <c r="L27" s="1110">
        <v>22</v>
      </c>
      <c r="M27" s="1116">
        <v>23</v>
      </c>
      <c r="N27" s="1116">
        <v>26</v>
      </c>
      <c r="O27" s="1116">
        <v>27</v>
      </c>
      <c r="P27" s="1116">
        <v>10</v>
      </c>
      <c r="Q27" s="1116">
        <v>11</v>
      </c>
      <c r="R27" s="1116">
        <v>12</v>
      </c>
      <c r="S27" s="1122">
        <v>13</v>
      </c>
      <c r="V27" s="1092"/>
      <c r="W27" s="1092"/>
    </row>
    <row r="28" spans="1:23" ht="24.95" hidden="1" customHeight="1">
      <c r="A28" s="1107">
        <v>16</v>
      </c>
      <c r="B28" s="1115" t="s">
        <v>76</v>
      </c>
      <c r="C28" s="9">
        <v>33</v>
      </c>
      <c r="D28" s="286">
        <v>34</v>
      </c>
      <c r="E28" s="1109">
        <v>60</v>
      </c>
      <c r="F28" s="925">
        <v>1</v>
      </c>
      <c r="G28" s="929">
        <v>0</v>
      </c>
      <c r="H28" s="923">
        <v>1</v>
      </c>
      <c r="I28" s="923">
        <v>0</v>
      </c>
      <c r="J28" s="923">
        <v>0</v>
      </c>
      <c r="K28" s="931">
        <v>0</v>
      </c>
      <c r="L28" s="1110"/>
      <c r="M28" s="1116"/>
      <c r="N28" s="1116">
        <v>28</v>
      </c>
      <c r="O28" s="1116">
        <v>29</v>
      </c>
      <c r="P28" s="1117"/>
      <c r="Q28" s="1117"/>
      <c r="R28" s="1118"/>
      <c r="S28" s="1119"/>
      <c r="V28" s="1092"/>
      <c r="W28" s="1092"/>
    </row>
    <row r="29" spans="1:23" ht="24.95" hidden="1" customHeight="1">
      <c r="A29" s="1107">
        <v>17</v>
      </c>
      <c r="B29" s="1115" t="s">
        <v>77</v>
      </c>
      <c r="C29" s="9">
        <v>35</v>
      </c>
      <c r="D29" s="286">
        <v>36</v>
      </c>
      <c r="E29" s="1109">
        <v>61</v>
      </c>
      <c r="F29" s="925">
        <v>1</v>
      </c>
      <c r="G29" s="929">
        <v>1</v>
      </c>
      <c r="H29" s="923">
        <v>1</v>
      </c>
      <c r="I29" s="923">
        <v>0</v>
      </c>
      <c r="J29" s="923">
        <v>0</v>
      </c>
      <c r="K29" s="931">
        <v>0</v>
      </c>
      <c r="L29" s="1110">
        <v>24</v>
      </c>
      <c r="M29" s="1116">
        <v>25</v>
      </c>
      <c r="N29" s="1116">
        <v>30</v>
      </c>
      <c r="O29" s="1116">
        <v>31</v>
      </c>
      <c r="P29" s="1117"/>
      <c r="Q29" s="1117"/>
      <c r="R29" s="1118"/>
      <c r="S29" s="1119"/>
      <c r="V29" s="1092"/>
      <c r="W29" s="1092"/>
    </row>
    <row r="30" spans="1:23" ht="24.95" hidden="1" customHeight="1">
      <c r="A30" s="1107">
        <v>18</v>
      </c>
      <c r="B30" s="1115" t="s">
        <v>78</v>
      </c>
      <c r="C30" s="9">
        <v>37</v>
      </c>
      <c r="D30" s="286">
        <v>38</v>
      </c>
      <c r="E30" s="1109">
        <v>62</v>
      </c>
      <c r="F30" s="925">
        <v>1</v>
      </c>
      <c r="G30" s="929">
        <v>1</v>
      </c>
      <c r="H30" s="923">
        <v>1</v>
      </c>
      <c r="I30" s="923">
        <v>0</v>
      </c>
      <c r="J30" s="923">
        <v>0</v>
      </c>
      <c r="K30" s="931">
        <v>0</v>
      </c>
      <c r="L30" s="1110">
        <v>26</v>
      </c>
      <c r="M30" s="1116">
        <v>27</v>
      </c>
      <c r="N30" s="1116">
        <v>32</v>
      </c>
      <c r="O30" s="1116">
        <v>33</v>
      </c>
      <c r="P30" s="1117"/>
      <c r="Q30" s="1117"/>
      <c r="R30" s="1118"/>
      <c r="S30" s="1119"/>
      <c r="V30" s="1092"/>
      <c r="W30" s="1092"/>
    </row>
    <row r="31" spans="1:23" ht="24.95" hidden="1" customHeight="1">
      <c r="A31" s="1107">
        <v>19</v>
      </c>
      <c r="B31" s="1115" t="s">
        <v>79</v>
      </c>
      <c r="C31" s="9">
        <v>39</v>
      </c>
      <c r="D31" s="286">
        <v>40</v>
      </c>
      <c r="E31" s="1109">
        <v>63</v>
      </c>
      <c r="F31" s="925">
        <v>0</v>
      </c>
      <c r="G31" s="929">
        <v>1</v>
      </c>
      <c r="H31" s="923">
        <v>1</v>
      </c>
      <c r="I31" s="923">
        <v>0</v>
      </c>
      <c r="J31" s="923">
        <v>0</v>
      </c>
      <c r="K31" s="931">
        <v>0</v>
      </c>
      <c r="L31" s="1110">
        <v>28</v>
      </c>
      <c r="M31" s="1116">
        <v>29</v>
      </c>
      <c r="N31" s="1116">
        <v>34</v>
      </c>
      <c r="O31" s="1116">
        <v>35</v>
      </c>
      <c r="P31" s="1117"/>
      <c r="Q31" s="1117"/>
      <c r="R31" s="1117"/>
      <c r="S31" s="1119"/>
      <c r="V31" s="1092"/>
      <c r="W31" s="1092"/>
    </row>
    <row r="32" spans="1:23" ht="24.95" hidden="1" customHeight="1" thickBot="1">
      <c r="A32" s="1125">
        <v>20</v>
      </c>
      <c r="B32" s="1126" t="s">
        <v>80</v>
      </c>
      <c r="C32" s="10">
        <v>43</v>
      </c>
      <c r="D32" s="287">
        <v>44</v>
      </c>
      <c r="E32" s="1127">
        <v>65</v>
      </c>
      <c r="F32" s="927"/>
      <c r="G32" s="1128"/>
      <c r="H32" s="1129"/>
      <c r="I32" s="1129"/>
      <c r="J32" s="1129"/>
      <c r="K32" s="928"/>
      <c r="L32" s="1130"/>
      <c r="M32" s="1131"/>
      <c r="N32" s="1131"/>
      <c r="O32" s="1131"/>
      <c r="P32" s="1131"/>
      <c r="Q32" s="1131"/>
      <c r="R32" s="1131"/>
      <c r="S32" s="1132"/>
    </row>
    <row r="33" spans="1:74" hidden="1"/>
    <row r="34" spans="1:74" hidden="1">
      <c r="G34" s="1092"/>
      <c r="H34" s="1092"/>
      <c r="I34" s="1092"/>
    </row>
    <row r="35" spans="1:74" s="711" customFormat="1" ht="20.100000000000001" hidden="1" customHeight="1">
      <c r="A35" s="710" t="s">
        <v>197</v>
      </c>
    </row>
    <row r="36" spans="1:74" s="711" customFormat="1" hidden="1">
      <c r="BN36" s="1133"/>
      <c r="BO36" s="1133"/>
      <c r="BP36" s="1133"/>
      <c r="BQ36" s="1133"/>
      <c r="BR36" s="1133"/>
      <c r="BS36" s="1133"/>
      <c r="BT36" s="1133"/>
      <c r="BU36" s="1133"/>
      <c r="BV36" s="1133"/>
    </row>
    <row r="37" spans="1:74" s="711" customFormat="1" ht="19.5" hidden="1" customHeight="1">
      <c r="A37" s="712" t="s">
        <v>198</v>
      </c>
    </row>
    <row r="38" spans="1:74" s="711" customFormat="1" ht="20.100000000000001" hidden="1" customHeight="1">
      <c r="A38" s="713">
        <v>1</v>
      </c>
      <c r="B38" s="713">
        <v>2</v>
      </c>
      <c r="C38" s="713">
        <v>3</v>
      </c>
      <c r="D38" s="713">
        <v>4</v>
      </c>
      <c r="E38" s="713">
        <v>5</v>
      </c>
      <c r="F38" s="713">
        <v>6</v>
      </c>
      <c r="G38" s="713">
        <v>7</v>
      </c>
      <c r="H38" s="713">
        <v>8</v>
      </c>
      <c r="I38" s="713">
        <v>9</v>
      </c>
      <c r="J38" s="713">
        <v>10</v>
      </c>
      <c r="K38" s="713">
        <v>11</v>
      </c>
      <c r="L38" s="713">
        <v>12</v>
      </c>
      <c r="M38" s="713">
        <v>13</v>
      </c>
      <c r="N38" s="713">
        <v>14</v>
      </c>
      <c r="O38" s="713">
        <v>15</v>
      </c>
      <c r="P38" s="713">
        <v>16</v>
      </c>
      <c r="Q38" s="713">
        <v>17</v>
      </c>
      <c r="R38" s="713">
        <v>18</v>
      </c>
      <c r="S38" s="713">
        <v>19</v>
      </c>
      <c r="T38" s="713">
        <v>20</v>
      </c>
      <c r="U38" s="713">
        <v>21</v>
      </c>
      <c r="V38" s="713">
        <v>22</v>
      </c>
      <c r="W38" s="713">
        <v>23</v>
      </c>
      <c r="X38" s="713">
        <v>24</v>
      </c>
      <c r="Y38" s="713">
        <v>25</v>
      </c>
      <c r="Z38" s="713">
        <v>26</v>
      </c>
      <c r="AA38" s="713">
        <v>27</v>
      </c>
      <c r="AB38" s="713">
        <v>28</v>
      </c>
      <c r="AC38" s="713">
        <v>29</v>
      </c>
      <c r="AD38" s="713">
        <v>30</v>
      </c>
      <c r="AE38" s="713">
        <v>31</v>
      </c>
      <c r="AF38" s="713">
        <v>32</v>
      </c>
      <c r="AG38" s="713">
        <v>33</v>
      </c>
      <c r="AH38" s="713">
        <v>34</v>
      </c>
      <c r="AI38" s="713">
        <v>35</v>
      </c>
      <c r="AJ38" s="713">
        <v>36</v>
      </c>
      <c r="AK38" s="713">
        <v>37</v>
      </c>
      <c r="AL38" s="713">
        <v>38</v>
      </c>
      <c r="AM38" s="713">
        <v>39</v>
      </c>
      <c r="AN38" s="713">
        <v>40</v>
      </c>
      <c r="AO38" s="714"/>
      <c r="AP38" s="714"/>
      <c r="AQ38" s="714"/>
      <c r="AR38" s="714"/>
      <c r="AS38" s="714"/>
      <c r="AT38" s="714"/>
      <c r="AU38" s="714"/>
      <c r="AV38" s="714"/>
      <c r="AW38" s="714"/>
      <c r="AX38" s="714"/>
      <c r="AY38" s="714"/>
      <c r="AZ38" s="714"/>
      <c r="BA38" s="714"/>
      <c r="BB38" s="714"/>
    </row>
    <row r="39" spans="1:74" s="711" customFormat="1" ht="15.75" hidden="1" thickBot="1"/>
    <row r="40" spans="1:74" s="711" customFormat="1" ht="39.950000000000003" hidden="1" customHeight="1">
      <c r="A40" s="715"/>
      <c r="B40" s="716"/>
      <c r="C40" s="1434" t="s">
        <v>199</v>
      </c>
      <c r="D40" s="1435"/>
      <c r="E40" s="1435"/>
      <c r="F40" s="1436"/>
      <c r="G40" s="1437" t="s">
        <v>200</v>
      </c>
      <c r="H40" s="1438"/>
      <c r="I40" s="1439" t="s">
        <v>201</v>
      </c>
      <c r="J40" s="1440"/>
      <c r="K40" s="1441"/>
      <c r="L40" s="1442" t="s">
        <v>202</v>
      </c>
      <c r="M40" s="1438"/>
      <c r="N40" s="1443"/>
      <c r="O40" s="1434" t="s">
        <v>195</v>
      </c>
      <c r="P40" s="1435"/>
      <c r="Q40" s="1435"/>
      <c r="R40" s="1435"/>
      <c r="S40" s="1435"/>
      <c r="T40" s="1435"/>
      <c r="U40" s="1435"/>
      <c r="V40" s="1435"/>
      <c r="W40" s="1435"/>
      <c r="X40" s="1435"/>
      <c r="Y40" s="1435"/>
      <c r="Z40" s="1465"/>
      <c r="AA40" s="1434" t="s">
        <v>196</v>
      </c>
      <c r="AB40" s="1435"/>
      <c r="AC40" s="1435"/>
      <c r="AD40" s="1435"/>
      <c r="AE40" s="1435"/>
      <c r="AF40" s="1435"/>
      <c r="AG40" s="1435"/>
      <c r="AH40" s="1465"/>
      <c r="AI40" s="1429" t="s">
        <v>203</v>
      </c>
      <c r="AJ40" s="1430"/>
      <c r="AK40" s="1430"/>
      <c r="AL40" s="1430"/>
      <c r="AM40" s="1462"/>
      <c r="AN40" s="1463" t="s">
        <v>204</v>
      </c>
      <c r="BC40" s="717"/>
      <c r="BD40" s="415"/>
      <c r="BE40" s="415"/>
      <c r="BF40" s="415"/>
      <c r="BG40" s="415"/>
      <c r="BH40" s="1134"/>
      <c r="BI40" s="1134"/>
      <c r="BJ40" s="1134"/>
      <c r="BK40" s="1134"/>
      <c r="BL40" s="415"/>
      <c r="BM40" s="415"/>
    </row>
    <row r="41" spans="1:74" s="711" customFormat="1" ht="90" hidden="1" customHeight="1">
      <c r="A41" s="718" t="s">
        <v>135</v>
      </c>
      <c r="B41" s="719"/>
      <c r="C41" s="416" t="s">
        <v>205</v>
      </c>
      <c r="D41" s="720" t="s">
        <v>206</v>
      </c>
      <c r="E41" s="417" t="s">
        <v>207</v>
      </c>
      <c r="F41" s="721" t="s">
        <v>208</v>
      </c>
      <c r="G41" s="722" t="s">
        <v>209</v>
      </c>
      <c r="H41" s="723" t="s">
        <v>210</v>
      </c>
      <c r="I41" s="724" t="s">
        <v>211</v>
      </c>
      <c r="J41" s="725" t="s">
        <v>212</v>
      </c>
      <c r="K41" s="726" t="s">
        <v>213</v>
      </c>
      <c r="L41" s="727" t="s">
        <v>214</v>
      </c>
      <c r="M41" s="728" t="s">
        <v>215</v>
      </c>
      <c r="N41" s="726" t="s">
        <v>3</v>
      </c>
      <c r="O41" s="729" t="s">
        <v>136</v>
      </c>
      <c r="P41" s="417" t="s">
        <v>137</v>
      </c>
      <c r="Q41" s="416" t="s">
        <v>138</v>
      </c>
      <c r="R41" s="417" t="s">
        <v>139</v>
      </c>
      <c r="S41" s="720" t="s">
        <v>140</v>
      </c>
      <c r="T41" s="720" t="s">
        <v>141</v>
      </c>
      <c r="U41" s="720" t="s">
        <v>142</v>
      </c>
      <c r="V41" s="720" t="s">
        <v>143</v>
      </c>
      <c r="W41" s="720" t="s">
        <v>144</v>
      </c>
      <c r="X41" s="720" t="s">
        <v>145</v>
      </c>
      <c r="Y41" s="720" t="s">
        <v>146</v>
      </c>
      <c r="Z41" s="418" t="s">
        <v>3</v>
      </c>
      <c r="AA41" s="730" t="s">
        <v>136</v>
      </c>
      <c r="AB41" s="731" t="s">
        <v>137</v>
      </c>
      <c r="AC41" s="725" t="s">
        <v>216</v>
      </c>
      <c r="AD41" s="731" t="s">
        <v>140</v>
      </c>
      <c r="AE41" s="731" t="s">
        <v>144</v>
      </c>
      <c r="AF41" s="731" t="s">
        <v>145</v>
      </c>
      <c r="AG41" s="731" t="s">
        <v>147</v>
      </c>
      <c r="AH41" s="418" t="s">
        <v>3</v>
      </c>
      <c r="AI41" s="732" t="s">
        <v>148</v>
      </c>
      <c r="AJ41" s="733" t="s">
        <v>149</v>
      </c>
      <c r="AK41" s="734" t="s">
        <v>150</v>
      </c>
      <c r="AL41" s="734" t="s">
        <v>151</v>
      </c>
      <c r="AM41" s="735" t="s">
        <v>152</v>
      </c>
      <c r="AN41" s="1464"/>
      <c r="BC41" s="415"/>
      <c r="BD41" s="415"/>
      <c r="BE41" s="415"/>
      <c r="BF41" s="415"/>
      <c r="BG41" s="415"/>
      <c r="BH41" s="1134"/>
      <c r="BI41" s="1134"/>
      <c r="BJ41" s="1134"/>
      <c r="BK41" s="1134"/>
      <c r="BL41" s="415"/>
      <c r="BM41" s="415"/>
      <c r="BN41" s="415"/>
      <c r="BO41" s="415"/>
      <c r="BP41" s="415"/>
      <c r="BQ41" s="415"/>
      <c r="BR41" s="415"/>
      <c r="BS41" s="415"/>
      <c r="BT41" s="415"/>
      <c r="BU41" s="415"/>
      <c r="BV41" s="717"/>
    </row>
    <row r="42" spans="1:74" s="711" customFormat="1" ht="24.95" hidden="1" customHeight="1">
      <c r="A42" s="1432" t="s">
        <v>153</v>
      </c>
      <c r="B42" s="736" t="s">
        <v>154</v>
      </c>
      <c r="C42" s="737" t="s">
        <v>27</v>
      </c>
      <c r="D42" s="738" t="s">
        <v>27</v>
      </c>
      <c r="E42" s="738" t="s">
        <v>27</v>
      </c>
      <c r="F42" s="738" t="s">
        <v>27</v>
      </c>
      <c r="G42" s="738" t="s">
        <v>27</v>
      </c>
      <c r="H42" s="739" t="s">
        <v>27</v>
      </c>
      <c r="I42" s="737" t="s">
        <v>27</v>
      </c>
      <c r="J42" s="738" t="s">
        <v>27</v>
      </c>
      <c r="K42" s="419" t="s">
        <v>27</v>
      </c>
      <c r="L42" s="740" t="s">
        <v>27</v>
      </c>
      <c r="M42" s="738" t="s">
        <v>27</v>
      </c>
      <c r="N42" s="419" t="s">
        <v>27</v>
      </c>
      <c r="O42" s="422" t="s">
        <v>27</v>
      </c>
      <c r="P42" s="420" t="s">
        <v>27</v>
      </c>
      <c r="Q42" s="741" t="s">
        <v>27</v>
      </c>
      <c r="R42" s="420" t="s">
        <v>27</v>
      </c>
      <c r="S42" s="421" t="s">
        <v>27</v>
      </c>
      <c r="T42" s="421" t="s">
        <v>27</v>
      </c>
      <c r="U42" s="421" t="s">
        <v>27</v>
      </c>
      <c r="V42" s="421" t="s">
        <v>27</v>
      </c>
      <c r="W42" s="421" t="s">
        <v>27</v>
      </c>
      <c r="X42" s="421" t="s">
        <v>27</v>
      </c>
      <c r="Y42" s="421" t="s">
        <v>27</v>
      </c>
      <c r="Z42" s="423" t="s">
        <v>27</v>
      </c>
      <c r="AA42" s="742" t="s">
        <v>27</v>
      </c>
      <c r="AB42" s="420" t="s">
        <v>27</v>
      </c>
      <c r="AC42" s="420" t="s">
        <v>27</v>
      </c>
      <c r="AD42" s="420" t="s">
        <v>27</v>
      </c>
      <c r="AE42" s="420" t="s">
        <v>27</v>
      </c>
      <c r="AF42" s="420" t="s">
        <v>27</v>
      </c>
      <c r="AG42" s="420" t="s">
        <v>27</v>
      </c>
      <c r="AH42" s="423" t="s">
        <v>27</v>
      </c>
      <c r="AI42" s="743" t="s">
        <v>27</v>
      </c>
      <c r="AJ42" s="744" t="s">
        <v>27</v>
      </c>
      <c r="AK42" s="744" t="s">
        <v>27</v>
      </c>
      <c r="AL42" s="744" t="s">
        <v>27</v>
      </c>
      <c r="AM42" s="745" t="s">
        <v>27</v>
      </c>
      <c r="AN42" s="746" t="s">
        <v>27</v>
      </c>
      <c r="BC42" s="415"/>
      <c r="BD42" s="415"/>
      <c r="BE42" s="415"/>
      <c r="BF42" s="1134"/>
      <c r="BG42" s="717"/>
      <c r="BH42" s="717"/>
      <c r="BI42" s="1135"/>
      <c r="BJ42" s="1135"/>
      <c r="BK42" s="1135"/>
      <c r="BL42" s="1135"/>
      <c r="BM42" s="1135"/>
      <c r="BN42" s="717"/>
      <c r="BO42" s="717"/>
      <c r="BP42" s="717"/>
      <c r="BQ42" s="717"/>
      <c r="BR42" s="717"/>
      <c r="BS42" s="717"/>
      <c r="BT42" s="717"/>
      <c r="BU42" s="717"/>
      <c r="BV42" s="717"/>
    </row>
    <row r="43" spans="1:74" s="711" customFormat="1" ht="24.95" hidden="1" customHeight="1">
      <c r="A43" s="1433"/>
      <c r="B43" s="747"/>
      <c r="C43" s="748">
        <v>1</v>
      </c>
      <c r="D43" s="424">
        <v>2</v>
      </c>
      <c r="E43" s="749">
        <v>3</v>
      </c>
      <c r="F43" s="750">
        <v>4</v>
      </c>
      <c r="G43" s="424">
        <v>5</v>
      </c>
      <c r="H43" s="749">
        <v>6</v>
      </c>
      <c r="I43" s="748">
        <v>7</v>
      </c>
      <c r="J43" s="424">
        <v>8</v>
      </c>
      <c r="K43" s="749">
        <v>9</v>
      </c>
      <c r="L43" s="748">
        <v>10</v>
      </c>
      <c r="M43" s="424">
        <v>11</v>
      </c>
      <c r="N43" s="425">
        <v>12</v>
      </c>
      <c r="O43" s="748">
        <v>13</v>
      </c>
      <c r="P43" s="424">
        <v>14</v>
      </c>
      <c r="Q43" s="424">
        <v>15</v>
      </c>
      <c r="R43" s="750">
        <v>16</v>
      </c>
      <c r="S43" s="424">
        <v>17</v>
      </c>
      <c r="T43" s="424">
        <v>18</v>
      </c>
      <c r="U43" s="750">
        <v>19</v>
      </c>
      <c r="V43" s="424">
        <v>20</v>
      </c>
      <c r="W43" s="424">
        <v>21</v>
      </c>
      <c r="X43" s="750">
        <v>22</v>
      </c>
      <c r="Y43" s="424">
        <v>23</v>
      </c>
      <c r="Z43" s="425">
        <v>24</v>
      </c>
      <c r="AA43" s="748">
        <v>25</v>
      </c>
      <c r="AB43" s="424">
        <v>26</v>
      </c>
      <c r="AC43" s="424">
        <v>27</v>
      </c>
      <c r="AD43" s="750">
        <v>28</v>
      </c>
      <c r="AE43" s="424">
        <v>29</v>
      </c>
      <c r="AF43" s="424">
        <v>30</v>
      </c>
      <c r="AG43" s="750">
        <v>31</v>
      </c>
      <c r="AH43" s="425">
        <v>32</v>
      </c>
      <c r="AI43" s="426">
        <v>33</v>
      </c>
      <c r="AJ43" s="750">
        <v>34</v>
      </c>
      <c r="AK43" s="424">
        <v>35</v>
      </c>
      <c r="AL43" s="424">
        <v>36</v>
      </c>
      <c r="AM43" s="750">
        <v>37</v>
      </c>
      <c r="AN43" s="425">
        <v>38</v>
      </c>
      <c r="BC43" s="717"/>
      <c r="BD43" s="717"/>
      <c r="BE43" s="717"/>
      <c r="BF43" s="717"/>
      <c r="BG43" s="717"/>
      <c r="BH43" s="717"/>
      <c r="BI43" s="1136"/>
      <c r="BJ43" s="1136"/>
      <c r="BK43" s="1136"/>
      <c r="BL43" s="1136"/>
      <c r="BM43" s="1136"/>
      <c r="BN43" s="717"/>
      <c r="BO43" s="717"/>
      <c r="BP43" s="717"/>
      <c r="BQ43" s="717"/>
      <c r="BR43" s="717"/>
      <c r="BS43" s="717"/>
      <c r="BT43" s="717"/>
      <c r="BU43" s="717"/>
      <c r="BV43" s="717"/>
    </row>
    <row r="44" spans="1:74" s="711" customFormat="1" ht="24.95" hidden="1" customHeight="1">
      <c r="A44" s="751">
        <v>1</v>
      </c>
      <c r="B44" s="752" t="s">
        <v>18</v>
      </c>
      <c r="C44" s="1137">
        <v>10</v>
      </c>
      <c r="D44" s="759">
        <v>10</v>
      </c>
      <c r="E44" s="759">
        <v>25</v>
      </c>
      <c r="F44" s="759">
        <v>0</v>
      </c>
      <c r="G44" s="759">
        <v>71</v>
      </c>
      <c r="H44" s="1138">
        <v>0</v>
      </c>
      <c r="I44" s="753">
        <v>0</v>
      </c>
      <c r="J44" s="754">
        <v>0</v>
      </c>
      <c r="K44" s="755">
        <v>0</v>
      </c>
      <c r="L44" s="1137">
        <v>6704.2999999999993</v>
      </c>
      <c r="M44" s="759">
        <v>0</v>
      </c>
      <c r="N44" s="756">
        <f>SUM(L44:M44)</f>
        <v>6704.2999999999993</v>
      </c>
      <c r="O44" s="1139">
        <v>364.9</v>
      </c>
      <c r="P44" s="1140">
        <v>0</v>
      </c>
      <c r="Q44" s="1140">
        <v>233.7</v>
      </c>
      <c r="R44" s="1140">
        <v>0</v>
      </c>
      <c r="S44" s="1140">
        <v>382.3</v>
      </c>
      <c r="T44" s="1140">
        <v>52.6</v>
      </c>
      <c r="U44" s="1140">
        <v>0</v>
      </c>
      <c r="V44" s="1140">
        <v>0</v>
      </c>
      <c r="W44" s="1140">
        <v>56.4</v>
      </c>
      <c r="X44" s="1140">
        <v>114.6</v>
      </c>
      <c r="Y44" s="1140">
        <v>0</v>
      </c>
      <c r="Z44" s="430">
        <f>SUM(O44:Y44)</f>
        <v>1204.4999999999998</v>
      </c>
      <c r="AA44" s="757">
        <v>18</v>
      </c>
      <c r="AB44" s="758">
        <v>64.7</v>
      </c>
      <c r="AC44" s="759">
        <v>10</v>
      </c>
      <c r="AD44" s="759">
        <v>0</v>
      </c>
      <c r="AE44" s="759">
        <v>160</v>
      </c>
      <c r="AF44" s="760">
        <v>85</v>
      </c>
      <c r="AG44" s="760">
        <v>0</v>
      </c>
      <c r="AH44" s="761">
        <f>SUM(AA44:AG44)</f>
        <v>337.7</v>
      </c>
      <c r="AI44" s="762">
        <v>804</v>
      </c>
      <c r="AJ44" s="763">
        <v>87</v>
      </c>
      <c r="AK44" s="764">
        <v>616</v>
      </c>
      <c r="AL44" s="765">
        <v>257</v>
      </c>
      <c r="AM44" s="766">
        <v>0</v>
      </c>
      <c r="AN44" s="767">
        <v>6251</v>
      </c>
      <c r="AP44" s="1141"/>
      <c r="AQ44" s="1141"/>
      <c r="AR44" s="1141"/>
      <c r="BC44" s="1135"/>
      <c r="BD44" s="1135"/>
      <c r="BE44" s="1135"/>
      <c r="BF44" s="1135"/>
      <c r="BG44" s="1135"/>
      <c r="BH44" s="1135"/>
      <c r="BI44" s="1135"/>
      <c r="BJ44" s="1142"/>
      <c r="BK44" s="1142"/>
      <c r="BL44" s="1142"/>
      <c r="BM44" s="1142"/>
      <c r="BN44" s="1142"/>
      <c r="BO44" s="1142"/>
      <c r="BP44" s="1142"/>
      <c r="BQ44" s="1142"/>
      <c r="BR44" s="1142"/>
      <c r="BS44" s="1142"/>
      <c r="BT44" s="1142"/>
      <c r="BU44" s="1142"/>
      <c r="BV44" s="717"/>
    </row>
    <row r="45" spans="1:74" s="711" customFormat="1" ht="20.100000000000001" hidden="1" customHeight="1">
      <c r="A45" s="768">
        <v>2</v>
      </c>
      <c r="B45" s="769" t="s">
        <v>63</v>
      </c>
      <c r="C45" s="1143">
        <v>0</v>
      </c>
      <c r="D45" s="428">
        <v>40</v>
      </c>
      <c r="E45" s="428">
        <v>6</v>
      </c>
      <c r="F45" s="428">
        <v>0</v>
      </c>
      <c r="G45" s="428">
        <v>20</v>
      </c>
      <c r="H45" s="1144">
        <v>0</v>
      </c>
      <c r="I45" s="753">
        <v>0</v>
      </c>
      <c r="J45" s="758">
        <v>0</v>
      </c>
      <c r="K45" s="770">
        <v>0</v>
      </c>
      <c r="L45" s="1143">
        <v>3182.5</v>
      </c>
      <c r="M45" s="428">
        <v>0</v>
      </c>
      <c r="N45" s="756">
        <f>SUM(L45:M45)</f>
        <v>3182.5</v>
      </c>
      <c r="O45" s="1139">
        <v>0</v>
      </c>
      <c r="P45" s="1140">
        <v>0</v>
      </c>
      <c r="Q45" s="1140">
        <v>0</v>
      </c>
      <c r="R45" s="1140">
        <v>0</v>
      </c>
      <c r="S45" s="1140">
        <v>0</v>
      </c>
      <c r="T45" s="1140">
        <v>0</v>
      </c>
      <c r="U45" s="1140">
        <v>0</v>
      </c>
      <c r="V45" s="1140">
        <v>0</v>
      </c>
      <c r="W45" s="1140">
        <v>0</v>
      </c>
      <c r="X45" s="1140">
        <v>0</v>
      </c>
      <c r="Y45" s="1140">
        <v>110</v>
      </c>
      <c r="Z45" s="430">
        <f t="shared" ref="Z45:Z62" si="0">SUM(O45:Y45)</f>
        <v>110</v>
      </c>
      <c r="AA45" s="428">
        <v>0</v>
      </c>
      <c r="AB45" s="758">
        <v>0</v>
      </c>
      <c r="AC45" s="428">
        <v>0</v>
      </c>
      <c r="AD45" s="428">
        <v>0</v>
      </c>
      <c r="AE45" s="428">
        <v>0</v>
      </c>
      <c r="AF45" s="428">
        <v>0</v>
      </c>
      <c r="AG45" s="428">
        <v>0</v>
      </c>
      <c r="AH45" s="771">
        <f>SUM(AA45:AG45)</f>
        <v>0</v>
      </c>
      <c r="AI45" s="762">
        <v>0</v>
      </c>
      <c r="AJ45" s="763">
        <v>0</v>
      </c>
      <c r="AK45" s="764">
        <v>0</v>
      </c>
      <c r="AL45" s="765">
        <v>0</v>
      </c>
      <c r="AM45" s="766">
        <v>110</v>
      </c>
      <c r="AN45" s="767">
        <v>3390</v>
      </c>
      <c r="AP45" s="1141"/>
      <c r="AQ45" s="1141"/>
      <c r="AR45" s="1141"/>
      <c r="BC45" s="1135"/>
      <c r="BD45" s="1135"/>
      <c r="BE45" s="1135"/>
      <c r="BF45" s="1135"/>
      <c r="BG45" s="1135"/>
      <c r="BH45" s="1135"/>
      <c r="BI45" s="1135"/>
      <c r="BJ45" s="1142"/>
      <c r="BK45" s="1142"/>
      <c r="BL45" s="1142"/>
      <c r="BM45" s="1142"/>
      <c r="BN45" s="1142"/>
      <c r="BO45" s="1142"/>
      <c r="BP45" s="1142"/>
      <c r="BQ45" s="1142"/>
      <c r="BR45" s="1142"/>
      <c r="BS45" s="1142"/>
      <c r="BT45" s="1142"/>
      <c r="BU45" s="1142"/>
      <c r="BV45" s="717"/>
    </row>
    <row r="46" spans="1:74" s="711" customFormat="1" ht="20.100000000000001" hidden="1" customHeight="1">
      <c r="A46" s="768">
        <v>3</v>
      </c>
      <c r="B46" s="769" t="s">
        <v>64</v>
      </c>
      <c r="C46" s="1143">
        <v>150</v>
      </c>
      <c r="D46" s="428">
        <v>50</v>
      </c>
      <c r="E46" s="428">
        <v>22.5</v>
      </c>
      <c r="F46" s="428">
        <v>0</v>
      </c>
      <c r="G46" s="428">
        <v>49</v>
      </c>
      <c r="H46" s="1144">
        <v>0</v>
      </c>
      <c r="I46" s="753">
        <v>0</v>
      </c>
      <c r="J46" s="758">
        <v>0</v>
      </c>
      <c r="K46" s="770">
        <v>0</v>
      </c>
      <c r="L46" s="1143">
        <v>5935.4</v>
      </c>
      <c r="M46" s="428">
        <v>0</v>
      </c>
      <c r="N46" s="756">
        <f t="shared" ref="N46:N62" si="1">SUM(L46:M46)</f>
        <v>5935.4</v>
      </c>
      <c r="O46" s="1139">
        <v>324.5</v>
      </c>
      <c r="P46" s="1140">
        <v>153.69999999999999</v>
      </c>
      <c r="Q46" s="1140">
        <v>197.3</v>
      </c>
      <c r="R46" s="1140">
        <v>30.5</v>
      </c>
      <c r="S46" s="1140">
        <v>232.4</v>
      </c>
      <c r="T46" s="1140">
        <v>0</v>
      </c>
      <c r="U46" s="1140">
        <v>0</v>
      </c>
      <c r="V46" s="1140">
        <v>0</v>
      </c>
      <c r="W46" s="1140">
        <v>38.700000000000003</v>
      </c>
      <c r="X46" s="1140">
        <v>17</v>
      </c>
      <c r="Y46" s="1140">
        <v>0</v>
      </c>
      <c r="Z46" s="430">
        <f t="shared" si="0"/>
        <v>994.1</v>
      </c>
      <c r="AA46" s="427">
        <v>18</v>
      </c>
      <c r="AB46" s="758">
        <v>6.9000000000000057</v>
      </c>
      <c r="AC46" s="428">
        <v>10</v>
      </c>
      <c r="AD46" s="428">
        <v>0</v>
      </c>
      <c r="AE46" s="428">
        <v>161</v>
      </c>
      <c r="AF46" s="428">
        <v>28</v>
      </c>
      <c r="AG46" s="429">
        <v>1134</v>
      </c>
      <c r="AH46" s="771">
        <f t="shared" ref="AH46:AH62" si="2">SUM(AA46:AG46)</f>
        <v>1357.9</v>
      </c>
      <c r="AI46" s="762">
        <v>679</v>
      </c>
      <c r="AJ46" s="763">
        <v>262</v>
      </c>
      <c r="AK46" s="764">
        <v>439</v>
      </c>
      <c r="AL46" s="765">
        <v>46</v>
      </c>
      <c r="AM46" s="766">
        <v>1134</v>
      </c>
      <c r="AN46" s="767">
        <v>5515</v>
      </c>
      <c r="AP46" s="1141"/>
      <c r="AQ46" s="1141"/>
      <c r="AR46" s="1141"/>
      <c r="BC46" s="1135"/>
      <c r="BD46" s="1135"/>
      <c r="BE46" s="1135"/>
      <c r="BF46" s="1135"/>
      <c r="BG46" s="1135"/>
      <c r="BH46" s="1135"/>
      <c r="BI46" s="1135"/>
      <c r="BJ46" s="1142"/>
      <c r="BK46" s="1142"/>
      <c r="BL46" s="1142"/>
      <c r="BM46" s="1142"/>
      <c r="BN46" s="1142"/>
      <c r="BO46" s="1142"/>
      <c r="BP46" s="1142"/>
      <c r="BQ46" s="1142"/>
      <c r="BR46" s="1142"/>
      <c r="BS46" s="1142"/>
      <c r="BT46" s="1142"/>
      <c r="BU46" s="1142"/>
      <c r="BV46" s="717"/>
    </row>
    <row r="47" spans="1:74" s="711" customFormat="1" ht="20.100000000000001" hidden="1" customHeight="1">
      <c r="A47" s="768">
        <v>4</v>
      </c>
      <c r="B47" s="769" t="s">
        <v>65</v>
      </c>
      <c r="C47" s="1143">
        <v>0</v>
      </c>
      <c r="D47" s="428">
        <v>107</v>
      </c>
      <c r="E47" s="428">
        <v>0</v>
      </c>
      <c r="F47" s="428">
        <v>0</v>
      </c>
      <c r="G47" s="428">
        <v>24</v>
      </c>
      <c r="H47" s="1144">
        <v>0</v>
      </c>
      <c r="I47" s="753">
        <v>0</v>
      </c>
      <c r="J47" s="758">
        <v>0</v>
      </c>
      <c r="K47" s="770">
        <v>0</v>
      </c>
      <c r="L47" s="1143">
        <v>7510.3</v>
      </c>
      <c r="M47" s="428">
        <v>0</v>
      </c>
      <c r="N47" s="756">
        <f t="shared" si="1"/>
        <v>7510.3</v>
      </c>
      <c r="O47" s="1139">
        <v>0</v>
      </c>
      <c r="P47" s="1140">
        <v>0</v>
      </c>
      <c r="Q47" s="1140">
        <v>0</v>
      </c>
      <c r="R47" s="1140">
        <v>0</v>
      </c>
      <c r="S47" s="1140">
        <v>0</v>
      </c>
      <c r="T47" s="1140">
        <v>0</v>
      </c>
      <c r="U47" s="1140">
        <v>0</v>
      </c>
      <c r="V47" s="1140">
        <v>0</v>
      </c>
      <c r="W47" s="1140">
        <v>0</v>
      </c>
      <c r="X47" s="1140">
        <v>0</v>
      </c>
      <c r="Y47" s="1140">
        <v>0</v>
      </c>
      <c r="Z47" s="430">
        <f t="shared" si="0"/>
        <v>0</v>
      </c>
      <c r="AA47" s="431">
        <v>0</v>
      </c>
      <c r="AB47" s="758">
        <v>0</v>
      </c>
      <c r="AC47" s="429">
        <v>0</v>
      </c>
      <c r="AD47" s="429">
        <v>0</v>
      </c>
      <c r="AE47" s="429">
        <v>0</v>
      </c>
      <c r="AF47" s="428">
        <v>0</v>
      </c>
      <c r="AG47" s="429">
        <v>1595</v>
      </c>
      <c r="AH47" s="771">
        <f t="shared" si="2"/>
        <v>1595</v>
      </c>
      <c r="AI47" s="762">
        <v>0</v>
      </c>
      <c r="AJ47" s="763">
        <v>0</v>
      </c>
      <c r="AK47" s="764">
        <v>0</v>
      </c>
      <c r="AL47" s="765">
        <v>0</v>
      </c>
      <c r="AM47" s="766">
        <v>1595</v>
      </c>
      <c r="AN47" s="767">
        <v>6204</v>
      </c>
      <c r="AP47" s="1141"/>
      <c r="AQ47" s="1141"/>
      <c r="AR47" s="1141"/>
      <c r="BC47" s="1135"/>
      <c r="BD47" s="1135"/>
      <c r="BE47" s="1135"/>
      <c r="BF47" s="1135"/>
      <c r="BG47" s="1135"/>
      <c r="BH47" s="1135"/>
      <c r="BI47" s="1135"/>
      <c r="BJ47" s="1142"/>
      <c r="BK47" s="1142"/>
      <c r="BL47" s="1142"/>
      <c r="BM47" s="1142"/>
      <c r="BN47" s="1142"/>
      <c r="BO47" s="1142"/>
      <c r="BP47" s="1142"/>
      <c r="BQ47" s="1142"/>
      <c r="BR47" s="1142"/>
      <c r="BS47" s="1142"/>
      <c r="BT47" s="1142"/>
      <c r="BU47" s="1142"/>
      <c r="BV47" s="717"/>
    </row>
    <row r="48" spans="1:74" s="711" customFormat="1" ht="20.100000000000001" hidden="1" customHeight="1">
      <c r="A48" s="768">
        <v>5</v>
      </c>
      <c r="B48" s="769" t="s">
        <v>66</v>
      </c>
      <c r="C48" s="1143">
        <v>50</v>
      </c>
      <c r="D48" s="428">
        <v>0</v>
      </c>
      <c r="E48" s="428">
        <v>30</v>
      </c>
      <c r="F48" s="428">
        <v>0</v>
      </c>
      <c r="G48" s="428">
        <v>92</v>
      </c>
      <c r="H48" s="1144">
        <v>0</v>
      </c>
      <c r="I48" s="753">
        <v>0</v>
      </c>
      <c r="J48" s="758">
        <v>50</v>
      </c>
      <c r="K48" s="770">
        <v>0</v>
      </c>
      <c r="L48" s="1143">
        <v>9189.3000000000029</v>
      </c>
      <c r="M48" s="428">
        <v>0</v>
      </c>
      <c r="N48" s="756">
        <f t="shared" si="1"/>
        <v>9189.3000000000029</v>
      </c>
      <c r="O48" s="1139">
        <v>345.8</v>
      </c>
      <c r="P48" s="1140">
        <v>0</v>
      </c>
      <c r="Q48" s="1140">
        <v>212.3</v>
      </c>
      <c r="R48" s="1140">
        <v>0</v>
      </c>
      <c r="S48" s="1140">
        <v>399.1</v>
      </c>
      <c r="T48" s="1140">
        <v>0</v>
      </c>
      <c r="U48" s="1140">
        <v>351.3</v>
      </c>
      <c r="V48" s="1140">
        <v>0</v>
      </c>
      <c r="W48" s="1140">
        <v>62</v>
      </c>
      <c r="X48" s="1140">
        <v>152</v>
      </c>
      <c r="Y48" s="1140">
        <v>100</v>
      </c>
      <c r="Z48" s="430">
        <f t="shared" si="0"/>
        <v>1622.5</v>
      </c>
      <c r="AA48" s="427">
        <v>48</v>
      </c>
      <c r="AB48" s="758">
        <v>0</v>
      </c>
      <c r="AC48" s="429">
        <v>10</v>
      </c>
      <c r="AD48" s="428">
        <v>10</v>
      </c>
      <c r="AE48" s="428">
        <v>56</v>
      </c>
      <c r="AF48" s="429">
        <v>16</v>
      </c>
      <c r="AG48" s="428">
        <v>0</v>
      </c>
      <c r="AH48" s="771">
        <f t="shared" si="2"/>
        <v>140</v>
      </c>
      <c r="AI48" s="762">
        <v>1033</v>
      </c>
      <c r="AJ48" s="763">
        <v>0</v>
      </c>
      <c r="AK48" s="764">
        <v>557</v>
      </c>
      <c r="AL48" s="765">
        <v>532</v>
      </c>
      <c r="AM48" s="766">
        <v>100</v>
      </c>
      <c r="AN48" s="767">
        <v>8436</v>
      </c>
      <c r="AP48" s="1141"/>
      <c r="AQ48" s="1141"/>
      <c r="AR48" s="1141"/>
      <c r="BC48" s="1135"/>
      <c r="BD48" s="1135"/>
      <c r="BE48" s="1135"/>
      <c r="BF48" s="1135"/>
      <c r="BG48" s="1135"/>
      <c r="BH48" s="1135"/>
      <c r="BI48" s="1135"/>
      <c r="BJ48" s="1142"/>
      <c r="BK48" s="1142"/>
      <c r="BL48" s="1142"/>
      <c r="BM48" s="1142"/>
      <c r="BN48" s="1142"/>
      <c r="BO48" s="1142"/>
      <c r="BP48" s="1142"/>
      <c r="BQ48" s="1142"/>
      <c r="BR48" s="1142"/>
      <c r="BS48" s="1142"/>
      <c r="BT48" s="1142"/>
      <c r="BU48" s="1142"/>
      <c r="BV48" s="717"/>
    </row>
    <row r="49" spans="1:74" s="711" customFormat="1" ht="24.95" hidden="1" customHeight="1">
      <c r="A49" s="768">
        <v>6</v>
      </c>
      <c r="B49" s="769" t="s">
        <v>67</v>
      </c>
      <c r="C49" s="1143">
        <v>0</v>
      </c>
      <c r="D49" s="428">
        <v>157</v>
      </c>
      <c r="E49" s="428">
        <v>0</v>
      </c>
      <c r="F49" s="428">
        <v>0</v>
      </c>
      <c r="G49" s="428">
        <v>51</v>
      </c>
      <c r="H49" s="1144">
        <v>0</v>
      </c>
      <c r="I49" s="753">
        <v>0</v>
      </c>
      <c r="J49" s="758">
        <v>0</v>
      </c>
      <c r="K49" s="770">
        <v>0</v>
      </c>
      <c r="L49" s="1143">
        <v>9764</v>
      </c>
      <c r="M49" s="428">
        <v>0</v>
      </c>
      <c r="N49" s="756">
        <f t="shared" si="1"/>
        <v>9764</v>
      </c>
      <c r="O49" s="1139">
        <v>0</v>
      </c>
      <c r="P49" s="1140">
        <v>0</v>
      </c>
      <c r="Q49" s="1140">
        <v>0</v>
      </c>
      <c r="R49" s="1140">
        <v>0</v>
      </c>
      <c r="S49" s="1140">
        <v>0</v>
      </c>
      <c r="T49" s="1140">
        <v>0</v>
      </c>
      <c r="U49" s="1140">
        <v>0</v>
      </c>
      <c r="V49" s="1140">
        <v>0</v>
      </c>
      <c r="W49" s="1140">
        <v>0</v>
      </c>
      <c r="X49" s="1140">
        <v>0</v>
      </c>
      <c r="Y49" s="1140">
        <v>142</v>
      </c>
      <c r="Z49" s="430">
        <f t="shared" si="0"/>
        <v>142</v>
      </c>
      <c r="AA49" s="431">
        <v>0</v>
      </c>
      <c r="AB49" s="758">
        <v>0</v>
      </c>
      <c r="AC49" s="772">
        <v>0</v>
      </c>
      <c r="AD49" s="772">
        <v>0</v>
      </c>
      <c r="AE49" s="772">
        <v>0</v>
      </c>
      <c r="AF49" s="428">
        <v>0</v>
      </c>
      <c r="AG49" s="772">
        <v>1417</v>
      </c>
      <c r="AH49" s="771">
        <f t="shared" si="2"/>
        <v>1417</v>
      </c>
      <c r="AI49" s="762">
        <v>0</v>
      </c>
      <c r="AJ49" s="763">
        <v>0</v>
      </c>
      <c r="AK49" s="764">
        <v>0</v>
      </c>
      <c r="AL49" s="765">
        <v>0</v>
      </c>
      <c r="AM49" s="766">
        <v>1559</v>
      </c>
      <c r="AN49" s="767">
        <v>8597</v>
      </c>
      <c r="AP49" s="1141"/>
      <c r="AQ49" s="1141"/>
      <c r="AR49" s="1141"/>
      <c r="BC49" s="1135"/>
      <c r="BD49" s="1135"/>
      <c r="BE49" s="1135"/>
      <c r="BF49" s="1135"/>
      <c r="BG49" s="1135"/>
      <c r="BH49" s="1135"/>
      <c r="BI49" s="1135"/>
      <c r="BJ49" s="1142"/>
      <c r="BK49" s="1142"/>
      <c r="BL49" s="1142"/>
      <c r="BM49" s="1142"/>
      <c r="BN49" s="1142"/>
      <c r="BO49" s="1142"/>
      <c r="BP49" s="1142"/>
      <c r="BQ49" s="1142"/>
      <c r="BR49" s="1142"/>
      <c r="BS49" s="1142"/>
      <c r="BT49" s="1142"/>
      <c r="BU49" s="1142"/>
      <c r="BV49" s="717"/>
    </row>
    <row r="50" spans="1:74" s="711" customFormat="1" ht="20.100000000000001" hidden="1" customHeight="1">
      <c r="A50" s="768">
        <v>7</v>
      </c>
      <c r="B50" s="769" t="s">
        <v>68</v>
      </c>
      <c r="C50" s="1143">
        <v>11</v>
      </c>
      <c r="D50" s="428">
        <v>23</v>
      </c>
      <c r="E50" s="428">
        <v>5</v>
      </c>
      <c r="F50" s="428">
        <v>0</v>
      </c>
      <c r="G50" s="428">
        <v>35</v>
      </c>
      <c r="H50" s="1144">
        <v>0</v>
      </c>
      <c r="I50" s="753">
        <v>0</v>
      </c>
      <c r="J50" s="758">
        <v>0</v>
      </c>
      <c r="K50" s="770">
        <v>0</v>
      </c>
      <c r="L50" s="1143">
        <v>1190.9999999999998</v>
      </c>
      <c r="M50" s="428">
        <v>0</v>
      </c>
      <c r="N50" s="756">
        <f t="shared" si="1"/>
        <v>1190.9999999999998</v>
      </c>
      <c r="O50" s="1139">
        <v>0</v>
      </c>
      <c r="P50" s="1140">
        <v>0</v>
      </c>
      <c r="Q50" s="1140">
        <v>0</v>
      </c>
      <c r="R50" s="1140">
        <v>0</v>
      </c>
      <c r="S50" s="1140">
        <v>0</v>
      </c>
      <c r="T50" s="1140">
        <v>0</v>
      </c>
      <c r="U50" s="1140">
        <v>0</v>
      </c>
      <c r="V50" s="1140">
        <v>0</v>
      </c>
      <c r="W50" s="1140">
        <v>0</v>
      </c>
      <c r="X50" s="1140">
        <v>0</v>
      </c>
      <c r="Y50" s="1140">
        <v>0</v>
      </c>
      <c r="Z50" s="430">
        <f t="shared" si="0"/>
        <v>0</v>
      </c>
      <c r="AA50" s="431">
        <v>0</v>
      </c>
      <c r="AB50" s="758">
        <v>0</v>
      </c>
      <c r="AC50" s="772">
        <v>0</v>
      </c>
      <c r="AD50" s="772">
        <v>0</v>
      </c>
      <c r="AE50" s="772">
        <v>0</v>
      </c>
      <c r="AF50" s="772">
        <v>0</v>
      </c>
      <c r="AG50" s="772">
        <v>0</v>
      </c>
      <c r="AH50" s="771">
        <f t="shared" si="2"/>
        <v>0</v>
      </c>
      <c r="AI50" s="762">
        <v>0</v>
      </c>
      <c r="AJ50" s="763">
        <v>0</v>
      </c>
      <c r="AK50" s="764">
        <v>0</v>
      </c>
      <c r="AL50" s="765">
        <v>0</v>
      </c>
      <c r="AM50" s="766">
        <v>0</v>
      </c>
      <c r="AN50" s="767">
        <v>1042</v>
      </c>
      <c r="AP50" s="1141"/>
      <c r="AQ50" s="1141"/>
      <c r="AR50" s="1141"/>
      <c r="BC50" s="1135"/>
      <c r="BD50" s="1135"/>
      <c r="BE50" s="1135"/>
      <c r="BF50" s="1135"/>
      <c r="BG50" s="1135"/>
      <c r="BH50" s="1135"/>
      <c r="BI50" s="1135"/>
      <c r="BJ50" s="1142"/>
      <c r="BK50" s="1142"/>
      <c r="BL50" s="1142"/>
      <c r="BM50" s="1142"/>
      <c r="BN50" s="1142"/>
      <c r="BO50" s="1142"/>
      <c r="BP50" s="1142"/>
      <c r="BQ50" s="1142"/>
      <c r="BR50" s="1142"/>
      <c r="BS50" s="1142"/>
      <c r="BT50" s="1142"/>
      <c r="BU50" s="1142"/>
      <c r="BV50" s="717"/>
    </row>
    <row r="51" spans="1:74" s="711" customFormat="1" ht="20.100000000000001" hidden="1" customHeight="1">
      <c r="A51" s="768">
        <v>8</v>
      </c>
      <c r="B51" s="769" t="s">
        <v>69</v>
      </c>
      <c r="C51" s="1143">
        <v>150</v>
      </c>
      <c r="D51" s="428">
        <v>8</v>
      </c>
      <c r="E51" s="428">
        <v>12.5</v>
      </c>
      <c r="F51" s="428">
        <v>15</v>
      </c>
      <c r="G51" s="428">
        <v>124</v>
      </c>
      <c r="H51" s="1144">
        <v>0</v>
      </c>
      <c r="I51" s="753">
        <v>0</v>
      </c>
      <c r="J51" s="758">
        <v>0</v>
      </c>
      <c r="K51" s="770">
        <v>0</v>
      </c>
      <c r="L51" s="1143">
        <v>12233.699999999999</v>
      </c>
      <c r="M51" s="428">
        <v>0</v>
      </c>
      <c r="N51" s="756">
        <f t="shared" si="1"/>
        <v>12233.699999999999</v>
      </c>
      <c r="O51" s="1139">
        <v>484.4</v>
      </c>
      <c r="P51" s="1140">
        <v>240.5</v>
      </c>
      <c r="Q51" s="1140">
        <v>301.89999999999998</v>
      </c>
      <c r="R51" s="1140">
        <v>53.5</v>
      </c>
      <c r="S51" s="1140">
        <v>487.6</v>
      </c>
      <c r="T51" s="1140">
        <v>0</v>
      </c>
      <c r="U51" s="1140">
        <v>0</v>
      </c>
      <c r="V51" s="1140">
        <v>94.5</v>
      </c>
      <c r="W51" s="1140">
        <v>68.900000000000006</v>
      </c>
      <c r="X51" s="1140">
        <v>121.3</v>
      </c>
      <c r="Y51" s="1140">
        <v>115</v>
      </c>
      <c r="Z51" s="430">
        <f t="shared" si="0"/>
        <v>1967.6000000000001</v>
      </c>
      <c r="AA51" s="427">
        <v>81</v>
      </c>
      <c r="AB51" s="758">
        <v>0</v>
      </c>
      <c r="AC51" s="772">
        <v>10</v>
      </c>
      <c r="AD51" s="428">
        <v>0</v>
      </c>
      <c r="AE51" s="428">
        <v>104</v>
      </c>
      <c r="AF51" s="429">
        <v>91</v>
      </c>
      <c r="AG51" s="772">
        <v>0</v>
      </c>
      <c r="AH51" s="771">
        <f t="shared" si="2"/>
        <v>286</v>
      </c>
      <c r="AI51" s="762">
        <v>1168</v>
      </c>
      <c r="AJ51" s="763">
        <v>357</v>
      </c>
      <c r="AK51" s="764">
        <v>666</v>
      </c>
      <c r="AL51" s="765">
        <v>312</v>
      </c>
      <c r="AM51" s="766">
        <v>115</v>
      </c>
      <c r="AN51" s="767">
        <v>11131</v>
      </c>
      <c r="AP51" s="1141"/>
      <c r="AQ51" s="1141"/>
      <c r="AR51" s="1141"/>
      <c r="BC51" s="1135"/>
      <c r="BD51" s="1135"/>
      <c r="BE51" s="1135"/>
      <c r="BF51" s="1135"/>
      <c r="BG51" s="1135"/>
      <c r="BH51" s="1135"/>
      <c r="BI51" s="1135"/>
      <c r="BJ51" s="1142"/>
      <c r="BK51" s="1142"/>
      <c r="BL51" s="1142"/>
      <c r="BM51" s="1142"/>
      <c r="BN51" s="1142"/>
      <c r="BO51" s="1142"/>
      <c r="BP51" s="1142"/>
      <c r="BQ51" s="1142"/>
      <c r="BR51" s="1142"/>
      <c r="BS51" s="1142"/>
      <c r="BT51" s="1142"/>
      <c r="BU51" s="1142"/>
      <c r="BV51" s="717"/>
    </row>
    <row r="52" spans="1:74" s="711" customFormat="1" ht="20.100000000000001" hidden="1" customHeight="1">
      <c r="A52" s="768">
        <v>9</v>
      </c>
      <c r="B52" s="769" t="s">
        <v>70</v>
      </c>
      <c r="C52" s="1143">
        <v>83</v>
      </c>
      <c r="D52" s="428">
        <v>60</v>
      </c>
      <c r="E52" s="428">
        <v>12.5</v>
      </c>
      <c r="F52" s="428">
        <v>0</v>
      </c>
      <c r="G52" s="428">
        <v>70</v>
      </c>
      <c r="H52" s="1144">
        <v>0</v>
      </c>
      <c r="I52" s="753">
        <v>0</v>
      </c>
      <c r="J52" s="758">
        <v>0</v>
      </c>
      <c r="K52" s="770">
        <v>0</v>
      </c>
      <c r="L52" s="1143">
        <v>4909.7</v>
      </c>
      <c r="M52" s="428">
        <v>0</v>
      </c>
      <c r="N52" s="756">
        <f t="shared" si="1"/>
        <v>4909.7</v>
      </c>
      <c r="O52" s="1139">
        <v>0</v>
      </c>
      <c r="P52" s="1140">
        <v>0</v>
      </c>
      <c r="Q52" s="1140">
        <v>0</v>
      </c>
      <c r="R52" s="1140">
        <v>0</v>
      </c>
      <c r="S52" s="1140">
        <v>0</v>
      </c>
      <c r="T52" s="1140">
        <v>0</v>
      </c>
      <c r="U52" s="1140">
        <v>0</v>
      </c>
      <c r="V52" s="1140">
        <v>0</v>
      </c>
      <c r="W52" s="1140">
        <v>0</v>
      </c>
      <c r="X52" s="1140">
        <v>0</v>
      </c>
      <c r="Y52" s="1140">
        <v>0</v>
      </c>
      <c r="Z52" s="430">
        <f t="shared" si="0"/>
        <v>0</v>
      </c>
      <c r="AA52" s="432">
        <v>0</v>
      </c>
      <c r="AB52" s="758">
        <v>0</v>
      </c>
      <c r="AC52" s="429">
        <v>0</v>
      </c>
      <c r="AD52" s="429">
        <v>0</v>
      </c>
      <c r="AE52" s="429">
        <v>0</v>
      </c>
      <c r="AF52" s="429">
        <v>0</v>
      </c>
      <c r="AG52" s="429">
        <v>0</v>
      </c>
      <c r="AH52" s="771">
        <f t="shared" si="2"/>
        <v>0</v>
      </c>
      <c r="AI52" s="762">
        <v>0</v>
      </c>
      <c r="AJ52" s="763">
        <v>0</v>
      </c>
      <c r="AK52" s="764">
        <v>0</v>
      </c>
      <c r="AL52" s="765">
        <v>0</v>
      </c>
      <c r="AM52" s="766">
        <v>0</v>
      </c>
      <c r="AN52" s="767">
        <v>4481</v>
      </c>
      <c r="BC52" s="1135"/>
      <c r="BD52" s="1135"/>
      <c r="BE52" s="1135"/>
      <c r="BF52" s="1135"/>
      <c r="BG52" s="1135"/>
      <c r="BH52" s="1135"/>
      <c r="BI52" s="1135"/>
      <c r="BJ52" s="1142"/>
      <c r="BK52" s="1142"/>
      <c r="BL52" s="1142"/>
      <c r="BM52" s="1142"/>
      <c r="BN52" s="1142"/>
      <c r="BO52" s="1142"/>
      <c r="BP52" s="1142"/>
      <c r="BQ52" s="1142"/>
      <c r="BR52" s="1142"/>
      <c r="BS52" s="1142"/>
      <c r="BT52" s="1142"/>
      <c r="BU52" s="1142"/>
      <c r="BV52" s="717"/>
    </row>
    <row r="53" spans="1:74" s="711" customFormat="1" ht="20.100000000000001" hidden="1" customHeight="1">
      <c r="A53" s="768">
        <v>10</v>
      </c>
      <c r="B53" s="769" t="s">
        <v>71</v>
      </c>
      <c r="C53" s="1143">
        <v>0</v>
      </c>
      <c r="D53" s="428">
        <v>0</v>
      </c>
      <c r="E53" s="428">
        <v>0</v>
      </c>
      <c r="F53" s="428">
        <v>0</v>
      </c>
      <c r="G53" s="428">
        <v>0</v>
      </c>
      <c r="H53" s="1144">
        <v>0</v>
      </c>
      <c r="I53" s="753">
        <v>14</v>
      </c>
      <c r="J53" s="758">
        <v>6</v>
      </c>
      <c r="K53" s="770">
        <v>0</v>
      </c>
      <c r="L53" s="1143">
        <v>5983.2</v>
      </c>
      <c r="M53" s="428">
        <v>0</v>
      </c>
      <c r="N53" s="756">
        <f t="shared" si="1"/>
        <v>5983.2</v>
      </c>
      <c r="O53" s="1139">
        <v>0</v>
      </c>
      <c r="P53" s="1140">
        <v>0</v>
      </c>
      <c r="Q53" s="1140">
        <v>0</v>
      </c>
      <c r="R53" s="1140">
        <v>0</v>
      </c>
      <c r="S53" s="1140">
        <v>0</v>
      </c>
      <c r="T53" s="1140">
        <v>0</v>
      </c>
      <c r="U53" s="1140">
        <v>0</v>
      </c>
      <c r="V53" s="1140">
        <v>0</v>
      </c>
      <c r="W53" s="1140">
        <v>0</v>
      </c>
      <c r="X53" s="1140">
        <v>0</v>
      </c>
      <c r="Y53" s="1140">
        <v>0</v>
      </c>
      <c r="Z53" s="430">
        <f t="shared" si="0"/>
        <v>0</v>
      </c>
      <c r="AA53" s="432">
        <v>0</v>
      </c>
      <c r="AB53" s="758">
        <v>0</v>
      </c>
      <c r="AC53" s="429">
        <v>0</v>
      </c>
      <c r="AD53" s="428">
        <v>0</v>
      </c>
      <c r="AE53" s="429">
        <v>80</v>
      </c>
      <c r="AF53" s="429">
        <v>18</v>
      </c>
      <c r="AG53" s="429">
        <v>0</v>
      </c>
      <c r="AH53" s="771">
        <f t="shared" si="2"/>
        <v>98</v>
      </c>
      <c r="AI53" s="762">
        <v>0</v>
      </c>
      <c r="AJ53" s="763">
        <v>0</v>
      </c>
      <c r="AK53" s="764">
        <v>80</v>
      </c>
      <c r="AL53" s="765">
        <v>18</v>
      </c>
      <c r="AM53" s="766">
        <v>0</v>
      </c>
      <c r="AN53" s="767">
        <v>6245</v>
      </c>
      <c r="BC53" s="1135"/>
      <c r="BD53" s="1135"/>
      <c r="BE53" s="1135"/>
      <c r="BF53" s="1135"/>
      <c r="BG53" s="1135"/>
      <c r="BH53" s="1135"/>
      <c r="BI53" s="1135"/>
      <c r="BJ53" s="1142"/>
      <c r="BK53" s="1142"/>
      <c r="BL53" s="1142"/>
      <c r="BM53" s="1142"/>
      <c r="BN53" s="1142"/>
      <c r="BO53" s="1142"/>
      <c r="BP53" s="1142"/>
      <c r="BQ53" s="1142"/>
      <c r="BR53" s="1142"/>
      <c r="BS53" s="1142"/>
      <c r="BT53" s="1142"/>
      <c r="BU53" s="1142"/>
      <c r="BV53" s="717"/>
    </row>
    <row r="54" spans="1:74" s="711" customFormat="1" ht="24.95" hidden="1" customHeight="1">
      <c r="A54" s="768">
        <v>11</v>
      </c>
      <c r="B54" s="769" t="s">
        <v>72</v>
      </c>
      <c r="C54" s="1143">
        <v>0</v>
      </c>
      <c r="D54" s="428">
        <v>60</v>
      </c>
      <c r="E54" s="428">
        <v>10</v>
      </c>
      <c r="F54" s="428">
        <v>0</v>
      </c>
      <c r="G54" s="428">
        <v>18</v>
      </c>
      <c r="H54" s="1144">
        <v>0</v>
      </c>
      <c r="I54" s="753">
        <v>0</v>
      </c>
      <c r="J54" s="758">
        <v>0</v>
      </c>
      <c r="K54" s="770">
        <v>0</v>
      </c>
      <c r="L54" s="1143">
        <v>4100.5999999999995</v>
      </c>
      <c r="M54" s="428">
        <v>0</v>
      </c>
      <c r="N54" s="756">
        <f t="shared" si="1"/>
        <v>4100.5999999999995</v>
      </c>
      <c r="O54" s="1139">
        <v>0</v>
      </c>
      <c r="P54" s="1140">
        <v>0</v>
      </c>
      <c r="Q54" s="1140">
        <v>0</v>
      </c>
      <c r="R54" s="1140">
        <v>0</v>
      </c>
      <c r="S54" s="1140">
        <v>0</v>
      </c>
      <c r="T54" s="1140">
        <v>0</v>
      </c>
      <c r="U54" s="1140">
        <v>0</v>
      </c>
      <c r="V54" s="1140">
        <v>0</v>
      </c>
      <c r="W54" s="1140">
        <v>0</v>
      </c>
      <c r="X54" s="1140">
        <v>0</v>
      </c>
      <c r="Y54" s="1140">
        <v>0</v>
      </c>
      <c r="Z54" s="430">
        <f t="shared" si="0"/>
        <v>0</v>
      </c>
      <c r="AA54" s="432">
        <v>0</v>
      </c>
      <c r="AB54" s="758">
        <v>0</v>
      </c>
      <c r="AC54" s="429">
        <v>0</v>
      </c>
      <c r="AD54" s="429">
        <v>0</v>
      </c>
      <c r="AE54" s="429">
        <v>0</v>
      </c>
      <c r="AF54" s="429">
        <v>0</v>
      </c>
      <c r="AG54" s="429">
        <v>0</v>
      </c>
      <c r="AH54" s="771">
        <f t="shared" si="2"/>
        <v>0</v>
      </c>
      <c r="AI54" s="762">
        <v>0</v>
      </c>
      <c r="AJ54" s="763">
        <v>0</v>
      </c>
      <c r="AK54" s="764">
        <v>0</v>
      </c>
      <c r="AL54" s="765">
        <v>0</v>
      </c>
      <c r="AM54" s="766">
        <v>0</v>
      </c>
      <c r="AN54" s="767">
        <v>0</v>
      </c>
      <c r="BC54" s="1135"/>
      <c r="BD54" s="1135"/>
      <c r="BE54" s="1135"/>
      <c r="BF54" s="1135"/>
      <c r="BG54" s="1135"/>
      <c r="BH54" s="1135"/>
      <c r="BI54" s="1135"/>
      <c r="BJ54" s="1142"/>
      <c r="BK54" s="1142"/>
      <c r="BL54" s="1142"/>
      <c r="BM54" s="1142"/>
      <c r="BN54" s="1142"/>
      <c r="BO54" s="1142"/>
      <c r="BP54" s="1142"/>
      <c r="BQ54" s="1142"/>
      <c r="BR54" s="1142"/>
      <c r="BS54" s="1142"/>
      <c r="BT54" s="1142"/>
      <c r="BU54" s="1142"/>
      <c r="BV54" s="717"/>
    </row>
    <row r="55" spans="1:74" s="711" customFormat="1" ht="20.100000000000001" hidden="1" customHeight="1">
      <c r="A55" s="768">
        <v>12</v>
      </c>
      <c r="B55" s="769" t="s">
        <v>73</v>
      </c>
      <c r="C55" s="1143">
        <v>0</v>
      </c>
      <c r="D55" s="428">
        <v>70</v>
      </c>
      <c r="E55" s="428">
        <v>0</v>
      </c>
      <c r="F55" s="428">
        <v>0</v>
      </c>
      <c r="G55" s="428">
        <v>27</v>
      </c>
      <c r="H55" s="1144">
        <v>150</v>
      </c>
      <c r="I55" s="753">
        <v>0</v>
      </c>
      <c r="J55" s="758">
        <v>0</v>
      </c>
      <c r="K55" s="770">
        <v>0</v>
      </c>
      <c r="L55" s="1143">
        <v>2341.5</v>
      </c>
      <c r="M55" s="428">
        <v>0</v>
      </c>
      <c r="N55" s="756">
        <f t="shared" si="1"/>
        <v>2341.5</v>
      </c>
      <c r="O55" s="1139">
        <v>0</v>
      </c>
      <c r="P55" s="1140">
        <v>0</v>
      </c>
      <c r="Q55" s="1140">
        <v>0</v>
      </c>
      <c r="R55" s="1140">
        <v>0</v>
      </c>
      <c r="S55" s="1140">
        <v>0</v>
      </c>
      <c r="T55" s="1140">
        <v>0</v>
      </c>
      <c r="U55" s="1140">
        <v>0</v>
      </c>
      <c r="V55" s="1140">
        <v>0</v>
      </c>
      <c r="W55" s="1140">
        <v>0</v>
      </c>
      <c r="X55" s="1140">
        <v>0</v>
      </c>
      <c r="Y55" s="1140">
        <v>103</v>
      </c>
      <c r="Z55" s="430">
        <f t="shared" si="0"/>
        <v>103</v>
      </c>
      <c r="AA55" s="432">
        <v>0</v>
      </c>
      <c r="AB55" s="758">
        <v>0</v>
      </c>
      <c r="AC55" s="429">
        <v>0</v>
      </c>
      <c r="AD55" s="429">
        <v>0</v>
      </c>
      <c r="AE55" s="429">
        <v>0</v>
      </c>
      <c r="AF55" s="429">
        <v>0</v>
      </c>
      <c r="AG55" s="429">
        <v>0</v>
      </c>
      <c r="AH55" s="771">
        <f t="shared" si="2"/>
        <v>0</v>
      </c>
      <c r="AI55" s="762">
        <v>0</v>
      </c>
      <c r="AJ55" s="763">
        <v>0</v>
      </c>
      <c r="AK55" s="764">
        <v>0</v>
      </c>
      <c r="AL55" s="765">
        <v>0</v>
      </c>
      <c r="AM55" s="766">
        <v>103</v>
      </c>
      <c r="AN55" s="767">
        <v>2404</v>
      </c>
      <c r="BC55" s="1135"/>
      <c r="BD55" s="1135"/>
      <c r="BE55" s="1135"/>
      <c r="BF55" s="1135"/>
      <c r="BG55" s="1135"/>
      <c r="BH55" s="1135"/>
      <c r="BI55" s="1135"/>
      <c r="BJ55" s="1142"/>
      <c r="BK55" s="1142"/>
      <c r="BL55" s="1142"/>
      <c r="BM55" s="1142"/>
      <c r="BN55" s="1142"/>
      <c r="BO55" s="1142"/>
      <c r="BP55" s="1142"/>
      <c r="BQ55" s="1142"/>
      <c r="BR55" s="1142"/>
      <c r="BS55" s="1142"/>
      <c r="BT55" s="1142"/>
      <c r="BU55" s="1142"/>
      <c r="BV55" s="717"/>
    </row>
    <row r="56" spans="1:74" s="711" customFormat="1" ht="20.100000000000001" hidden="1" customHeight="1">
      <c r="A56" s="768">
        <v>13</v>
      </c>
      <c r="B56" s="769" t="s">
        <v>74</v>
      </c>
      <c r="C56" s="1143">
        <v>0</v>
      </c>
      <c r="D56" s="428">
        <v>75</v>
      </c>
      <c r="E56" s="428">
        <v>10</v>
      </c>
      <c r="F56" s="428">
        <v>0</v>
      </c>
      <c r="G56" s="428">
        <v>50</v>
      </c>
      <c r="H56" s="1144">
        <v>0</v>
      </c>
      <c r="I56" s="753">
        <v>0</v>
      </c>
      <c r="J56" s="758">
        <v>0</v>
      </c>
      <c r="K56" s="770">
        <v>0</v>
      </c>
      <c r="L56" s="1143">
        <v>6316</v>
      </c>
      <c r="M56" s="428">
        <v>0</v>
      </c>
      <c r="N56" s="756">
        <f t="shared" si="1"/>
        <v>6316</v>
      </c>
      <c r="O56" s="1139">
        <v>0</v>
      </c>
      <c r="P56" s="1140">
        <v>0</v>
      </c>
      <c r="Q56" s="1140">
        <v>0</v>
      </c>
      <c r="R56" s="1140">
        <v>0</v>
      </c>
      <c r="S56" s="1140">
        <v>0</v>
      </c>
      <c r="T56" s="1140">
        <v>0</v>
      </c>
      <c r="U56" s="1140">
        <v>0</v>
      </c>
      <c r="V56" s="1140">
        <v>0</v>
      </c>
      <c r="W56" s="1140">
        <v>0</v>
      </c>
      <c r="X56" s="1140">
        <v>0</v>
      </c>
      <c r="Y56" s="1140">
        <v>68</v>
      </c>
      <c r="Z56" s="430">
        <f t="shared" si="0"/>
        <v>68</v>
      </c>
      <c r="AA56" s="432">
        <v>0</v>
      </c>
      <c r="AB56" s="758">
        <v>0</v>
      </c>
      <c r="AC56" s="429">
        <v>0</v>
      </c>
      <c r="AD56" s="429">
        <v>0</v>
      </c>
      <c r="AE56" s="429">
        <v>0</v>
      </c>
      <c r="AF56" s="428">
        <v>0</v>
      </c>
      <c r="AG56" s="429">
        <v>810</v>
      </c>
      <c r="AH56" s="771">
        <f t="shared" si="2"/>
        <v>810</v>
      </c>
      <c r="AI56" s="762">
        <v>0</v>
      </c>
      <c r="AJ56" s="763">
        <v>0</v>
      </c>
      <c r="AK56" s="764">
        <v>0</v>
      </c>
      <c r="AL56" s="765">
        <v>0</v>
      </c>
      <c r="AM56" s="766">
        <v>878</v>
      </c>
      <c r="AN56" s="767">
        <v>5731</v>
      </c>
      <c r="BC56" s="1135"/>
      <c r="BD56" s="1135"/>
      <c r="BE56" s="1135"/>
      <c r="BF56" s="1135"/>
      <c r="BG56" s="1135"/>
      <c r="BH56" s="1135"/>
      <c r="BI56" s="1135"/>
      <c r="BJ56" s="1142"/>
      <c r="BK56" s="1142"/>
      <c r="BL56" s="1142"/>
      <c r="BM56" s="1142"/>
      <c r="BN56" s="1142"/>
      <c r="BO56" s="1142"/>
      <c r="BP56" s="1142"/>
      <c r="BQ56" s="1142"/>
      <c r="BR56" s="1142"/>
      <c r="BS56" s="1142"/>
      <c r="BT56" s="1142"/>
      <c r="BU56" s="1142"/>
      <c r="BV56" s="717"/>
    </row>
    <row r="57" spans="1:74" s="711" customFormat="1" ht="20.100000000000001" hidden="1" customHeight="1">
      <c r="A57" s="768">
        <v>14</v>
      </c>
      <c r="B57" s="433" t="s">
        <v>75</v>
      </c>
      <c r="C57" s="1143">
        <v>5</v>
      </c>
      <c r="D57" s="428">
        <v>0</v>
      </c>
      <c r="E57" s="428">
        <v>0</v>
      </c>
      <c r="F57" s="428">
        <v>0</v>
      </c>
      <c r="G57" s="428">
        <v>21</v>
      </c>
      <c r="H57" s="1144">
        <v>0</v>
      </c>
      <c r="I57" s="753">
        <v>0</v>
      </c>
      <c r="J57" s="758">
        <v>0</v>
      </c>
      <c r="K57" s="770">
        <v>0</v>
      </c>
      <c r="L57" s="1143">
        <v>517</v>
      </c>
      <c r="M57" s="428">
        <v>36</v>
      </c>
      <c r="N57" s="756">
        <f t="shared" si="1"/>
        <v>553</v>
      </c>
      <c r="O57" s="1139">
        <v>0</v>
      </c>
      <c r="P57" s="1140">
        <v>0</v>
      </c>
      <c r="Q57" s="1140">
        <v>0</v>
      </c>
      <c r="R57" s="1140">
        <v>0</v>
      </c>
      <c r="S57" s="1140">
        <v>0</v>
      </c>
      <c r="T57" s="1140">
        <v>92.5</v>
      </c>
      <c r="U57" s="1140">
        <v>0</v>
      </c>
      <c r="V57" s="1140">
        <v>0</v>
      </c>
      <c r="W57" s="1140">
        <v>0</v>
      </c>
      <c r="X57" s="1140">
        <v>0</v>
      </c>
      <c r="Y57" s="1140">
        <v>0</v>
      </c>
      <c r="Z57" s="430">
        <f t="shared" si="0"/>
        <v>92.5</v>
      </c>
      <c r="AA57" s="432">
        <v>0</v>
      </c>
      <c r="AB57" s="758">
        <v>0</v>
      </c>
      <c r="AC57" s="429">
        <v>0</v>
      </c>
      <c r="AD57" s="429">
        <v>0</v>
      </c>
      <c r="AE57" s="429">
        <v>0</v>
      </c>
      <c r="AF57" s="429">
        <v>0</v>
      </c>
      <c r="AG57" s="429">
        <v>0</v>
      </c>
      <c r="AH57" s="771">
        <f t="shared" si="2"/>
        <v>0</v>
      </c>
      <c r="AI57" s="762">
        <v>0</v>
      </c>
      <c r="AJ57" s="763">
        <v>0</v>
      </c>
      <c r="AK57" s="764">
        <v>0</v>
      </c>
      <c r="AL57" s="765">
        <v>94</v>
      </c>
      <c r="AM57" s="766">
        <v>0</v>
      </c>
      <c r="AN57" s="767">
        <f>457+5</f>
        <v>462</v>
      </c>
      <c r="BC57" s="1145"/>
      <c r="BD57" s="1135"/>
      <c r="BE57" s="1135"/>
      <c r="BF57" s="1135"/>
      <c r="BG57" s="1135"/>
      <c r="BH57" s="1135"/>
      <c r="BI57" s="1135"/>
      <c r="BJ57" s="1142"/>
      <c r="BK57" s="1142"/>
      <c r="BL57" s="1142"/>
      <c r="BM57" s="1142"/>
      <c r="BN57" s="1142"/>
      <c r="BO57" s="1142"/>
      <c r="BP57" s="1142"/>
      <c r="BQ57" s="1142"/>
      <c r="BR57" s="1142"/>
      <c r="BS57" s="1142"/>
      <c r="BT57" s="1142"/>
      <c r="BU57" s="1142"/>
      <c r="BV57" s="717"/>
    </row>
    <row r="58" spans="1:74" s="711" customFormat="1" ht="20.100000000000001" hidden="1" customHeight="1">
      <c r="A58" s="768">
        <v>15</v>
      </c>
      <c r="B58" s="769" t="s">
        <v>100</v>
      </c>
      <c r="C58" s="1143">
        <v>0</v>
      </c>
      <c r="D58" s="428">
        <v>50</v>
      </c>
      <c r="E58" s="428">
        <v>0</v>
      </c>
      <c r="F58" s="428">
        <v>0</v>
      </c>
      <c r="G58" s="428">
        <v>6</v>
      </c>
      <c r="H58" s="1144">
        <v>0</v>
      </c>
      <c r="I58" s="753">
        <v>0</v>
      </c>
      <c r="J58" s="758">
        <v>0</v>
      </c>
      <c r="K58" s="770">
        <v>25</v>
      </c>
      <c r="L58" s="1143">
        <v>1440.9999999999998</v>
      </c>
      <c r="M58" s="428">
        <v>0</v>
      </c>
      <c r="N58" s="756">
        <f t="shared" si="1"/>
        <v>1440.9999999999998</v>
      </c>
      <c r="O58" s="1139">
        <v>0</v>
      </c>
      <c r="P58" s="1140">
        <v>0</v>
      </c>
      <c r="Q58" s="1140">
        <v>0</v>
      </c>
      <c r="R58" s="1140">
        <v>0</v>
      </c>
      <c r="S58" s="1140">
        <v>0</v>
      </c>
      <c r="T58" s="1140">
        <v>0</v>
      </c>
      <c r="U58" s="1140">
        <v>0</v>
      </c>
      <c r="V58" s="1140">
        <v>0</v>
      </c>
      <c r="W58" s="1140">
        <v>0</v>
      </c>
      <c r="X58" s="1140">
        <v>0</v>
      </c>
      <c r="Y58" s="1140">
        <v>0</v>
      </c>
      <c r="Z58" s="430">
        <f t="shared" si="0"/>
        <v>0</v>
      </c>
      <c r="AA58" s="432">
        <v>0</v>
      </c>
      <c r="AB58" s="758">
        <v>0</v>
      </c>
      <c r="AC58" s="429">
        <v>0</v>
      </c>
      <c r="AD58" s="429">
        <v>0</v>
      </c>
      <c r="AE58" s="429">
        <v>0</v>
      </c>
      <c r="AF58" s="429">
        <v>0</v>
      </c>
      <c r="AG58" s="429">
        <v>0</v>
      </c>
      <c r="AH58" s="771">
        <f t="shared" si="2"/>
        <v>0</v>
      </c>
      <c r="AI58" s="762">
        <v>0</v>
      </c>
      <c r="AJ58" s="763">
        <v>0</v>
      </c>
      <c r="AK58" s="764">
        <v>0</v>
      </c>
      <c r="AL58" s="765">
        <v>0</v>
      </c>
      <c r="AM58" s="766">
        <v>0</v>
      </c>
      <c r="AN58" s="767">
        <v>1412</v>
      </c>
      <c r="BC58" s="1142"/>
      <c r="BD58" s="1135"/>
      <c r="BE58" s="1135"/>
      <c r="BF58" s="1135"/>
      <c r="BG58" s="1135"/>
      <c r="BH58" s="1135"/>
      <c r="BI58" s="1135"/>
      <c r="BJ58" s="1142"/>
      <c r="BK58" s="1142"/>
      <c r="BL58" s="1142"/>
      <c r="BM58" s="1142"/>
      <c r="BN58" s="1142"/>
      <c r="BO58" s="1142"/>
      <c r="BP58" s="1142"/>
      <c r="BQ58" s="1142"/>
      <c r="BR58" s="1142"/>
      <c r="BS58" s="1142"/>
      <c r="BT58" s="1142"/>
      <c r="BU58" s="1142"/>
      <c r="BV58" s="717"/>
    </row>
    <row r="59" spans="1:74" s="711" customFormat="1" ht="24.95" hidden="1" customHeight="1">
      <c r="A59" s="768">
        <v>16</v>
      </c>
      <c r="B59" s="769" t="s">
        <v>76</v>
      </c>
      <c r="C59" s="1143">
        <v>20</v>
      </c>
      <c r="D59" s="428">
        <v>0</v>
      </c>
      <c r="E59" s="428">
        <v>25</v>
      </c>
      <c r="F59" s="428">
        <v>0</v>
      </c>
      <c r="G59" s="428">
        <v>27</v>
      </c>
      <c r="H59" s="1144">
        <v>0</v>
      </c>
      <c r="I59" s="753">
        <v>0</v>
      </c>
      <c r="J59" s="758">
        <v>0</v>
      </c>
      <c r="K59" s="770">
        <v>0</v>
      </c>
      <c r="L59" s="1143">
        <v>2636</v>
      </c>
      <c r="M59" s="428">
        <v>29</v>
      </c>
      <c r="N59" s="756">
        <f t="shared" si="1"/>
        <v>2665</v>
      </c>
      <c r="O59" s="1139">
        <v>0</v>
      </c>
      <c r="P59" s="1140">
        <v>0</v>
      </c>
      <c r="Q59" s="1140">
        <v>176.2</v>
      </c>
      <c r="R59" s="1140">
        <v>0</v>
      </c>
      <c r="S59" s="1140">
        <v>0</v>
      </c>
      <c r="T59" s="1140">
        <v>0</v>
      </c>
      <c r="U59" s="1140">
        <v>0</v>
      </c>
      <c r="V59" s="1140">
        <v>0</v>
      </c>
      <c r="W59" s="1140">
        <v>0</v>
      </c>
      <c r="X59" s="1140">
        <v>0</v>
      </c>
      <c r="Y59" s="1140">
        <v>0</v>
      </c>
      <c r="Z59" s="430">
        <f t="shared" si="0"/>
        <v>176.2</v>
      </c>
      <c r="AA59" s="432">
        <v>0</v>
      </c>
      <c r="AB59" s="758">
        <v>0</v>
      </c>
      <c r="AC59" s="429">
        <v>10</v>
      </c>
      <c r="AD59" s="429">
        <v>0</v>
      </c>
      <c r="AE59" s="429">
        <v>0</v>
      </c>
      <c r="AF59" s="429">
        <v>0</v>
      </c>
      <c r="AG59" s="429">
        <v>0</v>
      </c>
      <c r="AH59" s="771">
        <f t="shared" si="2"/>
        <v>10</v>
      </c>
      <c r="AI59" s="762">
        <v>297</v>
      </c>
      <c r="AJ59" s="763">
        <v>0</v>
      </c>
      <c r="AK59" s="764">
        <v>0</v>
      </c>
      <c r="AL59" s="765">
        <v>0</v>
      </c>
      <c r="AM59" s="766">
        <v>0</v>
      </c>
      <c r="AN59" s="767">
        <f>2569+1+10</f>
        <v>2580</v>
      </c>
      <c r="BC59" s="1135"/>
      <c r="BD59" s="1135"/>
      <c r="BE59" s="1135"/>
      <c r="BF59" s="1135"/>
      <c r="BG59" s="1135"/>
      <c r="BH59" s="1135"/>
      <c r="BI59" s="1135"/>
      <c r="BJ59" s="1142"/>
      <c r="BK59" s="1142"/>
      <c r="BL59" s="1142"/>
      <c r="BM59" s="1142"/>
      <c r="BN59" s="1142"/>
      <c r="BO59" s="1142"/>
      <c r="BP59" s="1142"/>
      <c r="BQ59" s="1142"/>
      <c r="BR59" s="1142"/>
      <c r="BS59" s="1142"/>
      <c r="BT59" s="1142"/>
      <c r="BU59" s="1142"/>
      <c r="BV59" s="717"/>
    </row>
    <row r="60" spans="1:74" s="711" customFormat="1" ht="20.100000000000001" hidden="1" customHeight="1">
      <c r="A60" s="768">
        <v>17</v>
      </c>
      <c r="B60" s="769" t="s">
        <v>77</v>
      </c>
      <c r="C60" s="1143">
        <v>148</v>
      </c>
      <c r="D60" s="428">
        <v>103</v>
      </c>
      <c r="E60" s="428">
        <v>0</v>
      </c>
      <c r="F60" s="428">
        <v>0</v>
      </c>
      <c r="G60" s="428">
        <v>42</v>
      </c>
      <c r="H60" s="1144">
        <v>0</v>
      </c>
      <c r="I60" s="753">
        <v>0</v>
      </c>
      <c r="J60" s="758">
        <v>0</v>
      </c>
      <c r="K60" s="770">
        <v>0</v>
      </c>
      <c r="L60" s="1143">
        <v>5326</v>
      </c>
      <c r="M60" s="428">
        <v>0</v>
      </c>
      <c r="N60" s="756">
        <f t="shared" si="1"/>
        <v>5326</v>
      </c>
      <c r="O60" s="1139">
        <v>0</v>
      </c>
      <c r="P60" s="1140">
        <v>0</v>
      </c>
      <c r="Q60" s="1140">
        <v>0</v>
      </c>
      <c r="R60" s="1140">
        <v>0</v>
      </c>
      <c r="S60" s="1140">
        <v>151.5</v>
      </c>
      <c r="T60" s="1140">
        <v>0</v>
      </c>
      <c r="U60" s="1140">
        <v>0</v>
      </c>
      <c r="V60" s="1140">
        <v>0</v>
      </c>
      <c r="W60" s="1140">
        <v>0</v>
      </c>
      <c r="X60" s="1140">
        <v>0</v>
      </c>
      <c r="Y60" s="1140">
        <v>0</v>
      </c>
      <c r="Z60" s="430">
        <f t="shared" si="0"/>
        <v>151.5</v>
      </c>
      <c r="AA60" s="432">
        <v>0</v>
      </c>
      <c r="AB60" s="758">
        <v>0</v>
      </c>
      <c r="AC60" s="429">
        <v>0</v>
      </c>
      <c r="AD60" s="429">
        <v>0</v>
      </c>
      <c r="AE60" s="429">
        <v>0</v>
      </c>
      <c r="AF60" s="428">
        <v>0</v>
      </c>
      <c r="AG60" s="429">
        <v>979</v>
      </c>
      <c r="AH60" s="771">
        <f t="shared" si="2"/>
        <v>979</v>
      </c>
      <c r="AI60" s="762">
        <v>0</v>
      </c>
      <c r="AJ60" s="763">
        <v>0</v>
      </c>
      <c r="AK60" s="764">
        <v>155</v>
      </c>
      <c r="AL60" s="765">
        <v>0</v>
      </c>
      <c r="AM60" s="766">
        <v>979</v>
      </c>
      <c r="AN60" s="767">
        <v>4921</v>
      </c>
      <c r="BC60" s="1135"/>
      <c r="BD60" s="1135"/>
      <c r="BE60" s="1135"/>
      <c r="BF60" s="1135"/>
      <c r="BG60" s="1135"/>
      <c r="BH60" s="1135"/>
      <c r="BI60" s="1135"/>
      <c r="BJ60" s="1142"/>
      <c r="BK60" s="1142"/>
      <c r="BL60" s="1142"/>
      <c r="BM60" s="1142"/>
      <c r="BN60" s="1142"/>
      <c r="BO60" s="1142"/>
      <c r="BP60" s="1142"/>
      <c r="BQ60" s="1142"/>
      <c r="BR60" s="1142"/>
      <c r="BS60" s="1142"/>
      <c r="BT60" s="1142"/>
      <c r="BU60" s="1142"/>
      <c r="BV60" s="717"/>
    </row>
    <row r="61" spans="1:74" s="711" customFormat="1" ht="20.100000000000001" hidden="1" customHeight="1">
      <c r="A61" s="768">
        <v>18</v>
      </c>
      <c r="B61" s="769" t="s">
        <v>78</v>
      </c>
      <c r="C61" s="1143">
        <v>53</v>
      </c>
      <c r="D61" s="428">
        <v>105</v>
      </c>
      <c r="E61" s="428">
        <v>12.5</v>
      </c>
      <c r="F61" s="428">
        <v>0</v>
      </c>
      <c r="G61" s="428">
        <v>77</v>
      </c>
      <c r="H61" s="1144">
        <v>0</v>
      </c>
      <c r="I61" s="753">
        <v>0</v>
      </c>
      <c r="J61" s="758">
        <v>0</v>
      </c>
      <c r="K61" s="770">
        <v>0</v>
      </c>
      <c r="L61" s="1143">
        <v>11220.7</v>
      </c>
      <c r="M61" s="428">
        <v>0</v>
      </c>
      <c r="N61" s="756">
        <f t="shared" si="1"/>
        <v>11220.7</v>
      </c>
      <c r="O61" s="1139">
        <v>0</v>
      </c>
      <c r="P61" s="1140">
        <v>0</v>
      </c>
      <c r="Q61" s="1140">
        <v>0</v>
      </c>
      <c r="R61" s="1140">
        <v>0</v>
      </c>
      <c r="S61" s="1140">
        <v>531.1</v>
      </c>
      <c r="T61" s="1140">
        <v>0</v>
      </c>
      <c r="U61" s="1140">
        <v>0</v>
      </c>
      <c r="V61" s="1140">
        <v>0</v>
      </c>
      <c r="W61" s="1140">
        <v>133.69999999999999</v>
      </c>
      <c r="X61" s="1140">
        <v>333.2</v>
      </c>
      <c r="Y61" s="1140">
        <v>0</v>
      </c>
      <c r="Z61" s="430">
        <f t="shared" si="0"/>
        <v>998</v>
      </c>
      <c r="AA61" s="432">
        <v>0</v>
      </c>
      <c r="AB61" s="758">
        <v>0</v>
      </c>
      <c r="AC61" s="429">
        <v>0</v>
      </c>
      <c r="AD61" s="428">
        <v>0</v>
      </c>
      <c r="AE61" s="428">
        <v>171</v>
      </c>
      <c r="AF61" s="429">
        <v>247</v>
      </c>
      <c r="AG61" s="429">
        <v>0</v>
      </c>
      <c r="AH61" s="771">
        <f t="shared" si="2"/>
        <v>418</v>
      </c>
      <c r="AI61" s="762">
        <v>0</v>
      </c>
      <c r="AJ61" s="763">
        <v>0</v>
      </c>
      <c r="AK61" s="764">
        <v>841</v>
      </c>
      <c r="AL61" s="765">
        <v>593</v>
      </c>
      <c r="AM61" s="766">
        <v>0</v>
      </c>
      <c r="AN61" s="767">
        <v>10305</v>
      </c>
      <c r="BC61" s="1135"/>
      <c r="BD61" s="1135"/>
      <c r="BE61" s="1135"/>
      <c r="BF61" s="1135"/>
      <c r="BG61" s="1135"/>
      <c r="BH61" s="1135"/>
      <c r="BI61" s="1135"/>
      <c r="BJ61" s="1142"/>
      <c r="BK61" s="1142"/>
      <c r="BL61" s="1142"/>
      <c r="BM61" s="1142"/>
      <c r="BN61" s="1142"/>
      <c r="BO61" s="1142"/>
      <c r="BP61" s="1142"/>
      <c r="BQ61" s="1142"/>
      <c r="BR61" s="1142"/>
      <c r="BS61" s="1142"/>
      <c r="BT61" s="1142"/>
      <c r="BU61" s="1142"/>
      <c r="BV61" s="717"/>
    </row>
    <row r="62" spans="1:74" s="711" customFormat="1" ht="20.100000000000001" hidden="1" customHeight="1">
      <c r="A62" s="768">
        <v>19</v>
      </c>
      <c r="B62" s="769" t="s">
        <v>79</v>
      </c>
      <c r="C62" s="1143">
        <v>0</v>
      </c>
      <c r="D62" s="428">
        <v>200</v>
      </c>
      <c r="E62" s="428">
        <v>0</v>
      </c>
      <c r="F62" s="428">
        <v>0</v>
      </c>
      <c r="G62" s="428">
        <v>25</v>
      </c>
      <c r="H62" s="1144">
        <v>0</v>
      </c>
      <c r="I62" s="753">
        <v>0</v>
      </c>
      <c r="J62" s="758">
        <v>0</v>
      </c>
      <c r="K62" s="770">
        <v>0</v>
      </c>
      <c r="L62" s="1143">
        <v>8442.7999999999993</v>
      </c>
      <c r="M62" s="428">
        <v>0</v>
      </c>
      <c r="N62" s="756">
        <f t="shared" si="1"/>
        <v>8442.7999999999993</v>
      </c>
      <c r="O62" s="1139">
        <v>0</v>
      </c>
      <c r="P62" s="1140">
        <v>0</v>
      </c>
      <c r="Q62" s="1140">
        <v>0</v>
      </c>
      <c r="R62" s="1140">
        <v>0</v>
      </c>
      <c r="S62" s="1140">
        <v>281.3</v>
      </c>
      <c r="T62" s="1140">
        <v>0</v>
      </c>
      <c r="U62" s="1140">
        <v>0</v>
      </c>
      <c r="V62" s="1140">
        <v>0</v>
      </c>
      <c r="W62" s="1140">
        <v>33.200000000000003</v>
      </c>
      <c r="X62" s="1140">
        <v>49.1</v>
      </c>
      <c r="Y62" s="1140">
        <v>0</v>
      </c>
      <c r="Z62" s="430">
        <f t="shared" si="0"/>
        <v>363.6</v>
      </c>
      <c r="AA62" s="432">
        <v>0</v>
      </c>
      <c r="AB62" s="758">
        <v>0</v>
      </c>
      <c r="AC62" s="429">
        <v>0</v>
      </c>
      <c r="AD62" s="428">
        <v>0</v>
      </c>
      <c r="AE62" s="428">
        <v>108</v>
      </c>
      <c r="AF62" s="428">
        <v>50</v>
      </c>
      <c r="AG62" s="429">
        <v>2061</v>
      </c>
      <c r="AH62" s="771">
        <f t="shared" si="2"/>
        <v>2219</v>
      </c>
      <c r="AI62" s="762">
        <v>0</v>
      </c>
      <c r="AJ62" s="763">
        <v>0</v>
      </c>
      <c r="AK62" s="764">
        <v>423</v>
      </c>
      <c r="AL62" s="765">
        <v>101</v>
      </c>
      <c r="AM62" s="766">
        <f>1927+134</f>
        <v>2061</v>
      </c>
      <c r="AN62" s="767">
        <v>8101</v>
      </c>
      <c r="BC62" s="1135"/>
      <c r="BD62" s="1135"/>
      <c r="BE62" s="1135"/>
      <c r="BF62" s="1135"/>
      <c r="BG62" s="1135"/>
      <c r="BH62" s="1135"/>
      <c r="BI62" s="1135"/>
      <c r="BJ62" s="1142"/>
      <c r="BK62" s="1142"/>
      <c r="BL62" s="1142"/>
      <c r="BM62" s="1142"/>
      <c r="BN62" s="1142"/>
      <c r="BO62" s="1142"/>
      <c r="BP62" s="1142"/>
      <c r="BQ62" s="1142"/>
      <c r="BR62" s="1142"/>
      <c r="BS62" s="1142"/>
      <c r="BT62" s="1142"/>
      <c r="BU62" s="1142"/>
      <c r="BV62" s="717"/>
    </row>
    <row r="63" spans="1:74" s="711" customFormat="1" ht="30" hidden="1" customHeight="1" thickBot="1">
      <c r="A63" s="773"/>
      <c r="B63" s="774" t="s">
        <v>3</v>
      </c>
      <c r="C63" s="775">
        <f>SUM(C44:C62)</f>
        <v>680</v>
      </c>
      <c r="D63" s="775">
        <f t="shared" ref="D63:AN63" si="3">SUM(D44:D62)</f>
        <v>1118</v>
      </c>
      <c r="E63" s="775">
        <f t="shared" si="3"/>
        <v>171</v>
      </c>
      <c r="F63" s="775">
        <f t="shared" si="3"/>
        <v>15</v>
      </c>
      <c r="G63" s="776">
        <f t="shared" si="3"/>
        <v>829</v>
      </c>
      <c r="H63" s="777">
        <f t="shared" si="3"/>
        <v>150</v>
      </c>
      <c r="I63" s="778">
        <f t="shared" si="3"/>
        <v>14</v>
      </c>
      <c r="J63" s="776">
        <f t="shared" si="3"/>
        <v>56</v>
      </c>
      <c r="K63" s="779">
        <f t="shared" si="3"/>
        <v>25</v>
      </c>
      <c r="L63" s="775">
        <f t="shared" si="3"/>
        <v>108945</v>
      </c>
      <c r="M63" s="775">
        <f t="shared" si="3"/>
        <v>65</v>
      </c>
      <c r="N63" s="780">
        <f t="shared" si="3"/>
        <v>109010</v>
      </c>
      <c r="O63" s="781">
        <f t="shared" si="3"/>
        <v>1519.6</v>
      </c>
      <c r="P63" s="776">
        <f t="shared" si="3"/>
        <v>394.2</v>
      </c>
      <c r="Q63" s="776">
        <f t="shared" si="3"/>
        <v>1121.3999999999999</v>
      </c>
      <c r="R63" s="776">
        <f t="shared" si="3"/>
        <v>84</v>
      </c>
      <c r="S63" s="776">
        <f t="shared" si="3"/>
        <v>2465.3000000000002</v>
      </c>
      <c r="T63" s="776">
        <f t="shared" si="3"/>
        <v>145.1</v>
      </c>
      <c r="U63" s="776">
        <f t="shared" si="3"/>
        <v>351.3</v>
      </c>
      <c r="V63" s="776">
        <f t="shared" si="3"/>
        <v>94.5</v>
      </c>
      <c r="W63" s="776">
        <f t="shared" si="3"/>
        <v>392.9</v>
      </c>
      <c r="X63" s="776">
        <f t="shared" si="3"/>
        <v>787.2</v>
      </c>
      <c r="Y63" s="776">
        <f t="shared" si="3"/>
        <v>638</v>
      </c>
      <c r="Z63" s="779">
        <f t="shared" si="3"/>
        <v>7993.5</v>
      </c>
      <c r="AA63" s="781">
        <f t="shared" si="3"/>
        <v>165</v>
      </c>
      <c r="AB63" s="776">
        <f t="shared" si="3"/>
        <v>71.600000000000009</v>
      </c>
      <c r="AC63" s="776">
        <f t="shared" si="3"/>
        <v>50</v>
      </c>
      <c r="AD63" s="776">
        <f>SUM(AD44:AD62)</f>
        <v>10</v>
      </c>
      <c r="AE63" s="776">
        <f>SUM(AE44:AE62)</f>
        <v>840</v>
      </c>
      <c r="AF63" s="776">
        <f>SUM(AF44:AF62)</f>
        <v>535</v>
      </c>
      <c r="AG63" s="776">
        <f t="shared" ref="AG63" si="4">SUM(AG44:AG62)</f>
        <v>7996</v>
      </c>
      <c r="AH63" s="779">
        <f t="shared" si="3"/>
        <v>9667.6</v>
      </c>
      <c r="AI63" s="782">
        <f t="shared" si="3"/>
        <v>3981</v>
      </c>
      <c r="AJ63" s="783">
        <f t="shared" si="3"/>
        <v>706</v>
      </c>
      <c r="AK63" s="783">
        <f t="shared" si="3"/>
        <v>3777</v>
      </c>
      <c r="AL63" s="783">
        <f t="shared" si="3"/>
        <v>1953</v>
      </c>
      <c r="AM63" s="783">
        <f t="shared" si="3"/>
        <v>8634</v>
      </c>
      <c r="AN63" s="784">
        <f t="shared" si="3"/>
        <v>97208</v>
      </c>
      <c r="BC63" s="1135"/>
      <c r="BD63" s="1135"/>
      <c r="BE63" s="1135"/>
      <c r="BF63" s="1135"/>
      <c r="BG63" s="1135"/>
      <c r="BH63" s="1135"/>
      <c r="BI63" s="1135"/>
      <c r="BJ63" s="1142"/>
      <c r="BK63" s="1142"/>
      <c r="BL63" s="1142"/>
      <c r="BM63" s="1142"/>
      <c r="BN63" s="1142"/>
      <c r="BO63" s="1142"/>
      <c r="BP63" s="1142"/>
      <c r="BQ63" s="1142"/>
      <c r="BR63" s="1142"/>
      <c r="BS63" s="1142"/>
      <c r="BT63" s="1142"/>
      <c r="BU63" s="1142"/>
      <c r="BV63" s="717"/>
    </row>
    <row r="64" spans="1:74" s="785" customFormat="1" ht="24.95" hidden="1" customHeight="1">
      <c r="B64" s="786" t="s">
        <v>98</v>
      </c>
      <c r="C64" s="1146">
        <v>680</v>
      </c>
      <c r="D64" s="1146">
        <v>1118</v>
      </c>
      <c r="E64" s="1146">
        <v>171</v>
      </c>
      <c r="F64" s="1146">
        <v>15</v>
      </c>
      <c r="G64" s="1146">
        <v>829</v>
      </c>
      <c r="H64" s="1146">
        <v>150</v>
      </c>
      <c r="I64" s="1147">
        <v>14</v>
      </c>
      <c r="J64" s="787">
        <f>50+6</f>
        <v>56</v>
      </c>
      <c r="K64" s="787">
        <v>25</v>
      </c>
      <c r="L64" s="1146">
        <v>108945</v>
      </c>
      <c r="M64" s="1146">
        <f>36+29</f>
        <v>65</v>
      </c>
      <c r="N64" s="1146">
        <f>SUM(L64:M64)</f>
        <v>109010</v>
      </c>
      <c r="O64" s="1148">
        <v>1519.6</v>
      </c>
      <c r="P64" s="1148">
        <v>394.2</v>
      </c>
      <c r="Q64" s="1148">
        <v>1121.3999999999999</v>
      </c>
      <c r="R64" s="1148">
        <v>84</v>
      </c>
      <c r="S64" s="1148">
        <v>2465.3000000000002</v>
      </c>
      <c r="T64" s="1148">
        <v>145.1</v>
      </c>
      <c r="U64" s="1148">
        <v>351.3</v>
      </c>
      <c r="V64" s="1148">
        <v>94.5</v>
      </c>
      <c r="W64" s="1148">
        <v>392.9</v>
      </c>
      <c r="X64" s="1148">
        <v>787.2</v>
      </c>
      <c r="Y64" s="1148">
        <v>638</v>
      </c>
      <c r="Z64" s="788">
        <v>7993.5</v>
      </c>
      <c r="AA64" s="789">
        <v>165</v>
      </c>
      <c r="AB64" s="790">
        <v>71.600000000000009</v>
      </c>
      <c r="AC64" s="789">
        <v>50</v>
      </c>
      <c r="AD64" s="789">
        <v>10</v>
      </c>
      <c r="AE64" s="789">
        <v>840</v>
      </c>
      <c r="AF64" s="789">
        <v>535</v>
      </c>
      <c r="AG64" s="789">
        <v>7996</v>
      </c>
      <c r="AH64" s="790">
        <v>9667.6</v>
      </c>
      <c r="AI64" s="791">
        <v>3981</v>
      </c>
      <c r="AJ64" s="791">
        <v>706</v>
      </c>
      <c r="AK64" s="791">
        <v>3777</v>
      </c>
      <c r="AL64" s="792">
        <v>1953</v>
      </c>
      <c r="AM64" s="793">
        <f>8500+134</f>
        <v>8634</v>
      </c>
      <c r="AN64" s="794">
        <f>97192+5+1+10</f>
        <v>97208</v>
      </c>
      <c r="BC64" s="1135"/>
      <c r="BD64" s="1135"/>
      <c r="BE64" s="1135"/>
      <c r="BF64" s="1135"/>
      <c r="BG64" s="1135"/>
      <c r="BH64" s="1149"/>
      <c r="BI64" s="1149"/>
      <c r="BJ64" s="1149"/>
      <c r="BK64" s="1149"/>
      <c r="BL64" s="1149"/>
      <c r="BM64" s="1149"/>
    </row>
    <row r="65" spans="1:73" hidden="1">
      <c r="G65" s="1092"/>
      <c r="H65" s="1092"/>
      <c r="I65" s="1092"/>
    </row>
    <row r="66" spans="1:73" hidden="1">
      <c r="G66" s="1092"/>
      <c r="H66" s="1092"/>
      <c r="I66" s="1092"/>
    </row>
    <row r="67" spans="1:73" ht="20.100000000000001" hidden="1" customHeight="1">
      <c r="A67" s="1150" t="s">
        <v>191</v>
      </c>
    </row>
    <row r="68" spans="1:73" hidden="1"/>
    <row r="69" spans="1:73" ht="20.100000000000001" hidden="1" customHeight="1">
      <c r="A69" s="1091" t="s">
        <v>62</v>
      </c>
    </row>
    <row r="70" spans="1:73" ht="20.100000000000001" hidden="1" customHeight="1">
      <c r="A70" s="1092">
        <v>1</v>
      </c>
      <c r="B70" s="1092">
        <v>2</v>
      </c>
      <c r="C70" s="1092">
        <v>3</v>
      </c>
      <c r="D70" s="1092">
        <v>4</v>
      </c>
      <c r="E70" s="1092">
        <v>5</v>
      </c>
      <c r="F70" s="1092">
        <v>6</v>
      </c>
      <c r="G70" s="1092">
        <v>7</v>
      </c>
      <c r="H70" s="1092">
        <v>8</v>
      </c>
      <c r="I70" s="1092">
        <v>9</v>
      </c>
      <c r="J70" s="1092">
        <v>10</v>
      </c>
      <c r="K70" s="1092">
        <v>11</v>
      </c>
      <c r="L70" s="1092">
        <v>12</v>
      </c>
      <c r="M70" s="1092">
        <v>13</v>
      </c>
      <c r="N70" s="1092">
        <v>14</v>
      </c>
      <c r="O70" s="1092">
        <v>15</v>
      </c>
      <c r="P70" s="1092">
        <v>16</v>
      </c>
      <c r="Q70" s="1092">
        <v>17</v>
      </c>
      <c r="R70" s="1092">
        <v>18</v>
      </c>
      <c r="S70" s="1092">
        <v>19</v>
      </c>
      <c r="T70" s="1092">
        <v>20</v>
      </c>
      <c r="U70" s="1092">
        <v>21</v>
      </c>
      <c r="V70" s="1092">
        <v>22</v>
      </c>
      <c r="W70" s="1092">
        <v>23</v>
      </c>
      <c r="X70" s="1092">
        <v>24</v>
      </c>
      <c r="Y70" s="1092">
        <v>25</v>
      </c>
      <c r="Z70" s="1092">
        <v>26</v>
      </c>
      <c r="AA70" s="1092">
        <v>27</v>
      </c>
      <c r="AB70" s="1092">
        <v>28</v>
      </c>
      <c r="AC70" s="1092">
        <v>29</v>
      </c>
      <c r="AD70" s="1092">
        <v>30</v>
      </c>
      <c r="AE70" s="1092">
        <v>31</v>
      </c>
      <c r="AF70" s="1092">
        <v>32</v>
      </c>
      <c r="AG70" s="1092">
        <v>33</v>
      </c>
      <c r="AH70" s="1092">
        <v>34</v>
      </c>
      <c r="AI70" s="1092">
        <v>35</v>
      </c>
      <c r="AJ70" s="1092">
        <v>36</v>
      </c>
      <c r="AK70" s="1092">
        <v>37</v>
      </c>
      <c r="AL70" s="1092">
        <v>38</v>
      </c>
      <c r="AM70" s="1092">
        <v>39</v>
      </c>
      <c r="AN70" s="1092">
        <v>40</v>
      </c>
      <c r="AO70" s="1092">
        <v>41</v>
      </c>
      <c r="AP70" s="1092">
        <v>42</v>
      </c>
      <c r="AQ70" s="1092">
        <v>43</v>
      </c>
      <c r="AR70" s="1092">
        <v>44</v>
      </c>
      <c r="AS70" s="1092">
        <v>45</v>
      </c>
      <c r="AT70" s="1092">
        <v>46</v>
      </c>
      <c r="AU70" s="1092">
        <v>47</v>
      </c>
      <c r="AV70" s="1092">
        <v>48</v>
      </c>
      <c r="AW70" s="1092">
        <v>49</v>
      </c>
      <c r="AX70" s="1092">
        <v>50</v>
      </c>
      <c r="AY70" s="1092">
        <v>51</v>
      </c>
      <c r="AZ70" s="1092">
        <v>52</v>
      </c>
      <c r="BA70" s="1092">
        <v>53</v>
      </c>
      <c r="BB70" s="1092">
        <v>54</v>
      </c>
      <c r="BC70" s="1092">
        <v>55</v>
      </c>
      <c r="BD70" s="1092">
        <v>56</v>
      </c>
      <c r="BE70" s="1092">
        <v>57</v>
      </c>
      <c r="BF70" s="1092">
        <v>58</v>
      </c>
      <c r="BG70" s="1092">
        <v>59</v>
      </c>
      <c r="BH70" s="1092">
        <v>60</v>
      </c>
      <c r="BI70" s="1092">
        <v>61</v>
      </c>
      <c r="BJ70" s="1092">
        <v>62</v>
      </c>
      <c r="BK70" s="1092">
        <v>63</v>
      </c>
      <c r="BL70" s="1092">
        <v>64</v>
      </c>
      <c r="BM70" s="1092">
        <v>65</v>
      </c>
      <c r="BN70" s="1092"/>
      <c r="BO70" s="1092"/>
      <c r="BP70" s="1092"/>
      <c r="BQ70" s="1092"/>
      <c r="BR70" s="1092"/>
      <c r="BS70" s="1092"/>
      <c r="BT70" s="1092"/>
      <c r="BU70" s="1092"/>
    </row>
    <row r="71" spans="1:73" ht="15.75" hidden="1" thickBot="1"/>
    <row r="72" spans="1:73" ht="39.950000000000003" hidden="1" customHeight="1">
      <c r="A72" s="1094"/>
      <c r="B72" s="1151"/>
      <c r="C72" s="1456" t="s">
        <v>47</v>
      </c>
      <c r="D72" s="1457"/>
      <c r="E72" s="1457"/>
      <c r="F72" s="1457"/>
      <c r="G72" s="1457"/>
      <c r="H72" s="1457"/>
      <c r="I72" s="1457"/>
      <c r="J72" s="1457"/>
      <c r="K72" s="1457"/>
      <c r="L72" s="1457"/>
      <c r="M72" s="1457"/>
      <c r="N72" s="1457"/>
      <c r="O72" s="1457"/>
      <c r="P72" s="1457"/>
      <c r="Q72" s="1457"/>
      <c r="R72" s="1457"/>
      <c r="S72" s="1457"/>
      <c r="T72" s="1457"/>
      <c r="U72" s="1457"/>
      <c r="V72" s="1457"/>
      <c r="W72" s="1457"/>
      <c r="X72" s="1457"/>
      <c r="Y72" s="1457"/>
      <c r="Z72" s="1457"/>
      <c r="AA72" s="1457"/>
      <c r="AB72" s="1457"/>
      <c r="AC72" s="1457"/>
      <c r="AD72" s="1457"/>
      <c r="AE72" s="1457"/>
      <c r="AF72" s="1457"/>
      <c r="AG72" s="1457"/>
      <c r="AH72" s="1457"/>
      <c r="AI72" s="1457"/>
      <c r="AJ72" s="1457"/>
      <c r="AK72" s="1457"/>
      <c r="AL72" s="1457"/>
      <c r="AM72" s="1457"/>
      <c r="AN72" s="1457"/>
      <c r="AO72" s="1457"/>
      <c r="AP72" s="1457"/>
      <c r="AQ72" s="1457"/>
      <c r="AR72" s="1458"/>
      <c r="AS72" s="1152" t="s">
        <v>133</v>
      </c>
      <c r="AT72" s="1153"/>
      <c r="AU72" s="1153"/>
      <c r="AV72" s="1153"/>
      <c r="AW72" s="1153"/>
      <c r="AX72" s="1153"/>
      <c r="AY72" s="1153"/>
      <c r="AZ72" s="1153"/>
      <c r="BA72" s="1153"/>
      <c r="BB72" s="1153"/>
      <c r="BC72" s="1153"/>
      <c r="BD72" s="1153"/>
      <c r="BE72" s="1153"/>
      <c r="BF72" s="1153"/>
      <c r="BG72" s="1153"/>
      <c r="BH72" s="1153"/>
      <c r="BI72" s="1153"/>
      <c r="BJ72" s="1153"/>
      <c r="BK72" s="1153"/>
      <c r="BL72" s="1153"/>
      <c r="BM72" s="1154"/>
      <c r="BN72" s="1155"/>
      <c r="BO72" s="1155"/>
      <c r="BP72" s="1155"/>
      <c r="BQ72" s="1155"/>
      <c r="BR72" s="1155"/>
      <c r="BS72" s="1155"/>
      <c r="BT72" s="1155"/>
      <c r="BU72" s="1155"/>
    </row>
    <row r="73" spans="1:73" ht="60" hidden="1" customHeight="1">
      <c r="A73" s="1096"/>
      <c r="B73" s="1156"/>
      <c r="C73" s="1452" t="s">
        <v>81</v>
      </c>
      <c r="D73" s="1453"/>
      <c r="E73" s="1454" t="s">
        <v>82</v>
      </c>
      <c r="F73" s="1455"/>
      <c r="G73" s="1452" t="s">
        <v>83</v>
      </c>
      <c r="H73" s="1453"/>
      <c r="I73" s="1459" t="s">
        <v>84</v>
      </c>
      <c r="J73" s="1455"/>
      <c r="K73" s="1452" t="s">
        <v>85</v>
      </c>
      <c r="L73" s="1453"/>
      <c r="M73" s="1454" t="s">
        <v>86</v>
      </c>
      <c r="N73" s="1453"/>
      <c r="O73" s="1461" t="s">
        <v>68</v>
      </c>
      <c r="P73" s="1455"/>
      <c r="Q73" s="1469" t="s">
        <v>69</v>
      </c>
      <c r="R73" s="1455"/>
      <c r="S73" s="1452" t="s">
        <v>87</v>
      </c>
      <c r="T73" s="1453"/>
      <c r="U73" s="1454" t="s">
        <v>88</v>
      </c>
      <c r="V73" s="1452"/>
      <c r="W73" s="1454" t="s">
        <v>89</v>
      </c>
      <c r="X73" s="1453"/>
      <c r="Y73" s="1454" t="s">
        <v>90</v>
      </c>
      <c r="Z73" s="1460"/>
      <c r="AA73" s="1454" t="s">
        <v>91</v>
      </c>
      <c r="AB73" s="1460"/>
      <c r="AC73" s="1467" t="s">
        <v>92</v>
      </c>
      <c r="AD73" s="1468"/>
      <c r="AE73" s="1454" t="s">
        <v>100</v>
      </c>
      <c r="AF73" s="1460"/>
      <c r="AG73" s="1454" t="s">
        <v>93</v>
      </c>
      <c r="AH73" s="1460"/>
      <c r="AI73" s="1454" t="s">
        <v>94</v>
      </c>
      <c r="AJ73" s="1460"/>
      <c r="AK73" s="1454" t="s">
        <v>95</v>
      </c>
      <c r="AL73" s="1460"/>
      <c r="AM73" s="1454" t="s">
        <v>96</v>
      </c>
      <c r="AN73" s="1460"/>
      <c r="AO73" s="1461" t="s">
        <v>3</v>
      </c>
      <c r="AP73" s="1453"/>
      <c r="AQ73" s="1472" t="s">
        <v>97</v>
      </c>
      <c r="AR73" s="1469"/>
      <c r="AS73" s="1157" t="s">
        <v>81</v>
      </c>
      <c r="AT73" s="1158" t="s">
        <v>108</v>
      </c>
      <c r="AU73" s="1158" t="s">
        <v>83</v>
      </c>
      <c r="AV73" s="1158" t="s">
        <v>109</v>
      </c>
      <c r="AW73" s="1158" t="s">
        <v>85</v>
      </c>
      <c r="AX73" s="1158" t="s">
        <v>107</v>
      </c>
      <c r="AY73" s="1158" t="s">
        <v>110</v>
      </c>
      <c r="AZ73" s="1158" t="s">
        <v>111</v>
      </c>
      <c r="BA73" s="1158" t="s">
        <v>87</v>
      </c>
      <c r="BB73" s="1158" t="s">
        <v>112</v>
      </c>
      <c r="BC73" s="1158" t="s">
        <v>113</v>
      </c>
      <c r="BD73" s="1158" t="s">
        <v>114</v>
      </c>
      <c r="BE73" s="1158" t="s">
        <v>115</v>
      </c>
      <c r="BF73" s="1159" t="s">
        <v>116</v>
      </c>
      <c r="BG73" s="1158" t="s">
        <v>100</v>
      </c>
      <c r="BH73" s="1158" t="s">
        <v>93</v>
      </c>
      <c r="BI73" s="1158" t="s">
        <v>94</v>
      </c>
      <c r="BJ73" s="1158" t="s">
        <v>95</v>
      </c>
      <c r="BK73" s="1160" t="s">
        <v>117</v>
      </c>
      <c r="BL73" s="1161" t="s">
        <v>3</v>
      </c>
      <c r="BM73" s="1466" t="s">
        <v>97</v>
      </c>
      <c r="BN73" s="1162"/>
      <c r="BO73" s="1162"/>
      <c r="BP73" s="1162"/>
      <c r="BQ73" s="1162"/>
      <c r="BR73" s="1162"/>
      <c r="BS73" s="1162"/>
      <c r="BT73" s="1162"/>
      <c r="BU73" s="1162"/>
    </row>
    <row r="74" spans="1:73" ht="24.95" hidden="1" customHeight="1">
      <c r="A74" s="1096"/>
      <c r="B74" s="1163" t="s">
        <v>42</v>
      </c>
      <c r="C74" s="1106" t="s">
        <v>23</v>
      </c>
      <c r="D74" s="1164" t="s">
        <v>2</v>
      </c>
      <c r="E74" s="1164" t="s">
        <v>23</v>
      </c>
      <c r="F74" s="1164" t="s">
        <v>2</v>
      </c>
      <c r="G74" s="1164" t="s">
        <v>23</v>
      </c>
      <c r="H74" s="1164" t="s">
        <v>2</v>
      </c>
      <c r="I74" s="1164" t="s">
        <v>23</v>
      </c>
      <c r="J74" s="1164" t="s">
        <v>2</v>
      </c>
      <c r="K74" s="1164" t="s">
        <v>23</v>
      </c>
      <c r="L74" s="1164" t="s">
        <v>2</v>
      </c>
      <c r="M74" s="1164" t="s">
        <v>23</v>
      </c>
      <c r="N74" s="1164" t="s">
        <v>2</v>
      </c>
      <c r="O74" s="1164" t="s">
        <v>23</v>
      </c>
      <c r="P74" s="1164" t="s">
        <v>2</v>
      </c>
      <c r="Q74" s="1164" t="s">
        <v>23</v>
      </c>
      <c r="R74" s="1164" t="s">
        <v>2</v>
      </c>
      <c r="S74" s="1164" t="s">
        <v>23</v>
      </c>
      <c r="T74" s="1164" t="s">
        <v>2</v>
      </c>
      <c r="U74" s="1164" t="s">
        <v>23</v>
      </c>
      <c r="V74" s="1164" t="s">
        <v>2</v>
      </c>
      <c r="W74" s="1164" t="s">
        <v>23</v>
      </c>
      <c r="X74" s="1164" t="s">
        <v>2</v>
      </c>
      <c r="Y74" s="1164" t="s">
        <v>23</v>
      </c>
      <c r="Z74" s="1164" t="s">
        <v>2</v>
      </c>
      <c r="AA74" s="1164" t="s">
        <v>23</v>
      </c>
      <c r="AB74" s="1164" t="s">
        <v>2</v>
      </c>
      <c r="AC74" s="1164" t="s">
        <v>23</v>
      </c>
      <c r="AD74" s="1164" t="s">
        <v>2</v>
      </c>
      <c r="AE74" s="1164" t="s">
        <v>23</v>
      </c>
      <c r="AF74" s="1164" t="s">
        <v>2</v>
      </c>
      <c r="AG74" s="1164" t="s">
        <v>23</v>
      </c>
      <c r="AH74" s="1164" t="s">
        <v>2</v>
      </c>
      <c r="AI74" s="1164" t="s">
        <v>23</v>
      </c>
      <c r="AJ74" s="1164" t="s">
        <v>2</v>
      </c>
      <c r="AK74" s="1164" t="s">
        <v>23</v>
      </c>
      <c r="AL74" s="1164" t="s">
        <v>2</v>
      </c>
      <c r="AM74" s="1164" t="s">
        <v>23</v>
      </c>
      <c r="AN74" s="1164" t="s">
        <v>2</v>
      </c>
      <c r="AO74" s="1164" t="s">
        <v>23</v>
      </c>
      <c r="AP74" s="1165" t="s">
        <v>2</v>
      </c>
      <c r="AQ74" s="1166" t="s">
        <v>23</v>
      </c>
      <c r="AR74" s="1167" t="s">
        <v>2</v>
      </c>
      <c r="AS74" s="1168"/>
      <c r="AT74" s="1117"/>
      <c r="AU74" s="1117"/>
      <c r="AV74" s="1117"/>
      <c r="AW74" s="1117"/>
      <c r="AX74" s="1117"/>
      <c r="AY74" s="1117"/>
      <c r="AZ74" s="1117"/>
      <c r="BA74" s="1117"/>
      <c r="BB74" s="1117"/>
      <c r="BC74" s="1117"/>
      <c r="BD74" s="1117"/>
      <c r="BE74" s="1117"/>
      <c r="BF74" s="1117"/>
      <c r="BG74" s="1117"/>
      <c r="BH74" s="1117"/>
      <c r="BI74" s="1117"/>
      <c r="BJ74" s="1117"/>
      <c r="BK74" s="1169"/>
      <c r="BL74" s="1170"/>
      <c r="BM74" s="1466"/>
      <c r="BN74" s="1097"/>
      <c r="BO74" s="1097"/>
      <c r="BP74" s="1097"/>
      <c r="BQ74" s="1097"/>
      <c r="BR74" s="1097"/>
      <c r="BS74" s="1097"/>
      <c r="BT74" s="1097"/>
      <c r="BU74" s="1097"/>
    </row>
    <row r="75" spans="1:73" ht="24.95" hidden="1" customHeight="1">
      <c r="A75" s="1171"/>
      <c r="B75" s="1172"/>
      <c r="C75" s="1106" t="s">
        <v>27</v>
      </c>
      <c r="D75" s="1173" t="s">
        <v>27</v>
      </c>
      <c r="E75" s="1174" t="s">
        <v>27</v>
      </c>
      <c r="F75" s="1173" t="s">
        <v>27</v>
      </c>
      <c r="G75" s="1174" t="s">
        <v>27</v>
      </c>
      <c r="H75" s="1175" t="s">
        <v>27</v>
      </c>
      <c r="I75" s="1175" t="s">
        <v>27</v>
      </c>
      <c r="J75" s="1175" t="s">
        <v>27</v>
      </c>
      <c r="K75" s="1175" t="s">
        <v>27</v>
      </c>
      <c r="L75" s="1175" t="s">
        <v>27</v>
      </c>
      <c r="M75" s="1175" t="s">
        <v>27</v>
      </c>
      <c r="N75" s="1175" t="s">
        <v>27</v>
      </c>
      <c r="O75" s="1175" t="s">
        <v>27</v>
      </c>
      <c r="P75" s="1174" t="s">
        <v>27</v>
      </c>
      <c r="Q75" s="1175" t="s">
        <v>27</v>
      </c>
      <c r="R75" s="1175" t="s">
        <v>27</v>
      </c>
      <c r="S75" s="1175" t="s">
        <v>27</v>
      </c>
      <c r="T75" s="1175" t="s">
        <v>27</v>
      </c>
      <c r="U75" s="1175" t="s">
        <v>27</v>
      </c>
      <c r="V75" s="1175" t="s">
        <v>27</v>
      </c>
      <c r="W75" s="1174" t="s">
        <v>27</v>
      </c>
      <c r="X75" s="1173" t="s">
        <v>27</v>
      </c>
      <c r="Y75" s="1174" t="s">
        <v>27</v>
      </c>
      <c r="Z75" s="1174" t="s">
        <v>27</v>
      </c>
      <c r="AA75" s="1174" t="s">
        <v>27</v>
      </c>
      <c r="AB75" s="1174" t="s">
        <v>27</v>
      </c>
      <c r="AC75" s="1174" t="s">
        <v>27</v>
      </c>
      <c r="AD75" s="1174" t="s">
        <v>27</v>
      </c>
      <c r="AE75" s="1174" t="s">
        <v>27</v>
      </c>
      <c r="AF75" s="1174" t="s">
        <v>27</v>
      </c>
      <c r="AG75" s="1175" t="s">
        <v>27</v>
      </c>
      <c r="AH75" s="1174" t="s">
        <v>27</v>
      </c>
      <c r="AI75" s="1174" t="s">
        <v>27</v>
      </c>
      <c r="AJ75" s="1174" t="s">
        <v>27</v>
      </c>
      <c r="AK75" s="1174" t="s">
        <v>27</v>
      </c>
      <c r="AL75" s="1174" t="s">
        <v>27</v>
      </c>
      <c r="AM75" s="1106" t="s">
        <v>27</v>
      </c>
      <c r="AN75" s="1174" t="s">
        <v>27</v>
      </c>
      <c r="AO75" s="1106" t="s">
        <v>27</v>
      </c>
      <c r="AP75" s="1176" t="s">
        <v>27</v>
      </c>
      <c r="AQ75" s="1177" t="s">
        <v>27</v>
      </c>
      <c r="AR75" s="1178" t="s">
        <v>27</v>
      </c>
      <c r="AS75" s="1177" t="s">
        <v>27</v>
      </c>
      <c r="AT75" s="1174" t="s">
        <v>27</v>
      </c>
      <c r="AU75" s="1174" t="s">
        <v>27</v>
      </c>
      <c r="AV75" s="1174" t="s">
        <v>27</v>
      </c>
      <c r="AW75" s="1174" t="s">
        <v>27</v>
      </c>
      <c r="AX75" s="1174" t="s">
        <v>27</v>
      </c>
      <c r="AY75" s="1174" t="s">
        <v>27</v>
      </c>
      <c r="AZ75" s="1174" t="s">
        <v>27</v>
      </c>
      <c r="BA75" s="1174" t="s">
        <v>27</v>
      </c>
      <c r="BB75" s="1174" t="s">
        <v>27</v>
      </c>
      <c r="BC75" s="1174" t="s">
        <v>27</v>
      </c>
      <c r="BD75" s="1174" t="s">
        <v>27</v>
      </c>
      <c r="BE75" s="1174" t="s">
        <v>27</v>
      </c>
      <c r="BF75" s="1174" t="s">
        <v>27</v>
      </c>
      <c r="BG75" s="1174" t="s">
        <v>27</v>
      </c>
      <c r="BH75" s="1174" t="s">
        <v>27</v>
      </c>
      <c r="BI75" s="1174" t="s">
        <v>27</v>
      </c>
      <c r="BJ75" s="1174" t="s">
        <v>27</v>
      </c>
      <c r="BK75" s="1176" t="s">
        <v>27</v>
      </c>
      <c r="BL75" s="1179" t="s">
        <v>27</v>
      </c>
      <c r="BM75" s="1179" t="s">
        <v>27</v>
      </c>
      <c r="BN75" s="1106"/>
      <c r="BO75" s="1106"/>
      <c r="BP75" s="1106"/>
      <c r="BQ75" s="1106"/>
      <c r="BR75" s="1106"/>
      <c r="BS75" s="1106"/>
      <c r="BT75" s="1106"/>
      <c r="BU75" s="1106"/>
    </row>
    <row r="76" spans="1:73" ht="24.95" hidden="1" customHeight="1">
      <c r="A76" s="1180"/>
      <c r="B76" s="1181"/>
      <c r="C76" s="1182">
        <v>1</v>
      </c>
      <c r="D76" s="1183">
        <v>2</v>
      </c>
      <c r="E76" s="1184">
        <v>3</v>
      </c>
      <c r="F76" s="1185">
        <v>4</v>
      </c>
      <c r="G76" s="1182">
        <v>5</v>
      </c>
      <c r="H76" s="1183">
        <v>6</v>
      </c>
      <c r="I76" s="1184">
        <v>7</v>
      </c>
      <c r="J76" s="1185">
        <v>8</v>
      </c>
      <c r="K76" s="1182">
        <v>9</v>
      </c>
      <c r="L76" s="1183">
        <v>10</v>
      </c>
      <c r="M76" s="1184">
        <v>11</v>
      </c>
      <c r="N76" s="1185">
        <v>12</v>
      </c>
      <c r="O76" s="1182">
        <v>13</v>
      </c>
      <c r="P76" s="1183">
        <v>14</v>
      </c>
      <c r="Q76" s="1184">
        <v>15</v>
      </c>
      <c r="R76" s="1185">
        <v>16</v>
      </c>
      <c r="S76" s="1182">
        <v>17</v>
      </c>
      <c r="T76" s="1183">
        <v>18</v>
      </c>
      <c r="U76" s="1184">
        <v>19</v>
      </c>
      <c r="V76" s="1185">
        <v>20</v>
      </c>
      <c r="W76" s="1182">
        <v>21</v>
      </c>
      <c r="X76" s="1183">
        <v>22</v>
      </c>
      <c r="Y76" s="1184">
        <v>23</v>
      </c>
      <c r="Z76" s="1185">
        <v>24</v>
      </c>
      <c r="AA76" s="1182">
        <v>25</v>
      </c>
      <c r="AB76" s="1183">
        <v>26</v>
      </c>
      <c r="AC76" s="1184">
        <v>27</v>
      </c>
      <c r="AD76" s="1185">
        <v>28</v>
      </c>
      <c r="AE76" s="1182">
        <v>29</v>
      </c>
      <c r="AF76" s="1183">
        <v>30</v>
      </c>
      <c r="AG76" s="1184">
        <v>31</v>
      </c>
      <c r="AH76" s="1185">
        <v>32</v>
      </c>
      <c r="AI76" s="1182">
        <v>33</v>
      </c>
      <c r="AJ76" s="1183">
        <v>34</v>
      </c>
      <c r="AK76" s="1184">
        <v>35</v>
      </c>
      <c r="AL76" s="1185">
        <v>36</v>
      </c>
      <c r="AM76" s="1182">
        <v>37</v>
      </c>
      <c r="AN76" s="1183">
        <v>38</v>
      </c>
      <c r="AO76" s="1184">
        <v>39</v>
      </c>
      <c r="AP76" s="1186">
        <v>40</v>
      </c>
      <c r="AQ76" s="1182">
        <v>41</v>
      </c>
      <c r="AR76" s="1183">
        <v>42</v>
      </c>
      <c r="AS76" s="1187">
        <v>43</v>
      </c>
      <c r="AT76" s="1185">
        <v>44</v>
      </c>
      <c r="AU76" s="1188">
        <v>45</v>
      </c>
      <c r="AV76" s="1185">
        <v>46</v>
      </c>
      <c r="AW76" s="1185">
        <v>47</v>
      </c>
      <c r="AX76" s="1185">
        <v>48</v>
      </c>
      <c r="AY76" s="1188">
        <v>49</v>
      </c>
      <c r="AZ76" s="1185">
        <v>50</v>
      </c>
      <c r="BA76" s="1185">
        <v>51</v>
      </c>
      <c r="BB76" s="1185">
        <v>52</v>
      </c>
      <c r="BC76" s="1188">
        <v>53</v>
      </c>
      <c r="BD76" s="1185">
        <v>54</v>
      </c>
      <c r="BE76" s="1185">
        <v>55</v>
      </c>
      <c r="BF76" s="1185">
        <v>56</v>
      </c>
      <c r="BG76" s="1188">
        <v>57</v>
      </c>
      <c r="BH76" s="1185">
        <v>58</v>
      </c>
      <c r="BI76" s="1185">
        <v>59</v>
      </c>
      <c r="BJ76" s="1185">
        <v>60</v>
      </c>
      <c r="BK76" s="1189">
        <v>61</v>
      </c>
      <c r="BL76" s="1190">
        <v>62</v>
      </c>
      <c r="BM76" s="1190">
        <v>63</v>
      </c>
      <c r="BN76" s="1191"/>
      <c r="BO76" s="1191"/>
      <c r="BP76" s="1191"/>
      <c r="BQ76" s="1191"/>
      <c r="BR76" s="1191"/>
      <c r="BS76" s="1191"/>
      <c r="BT76" s="1191"/>
      <c r="BU76" s="1191"/>
    </row>
    <row r="77" spans="1:73" ht="24.95" hidden="1" customHeight="1">
      <c r="A77" s="1192">
        <v>1</v>
      </c>
      <c r="B77" s="402" t="s">
        <v>11</v>
      </c>
      <c r="C77" s="244">
        <v>447.3</v>
      </c>
      <c r="D77" s="242">
        <v>84.7</v>
      </c>
      <c r="E77" s="251">
        <v>37</v>
      </c>
      <c r="F77" s="252">
        <v>26.5</v>
      </c>
      <c r="G77" s="242">
        <v>275.3</v>
      </c>
      <c r="H77" s="242">
        <v>95.3</v>
      </c>
      <c r="I77" s="251">
        <v>98</v>
      </c>
      <c r="J77" s="252">
        <v>41.5</v>
      </c>
      <c r="K77" s="242">
        <v>1846.4</v>
      </c>
      <c r="L77" s="242">
        <v>279.8</v>
      </c>
      <c r="M77" s="251">
        <v>112</v>
      </c>
      <c r="N77" s="252">
        <v>77.2</v>
      </c>
      <c r="O77" s="242">
        <v>18</v>
      </c>
      <c r="P77" s="242">
        <v>6</v>
      </c>
      <c r="Q77" s="251">
        <v>1220</v>
      </c>
      <c r="R77" s="252">
        <v>214.47</v>
      </c>
      <c r="S77" s="242">
        <v>398</v>
      </c>
      <c r="T77" s="242">
        <v>24.4</v>
      </c>
      <c r="U77" s="251">
        <v>44.5</v>
      </c>
      <c r="V77" s="252">
        <v>8.5</v>
      </c>
      <c r="W77" s="242">
        <v>0</v>
      </c>
      <c r="X77" s="242">
        <v>0</v>
      </c>
      <c r="Y77" s="251">
        <v>39</v>
      </c>
      <c r="Z77" s="252">
        <v>33.5</v>
      </c>
      <c r="AA77" s="242">
        <v>28</v>
      </c>
      <c r="AB77" s="242">
        <v>41.4</v>
      </c>
      <c r="AC77" s="251">
        <v>6</v>
      </c>
      <c r="AD77" s="252">
        <v>12</v>
      </c>
      <c r="AE77" s="242">
        <v>34</v>
      </c>
      <c r="AF77" s="242">
        <v>2</v>
      </c>
      <c r="AG77" s="251">
        <v>576</v>
      </c>
      <c r="AH77" s="252">
        <v>33</v>
      </c>
      <c r="AI77" s="242">
        <v>194.04</v>
      </c>
      <c r="AJ77" s="242">
        <v>89.53</v>
      </c>
      <c r="AK77" s="251">
        <v>799.99</v>
      </c>
      <c r="AL77" s="252">
        <v>101.33</v>
      </c>
      <c r="AM77" s="251">
        <v>141</v>
      </c>
      <c r="AN77" s="252">
        <v>72.5</v>
      </c>
      <c r="AO77" s="247">
        <v>6314.53</v>
      </c>
      <c r="AP77" s="247">
        <v>1243.6299999999999</v>
      </c>
      <c r="AQ77" s="244">
        <v>0</v>
      </c>
      <c r="AR77" s="572">
        <v>0</v>
      </c>
      <c r="AS77" s="1096"/>
      <c r="AT77" s="1193"/>
      <c r="AU77" s="1193"/>
      <c r="AV77" s="1193"/>
      <c r="AW77" s="1193"/>
      <c r="AX77" s="1193"/>
      <c r="AY77" s="1193"/>
      <c r="AZ77" s="1193"/>
      <c r="BA77" s="1193"/>
      <c r="BB77" s="1193"/>
      <c r="BC77" s="1193"/>
      <c r="BD77" s="1193"/>
      <c r="BE77" s="1193"/>
      <c r="BF77" s="1193"/>
      <c r="BG77" s="1193"/>
      <c r="BH77" s="1193"/>
      <c r="BI77" s="1193"/>
      <c r="BJ77" s="1193"/>
      <c r="BK77" s="1194"/>
      <c r="BL77" s="1195"/>
      <c r="BM77" s="1195"/>
    </row>
    <row r="78" spans="1:73" ht="30" hidden="1" customHeight="1">
      <c r="A78" s="1192"/>
      <c r="B78" s="403" t="s">
        <v>13</v>
      </c>
      <c r="C78" s="245"/>
      <c r="D78" s="235"/>
      <c r="E78" s="409"/>
      <c r="F78" s="236"/>
      <c r="G78" s="235"/>
      <c r="H78" s="235"/>
      <c r="I78" s="409"/>
      <c r="J78" s="236"/>
      <c r="K78" s="235"/>
      <c r="L78" s="235"/>
      <c r="M78" s="409"/>
      <c r="N78" s="236"/>
      <c r="O78" s="235"/>
      <c r="P78" s="235"/>
      <c r="Q78" s="409"/>
      <c r="R78" s="236"/>
      <c r="S78" s="235"/>
      <c r="T78" s="235"/>
      <c r="U78" s="409"/>
      <c r="V78" s="236"/>
      <c r="W78" s="235"/>
      <c r="X78" s="235"/>
      <c r="Y78" s="409"/>
      <c r="Z78" s="236"/>
      <c r="AA78" s="235"/>
      <c r="AB78" s="235"/>
      <c r="AC78" s="409"/>
      <c r="AD78" s="236"/>
      <c r="AE78" s="235"/>
      <c r="AF78" s="235"/>
      <c r="AG78" s="409"/>
      <c r="AH78" s="236"/>
      <c r="AI78" s="235"/>
      <c r="AJ78" s="235"/>
      <c r="AK78" s="409"/>
      <c r="AL78" s="236"/>
      <c r="AM78" s="409"/>
      <c r="AN78" s="236"/>
      <c r="AO78" s="241"/>
      <c r="AP78" s="241"/>
      <c r="AQ78" s="245"/>
      <c r="AR78" s="235"/>
      <c r="AS78" s="1096"/>
      <c r="AT78" s="1117"/>
      <c r="AU78" s="1117"/>
      <c r="AV78" s="1117"/>
      <c r="AW78" s="1117"/>
      <c r="AX78" s="1117"/>
      <c r="AY78" s="1117"/>
      <c r="AZ78" s="1117"/>
      <c r="BA78" s="1117"/>
      <c r="BB78" s="1117"/>
      <c r="BC78" s="1117"/>
      <c r="BD78" s="1117"/>
      <c r="BE78" s="1117"/>
      <c r="BF78" s="1117"/>
      <c r="BG78" s="1117"/>
      <c r="BH78" s="1117"/>
      <c r="BI78" s="1117"/>
      <c r="BJ78" s="1117"/>
      <c r="BK78" s="1169"/>
      <c r="BL78" s="1170"/>
      <c r="BM78" s="1170"/>
    </row>
    <row r="79" spans="1:73" ht="24.95" hidden="1" customHeight="1">
      <c r="A79" s="1192"/>
      <c r="B79" s="404" t="s">
        <v>28</v>
      </c>
      <c r="C79" s="245"/>
      <c r="D79" s="235"/>
      <c r="E79" s="409"/>
      <c r="F79" s="236"/>
      <c r="G79" s="235"/>
      <c r="H79" s="235"/>
      <c r="I79" s="409"/>
      <c r="J79" s="236"/>
      <c r="K79" s="235"/>
      <c r="L79" s="235"/>
      <c r="M79" s="409"/>
      <c r="N79" s="236"/>
      <c r="O79" s="235"/>
      <c r="P79" s="235"/>
      <c r="Q79" s="409"/>
      <c r="R79" s="236"/>
      <c r="S79" s="235"/>
      <c r="T79" s="235"/>
      <c r="U79" s="409"/>
      <c r="V79" s="236"/>
      <c r="W79" s="235"/>
      <c r="X79" s="235"/>
      <c r="Y79" s="409"/>
      <c r="Z79" s="236"/>
      <c r="AA79" s="235"/>
      <c r="AB79" s="235"/>
      <c r="AC79" s="409"/>
      <c r="AD79" s="236"/>
      <c r="AE79" s="235"/>
      <c r="AF79" s="235"/>
      <c r="AG79" s="409"/>
      <c r="AH79" s="236"/>
      <c r="AI79" s="235"/>
      <c r="AJ79" s="235"/>
      <c r="AK79" s="409"/>
      <c r="AL79" s="236"/>
      <c r="AM79" s="409"/>
      <c r="AN79" s="236"/>
      <c r="AO79" s="241"/>
      <c r="AP79" s="241"/>
      <c r="AQ79" s="245"/>
      <c r="AR79" s="235"/>
      <c r="AS79" s="1096"/>
      <c r="AT79" s="1117"/>
      <c r="AU79" s="1117"/>
      <c r="AV79" s="1117"/>
      <c r="AW79" s="1117"/>
      <c r="AX79" s="1117"/>
      <c r="AY79" s="1117"/>
      <c r="AZ79" s="1117"/>
      <c r="BA79" s="1117"/>
      <c r="BB79" s="1117"/>
      <c r="BC79" s="1117"/>
      <c r="BD79" s="1117"/>
      <c r="BE79" s="1117"/>
      <c r="BF79" s="1117"/>
      <c r="BG79" s="1117"/>
      <c r="BH79" s="1117"/>
      <c r="BI79" s="1117"/>
      <c r="BJ79" s="1117"/>
      <c r="BK79" s="1169"/>
      <c r="BL79" s="1170"/>
      <c r="BM79" s="1170"/>
    </row>
    <row r="80" spans="1:73" ht="24.95" hidden="1" customHeight="1">
      <c r="A80" s="1196">
        <v>2</v>
      </c>
      <c r="B80" s="405" t="s">
        <v>29</v>
      </c>
      <c r="C80" s="246">
        <v>0</v>
      </c>
      <c r="D80" s="240">
        <v>0</v>
      </c>
      <c r="E80" s="410">
        <v>0</v>
      </c>
      <c r="F80" s="239">
        <v>0</v>
      </c>
      <c r="G80" s="240">
        <v>22</v>
      </c>
      <c r="H80" s="240">
        <v>0</v>
      </c>
      <c r="I80" s="410">
        <v>0</v>
      </c>
      <c r="J80" s="239">
        <v>0</v>
      </c>
      <c r="K80" s="240">
        <v>0</v>
      </c>
      <c r="L80" s="240">
        <v>0</v>
      </c>
      <c r="M80" s="410">
        <v>3</v>
      </c>
      <c r="N80" s="239">
        <v>0</v>
      </c>
      <c r="O80" s="240">
        <v>0</v>
      </c>
      <c r="P80" s="240">
        <v>0</v>
      </c>
      <c r="Q80" s="410">
        <v>0</v>
      </c>
      <c r="R80" s="239">
        <v>0</v>
      </c>
      <c r="S80" s="240">
        <v>0</v>
      </c>
      <c r="T80" s="240">
        <v>0</v>
      </c>
      <c r="U80" s="410">
        <v>0</v>
      </c>
      <c r="V80" s="239">
        <v>0</v>
      </c>
      <c r="W80" s="240">
        <v>0</v>
      </c>
      <c r="X80" s="240">
        <v>0</v>
      </c>
      <c r="Y80" s="410">
        <v>0</v>
      </c>
      <c r="Z80" s="239">
        <v>0</v>
      </c>
      <c r="AA80" s="240">
        <v>0</v>
      </c>
      <c r="AB80" s="240">
        <v>0</v>
      </c>
      <c r="AC80" s="410">
        <v>0</v>
      </c>
      <c r="AD80" s="239">
        <v>0</v>
      </c>
      <c r="AE80" s="240">
        <v>0</v>
      </c>
      <c r="AF80" s="240">
        <v>0</v>
      </c>
      <c r="AG80" s="410">
        <v>0</v>
      </c>
      <c r="AH80" s="239">
        <v>0</v>
      </c>
      <c r="AI80" s="240">
        <v>0</v>
      </c>
      <c r="AJ80" s="240">
        <v>0</v>
      </c>
      <c r="AK80" s="410">
        <v>0</v>
      </c>
      <c r="AL80" s="239">
        <v>0</v>
      </c>
      <c r="AM80" s="410">
        <v>110</v>
      </c>
      <c r="AN80" s="239">
        <v>0</v>
      </c>
      <c r="AO80" s="248">
        <v>135</v>
      </c>
      <c r="AP80" s="248">
        <v>0</v>
      </c>
      <c r="AQ80" s="246">
        <v>0</v>
      </c>
      <c r="AR80" s="240">
        <v>0</v>
      </c>
      <c r="AS80" s="1096"/>
      <c r="AT80" s="1117"/>
      <c r="AU80" s="1117"/>
      <c r="AV80" s="1117"/>
      <c r="AW80" s="1117"/>
      <c r="AX80" s="1117"/>
      <c r="AY80" s="1117"/>
      <c r="AZ80" s="1117"/>
      <c r="BA80" s="1117"/>
      <c r="BB80" s="1117"/>
      <c r="BC80" s="1117"/>
      <c r="BD80" s="1117"/>
      <c r="BE80" s="1117"/>
      <c r="BF80" s="1117"/>
      <c r="BG80" s="1117"/>
      <c r="BH80" s="1117"/>
      <c r="BI80" s="1117"/>
      <c r="BJ80" s="1117"/>
      <c r="BK80" s="1169"/>
      <c r="BL80" s="1170"/>
      <c r="BM80" s="1170"/>
    </row>
    <row r="81" spans="1:65" ht="24.95" hidden="1" customHeight="1">
      <c r="A81" s="1196">
        <v>3</v>
      </c>
      <c r="B81" s="404" t="s">
        <v>30</v>
      </c>
      <c r="C81" s="246">
        <v>484</v>
      </c>
      <c r="D81" s="240">
        <v>52</v>
      </c>
      <c r="E81" s="410">
        <v>69</v>
      </c>
      <c r="F81" s="239">
        <v>71.2</v>
      </c>
      <c r="G81" s="240">
        <v>439.5</v>
      </c>
      <c r="H81" s="240">
        <v>692.23</v>
      </c>
      <c r="I81" s="410">
        <v>659</v>
      </c>
      <c r="J81" s="239">
        <v>282.88400000000001</v>
      </c>
      <c r="K81" s="240">
        <v>154</v>
      </c>
      <c r="L81" s="240">
        <v>28.6</v>
      </c>
      <c r="M81" s="410">
        <v>414</v>
      </c>
      <c r="N81" s="239">
        <v>126.49</v>
      </c>
      <c r="O81" s="240">
        <v>160</v>
      </c>
      <c r="P81" s="240">
        <v>5.5</v>
      </c>
      <c r="Q81" s="410">
        <v>1073</v>
      </c>
      <c r="R81" s="239">
        <v>320.19</v>
      </c>
      <c r="S81" s="240">
        <v>490.3</v>
      </c>
      <c r="T81" s="240">
        <v>75.400000000000006</v>
      </c>
      <c r="U81" s="410">
        <v>45.5</v>
      </c>
      <c r="V81" s="239">
        <v>107.30000000000001</v>
      </c>
      <c r="W81" s="240">
        <v>0</v>
      </c>
      <c r="X81" s="240">
        <v>120</v>
      </c>
      <c r="Y81" s="410">
        <v>198</v>
      </c>
      <c r="Z81" s="239">
        <v>150.80000000000001</v>
      </c>
      <c r="AA81" s="240">
        <v>167</v>
      </c>
      <c r="AB81" s="240">
        <v>172.41</v>
      </c>
      <c r="AC81" s="410">
        <v>79.5</v>
      </c>
      <c r="AD81" s="239">
        <v>0</v>
      </c>
      <c r="AE81" s="240">
        <v>38</v>
      </c>
      <c r="AF81" s="240">
        <v>25.1</v>
      </c>
      <c r="AG81" s="410">
        <v>328.5</v>
      </c>
      <c r="AH81" s="239">
        <v>37.239999999999995</v>
      </c>
      <c r="AI81" s="240">
        <v>338.59</v>
      </c>
      <c r="AJ81" s="240">
        <v>189.55</v>
      </c>
      <c r="AK81" s="410">
        <v>535.16</v>
      </c>
      <c r="AL81" s="239">
        <v>247.6</v>
      </c>
      <c r="AM81" s="410">
        <v>389</v>
      </c>
      <c r="AN81" s="239">
        <v>223.41666666666663</v>
      </c>
      <c r="AO81" s="248">
        <v>6062.05</v>
      </c>
      <c r="AP81" s="248">
        <v>2927.9106666666662</v>
      </c>
      <c r="AQ81" s="246">
        <v>0</v>
      </c>
      <c r="AR81" s="240">
        <v>96.804878283999997</v>
      </c>
      <c r="AS81" s="1096"/>
      <c r="AT81" s="1117"/>
      <c r="AU81" s="1117"/>
      <c r="AV81" s="1117"/>
      <c r="AW81" s="1117"/>
      <c r="AX81" s="1117"/>
      <c r="AY81" s="1117"/>
      <c r="AZ81" s="1117"/>
      <c r="BA81" s="1117"/>
      <c r="BB81" s="1117"/>
      <c r="BC81" s="1117"/>
      <c r="BD81" s="1117"/>
      <c r="BE81" s="1117"/>
      <c r="BF81" s="1117"/>
      <c r="BG81" s="1117"/>
      <c r="BH81" s="1117"/>
      <c r="BI81" s="1117"/>
      <c r="BJ81" s="1117"/>
      <c r="BK81" s="1169"/>
      <c r="BL81" s="1170"/>
      <c r="BM81" s="1170"/>
    </row>
    <row r="82" spans="1:65" ht="24.95" hidden="1" customHeight="1">
      <c r="A82" s="1196">
        <v>4</v>
      </c>
      <c r="B82" s="404" t="s">
        <v>104</v>
      </c>
      <c r="C82" s="245"/>
      <c r="D82" s="414"/>
      <c r="E82" s="409"/>
      <c r="F82" s="544"/>
      <c r="G82" s="235"/>
      <c r="H82" s="414"/>
      <c r="I82" s="409"/>
      <c r="J82" s="544"/>
      <c r="K82" s="235"/>
      <c r="L82" s="414"/>
      <c r="M82" s="409"/>
      <c r="N82" s="544"/>
      <c r="O82" s="235"/>
      <c r="P82" s="414"/>
      <c r="Q82" s="409"/>
      <c r="R82" s="544"/>
      <c r="S82" s="235"/>
      <c r="T82" s="414"/>
      <c r="U82" s="409"/>
      <c r="V82" s="544"/>
      <c r="W82" s="235"/>
      <c r="X82" s="414"/>
      <c r="Y82" s="409"/>
      <c r="Z82" s="544"/>
      <c r="AA82" s="235"/>
      <c r="AB82" s="414"/>
      <c r="AC82" s="409"/>
      <c r="AD82" s="544"/>
      <c r="AE82" s="235"/>
      <c r="AF82" s="414"/>
      <c r="AG82" s="409"/>
      <c r="AH82" s="544"/>
      <c r="AI82" s="235"/>
      <c r="AJ82" s="414"/>
      <c r="AK82" s="409"/>
      <c r="AL82" s="544"/>
      <c r="AM82" s="409"/>
      <c r="AN82" s="544"/>
      <c r="AO82" s="235"/>
      <c r="AP82" s="235"/>
      <c r="AQ82" s="245"/>
      <c r="AR82" s="235"/>
      <c r="AS82" s="332">
        <v>0</v>
      </c>
      <c r="AT82" s="284"/>
      <c r="AU82" s="284"/>
      <c r="AV82" s="284"/>
      <c r="AW82" s="284"/>
      <c r="AX82" s="284"/>
      <c r="AY82" s="284"/>
      <c r="AZ82" s="284"/>
      <c r="BA82" s="284"/>
      <c r="BB82" s="284"/>
      <c r="BC82" s="284"/>
      <c r="BD82" s="284"/>
      <c r="BE82" s="284"/>
      <c r="BF82" s="284"/>
      <c r="BG82" s="284"/>
      <c r="BH82" s="284"/>
      <c r="BI82" s="284"/>
      <c r="BJ82" s="284"/>
      <c r="BK82" s="333"/>
      <c r="BL82" s="1197">
        <v>0</v>
      </c>
      <c r="BM82" s="289"/>
    </row>
    <row r="83" spans="1:65" ht="24.95" hidden="1" customHeight="1">
      <c r="A83" s="1192"/>
      <c r="B83" s="404" t="s">
        <v>3</v>
      </c>
      <c r="C83" s="407">
        <v>484</v>
      </c>
      <c r="D83" s="237">
        <v>52</v>
      </c>
      <c r="E83" s="411">
        <v>69</v>
      </c>
      <c r="F83" s="253">
        <v>71.2</v>
      </c>
      <c r="G83" s="237">
        <v>461.5</v>
      </c>
      <c r="H83" s="237">
        <v>692.23</v>
      </c>
      <c r="I83" s="411">
        <v>659</v>
      </c>
      <c r="J83" s="253">
        <v>282.88400000000001</v>
      </c>
      <c r="K83" s="237">
        <v>154</v>
      </c>
      <c r="L83" s="237">
        <v>28.6</v>
      </c>
      <c r="M83" s="411">
        <v>417</v>
      </c>
      <c r="N83" s="253">
        <v>126.49</v>
      </c>
      <c r="O83" s="237">
        <v>160</v>
      </c>
      <c r="P83" s="237">
        <v>5.5</v>
      </c>
      <c r="Q83" s="411">
        <v>1073</v>
      </c>
      <c r="R83" s="253">
        <v>320.19</v>
      </c>
      <c r="S83" s="237">
        <v>490.3</v>
      </c>
      <c r="T83" s="237">
        <v>75.400000000000006</v>
      </c>
      <c r="U83" s="411">
        <v>45.5</v>
      </c>
      <c r="V83" s="253">
        <v>107.30000000000001</v>
      </c>
      <c r="W83" s="237">
        <v>0</v>
      </c>
      <c r="X83" s="237">
        <v>120</v>
      </c>
      <c r="Y83" s="411">
        <v>198</v>
      </c>
      <c r="Z83" s="253">
        <v>150.80000000000001</v>
      </c>
      <c r="AA83" s="237">
        <v>167</v>
      </c>
      <c r="AB83" s="237">
        <v>172.41</v>
      </c>
      <c r="AC83" s="411">
        <v>79.5</v>
      </c>
      <c r="AD83" s="253">
        <v>0</v>
      </c>
      <c r="AE83" s="237">
        <v>38</v>
      </c>
      <c r="AF83" s="237">
        <v>25.1</v>
      </c>
      <c r="AG83" s="411">
        <v>328.5</v>
      </c>
      <c r="AH83" s="253">
        <v>37.239999999999995</v>
      </c>
      <c r="AI83" s="237">
        <v>338.59</v>
      </c>
      <c r="AJ83" s="237">
        <v>189.55</v>
      </c>
      <c r="AK83" s="411">
        <v>535.16</v>
      </c>
      <c r="AL83" s="253">
        <v>247.6</v>
      </c>
      <c r="AM83" s="411">
        <v>499</v>
      </c>
      <c r="AN83" s="253">
        <v>223.41666666666663</v>
      </c>
      <c r="AO83" s="237">
        <v>6197.05</v>
      </c>
      <c r="AP83" s="237">
        <v>2927.9106666666662</v>
      </c>
      <c r="AQ83" s="407">
        <v>0</v>
      </c>
      <c r="AR83" s="237">
        <v>96.804878283999997</v>
      </c>
      <c r="AS83" s="1096"/>
      <c r="AT83" s="1117"/>
      <c r="AU83" s="1117"/>
      <c r="AV83" s="1117"/>
      <c r="AW83" s="1117"/>
      <c r="AX83" s="1117"/>
      <c r="AY83" s="1117"/>
      <c r="AZ83" s="1117"/>
      <c r="BA83" s="1117"/>
      <c r="BB83" s="1117"/>
      <c r="BC83" s="1117"/>
      <c r="BD83" s="1117"/>
      <c r="BE83" s="1117"/>
      <c r="BF83" s="1117"/>
      <c r="BG83" s="1117"/>
      <c r="BH83" s="1117"/>
      <c r="BI83" s="1117"/>
      <c r="BJ83" s="1117"/>
      <c r="BK83" s="1169"/>
      <c r="BL83" s="1170"/>
      <c r="BM83" s="1170"/>
    </row>
    <row r="84" spans="1:65" ht="24.95" hidden="1" customHeight="1">
      <c r="A84" s="1192"/>
      <c r="B84" s="403" t="s">
        <v>15</v>
      </c>
      <c r="C84" s="245"/>
      <c r="D84" s="235"/>
      <c r="E84" s="409"/>
      <c r="F84" s="236"/>
      <c r="G84" s="235"/>
      <c r="H84" s="235"/>
      <c r="I84" s="409"/>
      <c r="J84" s="236"/>
      <c r="K84" s="235"/>
      <c r="L84" s="235"/>
      <c r="M84" s="409"/>
      <c r="N84" s="236"/>
      <c r="O84" s="235"/>
      <c r="P84" s="235"/>
      <c r="Q84" s="409"/>
      <c r="R84" s="236"/>
      <c r="S84" s="235"/>
      <c r="T84" s="235"/>
      <c r="U84" s="409"/>
      <c r="V84" s="236"/>
      <c r="W84" s="235"/>
      <c r="X84" s="235"/>
      <c r="Y84" s="409"/>
      <c r="Z84" s="236"/>
      <c r="AA84" s="235"/>
      <c r="AB84" s="235"/>
      <c r="AC84" s="409"/>
      <c r="AD84" s="236"/>
      <c r="AE84" s="235"/>
      <c r="AF84" s="235"/>
      <c r="AG84" s="409"/>
      <c r="AH84" s="236"/>
      <c r="AI84" s="235"/>
      <c r="AJ84" s="235"/>
      <c r="AK84" s="409"/>
      <c r="AL84" s="236"/>
      <c r="AM84" s="409"/>
      <c r="AN84" s="236"/>
      <c r="AO84" s="235"/>
      <c r="AP84" s="235"/>
      <c r="AQ84" s="245"/>
      <c r="AR84" s="235"/>
      <c r="AS84" s="1096"/>
      <c r="AT84" s="1117"/>
      <c r="AU84" s="1117"/>
      <c r="AV84" s="1117"/>
      <c r="AW84" s="1117"/>
      <c r="AX84" s="1117"/>
      <c r="AY84" s="1117"/>
      <c r="AZ84" s="1117"/>
      <c r="BA84" s="1117"/>
      <c r="BB84" s="1117"/>
      <c r="BC84" s="1117"/>
      <c r="BD84" s="1117"/>
      <c r="BE84" s="1117"/>
      <c r="BF84" s="1117"/>
      <c r="BG84" s="1117"/>
      <c r="BH84" s="1117"/>
      <c r="BI84" s="1117"/>
      <c r="BJ84" s="1117"/>
      <c r="BK84" s="1169"/>
      <c r="BL84" s="1170"/>
      <c r="BM84" s="1170"/>
    </row>
    <row r="85" spans="1:65" ht="24.95" hidden="1" customHeight="1">
      <c r="A85" s="1192"/>
      <c r="B85" s="404" t="s">
        <v>28</v>
      </c>
      <c r="C85" s="245"/>
      <c r="D85" s="235"/>
      <c r="E85" s="409"/>
      <c r="F85" s="236"/>
      <c r="G85" s="235"/>
      <c r="H85" s="235"/>
      <c r="I85" s="409"/>
      <c r="J85" s="236"/>
      <c r="K85" s="235"/>
      <c r="L85" s="235"/>
      <c r="M85" s="409"/>
      <c r="N85" s="236"/>
      <c r="O85" s="235"/>
      <c r="P85" s="235"/>
      <c r="Q85" s="409"/>
      <c r="R85" s="236"/>
      <c r="S85" s="235"/>
      <c r="T85" s="235"/>
      <c r="U85" s="409"/>
      <c r="V85" s="236"/>
      <c r="W85" s="235"/>
      <c r="X85" s="235"/>
      <c r="Y85" s="409"/>
      <c r="Z85" s="236"/>
      <c r="AA85" s="235"/>
      <c r="AB85" s="235"/>
      <c r="AC85" s="409"/>
      <c r="AD85" s="236"/>
      <c r="AE85" s="235"/>
      <c r="AF85" s="235"/>
      <c r="AG85" s="409"/>
      <c r="AH85" s="236"/>
      <c r="AI85" s="235"/>
      <c r="AJ85" s="235"/>
      <c r="AK85" s="409"/>
      <c r="AL85" s="236"/>
      <c r="AM85" s="409"/>
      <c r="AN85" s="236"/>
      <c r="AO85" s="235"/>
      <c r="AP85" s="235"/>
      <c r="AQ85" s="245"/>
      <c r="AR85" s="235"/>
      <c r="AS85" s="1096"/>
      <c r="AT85" s="1117"/>
      <c r="AU85" s="1117"/>
      <c r="AV85" s="1117"/>
      <c r="AW85" s="1117"/>
      <c r="AX85" s="1117"/>
      <c r="AY85" s="1117"/>
      <c r="AZ85" s="1117"/>
      <c r="BA85" s="1117"/>
      <c r="BB85" s="1117"/>
      <c r="BC85" s="1117"/>
      <c r="BD85" s="1117"/>
      <c r="BE85" s="1117"/>
      <c r="BF85" s="1117"/>
      <c r="BG85" s="1117"/>
      <c r="BH85" s="1117"/>
      <c r="BI85" s="1117"/>
      <c r="BJ85" s="1117"/>
      <c r="BK85" s="1169"/>
      <c r="BL85" s="1170"/>
      <c r="BM85" s="1170"/>
    </row>
    <row r="86" spans="1:65" ht="24.95" hidden="1" customHeight="1">
      <c r="A86" s="1196">
        <v>5</v>
      </c>
      <c r="B86" s="405" t="s">
        <v>31</v>
      </c>
      <c r="C86" s="246">
        <v>164</v>
      </c>
      <c r="D86" s="240">
        <v>40.700000000000003</v>
      </c>
      <c r="E86" s="410">
        <v>0</v>
      </c>
      <c r="F86" s="239">
        <v>0</v>
      </c>
      <c r="G86" s="240">
        <v>190.5</v>
      </c>
      <c r="H86" s="240">
        <v>16</v>
      </c>
      <c r="I86" s="410">
        <v>0</v>
      </c>
      <c r="J86" s="239">
        <v>0</v>
      </c>
      <c r="K86" s="240">
        <v>118</v>
      </c>
      <c r="L86" s="240">
        <v>0</v>
      </c>
      <c r="M86" s="410">
        <v>0</v>
      </c>
      <c r="N86" s="239">
        <v>0</v>
      </c>
      <c r="O86" s="240">
        <v>0</v>
      </c>
      <c r="P86" s="240">
        <v>0</v>
      </c>
      <c r="Q86" s="410">
        <v>168</v>
      </c>
      <c r="R86" s="239">
        <v>2</v>
      </c>
      <c r="S86" s="240">
        <v>0</v>
      </c>
      <c r="T86" s="240">
        <v>0</v>
      </c>
      <c r="U86" s="410">
        <v>83</v>
      </c>
      <c r="V86" s="239">
        <v>0</v>
      </c>
      <c r="W86" s="240">
        <v>0</v>
      </c>
      <c r="X86" s="240">
        <v>0</v>
      </c>
      <c r="Y86" s="410">
        <v>0</v>
      </c>
      <c r="Z86" s="239">
        <v>0</v>
      </c>
      <c r="AA86" s="240">
        <v>0</v>
      </c>
      <c r="AB86" s="240">
        <v>0</v>
      </c>
      <c r="AC86" s="410">
        <v>0</v>
      </c>
      <c r="AD86" s="239">
        <v>0</v>
      </c>
      <c r="AE86" s="240">
        <v>0</v>
      </c>
      <c r="AF86" s="240">
        <v>0</v>
      </c>
      <c r="AG86" s="410">
        <v>0</v>
      </c>
      <c r="AH86" s="239">
        <v>0</v>
      </c>
      <c r="AI86" s="240">
        <v>0</v>
      </c>
      <c r="AJ86" s="240">
        <v>0</v>
      </c>
      <c r="AK86" s="410">
        <v>308</v>
      </c>
      <c r="AL86" s="239">
        <v>0</v>
      </c>
      <c r="AM86" s="410">
        <v>142</v>
      </c>
      <c r="AN86" s="239">
        <v>4</v>
      </c>
      <c r="AO86" s="248">
        <v>1173.5</v>
      </c>
      <c r="AP86" s="248">
        <v>62.7</v>
      </c>
      <c r="AQ86" s="246">
        <v>0</v>
      </c>
      <c r="AR86" s="240">
        <v>0</v>
      </c>
      <c r="AS86" s="246">
        <v>3</v>
      </c>
      <c r="AT86" s="284">
        <v>0</v>
      </c>
      <c r="AU86" s="284">
        <v>10</v>
      </c>
      <c r="AV86" s="284">
        <v>0</v>
      </c>
      <c r="AW86" s="284">
        <v>5</v>
      </c>
      <c r="AX86" s="284">
        <v>0</v>
      </c>
      <c r="AY86" s="284">
        <v>0</v>
      </c>
      <c r="AZ86" s="284">
        <v>2</v>
      </c>
      <c r="BA86" s="284">
        <v>0</v>
      </c>
      <c r="BB86" s="284">
        <v>0</v>
      </c>
      <c r="BC86" s="284">
        <v>0</v>
      </c>
      <c r="BD86" s="284">
        <v>0</v>
      </c>
      <c r="BE86" s="284">
        <v>0</v>
      </c>
      <c r="BF86" s="284">
        <v>0</v>
      </c>
      <c r="BG86" s="284">
        <v>0</v>
      </c>
      <c r="BH86" s="284">
        <v>0</v>
      </c>
      <c r="BI86" s="284">
        <v>0</v>
      </c>
      <c r="BJ86" s="284">
        <v>19</v>
      </c>
      <c r="BK86" s="238">
        <v>2</v>
      </c>
      <c r="BL86" s="1197">
        <v>41</v>
      </c>
      <c r="BM86" s="289">
        <v>0</v>
      </c>
    </row>
    <row r="87" spans="1:65" ht="24.95" hidden="1" customHeight="1">
      <c r="A87" s="1196">
        <v>6</v>
      </c>
      <c r="B87" s="405" t="s">
        <v>32</v>
      </c>
      <c r="C87" s="246">
        <v>148.74</v>
      </c>
      <c r="D87" s="240">
        <v>0</v>
      </c>
      <c r="E87" s="410">
        <v>0</v>
      </c>
      <c r="F87" s="239">
        <v>0</v>
      </c>
      <c r="G87" s="240">
        <v>39</v>
      </c>
      <c r="H87" s="240">
        <v>0</v>
      </c>
      <c r="I87" s="410">
        <v>0</v>
      </c>
      <c r="J87" s="239">
        <v>0</v>
      </c>
      <c r="K87" s="240">
        <v>158</v>
      </c>
      <c r="L87" s="240">
        <v>0</v>
      </c>
      <c r="M87" s="410">
        <v>0</v>
      </c>
      <c r="N87" s="239">
        <v>0</v>
      </c>
      <c r="O87" s="240">
        <v>0</v>
      </c>
      <c r="P87" s="240">
        <v>0</v>
      </c>
      <c r="Q87" s="410">
        <v>194</v>
      </c>
      <c r="R87" s="239">
        <v>0.5</v>
      </c>
      <c r="S87" s="240">
        <v>0</v>
      </c>
      <c r="T87" s="240">
        <v>0</v>
      </c>
      <c r="U87" s="410">
        <v>7</v>
      </c>
      <c r="V87" s="239">
        <v>0</v>
      </c>
      <c r="W87" s="240">
        <v>0</v>
      </c>
      <c r="X87" s="240">
        <v>0</v>
      </c>
      <c r="Y87" s="410">
        <v>0</v>
      </c>
      <c r="Z87" s="239">
        <v>0</v>
      </c>
      <c r="AA87" s="240">
        <v>0</v>
      </c>
      <c r="AB87" s="240">
        <v>0</v>
      </c>
      <c r="AC87" s="410">
        <v>0</v>
      </c>
      <c r="AD87" s="239">
        <v>0</v>
      </c>
      <c r="AE87" s="240">
        <v>0</v>
      </c>
      <c r="AF87" s="240">
        <v>0</v>
      </c>
      <c r="AG87" s="410">
        <v>0</v>
      </c>
      <c r="AH87" s="239">
        <v>0</v>
      </c>
      <c r="AI87" s="240">
        <v>0</v>
      </c>
      <c r="AJ87" s="240">
        <v>0</v>
      </c>
      <c r="AK87" s="410">
        <v>539</v>
      </c>
      <c r="AL87" s="239">
        <v>14</v>
      </c>
      <c r="AM87" s="410">
        <v>69</v>
      </c>
      <c r="AN87" s="239">
        <v>0</v>
      </c>
      <c r="AO87" s="248">
        <v>1154.74</v>
      </c>
      <c r="AP87" s="248">
        <v>14.5</v>
      </c>
      <c r="AQ87" s="246">
        <v>0</v>
      </c>
      <c r="AR87" s="240">
        <v>0</v>
      </c>
      <c r="AS87" s="246">
        <v>4</v>
      </c>
      <c r="AT87" s="284">
        <v>0</v>
      </c>
      <c r="AU87" s="284">
        <v>0</v>
      </c>
      <c r="AV87" s="284">
        <v>0</v>
      </c>
      <c r="AW87" s="284">
        <v>8</v>
      </c>
      <c r="AX87" s="284">
        <v>0</v>
      </c>
      <c r="AY87" s="284">
        <v>0</v>
      </c>
      <c r="AZ87" s="284">
        <v>6</v>
      </c>
      <c r="BA87" s="284">
        <v>0</v>
      </c>
      <c r="BB87" s="284">
        <v>0</v>
      </c>
      <c r="BC87" s="284">
        <v>0</v>
      </c>
      <c r="BD87" s="284">
        <v>0</v>
      </c>
      <c r="BE87" s="284">
        <v>0</v>
      </c>
      <c r="BF87" s="284">
        <v>0</v>
      </c>
      <c r="BG87" s="284">
        <v>0</v>
      </c>
      <c r="BH87" s="284">
        <v>0</v>
      </c>
      <c r="BI87" s="284">
        <v>0</v>
      </c>
      <c r="BJ87" s="284">
        <v>17</v>
      </c>
      <c r="BK87" s="238">
        <v>2</v>
      </c>
      <c r="BL87" s="1197">
        <v>37</v>
      </c>
      <c r="BM87" s="289">
        <v>0</v>
      </c>
    </row>
    <row r="88" spans="1:65" ht="24.95" hidden="1" customHeight="1">
      <c r="A88" s="1196">
        <v>7</v>
      </c>
      <c r="B88" s="404" t="s">
        <v>30</v>
      </c>
      <c r="C88" s="246">
        <v>0</v>
      </c>
      <c r="D88" s="240">
        <v>97.2</v>
      </c>
      <c r="E88" s="410">
        <v>0</v>
      </c>
      <c r="F88" s="239">
        <v>0</v>
      </c>
      <c r="G88" s="240">
        <v>66</v>
      </c>
      <c r="H88" s="240">
        <v>96</v>
      </c>
      <c r="I88" s="410">
        <v>0</v>
      </c>
      <c r="J88" s="239">
        <v>0</v>
      </c>
      <c r="K88" s="240">
        <v>89</v>
      </c>
      <c r="L88" s="240">
        <v>0</v>
      </c>
      <c r="M88" s="410">
        <v>0</v>
      </c>
      <c r="N88" s="239">
        <v>0</v>
      </c>
      <c r="O88" s="240">
        <v>60</v>
      </c>
      <c r="P88" s="240">
        <v>8</v>
      </c>
      <c r="Q88" s="410">
        <v>9</v>
      </c>
      <c r="R88" s="239">
        <v>227.06</v>
      </c>
      <c r="S88" s="240">
        <v>0</v>
      </c>
      <c r="T88" s="240">
        <v>0</v>
      </c>
      <c r="U88" s="410">
        <v>0</v>
      </c>
      <c r="V88" s="239">
        <v>0</v>
      </c>
      <c r="W88" s="240">
        <v>0</v>
      </c>
      <c r="X88" s="240">
        <v>0</v>
      </c>
      <c r="Y88" s="410">
        <v>0</v>
      </c>
      <c r="Z88" s="239">
        <v>0</v>
      </c>
      <c r="AA88" s="240">
        <v>22</v>
      </c>
      <c r="AB88" s="240">
        <v>0</v>
      </c>
      <c r="AC88" s="410">
        <v>0</v>
      </c>
      <c r="AD88" s="239">
        <v>0</v>
      </c>
      <c r="AE88" s="240">
        <v>0</v>
      </c>
      <c r="AF88" s="240">
        <v>0</v>
      </c>
      <c r="AG88" s="410">
        <v>0</v>
      </c>
      <c r="AH88" s="239">
        <v>0</v>
      </c>
      <c r="AI88" s="240">
        <v>10.5</v>
      </c>
      <c r="AJ88" s="240">
        <v>15</v>
      </c>
      <c r="AK88" s="410">
        <v>81.5</v>
      </c>
      <c r="AL88" s="239">
        <v>19.920000000000002</v>
      </c>
      <c r="AM88" s="410">
        <v>0</v>
      </c>
      <c r="AN88" s="239">
        <v>55.166666666666671</v>
      </c>
      <c r="AO88" s="248">
        <v>338</v>
      </c>
      <c r="AP88" s="248">
        <v>518.34666666666669</v>
      </c>
      <c r="AQ88" s="246">
        <v>0</v>
      </c>
      <c r="AR88" s="240">
        <v>0</v>
      </c>
      <c r="AS88" s="1096"/>
      <c r="AT88" s="1117"/>
      <c r="AU88" s="1117"/>
      <c r="AV88" s="1117"/>
      <c r="AW88" s="1117"/>
      <c r="AX88" s="1117"/>
      <c r="AY88" s="1117"/>
      <c r="AZ88" s="1117"/>
      <c r="BA88" s="1117"/>
      <c r="BB88" s="1117"/>
      <c r="BC88" s="1117"/>
      <c r="BD88" s="1117"/>
      <c r="BE88" s="1117"/>
      <c r="BF88" s="1117"/>
      <c r="BG88" s="1117"/>
      <c r="BH88" s="1117"/>
      <c r="BI88" s="1117"/>
      <c r="BJ88" s="1117"/>
      <c r="BK88" s="1169"/>
      <c r="BL88" s="1170"/>
      <c r="BM88" s="1170"/>
    </row>
    <row r="89" spans="1:65" ht="24.95" hidden="1" customHeight="1">
      <c r="A89" s="1192"/>
      <c r="B89" s="404" t="s">
        <v>3</v>
      </c>
      <c r="C89" s="407">
        <v>312.74</v>
      </c>
      <c r="D89" s="237">
        <v>137.9</v>
      </c>
      <c r="E89" s="411">
        <v>0</v>
      </c>
      <c r="F89" s="253">
        <v>0</v>
      </c>
      <c r="G89" s="237">
        <v>295.5</v>
      </c>
      <c r="H89" s="237">
        <v>112</v>
      </c>
      <c r="I89" s="411">
        <v>0</v>
      </c>
      <c r="J89" s="253">
        <v>0</v>
      </c>
      <c r="K89" s="237">
        <v>365</v>
      </c>
      <c r="L89" s="237">
        <v>0</v>
      </c>
      <c r="M89" s="411">
        <v>0</v>
      </c>
      <c r="N89" s="253">
        <v>0</v>
      </c>
      <c r="O89" s="237">
        <v>60</v>
      </c>
      <c r="P89" s="237">
        <v>8</v>
      </c>
      <c r="Q89" s="411">
        <v>371</v>
      </c>
      <c r="R89" s="253">
        <v>229.56</v>
      </c>
      <c r="S89" s="237">
        <v>0</v>
      </c>
      <c r="T89" s="237">
        <v>0</v>
      </c>
      <c r="U89" s="411">
        <v>90</v>
      </c>
      <c r="V89" s="253">
        <v>0</v>
      </c>
      <c r="W89" s="237">
        <v>0</v>
      </c>
      <c r="X89" s="237">
        <v>0</v>
      </c>
      <c r="Y89" s="411">
        <v>0</v>
      </c>
      <c r="Z89" s="253">
        <v>0</v>
      </c>
      <c r="AA89" s="237">
        <v>22</v>
      </c>
      <c r="AB89" s="237">
        <v>0</v>
      </c>
      <c r="AC89" s="411">
        <v>0</v>
      </c>
      <c r="AD89" s="253">
        <v>0</v>
      </c>
      <c r="AE89" s="237">
        <v>0</v>
      </c>
      <c r="AF89" s="237">
        <v>0</v>
      </c>
      <c r="AG89" s="411">
        <v>0</v>
      </c>
      <c r="AH89" s="253">
        <v>0</v>
      </c>
      <c r="AI89" s="237">
        <v>10.5</v>
      </c>
      <c r="AJ89" s="237">
        <v>15</v>
      </c>
      <c r="AK89" s="411">
        <v>928.5</v>
      </c>
      <c r="AL89" s="253">
        <v>33.92</v>
      </c>
      <c r="AM89" s="411">
        <v>211</v>
      </c>
      <c r="AN89" s="253">
        <v>59.166666666666671</v>
      </c>
      <c r="AO89" s="237">
        <v>2666.24</v>
      </c>
      <c r="AP89" s="237">
        <v>595.54666666666674</v>
      </c>
      <c r="AQ89" s="407">
        <v>0</v>
      </c>
      <c r="AR89" s="237">
        <v>0</v>
      </c>
      <c r="AS89" s="1096"/>
      <c r="AT89" s="1117"/>
      <c r="AU89" s="1117"/>
      <c r="AV89" s="1117"/>
      <c r="AW89" s="1117"/>
      <c r="AX89" s="1117"/>
      <c r="AY89" s="1117"/>
      <c r="AZ89" s="1117"/>
      <c r="BA89" s="1117"/>
      <c r="BB89" s="1117"/>
      <c r="BC89" s="1117"/>
      <c r="BD89" s="1117"/>
      <c r="BE89" s="1117"/>
      <c r="BF89" s="1117"/>
      <c r="BG89" s="1117"/>
      <c r="BH89" s="1117"/>
      <c r="BI89" s="1117"/>
      <c r="BJ89" s="1117"/>
      <c r="BK89" s="1169"/>
      <c r="BL89" s="1170"/>
      <c r="BM89" s="1170"/>
    </row>
    <row r="90" spans="1:65" ht="24.95" hidden="1" customHeight="1">
      <c r="A90" s="1192"/>
      <c r="B90" s="403" t="s">
        <v>17</v>
      </c>
      <c r="C90" s="245"/>
      <c r="D90" s="235"/>
      <c r="E90" s="409"/>
      <c r="F90" s="236"/>
      <c r="G90" s="235"/>
      <c r="H90" s="235"/>
      <c r="I90" s="409"/>
      <c r="J90" s="236"/>
      <c r="K90" s="235"/>
      <c r="L90" s="235"/>
      <c r="M90" s="409"/>
      <c r="N90" s="236"/>
      <c r="O90" s="235"/>
      <c r="P90" s="235"/>
      <c r="Q90" s="409"/>
      <c r="R90" s="236"/>
      <c r="S90" s="235"/>
      <c r="T90" s="235"/>
      <c r="U90" s="409"/>
      <c r="V90" s="236"/>
      <c r="W90" s="235"/>
      <c r="X90" s="235"/>
      <c r="Y90" s="409"/>
      <c r="Z90" s="236"/>
      <c r="AA90" s="235"/>
      <c r="AB90" s="235"/>
      <c r="AC90" s="409"/>
      <c r="AD90" s="236"/>
      <c r="AE90" s="235"/>
      <c r="AF90" s="235"/>
      <c r="AG90" s="409"/>
      <c r="AH90" s="236"/>
      <c r="AI90" s="235"/>
      <c r="AJ90" s="235"/>
      <c r="AK90" s="409"/>
      <c r="AL90" s="236"/>
      <c r="AM90" s="409"/>
      <c r="AN90" s="236"/>
      <c r="AO90" s="235"/>
      <c r="AP90" s="235"/>
      <c r="AQ90" s="245"/>
      <c r="AR90" s="235"/>
      <c r="AS90" s="1096"/>
      <c r="AT90" s="1117"/>
      <c r="AU90" s="1117"/>
      <c r="AV90" s="1117"/>
      <c r="AW90" s="1117"/>
      <c r="AX90" s="1117"/>
      <c r="AY90" s="1117"/>
      <c r="AZ90" s="1117"/>
      <c r="BA90" s="1117"/>
      <c r="BB90" s="1117"/>
      <c r="BC90" s="1117"/>
      <c r="BD90" s="1117"/>
      <c r="BE90" s="1117"/>
      <c r="BF90" s="1117"/>
      <c r="BG90" s="1117"/>
      <c r="BH90" s="1117"/>
      <c r="BI90" s="1117"/>
      <c r="BJ90" s="1117"/>
      <c r="BK90" s="1169"/>
      <c r="BL90" s="1170"/>
      <c r="BM90" s="1170"/>
    </row>
    <row r="91" spans="1:65" ht="24.95" hidden="1" customHeight="1">
      <c r="A91" s="1192"/>
      <c r="B91" s="404" t="s">
        <v>28</v>
      </c>
      <c r="C91" s="245"/>
      <c r="D91" s="235"/>
      <c r="E91" s="409"/>
      <c r="F91" s="236"/>
      <c r="G91" s="235"/>
      <c r="H91" s="235"/>
      <c r="I91" s="409"/>
      <c r="J91" s="236"/>
      <c r="K91" s="235"/>
      <c r="L91" s="235"/>
      <c r="M91" s="409"/>
      <c r="N91" s="236"/>
      <c r="O91" s="235"/>
      <c r="P91" s="235"/>
      <c r="Q91" s="409"/>
      <c r="R91" s="236"/>
      <c r="S91" s="235"/>
      <c r="T91" s="235"/>
      <c r="U91" s="409"/>
      <c r="V91" s="236"/>
      <c r="W91" s="235"/>
      <c r="X91" s="235"/>
      <c r="Y91" s="409"/>
      <c r="Z91" s="236"/>
      <c r="AA91" s="235"/>
      <c r="AB91" s="235"/>
      <c r="AC91" s="409"/>
      <c r="AD91" s="236"/>
      <c r="AE91" s="235"/>
      <c r="AF91" s="235"/>
      <c r="AG91" s="409"/>
      <c r="AH91" s="236"/>
      <c r="AI91" s="235"/>
      <c r="AJ91" s="235"/>
      <c r="AK91" s="409"/>
      <c r="AL91" s="236"/>
      <c r="AM91" s="409"/>
      <c r="AN91" s="236"/>
      <c r="AO91" s="235"/>
      <c r="AP91" s="235"/>
      <c r="AQ91" s="245"/>
      <c r="AR91" s="235"/>
      <c r="AS91" s="1096"/>
      <c r="AT91" s="1117"/>
      <c r="AU91" s="1117"/>
      <c r="AV91" s="1117"/>
      <c r="AW91" s="1117"/>
      <c r="AX91" s="1117"/>
      <c r="AY91" s="1117"/>
      <c r="AZ91" s="1117"/>
      <c r="BA91" s="1117"/>
      <c r="BB91" s="1117"/>
      <c r="BC91" s="1117"/>
      <c r="BD91" s="1117"/>
      <c r="BE91" s="1117"/>
      <c r="BF91" s="1117"/>
      <c r="BG91" s="1117"/>
      <c r="BH91" s="1117"/>
      <c r="BI91" s="1117"/>
      <c r="BJ91" s="1117"/>
      <c r="BK91" s="1169"/>
      <c r="BL91" s="1170"/>
      <c r="BM91" s="1170"/>
    </row>
    <row r="92" spans="1:65" ht="24.95" hidden="1" customHeight="1">
      <c r="A92" s="1192"/>
      <c r="B92" s="405" t="s">
        <v>33</v>
      </c>
      <c r="C92" s="1198"/>
      <c r="D92" s="1199"/>
      <c r="E92" s="1200"/>
      <c r="F92" s="1201"/>
      <c r="G92" s="1199"/>
      <c r="H92" s="1199"/>
      <c r="I92" s="1200"/>
      <c r="J92" s="1201"/>
      <c r="K92" s="1199"/>
      <c r="L92" s="1199"/>
      <c r="M92" s="1200"/>
      <c r="N92" s="1201"/>
      <c r="O92" s="1199"/>
      <c r="P92" s="1199"/>
      <c r="Q92" s="1200"/>
      <c r="R92" s="1201"/>
      <c r="S92" s="1199"/>
      <c r="T92" s="1199"/>
      <c r="U92" s="1200"/>
      <c r="V92" s="1201"/>
      <c r="W92" s="1199"/>
      <c r="X92" s="1199"/>
      <c r="Y92" s="1200"/>
      <c r="Z92" s="1201"/>
      <c r="AA92" s="1199"/>
      <c r="AB92" s="1199"/>
      <c r="AC92" s="1200"/>
      <c r="AD92" s="1201"/>
      <c r="AE92" s="1199"/>
      <c r="AF92" s="1199"/>
      <c r="AG92" s="1200"/>
      <c r="AH92" s="1201"/>
      <c r="AI92" s="1199"/>
      <c r="AJ92" s="1199"/>
      <c r="AK92" s="1200"/>
      <c r="AL92" s="1201"/>
      <c r="AM92" s="1200"/>
      <c r="AN92" s="1201"/>
      <c r="AO92" s="1199"/>
      <c r="AP92" s="1199"/>
      <c r="AQ92" s="1198"/>
      <c r="AR92" s="1199"/>
      <c r="AS92" s="1096"/>
      <c r="AT92" s="1117"/>
      <c r="AU92" s="1117"/>
      <c r="AV92" s="1117"/>
      <c r="AW92" s="1117"/>
      <c r="AX92" s="1117"/>
      <c r="AY92" s="1117"/>
      <c r="AZ92" s="1117"/>
      <c r="BA92" s="1117"/>
      <c r="BB92" s="1117"/>
      <c r="BC92" s="1117"/>
      <c r="BD92" s="1117"/>
      <c r="BE92" s="1117"/>
      <c r="BF92" s="1117"/>
      <c r="BG92" s="1117"/>
      <c r="BH92" s="1117"/>
      <c r="BI92" s="1117"/>
      <c r="BJ92" s="1117"/>
      <c r="BK92" s="1169"/>
      <c r="BL92" s="1170"/>
      <c r="BM92" s="1170"/>
    </row>
    <row r="93" spans="1:65" ht="24.95" hidden="1" customHeight="1">
      <c r="A93" s="1196">
        <v>8</v>
      </c>
      <c r="B93" s="406" t="s">
        <v>24</v>
      </c>
      <c r="C93" s="246">
        <v>379</v>
      </c>
      <c r="D93" s="240">
        <v>4</v>
      </c>
      <c r="E93" s="410">
        <v>0</v>
      </c>
      <c r="F93" s="239">
        <v>0</v>
      </c>
      <c r="G93" s="240">
        <v>348</v>
      </c>
      <c r="H93" s="240">
        <v>0</v>
      </c>
      <c r="I93" s="410">
        <v>0</v>
      </c>
      <c r="J93" s="239">
        <v>0</v>
      </c>
      <c r="K93" s="240">
        <v>388.75</v>
      </c>
      <c r="L93" s="240">
        <v>0</v>
      </c>
      <c r="M93" s="410">
        <v>0</v>
      </c>
      <c r="N93" s="239">
        <v>0</v>
      </c>
      <c r="O93" s="240">
        <v>0</v>
      </c>
      <c r="P93" s="240">
        <v>0</v>
      </c>
      <c r="Q93" s="410">
        <v>553</v>
      </c>
      <c r="R93" s="239">
        <v>0</v>
      </c>
      <c r="S93" s="240">
        <v>0</v>
      </c>
      <c r="T93" s="240">
        <v>0</v>
      </c>
      <c r="U93" s="410">
        <v>0</v>
      </c>
      <c r="V93" s="239">
        <v>0</v>
      </c>
      <c r="W93" s="240">
        <v>0</v>
      </c>
      <c r="X93" s="240">
        <v>0</v>
      </c>
      <c r="Y93" s="410">
        <v>0</v>
      </c>
      <c r="Z93" s="239">
        <v>0</v>
      </c>
      <c r="AA93" s="240">
        <v>0</v>
      </c>
      <c r="AB93" s="240">
        <v>0</v>
      </c>
      <c r="AC93" s="410">
        <v>0</v>
      </c>
      <c r="AD93" s="239">
        <v>0</v>
      </c>
      <c r="AE93" s="240">
        <v>0</v>
      </c>
      <c r="AF93" s="240">
        <v>0</v>
      </c>
      <c r="AG93" s="410">
        <v>0</v>
      </c>
      <c r="AH93" s="239">
        <v>0</v>
      </c>
      <c r="AI93" s="240">
        <v>0</v>
      </c>
      <c r="AJ93" s="240">
        <v>0</v>
      </c>
      <c r="AK93" s="410">
        <v>0</v>
      </c>
      <c r="AL93" s="239">
        <v>0</v>
      </c>
      <c r="AM93" s="410">
        <v>0</v>
      </c>
      <c r="AN93" s="239">
        <v>0</v>
      </c>
      <c r="AO93" s="248">
        <v>1668.75</v>
      </c>
      <c r="AP93" s="248">
        <v>4</v>
      </c>
      <c r="AQ93" s="246">
        <v>0</v>
      </c>
      <c r="AR93" s="240">
        <v>0</v>
      </c>
      <c r="AS93" s="246">
        <v>89</v>
      </c>
      <c r="AT93" s="284">
        <v>0</v>
      </c>
      <c r="AU93" s="284">
        <v>65</v>
      </c>
      <c r="AV93" s="284">
        <v>0</v>
      </c>
      <c r="AW93" s="284">
        <v>174</v>
      </c>
      <c r="AX93" s="284">
        <v>0</v>
      </c>
      <c r="AY93" s="284">
        <v>0</v>
      </c>
      <c r="AZ93" s="284">
        <v>154</v>
      </c>
      <c r="BA93" s="284">
        <v>0</v>
      </c>
      <c r="BB93" s="284">
        <v>0</v>
      </c>
      <c r="BC93" s="284">
        <v>0</v>
      </c>
      <c r="BD93" s="284">
        <v>0</v>
      </c>
      <c r="BE93" s="284">
        <v>0</v>
      </c>
      <c r="BF93" s="284">
        <v>0</v>
      </c>
      <c r="BG93" s="284">
        <v>0</v>
      </c>
      <c r="BH93" s="284">
        <v>0</v>
      </c>
      <c r="BI93" s="284">
        <v>0</v>
      </c>
      <c r="BJ93" s="284">
        <v>0</v>
      </c>
      <c r="BK93" s="238">
        <v>0</v>
      </c>
      <c r="BL93" s="1197">
        <v>482</v>
      </c>
      <c r="BM93" s="289">
        <v>0</v>
      </c>
    </row>
    <row r="94" spans="1:65" ht="24.95" hidden="1" customHeight="1">
      <c r="A94" s="1196">
        <v>9</v>
      </c>
      <c r="B94" s="406" t="s">
        <v>25</v>
      </c>
      <c r="C94" s="246">
        <v>60</v>
      </c>
      <c r="D94" s="240">
        <v>0</v>
      </c>
      <c r="E94" s="410">
        <v>0</v>
      </c>
      <c r="F94" s="239">
        <v>0</v>
      </c>
      <c r="G94" s="240">
        <v>165</v>
      </c>
      <c r="H94" s="240">
        <v>0</v>
      </c>
      <c r="I94" s="410">
        <v>0</v>
      </c>
      <c r="J94" s="239">
        <v>0</v>
      </c>
      <c r="K94" s="240">
        <v>0</v>
      </c>
      <c r="L94" s="240">
        <v>0</v>
      </c>
      <c r="M94" s="410">
        <v>0</v>
      </c>
      <c r="N94" s="239">
        <v>0</v>
      </c>
      <c r="O94" s="240">
        <v>0</v>
      </c>
      <c r="P94" s="240">
        <v>0</v>
      </c>
      <c r="Q94" s="410">
        <v>242</v>
      </c>
      <c r="R94" s="239">
        <v>0</v>
      </c>
      <c r="S94" s="240">
        <v>0</v>
      </c>
      <c r="T94" s="240">
        <v>0</v>
      </c>
      <c r="U94" s="410">
        <v>0</v>
      </c>
      <c r="V94" s="239">
        <v>0</v>
      </c>
      <c r="W94" s="240">
        <v>0</v>
      </c>
      <c r="X94" s="240">
        <v>0</v>
      </c>
      <c r="Y94" s="410">
        <v>0</v>
      </c>
      <c r="Z94" s="239">
        <v>0</v>
      </c>
      <c r="AA94" s="240">
        <v>0</v>
      </c>
      <c r="AB94" s="240">
        <v>0</v>
      </c>
      <c r="AC94" s="410">
        <v>0</v>
      </c>
      <c r="AD94" s="239">
        <v>0</v>
      </c>
      <c r="AE94" s="240">
        <v>0</v>
      </c>
      <c r="AF94" s="240">
        <v>0</v>
      </c>
      <c r="AG94" s="410">
        <v>0</v>
      </c>
      <c r="AH94" s="239">
        <v>0</v>
      </c>
      <c r="AI94" s="240">
        <v>0</v>
      </c>
      <c r="AJ94" s="240">
        <v>0</v>
      </c>
      <c r="AK94" s="410">
        <v>0</v>
      </c>
      <c r="AL94" s="239">
        <v>0</v>
      </c>
      <c r="AM94" s="410">
        <v>0</v>
      </c>
      <c r="AN94" s="239">
        <v>0</v>
      </c>
      <c r="AO94" s="248">
        <v>467</v>
      </c>
      <c r="AP94" s="248">
        <v>0</v>
      </c>
      <c r="AQ94" s="246">
        <v>0</v>
      </c>
      <c r="AR94" s="240">
        <v>0</v>
      </c>
      <c r="AS94" s="246">
        <v>20</v>
      </c>
      <c r="AT94" s="284">
        <v>0</v>
      </c>
      <c r="AU94" s="284">
        <v>55</v>
      </c>
      <c r="AV94" s="284">
        <v>0</v>
      </c>
      <c r="AW94" s="284">
        <v>0</v>
      </c>
      <c r="AX94" s="284">
        <v>0</v>
      </c>
      <c r="AY94" s="284">
        <v>0</v>
      </c>
      <c r="AZ94" s="284">
        <v>54</v>
      </c>
      <c r="BA94" s="284">
        <v>0</v>
      </c>
      <c r="BB94" s="284">
        <v>0</v>
      </c>
      <c r="BC94" s="284">
        <v>0</v>
      </c>
      <c r="BD94" s="284">
        <v>0</v>
      </c>
      <c r="BE94" s="284">
        <v>0</v>
      </c>
      <c r="BF94" s="284">
        <v>0</v>
      </c>
      <c r="BG94" s="284">
        <v>0</v>
      </c>
      <c r="BH94" s="284">
        <v>0</v>
      </c>
      <c r="BI94" s="284">
        <v>0</v>
      </c>
      <c r="BJ94" s="284">
        <v>0</v>
      </c>
      <c r="BK94" s="238">
        <v>0</v>
      </c>
      <c r="BL94" s="1197">
        <v>129</v>
      </c>
      <c r="BM94" s="289">
        <v>0</v>
      </c>
    </row>
    <row r="95" spans="1:65" ht="24.95" hidden="1" customHeight="1">
      <c r="A95" s="1196">
        <v>10</v>
      </c>
      <c r="B95" s="406" t="s">
        <v>8</v>
      </c>
      <c r="C95" s="246">
        <v>254</v>
      </c>
      <c r="D95" s="240">
        <v>0</v>
      </c>
      <c r="E95" s="410">
        <v>0</v>
      </c>
      <c r="F95" s="239">
        <v>0</v>
      </c>
      <c r="G95" s="240">
        <v>230</v>
      </c>
      <c r="H95" s="240">
        <v>0</v>
      </c>
      <c r="I95" s="410">
        <v>0</v>
      </c>
      <c r="J95" s="239">
        <v>0</v>
      </c>
      <c r="K95" s="240">
        <v>224</v>
      </c>
      <c r="L95" s="240">
        <v>0</v>
      </c>
      <c r="M95" s="410">
        <v>0</v>
      </c>
      <c r="N95" s="239">
        <v>0</v>
      </c>
      <c r="O95" s="240">
        <v>0</v>
      </c>
      <c r="P95" s="240">
        <v>0</v>
      </c>
      <c r="Q95" s="410">
        <v>324</v>
      </c>
      <c r="R95" s="239">
        <v>0</v>
      </c>
      <c r="S95" s="240">
        <v>0</v>
      </c>
      <c r="T95" s="240">
        <v>0</v>
      </c>
      <c r="U95" s="410">
        <v>0</v>
      </c>
      <c r="V95" s="239">
        <v>0</v>
      </c>
      <c r="W95" s="240">
        <v>0</v>
      </c>
      <c r="X95" s="240">
        <v>0</v>
      </c>
      <c r="Y95" s="410">
        <v>0</v>
      </c>
      <c r="Z95" s="239">
        <v>0</v>
      </c>
      <c r="AA95" s="240">
        <v>0</v>
      </c>
      <c r="AB95" s="240">
        <v>0</v>
      </c>
      <c r="AC95" s="410">
        <v>0</v>
      </c>
      <c r="AD95" s="239">
        <v>0</v>
      </c>
      <c r="AE95" s="240">
        <v>0</v>
      </c>
      <c r="AF95" s="240">
        <v>0</v>
      </c>
      <c r="AG95" s="410">
        <v>181</v>
      </c>
      <c r="AH95" s="239">
        <v>0</v>
      </c>
      <c r="AI95" s="240">
        <v>0</v>
      </c>
      <c r="AJ95" s="240">
        <v>0</v>
      </c>
      <c r="AK95" s="410">
        <v>0</v>
      </c>
      <c r="AL95" s="239">
        <v>0</v>
      </c>
      <c r="AM95" s="410">
        <v>0</v>
      </c>
      <c r="AN95" s="239">
        <v>0</v>
      </c>
      <c r="AO95" s="248">
        <v>1213</v>
      </c>
      <c r="AP95" s="248">
        <v>0</v>
      </c>
      <c r="AQ95" s="246">
        <v>0</v>
      </c>
      <c r="AR95" s="240">
        <v>0</v>
      </c>
      <c r="AS95" s="246">
        <v>65</v>
      </c>
      <c r="AT95" s="284">
        <v>0</v>
      </c>
      <c r="AU95" s="284">
        <v>59</v>
      </c>
      <c r="AV95" s="284">
        <v>0</v>
      </c>
      <c r="AW95" s="284">
        <v>163</v>
      </c>
      <c r="AX95" s="284">
        <v>0</v>
      </c>
      <c r="AY95" s="284">
        <v>0</v>
      </c>
      <c r="AZ95" s="284">
        <v>120</v>
      </c>
      <c r="BA95" s="284">
        <v>0</v>
      </c>
      <c r="BB95" s="284">
        <v>0</v>
      </c>
      <c r="BC95" s="284">
        <v>0</v>
      </c>
      <c r="BD95" s="284">
        <v>0</v>
      </c>
      <c r="BE95" s="284">
        <v>0</v>
      </c>
      <c r="BF95" s="284">
        <v>0</v>
      </c>
      <c r="BG95" s="284">
        <v>0</v>
      </c>
      <c r="BH95" s="284">
        <v>162</v>
      </c>
      <c r="BI95" s="284">
        <v>0</v>
      </c>
      <c r="BJ95" s="284">
        <v>0</v>
      </c>
      <c r="BK95" s="238">
        <v>0</v>
      </c>
      <c r="BL95" s="1197">
        <v>569</v>
      </c>
      <c r="BM95" s="289">
        <v>0</v>
      </c>
    </row>
    <row r="96" spans="1:65" ht="24.95" hidden="1" customHeight="1">
      <c r="A96" s="1196">
        <v>11</v>
      </c>
      <c r="B96" s="406" t="s">
        <v>9</v>
      </c>
      <c r="C96" s="246">
        <v>0</v>
      </c>
      <c r="D96" s="240">
        <v>0</v>
      </c>
      <c r="E96" s="410">
        <v>0</v>
      </c>
      <c r="F96" s="239">
        <v>0</v>
      </c>
      <c r="G96" s="240">
        <v>35</v>
      </c>
      <c r="H96" s="240">
        <v>0</v>
      </c>
      <c r="I96" s="410">
        <v>0</v>
      </c>
      <c r="J96" s="239">
        <v>0</v>
      </c>
      <c r="K96" s="240">
        <v>0</v>
      </c>
      <c r="L96" s="240">
        <v>0</v>
      </c>
      <c r="M96" s="410">
        <v>0</v>
      </c>
      <c r="N96" s="239">
        <v>0</v>
      </c>
      <c r="O96" s="240">
        <v>0</v>
      </c>
      <c r="P96" s="240">
        <v>0</v>
      </c>
      <c r="Q96" s="410">
        <v>54</v>
      </c>
      <c r="R96" s="239">
        <v>0</v>
      </c>
      <c r="S96" s="240">
        <v>0</v>
      </c>
      <c r="T96" s="240">
        <v>0</v>
      </c>
      <c r="U96" s="410">
        <v>0</v>
      </c>
      <c r="V96" s="239">
        <v>0</v>
      </c>
      <c r="W96" s="240">
        <v>0</v>
      </c>
      <c r="X96" s="240">
        <v>0</v>
      </c>
      <c r="Y96" s="410">
        <v>0</v>
      </c>
      <c r="Z96" s="239">
        <v>0</v>
      </c>
      <c r="AA96" s="240">
        <v>0</v>
      </c>
      <c r="AB96" s="240">
        <v>0</v>
      </c>
      <c r="AC96" s="410">
        <v>0</v>
      </c>
      <c r="AD96" s="239">
        <v>0</v>
      </c>
      <c r="AE96" s="240">
        <v>0</v>
      </c>
      <c r="AF96" s="240">
        <v>0</v>
      </c>
      <c r="AG96" s="410">
        <v>0</v>
      </c>
      <c r="AH96" s="239">
        <v>0</v>
      </c>
      <c r="AI96" s="240">
        <v>0</v>
      </c>
      <c r="AJ96" s="240">
        <v>0</v>
      </c>
      <c r="AK96" s="410">
        <v>0</v>
      </c>
      <c r="AL96" s="239">
        <v>0</v>
      </c>
      <c r="AM96" s="410">
        <v>0</v>
      </c>
      <c r="AN96" s="239">
        <v>0</v>
      </c>
      <c r="AO96" s="248">
        <v>89</v>
      </c>
      <c r="AP96" s="248">
        <v>0</v>
      </c>
      <c r="AQ96" s="246">
        <v>0</v>
      </c>
      <c r="AR96" s="240">
        <v>0</v>
      </c>
      <c r="AS96" s="246">
        <v>0</v>
      </c>
      <c r="AT96" s="284">
        <v>0</v>
      </c>
      <c r="AU96" s="284">
        <v>14</v>
      </c>
      <c r="AV96" s="284">
        <v>0</v>
      </c>
      <c r="AW96" s="284">
        <v>0</v>
      </c>
      <c r="AX96" s="284">
        <v>0</v>
      </c>
      <c r="AY96" s="284">
        <v>0</v>
      </c>
      <c r="AZ96" s="284">
        <v>14</v>
      </c>
      <c r="BA96" s="284">
        <v>0</v>
      </c>
      <c r="BB96" s="284">
        <v>0</v>
      </c>
      <c r="BC96" s="284">
        <v>0</v>
      </c>
      <c r="BD96" s="284">
        <v>0</v>
      </c>
      <c r="BE96" s="284">
        <v>0</v>
      </c>
      <c r="BF96" s="284">
        <v>0</v>
      </c>
      <c r="BG96" s="284">
        <v>0</v>
      </c>
      <c r="BH96" s="284">
        <v>0</v>
      </c>
      <c r="BI96" s="284">
        <v>0</v>
      </c>
      <c r="BJ96" s="284">
        <v>0</v>
      </c>
      <c r="BK96" s="238">
        <v>0</v>
      </c>
      <c r="BL96" s="1197">
        <v>28</v>
      </c>
      <c r="BM96" s="289">
        <v>0</v>
      </c>
    </row>
    <row r="97" spans="1:65" ht="24.95" hidden="1" customHeight="1">
      <c r="A97" s="1192"/>
      <c r="B97" s="405" t="s">
        <v>10</v>
      </c>
      <c r="C97" s="245"/>
      <c r="D97" s="235"/>
      <c r="E97" s="409"/>
      <c r="F97" s="236"/>
      <c r="G97" s="235"/>
      <c r="H97" s="235"/>
      <c r="I97" s="409"/>
      <c r="J97" s="236"/>
      <c r="K97" s="235"/>
      <c r="L97" s="235"/>
      <c r="M97" s="409"/>
      <c r="N97" s="236"/>
      <c r="O97" s="235"/>
      <c r="P97" s="235"/>
      <c r="Q97" s="409"/>
      <c r="R97" s="236"/>
      <c r="S97" s="235"/>
      <c r="T97" s="235"/>
      <c r="U97" s="409"/>
      <c r="V97" s="236"/>
      <c r="W97" s="235"/>
      <c r="X97" s="235"/>
      <c r="Y97" s="409"/>
      <c r="Z97" s="236"/>
      <c r="AA97" s="235"/>
      <c r="AB97" s="235"/>
      <c r="AC97" s="409"/>
      <c r="AD97" s="236"/>
      <c r="AE97" s="235"/>
      <c r="AF97" s="235"/>
      <c r="AG97" s="409"/>
      <c r="AH97" s="236"/>
      <c r="AI97" s="235"/>
      <c r="AJ97" s="235"/>
      <c r="AK97" s="409"/>
      <c r="AL97" s="236"/>
      <c r="AM97" s="409"/>
      <c r="AN97" s="236"/>
      <c r="AO97" s="235"/>
      <c r="AP97" s="235"/>
      <c r="AQ97" s="245"/>
      <c r="AR97" s="235"/>
      <c r="AS97" s="1096"/>
      <c r="AT97" s="1117"/>
      <c r="AU97" s="1117"/>
      <c r="AV97" s="1117"/>
      <c r="AW97" s="1117"/>
      <c r="AX97" s="1117"/>
      <c r="AY97" s="1117"/>
      <c r="AZ97" s="1117"/>
      <c r="BA97" s="1117"/>
      <c r="BB97" s="1117"/>
      <c r="BC97" s="1117"/>
      <c r="BD97" s="1117"/>
      <c r="BE97" s="1117"/>
      <c r="BF97" s="1117"/>
      <c r="BG97" s="1117"/>
      <c r="BH97" s="1117"/>
      <c r="BI97" s="1117"/>
      <c r="BJ97" s="1117"/>
      <c r="BK97" s="1169"/>
      <c r="BL97" s="1170"/>
      <c r="BM97" s="1170"/>
    </row>
    <row r="98" spans="1:65" ht="24.95" hidden="1" customHeight="1">
      <c r="A98" s="1196">
        <v>12</v>
      </c>
      <c r="B98" s="406" t="s">
        <v>34</v>
      </c>
      <c r="C98" s="246">
        <v>390.9</v>
      </c>
      <c r="D98" s="240">
        <v>0</v>
      </c>
      <c r="E98" s="410">
        <v>0</v>
      </c>
      <c r="F98" s="239">
        <v>0</v>
      </c>
      <c r="G98" s="240">
        <v>248</v>
      </c>
      <c r="H98" s="240">
        <v>0.5</v>
      </c>
      <c r="I98" s="410">
        <v>0</v>
      </c>
      <c r="J98" s="239">
        <v>0</v>
      </c>
      <c r="K98" s="240">
        <v>405.3</v>
      </c>
      <c r="L98" s="240">
        <v>0</v>
      </c>
      <c r="M98" s="410">
        <v>0</v>
      </c>
      <c r="N98" s="239">
        <v>0</v>
      </c>
      <c r="O98" s="240">
        <v>0</v>
      </c>
      <c r="P98" s="240">
        <v>0</v>
      </c>
      <c r="Q98" s="410">
        <v>547.6</v>
      </c>
      <c r="R98" s="239">
        <v>3.9000000000000004</v>
      </c>
      <c r="S98" s="240">
        <v>0</v>
      </c>
      <c r="T98" s="240">
        <v>0</v>
      </c>
      <c r="U98" s="410">
        <v>0</v>
      </c>
      <c r="V98" s="239">
        <v>0</v>
      </c>
      <c r="W98" s="240">
        <v>0</v>
      </c>
      <c r="X98" s="240">
        <v>0</v>
      </c>
      <c r="Y98" s="410">
        <v>0</v>
      </c>
      <c r="Z98" s="239">
        <v>0</v>
      </c>
      <c r="AA98" s="240">
        <v>0</v>
      </c>
      <c r="AB98" s="240">
        <v>0</v>
      </c>
      <c r="AC98" s="410">
        <v>0</v>
      </c>
      <c r="AD98" s="239">
        <v>0</v>
      </c>
      <c r="AE98" s="240">
        <v>0</v>
      </c>
      <c r="AF98" s="240">
        <v>0</v>
      </c>
      <c r="AG98" s="410">
        <v>0</v>
      </c>
      <c r="AH98" s="239">
        <v>0</v>
      </c>
      <c r="AI98" s="240">
        <v>153.44</v>
      </c>
      <c r="AJ98" s="240">
        <v>0.9</v>
      </c>
      <c r="AK98" s="410">
        <v>572.5</v>
      </c>
      <c r="AL98" s="239">
        <v>1.4</v>
      </c>
      <c r="AM98" s="410">
        <v>279</v>
      </c>
      <c r="AN98" s="239">
        <v>0</v>
      </c>
      <c r="AO98" s="248">
        <v>2596.7400000000002</v>
      </c>
      <c r="AP98" s="248">
        <v>6.7000000000000011</v>
      </c>
      <c r="AQ98" s="246">
        <v>0</v>
      </c>
      <c r="AR98" s="240">
        <v>0</v>
      </c>
      <c r="AS98" s="246">
        <v>13</v>
      </c>
      <c r="AT98" s="284">
        <v>0</v>
      </c>
      <c r="AU98" s="284">
        <v>17</v>
      </c>
      <c r="AV98" s="284">
        <v>0</v>
      </c>
      <c r="AW98" s="284">
        <v>13</v>
      </c>
      <c r="AX98" s="284">
        <v>0</v>
      </c>
      <c r="AY98" s="284">
        <v>0</v>
      </c>
      <c r="AZ98" s="284">
        <v>8</v>
      </c>
      <c r="BA98" s="284">
        <v>0</v>
      </c>
      <c r="BB98" s="284">
        <v>0</v>
      </c>
      <c r="BC98" s="284">
        <v>0</v>
      </c>
      <c r="BD98" s="284">
        <v>0</v>
      </c>
      <c r="BE98" s="284">
        <v>0</v>
      </c>
      <c r="BF98" s="284">
        <v>0</v>
      </c>
      <c r="BG98" s="284">
        <v>0</v>
      </c>
      <c r="BH98" s="284">
        <v>0</v>
      </c>
      <c r="BI98" s="284">
        <v>20.07</v>
      </c>
      <c r="BJ98" s="284">
        <v>18</v>
      </c>
      <c r="BK98" s="238">
        <v>0</v>
      </c>
      <c r="BL98" s="1197">
        <v>89.07</v>
      </c>
      <c r="BM98" s="289">
        <v>0</v>
      </c>
    </row>
    <row r="99" spans="1:65" ht="24.95" hidden="1" customHeight="1">
      <c r="A99" s="1196">
        <v>13</v>
      </c>
      <c r="B99" s="406" t="s">
        <v>35</v>
      </c>
      <c r="C99" s="246">
        <v>59.5</v>
      </c>
      <c r="D99" s="240">
        <v>0</v>
      </c>
      <c r="E99" s="410">
        <v>0</v>
      </c>
      <c r="F99" s="239">
        <v>0</v>
      </c>
      <c r="G99" s="240">
        <v>0</v>
      </c>
      <c r="H99" s="240">
        <v>0</v>
      </c>
      <c r="I99" s="410">
        <v>0</v>
      </c>
      <c r="J99" s="239">
        <v>0</v>
      </c>
      <c r="K99" s="240">
        <v>0</v>
      </c>
      <c r="L99" s="240">
        <v>0</v>
      </c>
      <c r="M99" s="410">
        <v>0</v>
      </c>
      <c r="N99" s="239">
        <v>0</v>
      </c>
      <c r="O99" s="240">
        <v>0</v>
      </c>
      <c r="P99" s="240">
        <v>0</v>
      </c>
      <c r="Q99" s="410">
        <v>0</v>
      </c>
      <c r="R99" s="239">
        <v>0</v>
      </c>
      <c r="S99" s="240">
        <v>0</v>
      </c>
      <c r="T99" s="240">
        <v>0</v>
      </c>
      <c r="U99" s="410">
        <v>0</v>
      </c>
      <c r="V99" s="239">
        <v>0</v>
      </c>
      <c r="W99" s="240">
        <v>0</v>
      </c>
      <c r="X99" s="240">
        <v>0</v>
      </c>
      <c r="Y99" s="410">
        <v>0</v>
      </c>
      <c r="Z99" s="239">
        <v>0</v>
      </c>
      <c r="AA99" s="240">
        <v>0</v>
      </c>
      <c r="AB99" s="240">
        <v>0</v>
      </c>
      <c r="AC99" s="410">
        <v>94</v>
      </c>
      <c r="AD99" s="239">
        <v>0</v>
      </c>
      <c r="AE99" s="240">
        <v>0</v>
      </c>
      <c r="AF99" s="240">
        <v>0</v>
      </c>
      <c r="AG99" s="410">
        <v>0</v>
      </c>
      <c r="AH99" s="239">
        <v>0</v>
      </c>
      <c r="AI99" s="240">
        <v>0</v>
      </c>
      <c r="AJ99" s="240">
        <v>0</v>
      </c>
      <c r="AK99" s="410">
        <v>0</v>
      </c>
      <c r="AL99" s="239">
        <v>0</v>
      </c>
      <c r="AM99" s="410">
        <v>0</v>
      </c>
      <c r="AN99" s="239">
        <v>0</v>
      </c>
      <c r="AO99" s="248">
        <v>153.5</v>
      </c>
      <c r="AP99" s="248">
        <v>0</v>
      </c>
      <c r="AQ99" s="246">
        <v>0</v>
      </c>
      <c r="AR99" s="240">
        <v>0</v>
      </c>
      <c r="AS99" s="246">
        <v>2</v>
      </c>
      <c r="AT99" s="284">
        <v>0</v>
      </c>
      <c r="AU99" s="284">
        <v>0</v>
      </c>
      <c r="AV99" s="284">
        <v>0</v>
      </c>
      <c r="AW99" s="284">
        <v>0</v>
      </c>
      <c r="AX99" s="284">
        <v>0</v>
      </c>
      <c r="AY99" s="284">
        <v>0</v>
      </c>
      <c r="AZ99" s="284">
        <v>0</v>
      </c>
      <c r="BA99" s="284">
        <v>0</v>
      </c>
      <c r="BB99" s="284">
        <v>0</v>
      </c>
      <c r="BC99" s="284">
        <v>0</v>
      </c>
      <c r="BD99" s="284">
        <v>0</v>
      </c>
      <c r="BE99" s="284">
        <v>0</v>
      </c>
      <c r="BF99" s="284">
        <v>1</v>
      </c>
      <c r="BG99" s="284">
        <v>0</v>
      </c>
      <c r="BH99" s="284">
        <v>0</v>
      </c>
      <c r="BI99" s="284">
        <v>0</v>
      </c>
      <c r="BJ99" s="284">
        <v>0</v>
      </c>
      <c r="BK99" s="238">
        <v>0</v>
      </c>
      <c r="BL99" s="1197">
        <v>3</v>
      </c>
      <c r="BM99" s="289">
        <v>0</v>
      </c>
    </row>
    <row r="100" spans="1:65" ht="24.95" hidden="1" customHeight="1">
      <c r="A100" s="1196">
        <v>14</v>
      </c>
      <c r="B100" s="406" t="s">
        <v>36</v>
      </c>
      <c r="C100" s="246">
        <v>0</v>
      </c>
      <c r="D100" s="240">
        <v>0</v>
      </c>
      <c r="E100" s="410">
        <v>0</v>
      </c>
      <c r="F100" s="239">
        <v>0</v>
      </c>
      <c r="G100" s="240">
        <v>0</v>
      </c>
      <c r="H100" s="240">
        <v>0</v>
      </c>
      <c r="I100" s="410">
        <v>0</v>
      </c>
      <c r="J100" s="239">
        <v>0</v>
      </c>
      <c r="K100" s="240">
        <v>350</v>
      </c>
      <c r="L100" s="240">
        <v>0</v>
      </c>
      <c r="M100" s="410">
        <v>0</v>
      </c>
      <c r="N100" s="239">
        <v>0</v>
      </c>
      <c r="O100" s="240">
        <v>0</v>
      </c>
      <c r="P100" s="240">
        <v>0</v>
      </c>
      <c r="Q100" s="410">
        <v>0</v>
      </c>
      <c r="R100" s="239">
        <v>0</v>
      </c>
      <c r="S100" s="240">
        <v>0</v>
      </c>
      <c r="T100" s="240">
        <v>0</v>
      </c>
      <c r="U100" s="410">
        <v>0</v>
      </c>
      <c r="V100" s="239">
        <v>0</v>
      </c>
      <c r="W100" s="240">
        <v>0</v>
      </c>
      <c r="X100" s="240">
        <v>0</v>
      </c>
      <c r="Y100" s="410">
        <v>0</v>
      </c>
      <c r="Z100" s="239">
        <v>0</v>
      </c>
      <c r="AA100" s="240">
        <v>0</v>
      </c>
      <c r="AB100" s="240">
        <v>0</v>
      </c>
      <c r="AC100" s="410">
        <v>0</v>
      </c>
      <c r="AD100" s="239">
        <v>0</v>
      </c>
      <c r="AE100" s="240">
        <v>0</v>
      </c>
      <c r="AF100" s="240">
        <v>0</v>
      </c>
      <c r="AG100" s="410">
        <v>0</v>
      </c>
      <c r="AH100" s="239">
        <v>0</v>
      </c>
      <c r="AI100" s="240">
        <v>0</v>
      </c>
      <c r="AJ100" s="240">
        <v>0</v>
      </c>
      <c r="AK100" s="410">
        <v>0</v>
      </c>
      <c r="AL100" s="239">
        <v>0</v>
      </c>
      <c r="AM100" s="410">
        <v>0</v>
      </c>
      <c r="AN100" s="239">
        <v>0</v>
      </c>
      <c r="AO100" s="248">
        <v>350</v>
      </c>
      <c r="AP100" s="248">
        <v>0</v>
      </c>
      <c r="AQ100" s="246">
        <v>0</v>
      </c>
      <c r="AR100" s="240">
        <v>0</v>
      </c>
      <c r="AS100" s="246">
        <v>0</v>
      </c>
      <c r="AT100" s="284">
        <v>0</v>
      </c>
      <c r="AU100" s="284">
        <v>0</v>
      </c>
      <c r="AV100" s="284">
        <v>0</v>
      </c>
      <c r="AW100" s="284">
        <v>5</v>
      </c>
      <c r="AX100" s="284">
        <v>0</v>
      </c>
      <c r="AY100" s="284">
        <v>0</v>
      </c>
      <c r="AZ100" s="284">
        <v>0</v>
      </c>
      <c r="BA100" s="284">
        <v>0</v>
      </c>
      <c r="BB100" s="284">
        <v>0</v>
      </c>
      <c r="BC100" s="284">
        <v>0</v>
      </c>
      <c r="BD100" s="284">
        <v>0</v>
      </c>
      <c r="BE100" s="284">
        <v>0</v>
      </c>
      <c r="BF100" s="284">
        <v>0</v>
      </c>
      <c r="BG100" s="284">
        <v>0</v>
      </c>
      <c r="BH100" s="284">
        <v>0</v>
      </c>
      <c r="BI100" s="284">
        <v>0</v>
      </c>
      <c r="BJ100" s="284">
        <v>0</v>
      </c>
      <c r="BK100" s="238">
        <v>0</v>
      </c>
      <c r="BL100" s="1197">
        <v>5</v>
      </c>
      <c r="BM100" s="289">
        <v>0</v>
      </c>
    </row>
    <row r="101" spans="1:65" ht="24.95" hidden="1" customHeight="1">
      <c r="A101" s="1196">
        <v>15</v>
      </c>
      <c r="B101" s="406" t="s">
        <v>37</v>
      </c>
      <c r="C101" s="246">
        <v>0</v>
      </c>
      <c r="D101" s="240">
        <v>0</v>
      </c>
      <c r="E101" s="410">
        <v>0</v>
      </c>
      <c r="F101" s="239">
        <v>0</v>
      </c>
      <c r="G101" s="240">
        <v>0</v>
      </c>
      <c r="H101" s="240">
        <v>0</v>
      </c>
      <c r="I101" s="410">
        <v>0</v>
      </c>
      <c r="J101" s="239">
        <v>0</v>
      </c>
      <c r="K101" s="240">
        <v>0</v>
      </c>
      <c r="L101" s="240">
        <v>0</v>
      </c>
      <c r="M101" s="410">
        <v>0</v>
      </c>
      <c r="N101" s="239">
        <v>0</v>
      </c>
      <c r="O101" s="240">
        <v>0</v>
      </c>
      <c r="P101" s="240">
        <v>0</v>
      </c>
      <c r="Q101" s="410">
        <v>86.2</v>
      </c>
      <c r="R101" s="239">
        <v>2.4</v>
      </c>
      <c r="S101" s="240">
        <v>0</v>
      </c>
      <c r="T101" s="240">
        <v>0</v>
      </c>
      <c r="U101" s="410">
        <v>0</v>
      </c>
      <c r="V101" s="239">
        <v>0</v>
      </c>
      <c r="W101" s="240">
        <v>0</v>
      </c>
      <c r="X101" s="240">
        <v>0</v>
      </c>
      <c r="Y101" s="410">
        <v>0</v>
      </c>
      <c r="Z101" s="239">
        <v>0</v>
      </c>
      <c r="AA101" s="240">
        <v>0</v>
      </c>
      <c r="AB101" s="240">
        <v>0</v>
      </c>
      <c r="AC101" s="410">
        <v>0</v>
      </c>
      <c r="AD101" s="239">
        <v>0</v>
      </c>
      <c r="AE101" s="240">
        <v>0</v>
      </c>
      <c r="AF101" s="240">
        <v>0</v>
      </c>
      <c r="AG101" s="410">
        <v>0</v>
      </c>
      <c r="AH101" s="239">
        <v>0</v>
      </c>
      <c r="AI101" s="240">
        <v>0</v>
      </c>
      <c r="AJ101" s="240">
        <v>0</v>
      </c>
      <c r="AK101" s="410">
        <v>0</v>
      </c>
      <c r="AL101" s="239">
        <v>0</v>
      </c>
      <c r="AM101" s="410">
        <v>0</v>
      </c>
      <c r="AN101" s="239">
        <v>0</v>
      </c>
      <c r="AO101" s="248">
        <v>86.2</v>
      </c>
      <c r="AP101" s="248">
        <v>2.4</v>
      </c>
      <c r="AQ101" s="246">
        <v>0</v>
      </c>
      <c r="AR101" s="240">
        <v>0</v>
      </c>
      <c r="AS101" s="246">
        <v>0</v>
      </c>
      <c r="AT101" s="284">
        <v>0</v>
      </c>
      <c r="AU101" s="284">
        <v>0</v>
      </c>
      <c r="AV101" s="284">
        <v>0</v>
      </c>
      <c r="AW101" s="284">
        <v>0</v>
      </c>
      <c r="AX101" s="284">
        <v>0</v>
      </c>
      <c r="AY101" s="284">
        <v>0</v>
      </c>
      <c r="AZ101" s="284">
        <v>0</v>
      </c>
      <c r="BA101" s="284">
        <v>0</v>
      </c>
      <c r="BB101" s="284">
        <v>0</v>
      </c>
      <c r="BC101" s="284">
        <v>0</v>
      </c>
      <c r="BD101" s="284">
        <v>0</v>
      </c>
      <c r="BE101" s="284">
        <v>0</v>
      </c>
      <c r="BF101" s="284">
        <v>0</v>
      </c>
      <c r="BG101" s="284">
        <v>0</v>
      </c>
      <c r="BH101" s="284">
        <v>0</v>
      </c>
      <c r="BI101" s="284">
        <v>0</v>
      </c>
      <c r="BJ101" s="284">
        <v>0</v>
      </c>
      <c r="BK101" s="238">
        <v>0</v>
      </c>
      <c r="BL101" s="1197">
        <v>0</v>
      </c>
      <c r="BM101" s="289">
        <v>0</v>
      </c>
    </row>
    <row r="102" spans="1:65" ht="24.95" hidden="1" customHeight="1">
      <c r="A102" s="1202"/>
      <c r="B102" s="405" t="s">
        <v>29</v>
      </c>
      <c r="C102" s="245"/>
      <c r="D102" s="235"/>
      <c r="E102" s="409"/>
      <c r="F102" s="236"/>
      <c r="G102" s="235"/>
      <c r="H102" s="235"/>
      <c r="I102" s="409"/>
      <c r="J102" s="236"/>
      <c r="K102" s="235"/>
      <c r="L102" s="235"/>
      <c r="M102" s="409"/>
      <c r="N102" s="236"/>
      <c r="O102" s="235"/>
      <c r="P102" s="235"/>
      <c r="Q102" s="409"/>
      <c r="R102" s="236"/>
      <c r="S102" s="235"/>
      <c r="T102" s="235"/>
      <c r="U102" s="409"/>
      <c r="V102" s="236"/>
      <c r="W102" s="235"/>
      <c r="X102" s="235"/>
      <c r="Y102" s="409"/>
      <c r="Z102" s="236"/>
      <c r="AA102" s="235"/>
      <c r="AB102" s="235"/>
      <c r="AC102" s="409"/>
      <c r="AD102" s="236"/>
      <c r="AE102" s="235"/>
      <c r="AF102" s="235"/>
      <c r="AG102" s="409"/>
      <c r="AH102" s="236"/>
      <c r="AI102" s="235"/>
      <c r="AJ102" s="235"/>
      <c r="AK102" s="409"/>
      <c r="AL102" s="236"/>
      <c r="AM102" s="409"/>
      <c r="AN102" s="236"/>
      <c r="AO102" s="235"/>
      <c r="AP102" s="235"/>
      <c r="AQ102" s="245"/>
      <c r="AR102" s="235"/>
      <c r="AS102" s="1096"/>
      <c r="AT102" s="1117"/>
      <c r="AU102" s="1117"/>
      <c r="AV102" s="1117"/>
      <c r="AW102" s="1117"/>
      <c r="AX102" s="1117"/>
      <c r="AY102" s="1117"/>
      <c r="AZ102" s="1117"/>
      <c r="BA102" s="1117"/>
      <c r="BB102" s="1117"/>
      <c r="BC102" s="1117"/>
      <c r="BD102" s="1117"/>
      <c r="BE102" s="1117"/>
      <c r="BF102" s="1117"/>
      <c r="BG102" s="1117"/>
      <c r="BH102" s="1117"/>
      <c r="BI102" s="1117"/>
      <c r="BJ102" s="1117"/>
      <c r="BK102" s="1169"/>
      <c r="BL102" s="1170"/>
      <c r="BM102" s="1170"/>
    </row>
    <row r="103" spans="1:65" ht="24.95" hidden="1" customHeight="1">
      <c r="A103" s="1202">
        <v>16</v>
      </c>
      <c r="B103" s="405" t="s">
        <v>102</v>
      </c>
      <c r="C103" s="246">
        <v>0</v>
      </c>
      <c r="D103" s="240">
        <v>0</v>
      </c>
      <c r="E103" s="410">
        <v>0</v>
      </c>
      <c r="F103" s="239">
        <v>0</v>
      </c>
      <c r="G103" s="240">
        <v>1202.5</v>
      </c>
      <c r="H103" s="240">
        <v>0</v>
      </c>
      <c r="I103" s="410">
        <v>1720</v>
      </c>
      <c r="J103" s="239">
        <v>0</v>
      </c>
      <c r="K103" s="240">
        <v>0</v>
      </c>
      <c r="L103" s="240">
        <v>0</v>
      </c>
      <c r="M103" s="410">
        <v>1407</v>
      </c>
      <c r="N103" s="239">
        <v>16.22</v>
      </c>
      <c r="O103" s="240">
        <v>0</v>
      </c>
      <c r="P103" s="240">
        <v>0</v>
      </c>
      <c r="Q103" s="410">
        <v>0</v>
      </c>
      <c r="R103" s="239">
        <v>0</v>
      </c>
      <c r="S103" s="240">
        <v>0</v>
      </c>
      <c r="T103" s="240">
        <v>0</v>
      </c>
      <c r="U103" s="410">
        <v>0</v>
      </c>
      <c r="V103" s="239">
        <v>0</v>
      </c>
      <c r="W103" s="240">
        <v>0</v>
      </c>
      <c r="X103" s="240">
        <v>0</v>
      </c>
      <c r="Y103" s="410">
        <v>0</v>
      </c>
      <c r="Z103" s="239">
        <v>0</v>
      </c>
      <c r="AA103" s="240">
        <v>820</v>
      </c>
      <c r="AB103" s="240">
        <v>0</v>
      </c>
      <c r="AC103" s="410">
        <v>0</v>
      </c>
      <c r="AD103" s="239">
        <v>0</v>
      </c>
      <c r="AE103" s="240">
        <v>0</v>
      </c>
      <c r="AF103" s="240">
        <v>0</v>
      </c>
      <c r="AG103" s="410">
        <v>0</v>
      </c>
      <c r="AH103" s="239">
        <v>0</v>
      </c>
      <c r="AI103" s="240">
        <v>983.01</v>
      </c>
      <c r="AJ103" s="240">
        <v>0</v>
      </c>
      <c r="AK103" s="410">
        <v>0</v>
      </c>
      <c r="AL103" s="239">
        <v>0</v>
      </c>
      <c r="AM103" s="410">
        <v>2012</v>
      </c>
      <c r="AN103" s="239">
        <v>0</v>
      </c>
      <c r="AO103" s="248">
        <v>8144.51</v>
      </c>
      <c r="AP103" s="248">
        <v>16.22</v>
      </c>
      <c r="AQ103" s="246">
        <v>0</v>
      </c>
      <c r="AR103" s="240">
        <v>0</v>
      </c>
      <c r="AS103" s="1096"/>
      <c r="AT103" s="1117"/>
      <c r="AU103" s="1117"/>
      <c r="AV103" s="1117"/>
      <c r="AW103" s="1117"/>
      <c r="AX103" s="1117"/>
      <c r="AY103" s="1117"/>
      <c r="AZ103" s="1117"/>
      <c r="BA103" s="1117"/>
      <c r="BB103" s="1117"/>
      <c r="BC103" s="1117"/>
      <c r="BD103" s="1117"/>
      <c r="BE103" s="1117"/>
      <c r="BF103" s="1117"/>
      <c r="BG103" s="1117"/>
      <c r="BH103" s="1117"/>
      <c r="BI103" s="1117"/>
      <c r="BJ103" s="1117"/>
      <c r="BK103" s="1169"/>
      <c r="BL103" s="1170"/>
      <c r="BM103" s="1170"/>
    </row>
    <row r="104" spans="1:65" ht="24.95" hidden="1" customHeight="1">
      <c r="A104" s="1202">
        <v>17</v>
      </c>
      <c r="B104" s="405" t="s">
        <v>103</v>
      </c>
      <c r="C104" s="246">
        <v>0</v>
      </c>
      <c r="D104" s="240">
        <v>0</v>
      </c>
      <c r="E104" s="410">
        <v>96</v>
      </c>
      <c r="F104" s="239">
        <v>3.9</v>
      </c>
      <c r="G104" s="240">
        <v>0</v>
      </c>
      <c r="H104" s="240">
        <v>0</v>
      </c>
      <c r="I104" s="410">
        <v>0</v>
      </c>
      <c r="J104" s="239">
        <v>0</v>
      </c>
      <c r="K104" s="240">
        <v>100</v>
      </c>
      <c r="L104" s="240">
        <v>0</v>
      </c>
      <c r="M104" s="410">
        <v>166</v>
      </c>
      <c r="N104" s="239">
        <v>2</v>
      </c>
      <c r="O104" s="240">
        <v>0</v>
      </c>
      <c r="P104" s="240">
        <v>0</v>
      </c>
      <c r="Q104" s="410">
        <v>130</v>
      </c>
      <c r="R104" s="239">
        <v>0.17</v>
      </c>
      <c r="S104" s="240">
        <v>0</v>
      </c>
      <c r="T104" s="240">
        <v>0</v>
      </c>
      <c r="U104" s="410">
        <v>0</v>
      </c>
      <c r="V104" s="239">
        <v>0</v>
      </c>
      <c r="W104" s="240">
        <v>0</v>
      </c>
      <c r="X104" s="240">
        <v>0</v>
      </c>
      <c r="Y104" s="410">
        <v>99</v>
      </c>
      <c r="Z104" s="239">
        <v>1.08</v>
      </c>
      <c r="AA104" s="240">
        <v>64</v>
      </c>
      <c r="AB104" s="240">
        <v>0</v>
      </c>
      <c r="AC104" s="410">
        <v>0</v>
      </c>
      <c r="AD104" s="239">
        <v>0</v>
      </c>
      <c r="AE104" s="240">
        <v>0</v>
      </c>
      <c r="AF104" s="240">
        <v>0</v>
      </c>
      <c r="AG104" s="410">
        <v>0</v>
      </c>
      <c r="AH104" s="239">
        <v>0</v>
      </c>
      <c r="AI104" s="240">
        <v>0</v>
      </c>
      <c r="AJ104" s="240">
        <v>0</v>
      </c>
      <c r="AK104" s="410">
        <v>0</v>
      </c>
      <c r="AL104" s="239">
        <v>0</v>
      </c>
      <c r="AM104" s="410">
        <v>0</v>
      </c>
      <c r="AN104" s="239">
        <v>0</v>
      </c>
      <c r="AO104" s="248">
        <v>655</v>
      </c>
      <c r="AP104" s="248">
        <v>7.15</v>
      </c>
      <c r="AQ104" s="246">
        <v>0</v>
      </c>
      <c r="AR104" s="240">
        <v>0</v>
      </c>
      <c r="AS104" s="1096"/>
      <c r="AT104" s="1117"/>
      <c r="AU104" s="1117"/>
      <c r="AV104" s="1117"/>
      <c r="AW104" s="1117"/>
      <c r="AX104" s="1117"/>
      <c r="AY104" s="1117"/>
      <c r="AZ104" s="1117"/>
      <c r="BA104" s="1117"/>
      <c r="BB104" s="1117"/>
      <c r="BC104" s="1117"/>
      <c r="BD104" s="1117"/>
      <c r="BE104" s="1117"/>
      <c r="BF104" s="1117"/>
      <c r="BG104" s="1117"/>
      <c r="BH104" s="1117"/>
      <c r="BI104" s="1117"/>
      <c r="BJ104" s="1117"/>
      <c r="BK104" s="1169"/>
      <c r="BL104" s="1170"/>
      <c r="BM104" s="1170"/>
    </row>
    <row r="105" spans="1:65" ht="24.95" hidden="1" customHeight="1">
      <c r="A105" s="1192"/>
      <c r="B105" s="404" t="s">
        <v>30</v>
      </c>
      <c r="C105" s="1203"/>
      <c r="D105" s="1204"/>
      <c r="E105" s="1205"/>
      <c r="F105" s="1206"/>
      <c r="G105" s="1204"/>
      <c r="H105" s="1204"/>
      <c r="I105" s="1205"/>
      <c r="J105" s="1206"/>
      <c r="K105" s="1204"/>
      <c r="L105" s="1204"/>
      <c r="M105" s="1205"/>
      <c r="N105" s="1206"/>
      <c r="O105" s="1204"/>
      <c r="P105" s="1204"/>
      <c r="Q105" s="1205"/>
      <c r="R105" s="1206"/>
      <c r="S105" s="1204"/>
      <c r="T105" s="1204"/>
      <c r="U105" s="1205"/>
      <c r="V105" s="1206"/>
      <c r="W105" s="1204"/>
      <c r="X105" s="1204"/>
      <c r="Y105" s="1205"/>
      <c r="Z105" s="1206"/>
      <c r="AA105" s="1204"/>
      <c r="AB105" s="1204"/>
      <c r="AC105" s="1205"/>
      <c r="AD105" s="1206"/>
      <c r="AE105" s="1204"/>
      <c r="AF105" s="1204"/>
      <c r="AG105" s="1205"/>
      <c r="AH105" s="1206"/>
      <c r="AI105" s="1204"/>
      <c r="AJ105" s="1204"/>
      <c r="AK105" s="1205"/>
      <c r="AL105" s="1206"/>
      <c r="AM105" s="1205"/>
      <c r="AN105" s="1206"/>
      <c r="AO105" s="1204"/>
      <c r="AP105" s="1204"/>
      <c r="AQ105" s="1203"/>
      <c r="AR105" s="1204"/>
      <c r="AS105" s="1096"/>
      <c r="AT105" s="1117"/>
      <c r="AU105" s="1117"/>
      <c r="AV105" s="1117"/>
      <c r="AW105" s="1117"/>
      <c r="AX105" s="1117"/>
      <c r="AY105" s="1117"/>
      <c r="AZ105" s="1117"/>
      <c r="BA105" s="1117"/>
      <c r="BB105" s="1117"/>
      <c r="BC105" s="1117"/>
      <c r="BD105" s="1117"/>
      <c r="BE105" s="1117"/>
      <c r="BF105" s="1117"/>
      <c r="BG105" s="1117"/>
      <c r="BH105" s="1117"/>
      <c r="BI105" s="1117"/>
      <c r="BJ105" s="1117"/>
      <c r="BK105" s="1169"/>
      <c r="BL105" s="1170"/>
      <c r="BM105" s="1170"/>
    </row>
    <row r="106" spans="1:65" ht="24.95" hidden="1" customHeight="1">
      <c r="A106" s="1196">
        <v>18</v>
      </c>
      <c r="B106" s="405" t="s">
        <v>38</v>
      </c>
      <c r="C106" s="246">
        <v>2877.3</v>
      </c>
      <c r="D106" s="240">
        <v>58.8</v>
      </c>
      <c r="E106" s="410">
        <v>1709.8</v>
      </c>
      <c r="F106" s="239">
        <v>70.8</v>
      </c>
      <c r="G106" s="240">
        <v>1998</v>
      </c>
      <c r="H106" s="240">
        <v>14.18</v>
      </c>
      <c r="I106" s="410">
        <v>3047</v>
      </c>
      <c r="J106" s="239">
        <v>106.60000000000001</v>
      </c>
      <c r="K106" s="240">
        <v>3856.7</v>
      </c>
      <c r="L106" s="240">
        <v>57.3</v>
      </c>
      <c r="M106" s="410">
        <v>2894.26</v>
      </c>
      <c r="N106" s="239">
        <v>328.2</v>
      </c>
      <c r="O106" s="240">
        <v>133</v>
      </c>
      <c r="P106" s="240">
        <v>0</v>
      </c>
      <c r="Q106" s="410">
        <v>4883.8</v>
      </c>
      <c r="R106" s="239">
        <v>9.4700000000000006</v>
      </c>
      <c r="S106" s="240">
        <v>2816.99</v>
      </c>
      <c r="T106" s="240">
        <v>14</v>
      </c>
      <c r="U106" s="410">
        <v>1622.6000000000001</v>
      </c>
      <c r="V106" s="239">
        <v>346.59999999999997</v>
      </c>
      <c r="W106" s="240">
        <v>0</v>
      </c>
      <c r="X106" s="240">
        <v>2983.5833333700002</v>
      </c>
      <c r="Y106" s="410">
        <v>340</v>
      </c>
      <c r="Z106" s="239">
        <v>9.75</v>
      </c>
      <c r="AA106" s="240">
        <v>1400</v>
      </c>
      <c r="AB106" s="240">
        <v>76.039999999999992</v>
      </c>
      <c r="AC106" s="410">
        <v>0</v>
      </c>
      <c r="AD106" s="239">
        <v>0</v>
      </c>
      <c r="AE106" s="240">
        <v>1016</v>
      </c>
      <c r="AF106" s="240">
        <v>60.05</v>
      </c>
      <c r="AG106" s="410">
        <v>1281.25</v>
      </c>
      <c r="AH106" s="239">
        <v>1.6</v>
      </c>
      <c r="AI106" s="240">
        <v>1989.35</v>
      </c>
      <c r="AJ106" s="240">
        <v>31.01</v>
      </c>
      <c r="AK106" s="410">
        <v>5392</v>
      </c>
      <c r="AL106" s="239">
        <v>19.45</v>
      </c>
      <c r="AM106" s="410">
        <v>3087.5</v>
      </c>
      <c r="AN106" s="239">
        <v>99.583333333333343</v>
      </c>
      <c r="AO106" s="248">
        <v>40345.549999999996</v>
      </c>
      <c r="AP106" s="248">
        <v>4287.0166667033336</v>
      </c>
      <c r="AQ106" s="246">
        <v>0</v>
      </c>
      <c r="AR106" s="240">
        <v>2011.5142042100001</v>
      </c>
      <c r="AS106" s="1096"/>
      <c r="AT106" s="1117"/>
      <c r="AU106" s="1117"/>
      <c r="AV106" s="1117"/>
      <c r="AW106" s="1117"/>
      <c r="AX106" s="1117"/>
      <c r="AY106" s="1117"/>
      <c r="AZ106" s="1117"/>
      <c r="BA106" s="1117"/>
      <c r="BB106" s="1117"/>
      <c r="BC106" s="1117"/>
      <c r="BD106" s="1117"/>
      <c r="BE106" s="1117"/>
      <c r="BF106" s="1117"/>
      <c r="BG106" s="1117"/>
      <c r="BH106" s="1117"/>
      <c r="BI106" s="1117"/>
      <c r="BJ106" s="1117"/>
      <c r="BK106" s="1169"/>
      <c r="BL106" s="1170"/>
      <c r="BM106" s="1170"/>
    </row>
    <row r="107" spans="1:65" ht="24.95" hidden="1" customHeight="1">
      <c r="A107" s="1196">
        <v>19</v>
      </c>
      <c r="B107" s="405" t="s">
        <v>39</v>
      </c>
      <c r="C107" s="246">
        <v>3745.7</v>
      </c>
      <c r="D107" s="240">
        <v>236.9</v>
      </c>
      <c r="E107" s="410">
        <v>1239.75</v>
      </c>
      <c r="F107" s="239">
        <v>52.5</v>
      </c>
      <c r="G107" s="240">
        <v>3372</v>
      </c>
      <c r="H107" s="240">
        <v>356.7</v>
      </c>
      <c r="I107" s="410">
        <v>3639.2</v>
      </c>
      <c r="J107" s="239">
        <v>533.4</v>
      </c>
      <c r="K107" s="240">
        <v>4814.7</v>
      </c>
      <c r="L107" s="240">
        <v>201.7</v>
      </c>
      <c r="M107" s="410">
        <v>5643.69</v>
      </c>
      <c r="N107" s="239">
        <v>358.14</v>
      </c>
      <c r="O107" s="240">
        <v>852.5</v>
      </c>
      <c r="P107" s="240">
        <v>6</v>
      </c>
      <c r="Q107" s="410">
        <v>6345.0050000000001</v>
      </c>
      <c r="R107" s="239">
        <v>213.35999999999999</v>
      </c>
      <c r="S107" s="240">
        <v>1883.81</v>
      </c>
      <c r="T107" s="240">
        <v>6.875</v>
      </c>
      <c r="U107" s="410">
        <v>3430.5</v>
      </c>
      <c r="V107" s="239">
        <v>622.9</v>
      </c>
      <c r="W107" s="240">
        <v>0</v>
      </c>
      <c r="X107" s="240">
        <v>4115.7083333700002</v>
      </c>
      <c r="Y107" s="410">
        <v>2141</v>
      </c>
      <c r="Z107" s="239">
        <v>70.850000000000009</v>
      </c>
      <c r="AA107" s="240">
        <v>4705.25</v>
      </c>
      <c r="AB107" s="240">
        <v>115.03</v>
      </c>
      <c r="AC107" s="410">
        <v>468</v>
      </c>
      <c r="AD107" s="239">
        <v>0</v>
      </c>
      <c r="AE107" s="240">
        <v>245</v>
      </c>
      <c r="AF107" s="240">
        <v>18.399999999999999</v>
      </c>
      <c r="AG107" s="410">
        <v>1294.6500000000001</v>
      </c>
      <c r="AH107" s="239">
        <v>4.67</v>
      </c>
      <c r="AI107" s="240">
        <v>3175.33</v>
      </c>
      <c r="AJ107" s="240">
        <v>87.91</v>
      </c>
      <c r="AK107" s="410">
        <v>5389.5</v>
      </c>
      <c r="AL107" s="239">
        <v>106.66</v>
      </c>
      <c r="AM107" s="410">
        <v>5143</v>
      </c>
      <c r="AN107" s="239">
        <v>368.00000000000017</v>
      </c>
      <c r="AO107" s="248">
        <v>57528.585000000006</v>
      </c>
      <c r="AP107" s="248">
        <v>7475.7033333699992</v>
      </c>
      <c r="AQ107" s="246">
        <v>0</v>
      </c>
      <c r="AR107" s="240">
        <v>2790.5669156599997</v>
      </c>
      <c r="AS107" s="1096"/>
      <c r="AT107" s="1117"/>
      <c r="AU107" s="1117"/>
      <c r="AV107" s="1117"/>
      <c r="AW107" s="1117"/>
      <c r="AX107" s="1117"/>
      <c r="AY107" s="1117"/>
      <c r="AZ107" s="1117"/>
      <c r="BA107" s="1117"/>
      <c r="BB107" s="1117"/>
      <c r="BC107" s="1117"/>
      <c r="BD107" s="1117"/>
      <c r="BE107" s="1117"/>
      <c r="BF107" s="1117"/>
      <c r="BG107" s="1117"/>
      <c r="BH107" s="1117"/>
      <c r="BI107" s="1117"/>
      <c r="BJ107" s="1117"/>
      <c r="BK107" s="1169"/>
      <c r="BL107" s="1170"/>
      <c r="BM107" s="1170"/>
    </row>
    <row r="108" spans="1:65" ht="30" hidden="1" customHeight="1">
      <c r="A108" s="1096"/>
      <c r="B108" s="404" t="s">
        <v>3</v>
      </c>
      <c r="C108" s="407">
        <v>7766.4</v>
      </c>
      <c r="D108" s="237">
        <v>299.7</v>
      </c>
      <c r="E108" s="411">
        <v>3045.55</v>
      </c>
      <c r="F108" s="253">
        <v>127.2</v>
      </c>
      <c r="G108" s="237">
        <v>7598.5</v>
      </c>
      <c r="H108" s="237">
        <v>371.38</v>
      </c>
      <c r="I108" s="411">
        <v>8406.2000000000007</v>
      </c>
      <c r="J108" s="253">
        <v>640</v>
      </c>
      <c r="K108" s="237">
        <v>10139.450000000001</v>
      </c>
      <c r="L108" s="237">
        <v>259</v>
      </c>
      <c r="M108" s="411">
        <v>10110.950000000001</v>
      </c>
      <c r="N108" s="253">
        <v>704.56</v>
      </c>
      <c r="O108" s="237">
        <v>985.5</v>
      </c>
      <c r="P108" s="237">
        <v>6</v>
      </c>
      <c r="Q108" s="411">
        <v>13165.605</v>
      </c>
      <c r="R108" s="253">
        <v>229.29999999999998</v>
      </c>
      <c r="S108" s="237">
        <v>4700.7999999999993</v>
      </c>
      <c r="T108" s="237">
        <v>20.875</v>
      </c>
      <c r="U108" s="411">
        <v>5053.1000000000004</v>
      </c>
      <c r="V108" s="253">
        <v>969.5</v>
      </c>
      <c r="W108" s="237">
        <v>0</v>
      </c>
      <c r="X108" s="237">
        <v>7099.2916667400004</v>
      </c>
      <c r="Y108" s="411">
        <v>2580</v>
      </c>
      <c r="Z108" s="253">
        <v>81.680000000000007</v>
      </c>
      <c r="AA108" s="237">
        <v>6989.25</v>
      </c>
      <c r="AB108" s="237">
        <v>191.07</v>
      </c>
      <c r="AC108" s="411">
        <v>562</v>
      </c>
      <c r="AD108" s="253">
        <v>0</v>
      </c>
      <c r="AE108" s="237">
        <v>1261</v>
      </c>
      <c r="AF108" s="237">
        <v>78.449999999999989</v>
      </c>
      <c r="AG108" s="411">
        <v>2756.9</v>
      </c>
      <c r="AH108" s="253">
        <v>6.27</v>
      </c>
      <c r="AI108" s="237">
        <v>6301.13</v>
      </c>
      <c r="AJ108" s="237">
        <v>119.82</v>
      </c>
      <c r="AK108" s="411">
        <v>11354</v>
      </c>
      <c r="AL108" s="253">
        <v>127.50999999999999</v>
      </c>
      <c r="AM108" s="411">
        <v>10521.5</v>
      </c>
      <c r="AN108" s="253">
        <v>467.58333333333348</v>
      </c>
      <c r="AO108" s="237">
        <v>113297.83500000001</v>
      </c>
      <c r="AP108" s="237">
        <v>11799.190000073333</v>
      </c>
      <c r="AQ108" s="407">
        <v>0</v>
      </c>
      <c r="AR108" s="237">
        <v>4802.0811198699994</v>
      </c>
      <c r="AS108" s="1096"/>
      <c r="AT108" s="1117"/>
      <c r="AU108" s="1117"/>
      <c r="AV108" s="1117"/>
      <c r="AW108" s="1117"/>
      <c r="AX108" s="1117"/>
      <c r="AY108" s="1117"/>
      <c r="AZ108" s="1117"/>
      <c r="BA108" s="1117"/>
      <c r="BB108" s="1117"/>
      <c r="BC108" s="1117"/>
      <c r="BD108" s="1117"/>
      <c r="BE108" s="1117"/>
      <c r="BF108" s="1117"/>
      <c r="BG108" s="1117"/>
      <c r="BH108" s="1117"/>
      <c r="BI108" s="1117"/>
      <c r="BJ108" s="1117"/>
      <c r="BK108" s="1169"/>
      <c r="BL108" s="1170"/>
      <c r="BM108" s="1170"/>
    </row>
    <row r="109" spans="1:65" ht="30" hidden="1" customHeight="1" thickBot="1">
      <c r="A109" s="1207">
        <v>20</v>
      </c>
      <c r="B109" s="1208" t="s">
        <v>40</v>
      </c>
      <c r="C109" s="408">
        <v>9010.4399999999987</v>
      </c>
      <c r="D109" s="250">
        <v>574.29999999999995</v>
      </c>
      <c r="E109" s="249">
        <v>3151.55</v>
      </c>
      <c r="F109" s="412">
        <v>224.9</v>
      </c>
      <c r="G109" s="250">
        <v>8630.7999999999993</v>
      </c>
      <c r="H109" s="250">
        <v>1270.9099999999999</v>
      </c>
      <c r="I109" s="249">
        <v>9163.2000000000007</v>
      </c>
      <c r="J109" s="412">
        <v>964.38400000000001</v>
      </c>
      <c r="K109" s="250">
        <v>12504.85</v>
      </c>
      <c r="L109" s="250">
        <v>567.40000000000009</v>
      </c>
      <c r="M109" s="249">
        <v>10639.95</v>
      </c>
      <c r="N109" s="412">
        <v>908.25</v>
      </c>
      <c r="O109" s="250">
        <v>1223.5</v>
      </c>
      <c r="P109" s="250">
        <v>25.5</v>
      </c>
      <c r="Q109" s="249">
        <v>15829.605</v>
      </c>
      <c r="R109" s="412">
        <v>993.52</v>
      </c>
      <c r="S109" s="250">
        <v>5589.0999999999995</v>
      </c>
      <c r="T109" s="250">
        <v>120.67500000000001</v>
      </c>
      <c r="U109" s="249">
        <v>5233.1000000000004</v>
      </c>
      <c r="V109" s="412">
        <v>1085.3</v>
      </c>
      <c r="W109" s="250">
        <v>0</v>
      </c>
      <c r="X109" s="250">
        <v>7219.2916667400004</v>
      </c>
      <c r="Y109" s="249">
        <v>2817</v>
      </c>
      <c r="Z109" s="412">
        <v>265.98</v>
      </c>
      <c r="AA109" s="250">
        <v>7206.25</v>
      </c>
      <c r="AB109" s="250">
        <v>404.88</v>
      </c>
      <c r="AC109" s="249">
        <v>647.5</v>
      </c>
      <c r="AD109" s="412">
        <v>12</v>
      </c>
      <c r="AE109" s="250">
        <v>1333</v>
      </c>
      <c r="AF109" s="250">
        <v>105.54999999999998</v>
      </c>
      <c r="AG109" s="249">
        <v>3661.4</v>
      </c>
      <c r="AH109" s="412">
        <v>76.509999999999991</v>
      </c>
      <c r="AI109" s="250">
        <v>6844.26</v>
      </c>
      <c r="AJ109" s="250">
        <v>413.90000000000003</v>
      </c>
      <c r="AK109" s="249">
        <v>13617.65</v>
      </c>
      <c r="AL109" s="412">
        <v>510.36</v>
      </c>
      <c r="AM109" s="249">
        <v>11372.5</v>
      </c>
      <c r="AN109" s="412">
        <v>822.66666666666674</v>
      </c>
      <c r="AO109" s="250">
        <v>128475.655</v>
      </c>
      <c r="AP109" s="250">
        <v>16566.277333406666</v>
      </c>
      <c r="AQ109" s="408">
        <v>0</v>
      </c>
      <c r="AR109" s="413">
        <v>4898.885998153999</v>
      </c>
      <c r="AS109" s="243">
        <v>196</v>
      </c>
      <c r="AT109" s="285">
        <v>0</v>
      </c>
      <c r="AU109" s="285">
        <v>220</v>
      </c>
      <c r="AV109" s="285">
        <v>0</v>
      </c>
      <c r="AW109" s="285">
        <v>368</v>
      </c>
      <c r="AX109" s="285">
        <v>0</v>
      </c>
      <c r="AY109" s="285">
        <v>0</v>
      </c>
      <c r="AZ109" s="285">
        <v>358</v>
      </c>
      <c r="BA109" s="285">
        <v>0</v>
      </c>
      <c r="BB109" s="285">
        <v>0</v>
      </c>
      <c r="BC109" s="285">
        <v>0</v>
      </c>
      <c r="BD109" s="285">
        <v>0</v>
      </c>
      <c r="BE109" s="285">
        <v>0</v>
      </c>
      <c r="BF109" s="285">
        <v>1</v>
      </c>
      <c r="BG109" s="285">
        <v>0</v>
      </c>
      <c r="BH109" s="285">
        <v>162</v>
      </c>
      <c r="BI109" s="285">
        <v>20.07</v>
      </c>
      <c r="BJ109" s="285">
        <v>54</v>
      </c>
      <c r="BK109" s="575">
        <v>4</v>
      </c>
      <c r="BL109" s="574">
        <v>1383.07</v>
      </c>
      <c r="BM109" s="290">
        <v>0</v>
      </c>
    </row>
    <row r="110" spans="1:65" ht="24.95" hidden="1" customHeight="1">
      <c r="A110" s="1209" t="s">
        <v>98</v>
      </c>
      <c r="C110" s="11">
        <v>9010.4399999999987</v>
      </c>
      <c r="D110" s="11">
        <v>574.29999999999995</v>
      </c>
      <c r="E110" s="11">
        <v>3151.55</v>
      </c>
      <c r="F110" s="11">
        <v>224.9</v>
      </c>
      <c r="G110" s="11">
        <v>8630.7999999999993</v>
      </c>
      <c r="H110" s="11">
        <v>1270.9099999999999</v>
      </c>
      <c r="I110" s="11">
        <v>9163.2000000000007</v>
      </c>
      <c r="J110" s="11">
        <v>964.38400000000001</v>
      </c>
      <c r="K110" s="11">
        <v>12504.85</v>
      </c>
      <c r="L110" s="11">
        <v>567.40000000000009</v>
      </c>
      <c r="M110" s="11">
        <v>10639.95</v>
      </c>
      <c r="N110" s="11">
        <v>908.25</v>
      </c>
      <c r="O110" s="11">
        <v>1223.5</v>
      </c>
      <c r="P110" s="11">
        <v>25.5</v>
      </c>
      <c r="Q110" s="11">
        <v>15829.605</v>
      </c>
      <c r="R110" s="11">
        <v>993.52</v>
      </c>
      <c r="S110" s="11">
        <v>5589.0999999999995</v>
      </c>
      <c r="T110" s="11">
        <v>120.67500000000001</v>
      </c>
      <c r="U110" s="11">
        <v>5233.1000000000004</v>
      </c>
      <c r="V110" s="11">
        <v>1085.3</v>
      </c>
      <c r="W110" s="11">
        <v>0</v>
      </c>
      <c r="X110" s="11">
        <v>7219.2916667400004</v>
      </c>
      <c r="Y110" s="11">
        <v>2817</v>
      </c>
      <c r="Z110" s="11">
        <v>265.98</v>
      </c>
      <c r="AA110" s="11">
        <v>7206.25</v>
      </c>
      <c r="AB110" s="11">
        <v>404.88</v>
      </c>
      <c r="AC110" s="11">
        <v>647.5</v>
      </c>
      <c r="AD110" s="11">
        <v>12</v>
      </c>
      <c r="AE110" s="11">
        <v>1333</v>
      </c>
      <c r="AF110" s="11">
        <v>105.54999999999998</v>
      </c>
      <c r="AG110" s="11">
        <v>3661.4</v>
      </c>
      <c r="AH110" s="11">
        <v>76.509999999999991</v>
      </c>
      <c r="AI110" s="11">
        <v>6844.26</v>
      </c>
      <c r="AJ110" s="11">
        <v>413.90000000000003</v>
      </c>
      <c r="AK110" s="11">
        <v>13617.65</v>
      </c>
      <c r="AL110" s="11">
        <v>510.36</v>
      </c>
      <c r="AM110" s="11">
        <v>11372.5</v>
      </c>
      <c r="AN110" s="11">
        <v>822.66666666666674</v>
      </c>
      <c r="AO110" s="11">
        <v>128475.655</v>
      </c>
      <c r="AP110" s="11">
        <v>16566.277333406666</v>
      </c>
      <c r="AQ110" s="11">
        <v>0</v>
      </c>
      <c r="AR110" s="11">
        <v>4898.885998153999</v>
      </c>
    </row>
    <row r="111" spans="1:65" ht="15.75" hidden="1" customHeight="1">
      <c r="A111" s="1209"/>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row>
    <row r="112" spans="1:65" ht="15.75" hidden="1" customHeight="1">
      <c r="A112" s="1209"/>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row>
    <row r="113" spans="67:70" ht="20.100000000000001" hidden="1" customHeight="1">
      <c r="BO113" s="1210" t="s">
        <v>268</v>
      </c>
      <c r="BQ113" s="1211"/>
    </row>
    <row r="114" spans="67:70" ht="15.75" hidden="1" thickBot="1"/>
    <row r="115" spans="67:70" ht="39.950000000000003" hidden="1" customHeight="1">
      <c r="BO115" s="1094"/>
      <c r="BP115" s="1095"/>
      <c r="BQ115" s="1470" t="s">
        <v>256</v>
      </c>
      <c r="BR115" s="1471"/>
    </row>
    <row r="116" spans="67:70" ht="39.950000000000003" hidden="1" customHeight="1">
      <c r="BO116" s="1096"/>
      <c r="BP116" s="1212" t="s">
        <v>135</v>
      </c>
      <c r="BQ116" s="1213" t="s">
        <v>205</v>
      </c>
      <c r="BR116" s="1103" t="s">
        <v>210</v>
      </c>
    </row>
    <row r="117" spans="67:70" ht="39.950000000000003" hidden="1" customHeight="1">
      <c r="BO117" s="1096"/>
      <c r="BP117" s="1097"/>
      <c r="BQ117" s="1174" t="s">
        <v>27</v>
      </c>
      <c r="BR117" s="1178" t="s">
        <v>27</v>
      </c>
    </row>
    <row r="118" spans="67:70" ht="24.95" hidden="1" customHeight="1">
      <c r="BO118" s="1096"/>
      <c r="BP118" s="1214"/>
      <c r="BQ118" s="1215">
        <v>1</v>
      </c>
      <c r="BR118" s="1216">
        <v>2</v>
      </c>
    </row>
    <row r="119" spans="67:70" ht="24.95" hidden="1" customHeight="1">
      <c r="BO119" s="1217">
        <v>1</v>
      </c>
      <c r="BP119" s="1218" t="s">
        <v>18</v>
      </c>
      <c r="BQ119" s="1219">
        <v>10</v>
      </c>
      <c r="BR119" s="1220"/>
    </row>
    <row r="120" spans="67:70" ht="20.100000000000001" hidden="1" customHeight="1">
      <c r="BO120" s="1221">
        <v>2</v>
      </c>
      <c r="BP120" s="1218" t="s">
        <v>63</v>
      </c>
      <c r="BQ120" s="1219"/>
      <c r="BR120" s="1123"/>
    </row>
    <row r="121" spans="67:70" ht="20.100000000000001" hidden="1" customHeight="1">
      <c r="BO121" s="1221">
        <v>3</v>
      </c>
      <c r="BP121" s="1218" t="s">
        <v>64</v>
      </c>
      <c r="BQ121" s="1219">
        <v>211</v>
      </c>
      <c r="BR121" s="1123"/>
    </row>
    <row r="122" spans="67:70" ht="20.100000000000001" hidden="1" customHeight="1">
      <c r="BO122" s="1221">
        <v>4</v>
      </c>
      <c r="BP122" s="1218" t="s">
        <v>65</v>
      </c>
      <c r="BQ122" s="1219"/>
      <c r="BR122" s="1123"/>
    </row>
    <row r="123" spans="67:70" ht="20.100000000000001" hidden="1" customHeight="1">
      <c r="BO123" s="1221">
        <v>5</v>
      </c>
      <c r="BP123" s="1218" t="s">
        <v>66</v>
      </c>
      <c r="BQ123" s="1219">
        <v>50</v>
      </c>
      <c r="BR123" s="1123"/>
    </row>
    <row r="124" spans="67:70" ht="24.95" hidden="1" customHeight="1">
      <c r="BO124" s="1221">
        <v>6</v>
      </c>
      <c r="BP124" s="1218" t="s">
        <v>67</v>
      </c>
      <c r="BQ124" s="1219"/>
      <c r="BR124" s="1123"/>
    </row>
    <row r="125" spans="67:70" ht="20.100000000000001" hidden="1" customHeight="1">
      <c r="BO125" s="1221">
        <v>7</v>
      </c>
      <c r="BP125" s="1218" t="s">
        <v>68</v>
      </c>
      <c r="BQ125" s="1219">
        <v>11</v>
      </c>
      <c r="BR125" s="1123"/>
    </row>
    <row r="126" spans="67:70" ht="20.100000000000001" hidden="1" customHeight="1">
      <c r="BO126" s="1221">
        <v>8</v>
      </c>
      <c r="BP126" s="1218" t="s">
        <v>69</v>
      </c>
      <c r="BQ126" s="1219">
        <v>223</v>
      </c>
      <c r="BR126" s="1123"/>
    </row>
    <row r="127" spans="67:70" ht="20.100000000000001" hidden="1" customHeight="1">
      <c r="BO127" s="1221">
        <v>9</v>
      </c>
      <c r="BP127" s="1218" t="s">
        <v>70</v>
      </c>
      <c r="BQ127" s="1219">
        <v>83</v>
      </c>
      <c r="BR127" s="1123"/>
    </row>
    <row r="128" spans="67:70" ht="20.100000000000001" hidden="1" customHeight="1">
      <c r="BO128" s="1221">
        <v>10</v>
      </c>
      <c r="BP128" s="1218" t="s">
        <v>266</v>
      </c>
      <c r="BQ128" s="1219"/>
      <c r="BR128" s="1123"/>
    </row>
    <row r="129" spans="67:101" ht="24.95" hidden="1" customHeight="1">
      <c r="BO129" s="1221">
        <v>11</v>
      </c>
      <c r="BP129" s="1218" t="s">
        <v>269</v>
      </c>
      <c r="BQ129" s="1219"/>
      <c r="BR129" s="1123"/>
    </row>
    <row r="130" spans="67:101" ht="20.100000000000001" hidden="1" customHeight="1">
      <c r="BO130" s="1221">
        <v>12</v>
      </c>
      <c r="BP130" s="1218" t="s">
        <v>73</v>
      </c>
      <c r="BQ130" s="1219"/>
      <c r="BR130" s="1222">
        <v>64</v>
      </c>
    </row>
    <row r="131" spans="67:101" ht="20.100000000000001" hidden="1" customHeight="1">
      <c r="BO131" s="1221">
        <v>13</v>
      </c>
      <c r="BP131" s="1218" t="s">
        <v>74</v>
      </c>
      <c r="BQ131" s="1219"/>
      <c r="BR131" s="1123"/>
    </row>
    <row r="132" spans="67:101" ht="20.100000000000001" hidden="1" customHeight="1">
      <c r="BO132" s="1221">
        <v>14</v>
      </c>
      <c r="BP132" s="1218" t="s">
        <v>75</v>
      </c>
      <c r="BQ132" s="1219">
        <v>6</v>
      </c>
      <c r="BR132" s="1123"/>
    </row>
    <row r="133" spans="67:101" ht="20.100000000000001" hidden="1" customHeight="1">
      <c r="BO133" s="1221">
        <v>15</v>
      </c>
      <c r="BP133" s="1218" t="s">
        <v>100</v>
      </c>
      <c r="BQ133" s="1219"/>
      <c r="BR133" s="1123"/>
    </row>
    <row r="134" spans="67:101" ht="24.95" hidden="1" customHeight="1">
      <c r="BO134" s="1221">
        <v>16</v>
      </c>
      <c r="BP134" s="1218" t="s">
        <v>76</v>
      </c>
      <c r="BQ134" s="1219">
        <v>84</v>
      </c>
      <c r="BR134" s="1123"/>
    </row>
    <row r="135" spans="67:101" ht="20.100000000000001" hidden="1" customHeight="1">
      <c r="BO135" s="1221">
        <v>17</v>
      </c>
      <c r="BP135" s="1218" t="s">
        <v>77</v>
      </c>
      <c r="BQ135" s="1219">
        <v>49.33</v>
      </c>
      <c r="BR135" s="1123"/>
    </row>
    <row r="136" spans="67:101" ht="20.100000000000001" hidden="1" customHeight="1">
      <c r="BO136" s="1221">
        <v>18</v>
      </c>
      <c r="BP136" s="1218" t="s">
        <v>78</v>
      </c>
      <c r="BQ136" s="1219">
        <v>53</v>
      </c>
      <c r="BR136" s="1123"/>
    </row>
    <row r="137" spans="67:101" ht="20.100000000000001" hidden="1" customHeight="1">
      <c r="BO137" s="1221">
        <v>19</v>
      </c>
      <c r="BP137" s="1218" t="s">
        <v>79</v>
      </c>
      <c r="BQ137" s="1219"/>
      <c r="BR137" s="1123"/>
    </row>
    <row r="138" spans="67:101" ht="30" hidden="1" customHeight="1" thickBot="1">
      <c r="BO138" s="1125"/>
      <c r="BP138" s="1223" t="s">
        <v>267</v>
      </c>
      <c r="BQ138" s="1224">
        <v>770.33</v>
      </c>
      <c r="BR138" s="1225">
        <v>64</v>
      </c>
    </row>
    <row r="139" spans="67:101" hidden="1"/>
    <row r="140" spans="67:101" hidden="1"/>
    <row r="141" spans="67:101" ht="20.100000000000001" hidden="1" customHeight="1">
      <c r="BU141" s="1226">
        <v>1</v>
      </c>
      <c r="BV141" s="1226">
        <v>2</v>
      </c>
      <c r="BW141" s="1226">
        <v>3</v>
      </c>
      <c r="BX141" s="1226">
        <v>4</v>
      </c>
      <c r="BY141" s="1226">
        <v>5</v>
      </c>
      <c r="BZ141" s="1226">
        <v>6</v>
      </c>
      <c r="CA141" s="1226">
        <v>7</v>
      </c>
      <c r="CB141" s="1226">
        <v>8</v>
      </c>
      <c r="CC141" s="1226">
        <v>9</v>
      </c>
      <c r="CD141" s="1226">
        <v>10</v>
      </c>
      <c r="CE141" s="1226">
        <v>11</v>
      </c>
      <c r="CF141" s="1226">
        <v>12</v>
      </c>
      <c r="CG141" s="1226">
        <v>13</v>
      </c>
      <c r="CH141" s="1226">
        <v>14</v>
      </c>
      <c r="CI141" s="1226">
        <v>15</v>
      </c>
      <c r="CJ141" s="1226">
        <v>16</v>
      </c>
      <c r="CK141" s="1226">
        <v>17</v>
      </c>
      <c r="CL141" s="1226">
        <v>18</v>
      </c>
      <c r="CM141" s="1226">
        <v>19</v>
      </c>
      <c r="CN141" s="1226">
        <v>20</v>
      </c>
      <c r="CO141" s="1226">
        <v>21</v>
      </c>
      <c r="CP141" s="1226">
        <v>22</v>
      </c>
      <c r="CQ141" s="1226">
        <v>23</v>
      </c>
      <c r="CR141" s="1226">
        <v>24</v>
      </c>
      <c r="CS141" s="1226">
        <v>25</v>
      </c>
      <c r="CT141" s="1226">
        <v>26</v>
      </c>
      <c r="CU141" s="1226">
        <v>27</v>
      </c>
      <c r="CV141" s="1226">
        <v>28</v>
      </c>
      <c r="CW141" s="1226">
        <v>29</v>
      </c>
    </row>
    <row r="142" spans="67:101" ht="20.100000000000001" hidden="1" customHeight="1">
      <c r="BU142" s="1150" t="s">
        <v>260</v>
      </c>
    </row>
    <row r="143" spans="67:101" ht="9.9499999999999993" hidden="1" customHeight="1" thickBot="1"/>
    <row r="144" spans="67:101" ht="30" hidden="1" customHeight="1">
      <c r="BU144" s="1227"/>
      <c r="BV144" s="1277" t="s">
        <v>18</v>
      </c>
      <c r="BW144" s="1278"/>
      <c r="BX144" s="1276" t="s">
        <v>63</v>
      </c>
      <c r="BY144" s="1278"/>
      <c r="BZ144" s="1276" t="s">
        <v>64</v>
      </c>
      <c r="CA144" s="1278"/>
      <c r="CB144" s="1276" t="s">
        <v>258</v>
      </c>
      <c r="CC144" s="1278"/>
      <c r="CD144" s="1276" t="s">
        <v>67</v>
      </c>
      <c r="CE144" s="1278"/>
      <c r="CF144" s="1276" t="s">
        <v>68</v>
      </c>
      <c r="CG144" s="1278"/>
      <c r="CH144" s="1276" t="s">
        <v>69</v>
      </c>
      <c r="CI144" s="1278"/>
      <c r="CJ144" s="1276" t="s">
        <v>70</v>
      </c>
      <c r="CK144" s="1278"/>
      <c r="CL144" s="1276" t="s">
        <v>73</v>
      </c>
      <c r="CM144" s="1278"/>
      <c r="CN144" s="1276" t="s">
        <v>74</v>
      </c>
      <c r="CO144" s="1278"/>
      <c r="CP144" s="1276" t="s">
        <v>100</v>
      </c>
      <c r="CQ144" s="1278"/>
      <c r="CR144" s="1276" t="s">
        <v>77</v>
      </c>
      <c r="CS144" s="1278"/>
      <c r="CT144" s="1276" t="s">
        <v>78</v>
      </c>
      <c r="CU144" s="1278"/>
      <c r="CV144" s="1276" t="s">
        <v>79</v>
      </c>
      <c r="CW144" s="1278"/>
    </row>
    <row r="145" spans="73:101" ht="99.95" hidden="1" customHeight="1">
      <c r="BU145" s="1168"/>
      <c r="BV145" s="920" t="s">
        <v>240</v>
      </c>
      <c r="BW145" s="901" t="s">
        <v>257</v>
      </c>
      <c r="BX145" s="902" t="s">
        <v>240</v>
      </c>
      <c r="BY145" s="899" t="s">
        <v>257</v>
      </c>
      <c r="BZ145" s="897" t="s">
        <v>240</v>
      </c>
      <c r="CA145" s="901" t="s">
        <v>257</v>
      </c>
      <c r="CB145" s="902" t="s">
        <v>240</v>
      </c>
      <c r="CC145" s="899" t="s">
        <v>257</v>
      </c>
      <c r="CD145" s="902" t="s">
        <v>240</v>
      </c>
      <c r="CE145" s="899" t="s">
        <v>257</v>
      </c>
      <c r="CF145" s="897" t="s">
        <v>240</v>
      </c>
      <c r="CG145" s="901" t="s">
        <v>257</v>
      </c>
      <c r="CH145" s="897" t="s">
        <v>240</v>
      </c>
      <c r="CI145" s="901" t="s">
        <v>257</v>
      </c>
      <c r="CJ145" s="902" t="s">
        <v>240</v>
      </c>
      <c r="CK145" s="899" t="s">
        <v>257</v>
      </c>
      <c r="CL145" s="902" t="s">
        <v>240</v>
      </c>
      <c r="CM145" s="899" t="s">
        <v>257</v>
      </c>
      <c r="CN145" s="897" t="s">
        <v>240</v>
      </c>
      <c r="CO145" s="901" t="s">
        <v>257</v>
      </c>
      <c r="CP145" s="897" t="s">
        <v>240</v>
      </c>
      <c r="CQ145" s="901" t="s">
        <v>257</v>
      </c>
      <c r="CR145" s="897" t="s">
        <v>240</v>
      </c>
      <c r="CS145" s="901" t="s">
        <v>257</v>
      </c>
      <c r="CT145" s="902" t="s">
        <v>240</v>
      </c>
      <c r="CU145" s="901" t="s">
        <v>257</v>
      </c>
      <c r="CV145" s="902" t="s">
        <v>240</v>
      </c>
      <c r="CW145" s="899" t="s">
        <v>257</v>
      </c>
    </row>
    <row r="146" spans="73:101" ht="21.95" hidden="1" customHeight="1">
      <c r="BU146" s="1168"/>
      <c r="BV146" s="1"/>
      <c r="BW146" s="903" t="s">
        <v>27</v>
      </c>
      <c r="BX146" s="904"/>
      <c r="BY146" s="900" t="s">
        <v>27</v>
      </c>
      <c r="BZ146" s="898"/>
      <c r="CA146" s="903" t="s">
        <v>27</v>
      </c>
      <c r="CB146" s="904"/>
      <c r="CC146" s="900" t="s">
        <v>27</v>
      </c>
      <c r="CD146" s="904"/>
      <c r="CE146" s="900" t="s">
        <v>27</v>
      </c>
      <c r="CF146" s="898"/>
      <c r="CG146" s="903" t="s">
        <v>27</v>
      </c>
      <c r="CH146" s="898"/>
      <c r="CI146" s="903" t="s">
        <v>27</v>
      </c>
      <c r="CJ146" s="904"/>
      <c r="CK146" s="900" t="s">
        <v>27</v>
      </c>
      <c r="CL146" s="904"/>
      <c r="CM146" s="900" t="s">
        <v>27</v>
      </c>
      <c r="CN146" s="898"/>
      <c r="CO146" s="903" t="s">
        <v>27</v>
      </c>
      <c r="CP146" s="898"/>
      <c r="CQ146" s="903" t="s">
        <v>27</v>
      </c>
      <c r="CR146" s="898"/>
      <c r="CS146" s="903" t="s">
        <v>27</v>
      </c>
      <c r="CT146" s="904"/>
      <c r="CU146" s="903" t="s">
        <v>27</v>
      </c>
      <c r="CV146" s="904"/>
      <c r="CW146" s="900" t="s">
        <v>27</v>
      </c>
    </row>
    <row r="147" spans="73:101" ht="24.95" hidden="1" customHeight="1" thickBot="1">
      <c r="BU147" s="1228"/>
      <c r="BV147" s="921">
        <v>1</v>
      </c>
      <c r="BW147" s="905">
        <v>2</v>
      </c>
      <c r="BX147" s="921">
        <v>3</v>
      </c>
      <c r="BY147" s="905">
        <v>4</v>
      </c>
      <c r="BZ147" s="921">
        <v>5</v>
      </c>
      <c r="CA147" s="905">
        <v>6</v>
      </c>
      <c r="CB147" s="921">
        <v>7</v>
      </c>
      <c r="CC147" s="905">
        <v>8</v>
      </c>
      <c r="CD147" s="921">
        <v>9</v>
      </c>
      <c r="CE147" s="905">
        <v>10</v>
      </c>
      <c r="CF147" s="921">
        <v>11</v>
      </c>
      <c r="CG147" s="905">
        <v>12</v>
      </c>
      <c r="CH147" s="921">
        <v>13</v>
      </c>
      <c r="CI147" s="905">
        <v>14</v>
      </c>
      <c r="CJ147" s="921">
        <v>15</v>
      </c>
      <c r="CK147" s="905">
        <v>16</v>
      </c>
      <c r="CL147" s="921">
        <v>17</v>
      </c>
      <c r="CM147" s="905">
        <v>18</v>
      </c>
      <c r="CN147" s="921">
        <v>19</v>
      </c>
      <c r="CO147" s="905">
        <v>20</v>
      </c>
      <c r="CP147" s="921">
        <v>21</v>
      </c>
      <c r="CQ147" s="905">
        <v>22</v>
      </c>
      <c r="CR147" s="921">
        <v>23</v>
      </c>
      <c r="CS147" s="905">
        <v>24</v>
      </c>
      <c r="CT147" s="921">
        <v>25</v>
      </c>
      <c r="CU147" s="905">
        <v>26</v>
      </c>
      <c r="CV147" s="921">
        <v>27</v>
      </c>
      <c r="CW147" s="905">
        <v>28</v>
      </c>
    </row>
    <row r="148" spans="73:101" ht="24.95" hidden="1" customHeight="1">
      <c r="BU148" s="1229">
        <v>1</v>
      </c>
      <c r="BV148" s="1230" t="s">
        <v>349</v>
      </c>
      <c r="BW148" s="1231">
        <v>0</v>
      </c>
      <c r="BX148" s="1232" t="s">
        <v>350</v>
      </c>
      <c r="BY148" s="1233">
        <v>40</v>
      </c>
      <c r="BZ148" s="1234" t="s">
        <v>351</v>
      </c>
      <c r="CA148" s="1231">
        <v>49</v>
      </c>
      <c r="CB148" s="1232" t="s">
        <v>349</v>
      </c>
      <c r="CC148" s="1233">
        <v>59</v>
      </c>
      <c r="CD148" s="1232" t="s">
        <v>352</v>
      </c>
      <c r="CE148" s="1233">
        <v>79</v>
      </c>
      <c r="CF148" s="1234" t="s">
        <v>353</v>
      </c>
      <c r="CG148" s="1231">
        <v>10</v>
      </c>
      <c r="CH148" s="1234" t="s">
        <v>354</v>
      </c>
      <c r="CI148" s="1231">
        <v>10</v>
      </c>
      <c r="CJ148" s="1232" t="s">
        <v>355</v>
      </c>
      <c r="CK148" s="1233">
        <v>13</v>
      </c>
      <c r="CL148" s="1232" t="s">
        <v>349</v>
      </c>
      <c r="CM148" s="1233">
        <v>32</v>
      </c>
      <c r="CN148" s="1234" t="s">
        <v>356</v>
      </c>
      <c r="CO148" s="1231">
        <v>75</v>
      </c>
      <c r="CP148" s="1234" t="s">
        <v>100</v>
      </c>
      <c r="CQ148" s="1231">
        <v>50</v>
      </c>
      <c r="CR148" s="1234" t="s">
        <v>357</v>
      </c>
      <c r="CS148" s="1231">
        <v>103</v>
      </c>
      <c r="CT148" s="1232" t="s">
        <v>358</v>
      </c>
      <c r="CU148" s="1231">
        <v>9</v>
      </c>
      <c r="CV148" s="1232" t="s">
        <v>359</v>
      </c>
      <c r="CW148" s="1233">
        <v>39</v>
      </c>
    </row>
    <row r="149" spans="73:101" ht="24.95" hidden="1" customHeight="1">
      <c r="BU149" s="1235">
        <v>2</v>
      </c>
      <c r="BV149" s="1236">
        <v>0</v>
      </c>
      <c r="BW149" s="1237">
        <v>0</v>
      </c>
      <c r="BX149" s="1238">
        <v>0</v>
      </c>
      <c r="BY149" s="1239">
        <v>0</v>
      </c>
      <c r="BZ149" s="1240">
        <v>0</v>
      </c>
      <c r="CA149" s="1237">
        <v>0</v>
      </c>
      <c r="CB149" s="1238" t="s">
        <v>360</v>
      </c>
      <c r="CC149" s="1239">
        <v>23</v>
      </c>
      <c r="CD149" s="1238" t="s">
        <v>361</v>
      </c>
      <c r="CE149" s="1239">
        <v>21</v>
      </c>
      <c r="CF149" s="1240">
        <v>0</v>
      </c>
      <c r="CG149" s="1237">
        <v>0</v>
      </c>
      <c r="CH149" s="1240" t="s">
        <v>362</v>
      </c>
      <c r="CI149" s="1237">
        <v>1</v>
      </c>
      <c r="CJ149" s="1238" t="s">
        <v>363</v>
      </c>
      <c r="CK149" s="1239">
        <v>17</v>
      </c>
      <c r="CL149" s="1238" t="s">
        <v>364</v>
      </c>
      <c r="CM149" s="1239">
        <v>19</v>
      </c>
      <c r="CN149" s="1240">
        <v>0</v>
      </c>
      <c r="CO149" s="1237">
        <v>0</v>
      </c>
      <c r="CP149" s="1240">
        <v>0</v>
      </c>
      <c r="CQ149" s="1237">
        <v>0</v>
      </c>
      <c r="CR149" s="1240">
        <v>0</v>
      </c>
      <c r="CS149" s="1237">
        <v>0</v>
      </c>
      <c r="CT149" s="1238" t="s">
        <v>352</v>
      </c>
      <c r="CU149" s="1237">
        <v>47</v>
      </c>
      <c r="CV149" s="1238" t="s">
        <v>365</v>
      </c>
      <c r="CW149" s="1239">
        <v>39</v>
      </c>
    </row>
    <row r="150" spans="73:101" ht="24.95" hidden="1" customHeight="1">
      <c r="BU150" s="1235">
        <v>3</v>
      </c>
      <c r="BV150" s="1236">
        <v>0</v>
      </c>
      <c r="BW150" s="1237">
        <v>0</v>
      </c>
      <c r="BX150" s="1238">
        <v>0</v>
      </c>
      <c r="BY150" s="1239">
        <v>0</v>
      </c>
      <c r="BZ150" s="1240">
        <v>0</v>
      </c>
      <c r="CA150" s="1237">
        <v>0</v>
      </c>
      <c r="CB150" s="1238" t="s">
        <v>366</v>
      </c>
      <c r="CC150" s="1239">
        <v>3</v>
      </c>
      <c r="CD150" s="1238" t="s">
        <v>353</v>
      </c>
      <c r="CE150" s="1239">
        <v>29</v>
      </c>
      <c r="CF150" s="1240">
        <v>0</v>
      </c>
      <c r="CG150" s="1237">
        <v>0</v>
      </c>
      <c r="CH150" s="1240" t="s">
        <v>366</v>
      </c>
      <c r="CI150" s="1237">
        <v>1</v>
      </c>
      <c r="CJ150" s="1238" t="s">
        <v>367</v>
      </c>
      <c r="CK150" s="1239">
        <v>24</v>
      </c>
      <c r="CL150" s="1238" t="s">
        <v>360</v>
      </c>
      <c r="CM150" s="1239">
        <v>19</v>
      </c>
      <c r="CN150" s="1240">
        <v>0</v>
      </c>
      <c r="CO150" s="1237">
        <v>0</v>
      </c>
      <c r="CP150" s="1240">
        <v>0</v>
      </c>
      <c r="CQ150" s="1237">
        <v>0</v>
      </c>
      <c r="CR150" s="1240">
        <v>0</v>
      </c>
      <c r="CS150" s="1237">
        <v>0</v>
      </c>
      <c r="CT150" s="1238" t="s">
        <v>368</v>
      </c>
      <c r="CU150" s="1237">
        <v>4</v>
      </c>
      <c r="CV150" s="1238" t="s">
        <v>369</v>
      </c>
      <c r="CW150" s="1239">
        <v>35</v>
      </c>
    </row>
    <row r="151" spans="73:101" ht="24.95" hidden="1" customHeight="1">
      <c r="BU151" s="1235">
        <v>4</v>
      </c>
      <c r="BV151" s="1236">
        <v>0</v>
      </c>
      <c r="BW151" s="1237">
        <v>0</v>
      </c>
      <c r="BX151" s="1238">
        <v>0</v>
      </c>
      <c r="BY151" s="1239">
        <v>0</v>
      </c>
      <c r="BZ151" s="1240">
        <v>0</v>
      </c>
      <c r="CA151" s="1237">
        <v>0</v>
      </c>
      <c r="CB151" s="1238" t="s">
        <v>370</v>
      </c>
      <c r="CC151" s="1239">
        <v>9</v>
      </c>
      <c r="CD151" s="1238">
        <v>0</v>
      </c>
      <c r="CE151" s="1239">
        <v>0</v>
      </c>
      <c r="CF151" s="1240">
        <v>0</v>
      </c>
      <c r="CG151" s="1237">
        <v>0</v>
      </c>
      <c r="CH151" s="1240">
        <v>0</v>
      </c>
      <c r="CI151" s="1237">
        <v>0</v>
      </c>
      <c r="CJ151" s="1238" t="s">
        <v>371</v>
      </c>
      <c r="CK151" s="1239">
        <v>6</v>
      </c>
      <c r="CL151" s="1238">
        <v>0</v>
      </c>
      <c r="CM151" s="1239">
        <v>0</v>
      </c>
      <c r="CN151" s="1240">
        <v>0</v>
      </c>
      <c r="CO151" s="1237">
        <v>0</v>
      </c>
      <c r="CP151" s="1240">
        <v>0</v>
      </c>
      <c r="CQ151" s="1237">
        <v>0</v>
      </c>
      <c r="CR151" s="1240">
        <v>0</v>
      </c>
      <c r="CS151" s="1237">
        <v>0</v>
      </c>
      <c r="CT151" s="1238" t="s">
        <v>372</v>
      </c>
      <c r="CU151" s="1237">
        <v>7</v>
      </c>
      <c r="CV151" s="1238" t="s">
        <v>373</v>
      </c>
      <c r="CW151" s="1239">
        <v>24</v>
      </c>
    </row>
    <row r="152" spans="73:101" ht="24.95" hidden="1" customHeight="1">
      <c r="BU152" s="1235">
        <v>5</v>
      </c>
      <c r="BV152" s="1236">
        <v>0</v>
      </c>
      <c r="BW152" s="1237">
        <v>0</v>
      </c>
      <c r="BX152" s="1238">
        <v>0</v>
      </c>
      <c r="BY152" s="1239">
        <v>0</v>
      </c>
      <c r="BZ152" s="1240">
        <v>0</v>
      </c>
      <c r="CA152" s="1237">
        <v>0</v>
      </c>
      <c r="CB152" s="1238" t="s">
        <v>374</v>
      </c>
      <c r="CC152" s="1239">
        <v>13</v>
      </c>
      <c r="CD152" s="1238">
        <v>0</v>
      </c>
      <c r="CE152" s="1239">
        <v>0</v>
      </c>
      <c r="CF152" s="1240">
        <v>0</v>
      </c>
      <c r="CG152" s="1237">
        <v>0</v>
      </c>
      <c r="CH152" s="1240">
        <v>0</v>
      </c>
      <c r="CI152" s="1237">
        <v>0</v>
      </c>
      <c r="CJ152" s="1238">
        <v>0</v>
      </c>
      <c r="CK152" s="1239">
        <v>0</v>
      </c>
      <c r="CL152" s="1238">
        <v>0</v>
      </c>
      <c r="CM152" s="1239">
        <v>0</v>
      </c>
      <c r="CN152" s="1240">
        <v>0</v>
      </c>
      <c r="CO152" s="1237">
        <v>0</v>
      </c>
      <c r="CP152" s="1240">
        <v>0</v>
      </c>
      <c r="CQ152" s="1237">
        <v>0</v>
      </c>
      <c r="CR152" s="1240">
        <v>0</v>
      </c>
      <c r="CS152" s="1237">
        <v>0</v>
      </c>
      <c r="CT152" s="1238" t="s">
        <v>353</v>
      </c>
      <c r="CU152" s="1237">
        <v>7</v>
      </c>
      <c r="CV152" s="1238" t="s">
        <v>375</v>
      </c>
      <c r="CW152" s="1239">
        <v>24</v>
      </c>
    </row>
    <row r="153" spans="73:101" ht="24.95" hidden="1" customHeight="1">
      <c r="BU153" s="1235">
        <v>6</v>
      </c>
      <c r="BV153" s="1236">
        <v>0</v>
      </c>
      <c r="BW153" s="1237">
        <v>0</v>
      </c>
      <c r="BX153" s="1238">
        <v>0</v>
      </c>
      <c r="BY153" s="1239">
        <v>0</v>
      </c>
      <c r="BZ153" s="1240">
        <v>0</v>
      </c>
      <c r="CA153" s="1237">
        <v>0</v>
      </c>
      <c r="CB153" s="1238">
        <v>0</v>
      </c>
      <c r="CC153" s="1239">
        <v>0</v>
      </c>
      <c r="CD153" s="1238">
        <v>0</v>
      </c>
      <c r="CE153" s="1239">
        <v>0</v>
      </c>
      <c r="CF153" s="1240">
        <v>0</v>
      </c>
      <c r="CG153" s="1237">
        <v>0</v>
      </c>
      <c r="CH153" s="1240">
        <v>0</v>
      </c>
      <c r="CI153" s="1237">
        <v>0</v>
      </c>
      <c r="CJ153" s="1238">
        <v>0</v>
      </c>
      <c r="CK153" s="1239">
        <v>0</v>
      </c>
      <c r="CL153" s="1238">
        <v>0</v>
      </c>
      <c r="CM153" s="1239">
        <v>0</v>
      </c>
      <c r="CN153" s="1240">
        <v>0</v>
      </c>
      <c r="CO153" s="1237">
        <v>0</v>
      </c>
      <c r="CP153" s="1240">
        <v>0</v>
      </c>
      <c r="CQ153" s="1237">
        <v>0</v>
      </c>
      <c r="CR153" s="1240">
        <v>0</v>
      </c>
      <c r="CS153" s="1237">
        <v>0</v>
      </c>
      <c r="CT153" s="1238" t="s">
        <v>361</v>
      </c>
      <c r="CU153" s="1237">
        <v>31</v>
      </c>
      <c r="CV153" s="1238" t="s">
        <v>374</v>
      </c>
      <c r="CW153" s="1239">
        <v>27</v>
      </c>
    </row>
    <row r="154" spans="73:101" ht="24.95" hidden="1" customHeight="1">
      <c r="BU154" s="1235">
        <v>7</v>
      </c>
      <c r="BV154" s="1236">
        <v>0</v>
      </c>
      <c r="BW154" s="1237">
        <v>0</v>
      </c>
      <c r="BX154" s="1238">
        <v>0</v>
      </c>
      <c r="BY154" s="1239">
        <v>0</v>
      </c>
      <c r="BZ154" s="1240">
        <v>0</v>
      </c>
      <c r="CA154" s="1237">
        <v>0</v>
      </c>
      <c r="CB154" s="1238">
        <v>0</v>
      </c>
      <c r="CC154" s="1239">
        <v>0</v>
      </c>
      <c r="CD154" s="1238">
        <v>0</v>
      </c>
      <c r="CE154" s="1239">
        <v>0</v>
      </c>
      <c r="CF154" s="1240">
        <v>0</v>
      </c>
      <c r="CG154" s="1237">
        <v>0</v>
      </c>
      <c r="CH154" s="1240">
        <v>0</v>
      </c>
      <c r="CI154" s="1237">
        <v>0</v>
      </c>
      <c r="CJ154" s="1238">
        <v>0</v>
      </c>
      <c r="CK154" s="1239">
        <v>0</v>
      </c>
      <c r="CL154" s="1238">
        <v>0</v>
      </c>
      <c r="CM154" s="1239">
        <v>0</v>
      </c>
      <c r="CN154" s="1240">
        <v>0</v>
      </c>
      <c r="CO154" s="1237">
        <v>0</v>
      </c>
      <c r="CP154" s="1240">
        <v>0</v>
      </c>
      <c r="CQ154" s="1237">
        <v>0</v>
      </c>
      <c r="CR154" s="1240">
        <v>0</v>
      </c>
      <c r="CS154" s="1237">
        <v>0</v>
      </c>
      <c r="CT154" s="1238">
        <v>0</v>
      </c>
      <c r="CU154" s="1237">
        <v>0</v>
      </c>
      <c r="CV154" s="1238" t="s">
        <v>376</v>
      </c>
      <c r="CW154" s="1239">
        <v>12</v>
      </c>
    </row>
    <row r="155" spans="73:101" ht="24.95" hidden="1" customHeight="1">
      <c r="BU155" s="1235">
        <v>8</v>
      </c>
      <c r="BV155" s="1236">
        <v>0</v>
      </c>
      <c r="BW155" s="1237">
        <v>0</v>
      </c>
      <c r="BX155" s="1238">
        <v>0</v>
      </c>
      <c r="BY155" s="1239">
        <v>0</v>
      </c>
      <c r="BZ155" s="1240">
        <v>0</v>
      </c>
      <c r="CA155" s="1237">
        <v>0</v>
      </c>
      <c r="CB155" s="1238">
        <v>0</v>
      </c>
      <c r="CC155" s="1239">
        <v>0</v>
      </c>
      <c r="CD155" s="1238">
        <v>0</v>
      </c>
      <c r="CE155" s="1239">
        <v>0</v>
      </c>
      <c r="CF155" s="1240">
        <v>0</v>
      </c>
      <c r="CG155" s="1237">
        <v>0</v>
      </c>
      <c r="CH155" s="1240">
        <v>0</v>
      </c>
      <c r="CI155" s="1237">
        <v>0</v>
      </c>
      <c r="CJ155" s="1238">
        <v>0</v>
      </c>
      <c r="CK155" s="1239">
        <v>0</v>
      </c>
      <c r="CL155" s="1238">
        <v>0</v>
      </c>
      <c r="CM155" s="1239">
        <v>0</v>
      </c>
      <c r="CN155" s="1240">
        <v>0</v>
      </c>
      <c r="CO155" s="1237">
        <v>0</v>
      </c>
      <c r="CP155" s="1240">
        <v>0</v>
      </c>
      <c r="CQ155" s="1237">
        <v>0</v>
      </c>
      <c r="CR155" s="1240">
        <v>0</v>
      </c>
      <c r="CS155" s="1237">
        <v>0</v>
      </c>
      <c r="CT155" s="1238">
        <v>0</v>
      </c>
      <c r="CU155" s="1237">
        <v>0</v>
      </c>
      <c r="CV155" s="1238">
        <v>0</v>
      </c>
      <c r="CW155" s="1239">
        <v>0</v>
      </c>
    </row>
    <row r="156" spans="73:101" ht="24.95" hidden="1" customHeight="1">
      <c r="BU156" s="1235">
        <v>9</v>
      </c>
      <c r="BV156" s="1236">
        <v>0</v>
      </c>
      <c r="BW156" s="1237">
        <v>0</v>
      </c>
      <c r="BX156" s="1238">
        <v>0</v>
      </c>
      <c r="BY156" s="1239">
        <v>0</v>
      </c>
      <c r="BZ156" s="1240">
        <v>0</v>
      </c>
      <c r="CA156" s="1237">
        <v>0</v>
      </c>
      <c r="CB156" s="1238">
        <v>0</v>
      </c>
      <c r="CC156" s="1239">
        <v>0</v>
      </c>
      <c r="CD156" s="1238">
        <v>0</v>
      </c>
      <c r="CE156" s="1239">
        <v>0</v>
      </c>
      <c r="CF156" s="1240">
        <v>0</v>
      </c>
      <c r="CG156" s="1237">
        <v>0</v>
      </c>
      <c r="CH156" s="1240">
        <v>0</v>
      </c>
      <c r="CI156" s="1237">
        <v>0</v>
      </c>
      <c r="CJ156" s="1238">
        <v>0</v>
      </c>
      <c r="CK156" s="1239">
        <v>0</v>
      </c>
      <c r="CL156" s="1238">
        <v>0</v>
      </c>
      <c r="CM156" s="1239">
        <v>0</v>
      </c>
      <c r="CN156" s="1240">
        <v>0</v>
      </c>
      <c r="CO156" s="1237">
        <v>0</v>
      </c>
      <c r="CP156" s="1240">
        <v>0</v>
      </c>
      <c r="CQ156" s="1237">
        <v>0</v>
      </c>
      <c r="CR156" s="1240">
        <v>0</v>
      </c>
      <c r="CS156" s="1237">
        <v>0</v>
      </c>
      <c r="CT156" s="1238">
        <v>0</v>
      </c>
      <c r="CU156" s="1237">
        <v>0</v>
      </c>
      <c r="CV156" s="1238">
        <v>0</v>
      </c>
      <c r="CW156" s="1239">
        <v>0</v>
      </c>
    </row>
    <row r="157" spans="73:101" ht="24.95" hidden="1" customHeight="1" thickBot="1">
      <c r="BU157" s="1241">
        <v>10</v>
      </c>
      <c r="BV157" s="1236">
        <v>0</v>
      </c>
      <c r="BW157" s="1237">
        <v>0</v>
      </c>
      <c r="BX157" s="1242">
        <v>0</v>
      </c>
      <c r="BY157" s="1243">
        <v>0</v>
      </c>
      <c r="BZ157" s="1244">
        <v>0</v>
      </c>
      <c r="CA157" s="1245">
        <v>0</v>
      </c>
      <c r="CB157" s="1242">
        <v>0</v>
      </c>
      <c r="CC157" s="1243">
        <v>0</v>
      </c>
      <c r="CD157" s="1242">
        <v>0</v>
      </c>
      <c r="CE157" s="1243">
        <v>0</v>
      </c>
      <c r="CF157" s="1244">
        <v>0</v>
      </c>
      <c r="CG157" s="1245">
        <v>0</v>
      </c>
      <c r="CH157" s="1244">
        <v>0</v>
      </c>
      <c r="CI157" s="1245">
        <v>0</v>
      </c>
      <c r="CJ157" s="1242">
        <v>0</v>
      </c>
      <c r="CK157" s="1243">
        <v>0</v>
      </c>
      <c r="CL157" s="1242">
        <v>0</v>
      </c>
      <c r="CM157" s="1243">
        <v>0</v>
      </c>
      <c r="CN157" s="1244">
        <v>0</v>
      </c>
      <c r="CO157" s="1245">
        <v>0</v>
      </c>
      <c r="CP157" s="1244">
        <v>0</v>
      </c>
      <c r="CQ157" s="1245">
        <v>0</v>
      </c>
      <c r="CR157" s="1244">
        <v>0</v>
      </c>
      <c r="CS157" s="1245">
        <v>0</v>
      </c>
      <c r="CT157" s="1242">
        <v>0</v>
      </c>
      <c r="CU157" s="1245">
        <v>0</v>
      </c>
      <c r="CV157" s="1242">
        <v>0</v>
      </c>
      <c r="CW157" s="1243">
        <v>0</v>
      </c>
    </row>
    <row r="158" spans="73:101" ht="30" hidden="1" customHeight="1" thickBot="1">
      <c r="BU158" s="1228"/>
      <c r="BV158" s="922" t="s">
        <v>3</v>
      </c>
      <c r="BW158" s="908">
        <v>0</v>
      </c>
      <c r="BX158" s="909" t="s">
        <v>3</v>
      </c>
      <c r="BY158" s="910">
        <v>40</v>
      </c>
      <c r="BZ158" s="907" t="s">
        <v>3</v>
      </c>
      <c r="CA158" s="908">
        <v>49</v>
      </c>
      <c r="CB158" s="909" t="s">
        <v>3</v>
      </c>
      <c r="CC158" s="910">
        <v>107</v>
      </c>
      <c r="CD158" s="909" t="s">
        <v>3</v>
      </c>
      <c r="CE158" s="910">
        <v>129</v>
      </c>
      <c r="CF158" s="907" t="s">
        <v>3</v>
      </c>
      <c r="CG158" s="908">
        <v>10</v>
      </c>
      <c r="CH158" s="907" t="s">
        <v>3</v>
      </c>
      <c r="CI158" s="908">
        <v>12</v>
      </c>
      <c r="CJ158" s="909" t="s">
        <v>3</v>
      </c>
      <c r="CK158" s="910">
        <v>60</v>
      </c>
      <c r="CL158" s="909" t="s">
        <v>3</v>
      </c>
      <c r="CM158" s="910">
        <v>70</v>
      </c>
      <c r="CN158" s="907" t="s">
        <v>3</v>
      </c>
      <c r="CO158" s="908">
        <v>75</v>
      </c>
      <c r="CP158" s="907" t="s">
        <v>3</v>
      </c>
      <c r="CQ158" s="908">
        <v>50</v>
      </c>
      <c r="CR158" s="907" t="s">
        <v>3</v>
      </c>
      <c r="CS158" s="908">
        <v>103</v>
      </c>
      <c r="CT158" s="909" t="s">
        <v>3</v>
      </c>
      <c r="CU158" s="908">
        <v>105</v>
      </c>
      <c r="CV158" s="909" t="s">
        <v>3</v>
      </c>
      <c r="CW158" s="910">
        <v>200</v>
      </c>
    </row>
    <row r="159" spans="73:101" ht="24.95" hidden="1" customHeight="1">
      <c r="BV159" s="1246" t="s">
        <v>98</v>
      </c>
      <c r="BW159" s="1247">
        <v>0</v>
      </c>
      <c r="BX159" s="1095"/>
      <c r="BY159" s="1247">
        <v>40</v>
      </c>
      <c r="BZ159" s="1095"/>
      <c r="CA159" s="1247">
        <v>49</v>
      </c>
      <c r="CB159" s="1095"/>
      <c r="CC159" s="1247">
        <v>107</v>
      </c>
      <c r="CD159" s="1095"/>
      <c r="CE159" s="1248">
        <v>129</v>
      </c>
      <c r="CF159" s="1095"/>
      <c r="CG159" s="1248">
        <v>10</v>
      </c>
      <c r="CH159" s="1095"/>
      <c r="CI159" s="1248">
        <v>12</v>
      </c>
      <c r="CJ159" s="1095"/>
      <c r="CK159" s="1248">
        <v>60</v>
      </c>
      <c r="CL159" s="1095"/>
      <c r="CM159" s="1248">
        <v>70</v>
      </c>
      <c r="CN159" s="1095"/>
      <c r="CO159" s="1248">
        <v>75</v>
      </c>
      <c r="CP159" s="1095"/>
      <c r="CQ159" s="1248">
        <v>50</v>
      </c>
      <c r="CR159" s="1095"/>
      <c r="CS159" s="1248">
        <v>103</v>
      </c>
      <c r="CT159" s="1095"/>
      <c r="CU159" s="1248">
        <v>105</v>
      </c>
      <c r="CV159" s="1095"/>
      <c r="CW159" s="1248">
        <v>200</v>
      </c>
    </row>
    <row r="160" spans="73:101" hidden="1"/>
    <row r="161" spans="104:138" ht="20.100000000000001" hidden="1" customHeight="1">
      <c r="CZ161" s="1092">
        <v>1</v>
      </c>
      <c r="DA161" s="1092">
        <v>2</v>
      </c>
      <c r="DB161" s="1092">
        <v>3</v>
      </c>
      <c r="DC161" s="1092">
        <v>4</v>
      </c>
      <c r="DD161" s="1092">
        <v>5</v>
      </c>
      <c r="DE161" s="1092">
        <v>6</v>
      </c>
      <c r="DF161" s="1092">
        <v>7</v>
      </c>
      <c r="DG161" s="1092">
        <v>8</v>
      </c>
      <c r="DH161" s="1092">
        <v>9</v>
      </c>
      <c r="DI161" s="1092">
        <v>10</v>
      </c>
      <c r="DJ161" s="1092">
        <v>11</v>
      </c>
      <c r="DK161" s="1092">
        <v>12</v>
      </c>
      <c r="DL161" s="1092">
        <v>13</v>
      </c>
      <c r="DM161" s="1092">
        <v>14</v>
      </c>
      <c r="DN161" s="1092">
        <v>15</v>
      </c>
      <c r="DO161" s="1092">
        <v>16</v>
      </c>
      <c r="DP161" s="1092">
        <v>17</v>
      </c>
      <c r="DQ161" s="1092">
        <v>18</v>
      </c>
      <c r="DR161" s="1092">
        <v>19</v>
      </c>
      <c r="DS161" s="1092">
        <v>20</v>
      </c>
      <c r="DT161" s="1092">
        <v>21</v>
      </c>
      <c r="DU161" s="1092">
        <v>22</v>
      </c>
      <c r="DV161" s="1092">
        <v>23</v>
      </c>
      <c r="DW161" s="1092">
        <v>24</v>
      </c>
      <c r="DX161" s="1092">
        <v>25</v>
      </c>
      <c r="DY161" s="1092">
        <v>26</v>
      </c>
      <c r="DZ161" s="1092">
        <v>27</v>
      </c>
      <c r="EA161" s="1092">
        <v>28</v>
      </c>
      <c r="EB161" s="1092">
        <v>29</v>
      </c>
      <c r="EC161" s="1092">
        <v>30</v>
      </c>
      <c r="ED161" s="1092">
        <v>31</v>
      </c>
      <c r="EE161" s="1092">
        <v>32</v>
      </c>
      <c r="EF161" s="1092">
        <v>33</v>
      </c>
      <c r="EG161" s="1092">
        <v>34</v>
      </c>
      <c r="EH161" s="1092">
        <v>35</v>
      </c>
    </row>
    <row r="162" spans="104:138" ht="20.100000000000001" hidden="1" customHeight="1">
      <c r="CZ162" s="1150" t="s">
        <v>261</v>
      </c>
      <c r="DA162" s="1150" t="s">
        <v>261</v>
      </c>
    </row>
    <row r="163" spans="104:138" ht="9.9499999999999993" hidden="1" customHeight="1" thickBot="1"/>
    <row r="164" spans="104:138" ht="30" hidden="1" customHeight="1">
      <c r="CZ164" s="1227"/>
      <c r="DA164" s="1457" t="s">
        <v>18</v>
      </c>
      <c r="DB164" s="1473"/>
      <c r="DC164" s="1456" t="s">
        <v>63</v>
      </c>
      <c r="DD164" s="1458"/>
      <c r="DE164" s="1456" t="s">
        <v>64</v>
      </c>
      <c r="DF164" s="1458"/>
      <c r="DG164" s="1456" t="s">
        <v>258</v>
      </c>
      <c r="DH164" s="1458"/>
      <c r="DI164" s="1456" t="s">
        <v>66</v>
      </c>
      <c r="DJ164" s="1458"/>
      <c r="DK164" s="1456" t="s">
        <v>67</v>
      </c>
      <c r="DL164" s="1458"/>
      <c r="DM164" s="1456" t="s">
        <v>68</v>
      </c>
      <c r="DN164" s="1458"/>
      <c r="DO164" s="1456" t="s">
        <v>69</v>
      </c>
      <c r="DP164" s="1458"/>
      <c r="DQ164" s="1456" t="s">
        <v>70</v>
      </c>
      <c r="DR164" s="1458"/>
      <c r="DS164" s="1456" t="s">
        <v>73</v>
      </c>
      <c r="DT164" s="1458"/>
      <c r="DU164" s="1276" t="s">
        <v>74</v>
      </c>
      <c r="DV164" s="1278"/>
      <c r="DW164" s="1276" t="s">
        <v>259</v>
      </c>
      <c r="DX164" s="1278"/>
      <c r="DY164" s="1276" t="s">
        <v>100</v>
      </c>
      <c r="DZ164" s="1278"/>
      <c r="EA164" s="1276" t="s">
        <v>76</v>
      </c>
      <c r="EB164" s="1278"/>
      <c r="EC164" s="1276" t="s">
        <v>77</v>
      </c>
      <c r="ED164" s="1278"/>
      <c r="EE164" s="1276" t="s">
        <v>78</v>
      </c>
      <c r="EF164" s="1278"/>
      <c r="EG164" s="1276" t="s">
        <v>79</v>
      </c>
      <c r="EH164" s="1278"/>
    </row>
    <row r="165" spans="104:138" ht="99.95" hidden="1" customHeight="1">
      <c r="CZ165" s="1168"/>
      <c r="DA165" s="920" t="s">
        <v>244</v>
      </c>
      <c r="DB165" s="911" t="s">
        <v>243</v>
      </c>
      <c r="DC165" s="902" t="s">
        <v>244</v>
      </c>
      <c r="DD165" s="911" t="s">
        <v>243</v>
      </c>
      <c r="DE165" s="897" t="s">
        <v>244</v>
      </c>
      <c r="DF165" s="911" t="s">
        <v>243</v>
      </c>
      <c r="DG165" s="902" t="s">
        <v>244</v>
      </c>
      <c r="DH165" s="911" t="s">
        <v>243</v>
      </c>
      <c r="DI165" s="897" t="s">
        <v>244</v>
      </c>
      <c r="DJ165" s="901" t="s">
        <v>262</v>
      </c>
      <c r="DK165" s="902" t="s">
        <v>244</v>
      </c>
      <c r="DL165" s="911" t="s">
        <v>243</v>
      </c>
      <c r="DM165" s="897" t="s">
        <v>244</v>
      </c>
      <c r="DN165" s="901" t="s">
        <v>262</v>
      </c>
      <c r="DO165" s="897" t="s">
        <v>244</v>
      </c>
      <c r="DP165" s="911" t="s">
        <v>243</v>
      </c>
      <c r="DQ165" s="902" t="s">
        <v>244</v>
      </c>
      <c r="DR165" s="899" t="s">
        <v>262</v>
      </c>
      <c r="DS165" s="902" t="s">
        <v>244</v>
      </c>
      <c r="DT165" s="911" t="s">
        <v>243</v>
      </c>
      <c r="DU165" s="897" t="s">
        <v>244</v>
      </c>
      <c r="DV165" s="911" t="s">
        <v>243</v>
      </c>
      <c r="DW165" s="902" t="s">
        <v>244</v>
      </c>
      <c r="DX165" s="911" t="s">
        <v>243</v>
      </c>
      <c r="DY165" s="897" t="s">
        <v>244</v>
      </c>
      <c r="DZ165" s="911" t="s">
        <v>243</v>
      </c>
      <c r="EA165" s="902" t="s">
        <v>244</v>
      </c>
      <c r="EB165" s="911" t="s">
        <v>243</v>
      </c>
      <c r="EC165" s="897" t="s">
        <v>244</v>
      </c>
      <c r="ED165" s="911" t="s">
        <v>243</v>
      </c>
      <c r="EE165" s="902" t="s">
        <v>244</v>
      </c>
      <c r="EF165" s="911" t="s">
        <v>243</v>
      </c>
      <c r="EG165" s="902" t="s">
        <v>244</v>
      </c>
      <c r="EH165" s="911" t="s">
        <v>243</v>
      </c>
    </row>
    <row r="166" spans="104:138" ht="21.95" hidden="1" customHeight="1">
      <c r="CZ166" s="1168"/>
      <c r="DA166" s="1"/>
      <c r="DB166" s="903" t="s">
        <v>27</v>
      </c>
      <c r="DC166" s="904"/>
      <c r="DD166" s="900" t="s">
        <v>27</v>
      </c>
      <c r="DE166" s="898"/>
      <c r="DF166" s="903" t="s">
        <v>27</v>
      </c>
      <c r="DG166" s="904"/>
      <c r="DH166" s="900" t="s">
        <v>27</v>
      </c>
      <c r="DI166" s="898"/>
      <c r="DJ166" s="903" t="s">
        <v>27</v>
      </c>
      <c r="DK166" s="904"/>
      <c r="DL166" s="900" t="s">
        <v>27</v>
      </c>
      <c r="DM166" s="898"/>
      <c r="DN166" s="903" t="s">
        <v>27</v>
      </c>
      <c r="DO166" s="898"/>
      <c r="DP166" s="903" t="s">
        <v>27</v>
      </c>
      <c r="DQ166" s="904"/>
      <c r="DR166" s="900" t="s">
        <v>27</v>
      </c>
      <c r="DS166" s="904"/>
      <c r="DT166" s="900" t="s">
        <v>27</v>
      </c>
      <c r="DU166" s="898"/>
      <c r="DV166" s="903" t="s">
        <v>27</v>
      </c>
      <c r="DW166" s="904"/>
      <c r="DX166" s="900" t="s">
        <v>27</v>
      </c>
      <c r="DY166" s="898"/>
      <c r="DZ166" s="903" t="s">
        <v>27</v>
      </c>
      <c r="EA166" s="904"/>
      <c r="EB166" s="900" t="s">
        <v>27</v>
      </c>
      <c r="EC166" s="898"/>
      <c r="ED166" s="903" t="s">
        <v>27</v>
      </c>
      <c r="EE166" s="904"/>
      <c r="EF166" s="903" t="s">
        <v>27</v>
      </c>
      <c r="EG166" s="904"/>
      <c r="EH166" s="900" t="s">
        <v>27</v>
      </c>
    </row>
    <row r="167" spans="104:138" ht="24.95" hidden="1" customHeight="1" thickBot="1">
      <c r="CZ167" s="1168"/>
      <c r="DA167" s="921">
        <v>1</v>
      </c>
      <c r="DB167" s="905">
        <v>2</v>
      </c>
      <c r="DC167" s="921">
        <v>3</v>
      </c>
      <c r="DD167" s="905">
        <v>4</v>
      </c>
      <c r="DE167" s="921">
        <v>5</v>
      </c>
      <c r="DF167" s="905">
        <v>6</v>
      </c>
      <c r="DG167" s="921">
        <v>7</v>
      </c>
      <c r="DH167" s="905">
        <v>8</v>
      </c>
      <c r="DI167" s="921">
        <v>9</v>
      </c>
      <c r="DJ167" s="905">
        <v>10</v>
      </c>
      <c r="DK167" s="921">
        <v>11</v>
      </c>
      <c r="DL167" s="905">
        <v>12</v>
      </c>
      <c r="DM167" s="921">
        <v>13</v>
      </c>
      <c r="DN167" s="905">
        <v>14</v>
      </c>
      <c r="DO167" s="921">
        <v>15</v>
      </c>
      <c r="DP167" s="905">
        <v>16</v>
      </c>
      <c r="DQ167" s="921">
        <v>17</v>
      </c>
      <c r="DR167" s="905">
        <v>18</v>
      </c>
      <c r="DS167" s="921">
        <v>19</v>
      </c>
      <c r="DT167" s="905">
        <v>20</v>
      </c>
      <c r="DU167" s="921">
        <v>21</v>
      </c>
      <c r="DV167" s="905">
        <v>22</v>
      </c>
      <c r="DW167" s="921">
        <v>23</v>
      </c>
      <c r="DX167" s="905">
        <v>24</v>
      </c>
      <c r="DY167" s="921">
        <v>25</v>
      </c>
      <c r="DZ167" s="905">
        <v>26</v>
      </c>
      <c r="EA167" s="921">
        <v>27</v>
      </c>
      <c r="EB167" s="905">
        <v>28</v>
      </c>
      <c r="EC167" s="921">
        <v>29</v>
      </c>
      <c r="ED167" s="905">
        <v>30</v>
      </c>
      <c r="EE167" s="921">
        <v>31</v>
      </c>
      <c r="EF167" s="905">
        <v>32</v>
      </c>
      <c r="EG167" s="921">
        <v>33</v>
      </c>
      <c r="EH167" s="905">
        <v>34</v>
      </c>
    </row>
    <row r="168" spans="104:138" ht="24.95" hidden="1" customHeight="1">
      <c r="CZ168" s="1249">
        <v>1</v>
      </c>
      <c r="DA168" s="1236" t="s">
        <v>377</v>
      </c>
      <c r="DB168" s="1237">
        <v>4.71</v>
      </c>
      <c r="DC168" s="1238" t="s">
        <v>378</v>
      </c>
      <c r="DD168" s="1239">
        <v>7.3</v>
      </c>
      <c r="DE168" s="1240" t="s">
        <v>379</v>
      </c>
      <c r="DF168" s="1237">
        <v>7</v>
      </c>
      <c r="DG168" s="1238" t="s">
        <v>380</v>
      </c>
      <c r="DH168" s="1239">
        <v>1</v>
      </c>
      <c r="DI168" s="1240" t="s">
        <v>381</v>
      </c>
      <c r="DJ168" s="1237">
        <v>22.5</v>
      </c>
      <c r="DK168" s="1238" t="s">
        <v>382</v>
      </c>
      <c r="DL168" s="1239">
        <v>1</v>
      </c>
      <c r="DM168" s="1240" t="s">
        <v>383</v>
      </c>
      <c r="DN168" s="1237">
        <v>2</v>
      </c>
      <c r="DO168" s="1240" t="s">
        <v>384</v>
      </c>
      <c r="DP168" s="1237">
        <v>5</v>
      </c>
      <c r="DQ168" s="1238" t="s">
        <v>385</v>
      </c>
      <c r="DR168" s="1239">
        <v>12</v>
      </c>
      <c r="DS168" s="1238" t="s">
        <v>386</v>
      </c>
      <c r="DT168" s="1239">
        <v>11</v>
      </c>
      <c r="DU168" s="1240" t="s">
        <v>387</v>
      </c>
      <c r="DV168" s="1237">
        <v>17</v>
      </c>
      <c r="DW168" s="1238" t="s">
        <v>388</v>
      </c>
      <c r="DX168" s="1239">
        <v>1.6666666666666667</v>
      </c>
      <c r="DY168" s="1240">
        <v>0</v>
      </c>
      <c r="DZ168" s="1237">
        <v>0</v>
      </c>
      <c r="EA168" s="1238" t="s">
        <v>389</v>
      </c>
      <c r="EB168" s="1239">
        <v>5</v>
      </c>
      <c r="EC168" s="1240" t="s">
        <v>390</v>
      </c>
      <c r="ED168" s="1237">
        <v>3</v>
      </c>
      <c r="EE168" s="1238" t="s">
        <v>391</v>
      </c>
      <c r="EF168" s="1237">
        <v>19</v>
      </c>
      <c r="EG168" s="1238" t="s">
        <v>392</v>
      </c>
      <c r="EH168" s="1239">
        <v>6.75</v>
      </c>
    </row>
    <row r="169" spans="104:138" ht="24.95" hidden="1" customHeight="1">
      <c r="CZ169" s="1235">
        <v>2</v>
      </c>
      <c r="DA169" s="1236" t="s">
        <v>393</v>
      </c>
      <c r="DB169" s="1237">
        <v>6</v>
      </c>
      <c r="DC169" s="1238">
        <v>0</v>
      </c>
      <c r="DD169" s="1239">
        <v>0</v>
      </c>
      <c r="DE169" s="1240" t="s">
        <v>394</v>
      </c>
      <c r="DF169" s="1237">
        <v>4</v>
      </c>
      <c r="DG169" s="1238" t="s">
        <v>395</v>
      </c>
      <c r="DH169" s="1239">
        <v>4</v>
      </c>
      <c r="DI169" s="1240" t="s">
        <v>396</v>
      </c>
      <c r="DJ169" s="1237">
        <v>25.5</v>
      </c>
      <c r="DK169" s="1238" t="s">
        <v>397</v>
      </c>
      <c r="DL169" s="1239">
        <v>3</v>
      </c>
      <c r="DM169" s="1240" t="s">
        <v>398</v>
      </c>
      <c r="DN169" s="1237">
        <v>4</v>
      </c>
      <c r="DO169" s="1240" t="s">
        <v>399</v>
      </c>
      <c r="DP169" s="1237">
        <v>5</v>
      </c>
      <c r="DQ169" s="1238" t="s">
        <v>400</v>
      </c>
      <c r="DR169" s="1239">
        <v>14</v>
      </c>
      <c r="DS169" s="1238" t="s">
        <v>401</v>
      </c>
      <c r="DT169" s="1239">
        <v>16</v>
      </c>
      <c r="DU169" s="1240" t="s">
        <v>402</v>
      </c>
      <c r="DV169" s="1237">
        <v>15</v>
      </c>
      <c r="DW169" s="1238" t="s">
        <v>403</v>
      </c>
      <c r="DX169" s="1239">
        <v>0.33</v>
      </c>
      <c r="DY169" s="1240">
        <v>0</v>
      </c>
      <c r="DZ169" s="1237">
        <v>0</v>
      </c>
      <c r="EA169" s="1238" t="s">
        <v>404</v>
      </c>
      <c r="EB169" s="1239">
        <v>7</v>
      </c>
      <c r="EC169" s="1240" t="s">
        <v>405</v>
      </c>
      <c r="ED169" s="1237">
        <v>4</v>
      </c>
      <c r="EE169" s="1238" t="s">
        <v>406</v>
      </c>
      <c r="EF169" s="1237">
        <v>8</v>
      </c>
      <c r="EG169" s="1238" t="s">
        <v>407</v>
      </c>
      <c r="EH169" s="1239">
        <v>1.4166666666666665</v>
      </c>
    </row>
    <row r="170" spans="104:138" ht="24.95" hidden="1" customHeight="1">
      <c r="CZ170" s="1235">
        <v>3</v>
      </c>
      <c r="DA170" s="1236" t="s">
        <v>408</v>
      </c>
      <c r="DB170" s="1237">
        <v>3</v>
      </c>
      <c r="DC170" s="1238">
        <v>0</v>
      </c>
      <c r="DD170" s="1239">
        <v>0</v>
      </c>
      <c r="DE170" s="1240" t="s">
        <v>409</v>
      </c>
      <c r="DF170" s="1237">
        <v>6</v>
      </c>
      <c r="DG170" s="1238" t="s">
        <v>410</v>
      </c>
      <c r="DH170" s="1239">
        <v>0.66800000000000004</v>
      </c>
      <c r="DI170" s="1240" t="s">
        <v>411</v>
      </c>
      <c r="DJ170" s="1237">
        <v>19.7</v>
      </c>
      <c r="DK170" s="1238" t="s">
        <v>412</v>
      </c>
      <c r="DL170" s="1239">
        <v>2</v>
      </c>
      <c r="DM170" s="1240" t="s">
        <v>413</v>
      </c>
      <c r="DN170" s="1237">
        <v>5</v>
      </c>
      <c r="DO170" s="1240" t="s">
        <v>414</v>
      </c>
      <c r="DP170" s="1237">
        <v>2</v>
      </c>
      <c r="DQ170" s="1238" t="s">
        <v>415</v>
      </c>
      <c r="DR170" s="1239">
        <v>4</v>
      </c>
      <c r="DS170" s="1238">
        <v>0</v>
      </c>
      <c r="DT170" s="1239">
        <v>0</v>
      </c>
      <c r="DU170" s="1240" t="s">
        <v>416</v>
      </c>
      <c r="DV170" s="1237">
        <v>9</v>
      </c>
      <c r="DW170" s="1238" t="s">
        <v>417</v>
      </c>
      <c r="DX170" s="1239">
        <v>19.666666666666668</v>
      </c>
      <c r="DY170" s="1240">
        <v>0</v>
      </c>
      <c r="DZ170" s="1237">
        <v>0</v>
      </c>
      <c r="EA170" s="1238" t="s">
        <v>418</v>
      </c>
      <c r="EB170" s="1239">
        <v>6</v>
      </c>
      <c r="EC170" s="1240" t="s">
        <v>419</v>
      </c>
      <c r="ED170" s="1237">
        <v>5</v>
      </c>
      <c r="EE170" s="1238" t="s">
        <v>420</v>
      </c>
      <c r="EF170" s="1237">
        <v>9.5</v>
      </c>
      <c r="EG170" s="1238" t="s">
        <v>421</v>
      </c>
      <c r="EH170" s="1239">
        <v>8</v>
      </c>
    </row>
    <row r="171" spans="104:138" ht="24.95" hidden="1" customHeight="1">
      <c r="CZ171" s="1235">
        <v>4</v>
      </c>
      <c r="DA171" s="1236" t="s">
        <v>422</v>
      </c>
      <c r="DB171" s="1237">
        <v>19.420000000000002</v>
      </c>
      <c r="DC171" s="1238">
        <v>0</v>
      </c>
      <c r="DD171" s="1239">
        <v>0</v>
      </c>
      <c r="DE171" s="1240" t="s">
        <v>423</v>
      </c>
      <c r="DF171" s="1237">
        <v>5</v>
      </c>
      <c r="DG171" s="1238" t="s">
        <v>424</v>
      </c>
      <c r="DH171" s="1239">
        <v>2</v>
      </c>
      <c r="DI171" s="1240" t="s">
        <v>425</v>
      </c>
      <c r="DJ171" s="1237">
        <v>20.5</v>
      </c>
      <c r="DK171" s="1238" t="s">
        <v>426</v>
      </c>
      <c r="DL171" s="1239">
        <v>11</v>
      </c>
      <c r="DM171" s="1240" t="s">
        <v>427</v>
      </c>
      <c r="DN171" s="1237">
        <v>1</v>
      </c>
      <c r="DO171" s="1240" t="s">
        <v>428</v>
      </c>
      <c r="DP171" s="1237">
        <v>1</v>
      </c>
      <c r="DQ171" s="1238" t="s">
        <v>429</v>
      </c>
      <c r="DR171" s="1239">
        <v>14</v>
      </c>
      <c r="DS171" s="1238">
        <v>0</v>
      </c>
      <c r="DT171" s="1239">
        <v>0</v>
      </c>
      <c r="DU171" s="1240">
        <v>0</v>
      </c>
      <c r="DV171" s="1237">
        <v>0</v>
      </c>
      <c r="DW171" s="1238">
        <v>0</v>
      </c>
      <c r="DX171" s="1239">
        <v>0</v>
      </c>
      <c r="DY171" s="1240">
        <v>0</v>
      </c>
      <c r="DZ171" s="1237">
        <v>0</v>
      </c>
      <c r="EA171" s="1238" t="s">
        <v>430</v>
      </c>
      <c r="EB171" s="1239">
        <v>3</v>
      </c>
      <c r="EC171" s="1240" t="s">
        <v>431</v>
      </c>
      <c r="ED171" s="1237">
        <v>11</v>
      </c>
      <c r="EE171" s="1238" t="s">
        <v>432</v>
      </c>
      <c r="EF171" s="1237">
        <v>1</v>
      </c>
      <c r="EG171" s="1238" t="s">
        <v>433</v>
      </c>
      <c r="EH171" s="1239">
        <v>8.3333333333333329E-2</v>
      </c>
    </row>
    <row r="172" spans="104:138" ht="24.95" hidden="1" customHeight="1">
      <c r="CZ172" s="1235">
        <v>5</v>
      </c>
      <c r="DA172" s="1236" t="s">
        <v>434</v>
      </c>
      <c r="DB172" s="1237">
        <v>5</v>
      </c>
      <c r="DC172" s="1238">
        <v>0</v>
      </c>
      <c r="DD172" s="1239">
        <v>0</v>
      </c>
      <c r="DE172" s="1240" t="s">
        <v>435</v>
      </c>
      <c r="DF172" s="1237">
        <v>9</v>
      </c>
      <c r="DG172" s="1238" t="s">
        <v>436</v>
      </c>
      <c r="DH172" s="1239">
        <v>2</v>
      </c>
      <c r="DI172" s="1240">
        <v>0</v>
      </c>
      <c r="DJ172" s="1237">
        <v>0</v>
      </c>
      <c r="DK172" s="1238" t="s">
        <v>437</v>
      </c>
      <c r="DL172" s="1239">
        <v>7</v>
      </c>
      <c r="DM172" s="1240" t="s">
        <v>438</v>
      </c>
      <c r="DN172" s="1237">
        <v>5</v>
      </c>
      <c r="DO172" s="1240" t="s">
        <v>439</v>
      </c>
      <c r="DP172" s="1237">
        <v>1</v>
      </c>
      <c r="DQ172" s="1238" t="s">
        <v>440</v>
      </c>
      <c r="DR172" s="1239">
        <v>10</v>
      </c>
      <c r="DS172" s="1238">
        <v>0</v>
      </c>
      <c r="DT172" s="1239">
        <v>0</v>
      </c>
      <c r="DU172" s="1240">
        <v>0</v>
      </c>
      <c r="DV172" s="1237">
        <v>0</v>
      </c>
      <c r="DW172" s="1238">
        <v>0</v>
      </c>
      <c r="DX172" s="1239">
        <v>0</v>
      </c>
      <c r="DY172" s="1240">
        <v>0</v>
      </c>
      <c r="DZ172" s="1237">
        <v>0</v>
      </c>
      <c r="EA172" s="1238" t="s">
        <v>441</v>
      </c>
      <c r="EB172" s="1239">
        <v>5</v>
      </c>
      <c r="EC172" s="1240" t="s">
        <v>442</v>
      </c>
      <c r="ED172" s="1237">
        <v>10</v>
      </c>
      <c r="EE172" s="1238" t="s">
        <v>443</v>
      </c>
      <c r="EF172" s="1237">
        <v>11</v>
      </c>
      <c r="EG172" s="1238">
        <v>0</v>
      </c>
      <c r="EH172" s="1239">
        <v>0</v>
      </c>
    </row>
    <row r="173" spans="104:138" ht="24.95" hidden="1" customHeight="1">
      <c r="CZ173" s="1235">
        <v>6</v>
      </c>
      <c r="DA173" s="1236">
        <v>0</v>
      </c>
      <c r="DB173" s="1237">
        <v>0</v>
      </c>
      <c r="DC173" s="1238">
        <v>0</v>
      </c>
      <c r="DD173" s="1239">
        <v>0</v>
      </c>
      <c r="DE173" s="1240" t="s">
        <v>444</v>
      </c>
      <c r="DF173" s="1237">
        <v>2</v>
      </c>
      <c r="DG173" s="1238" t="s">
        <v>445</v>
      </c>
      <c r="DH173" s="1239">
        <v>3</v>
      </c>
      <c r="DI173" s="1240">
        <v>0</v>
      </c>
      <c r="DJ173" s="1237">
        <v>0</v>
      </c>
      <c r="DK173" s="1238" t="s">
        <v>446</v>
      </c>
      <c r="DL173" s="1239">
        <v>11</v>
      </c>
      <c r="DM173" s="1240" t="s">
        <v>447</v>
      </c>
      <c r="DN173" s="1237">
        <v>3</v>
      </c>
      <c r="DO173" s="1240" t="s">
        <v>448</v>
      </c>
      <c r="DP173" s="1237">
        <v>3</v>
      </c>
      <c r="DQ173" s="1238" t="s">
        <v>449</v>
      </c>
      <c r="DR173" s="1239">
        <v>7</v>
      </c>
      <c r="DS173" s="1238">
        <v>0</v>
      </c>
      <c r="DT173" s="1239">
        <v>0</v>
      </c>
      <c r="DU173" s="1240">
        <v>0</v>
      </c>
      <c r="DV173" s="1237">
        <v>0</v>
      </c>
      <c r="DW173" s="1238">
        <v>0</v>
      </c>
      <c r="DX173" s="1239">
        <v>0</v>
      </c>
      <c r="DY173" s="1240">
        <v>0</v>
      </c>
      <c r="DZ173" s="1237">
        <v>0</v>
      </c>
      <c r="EA173" s="1238" t="s">
        <v>450</v>
      </c>
      <c r="EB173" s="1239">
        <v>1</v>
      </c>
      <c r="EC173" s="1240" t="s">
        <v>451</v>
      </c>
      <c r="ED173" s="1237">
        <v>4</v>
      </c>
      <c r="EE173" s="1238" t="s">
        <v>452</v>
      </c>
      <c r="EF173" s="1237">
        <v>12</v>
      </c>
      <c r="EG173" s="1238">
        <v>0</v>
      </c>
      <c r="EH173" s="1239">
        <v>0</v>
      </c>
    </row>
    <row r="174" spans="104:138" ht="24.95" hidden="1" customHeight="1">
      <c r="CZ174" s="1235">
        <v>7</v>
      </c>
      <c r="DA174" s="1236">
        <v>0</v>
      </c>
      <c r="DB174" s="1237">
        <v>0</v>
      </c>
      <c r="DC174" s="1238">
        <v>0</v>
      </c>
      <c r="DD174" s="1239">
        <v>0</v>
      </c>
      <c r="DE174" s="1240" t="s">
        <v>453</v>
      </c>
      <c r="DF174" s="1237">
        <v>11</v>
      </c>
      <c r="DG174" s="1238" t="s">
        <v>454</v>
      </c>
      <c r="DH174" s="1239">
        <v>2</v>
      </c>
      <c r="DI174" s="1240">
        <v>0</v>
      </c>
      <c r="DJ174" s="1237">
        <v>0</v>
      </c>
      <c r="DK174" s="1238" t="s">
        <v>455</v>
      </c>
      <c r="DL174" s="1239">
        <v>1</v>
      </c>
      <c r="DM174" s="1240" t="s">
        <v>456</v>
      </c>
      <c r="DN174" s="1237">
        <v>5</v>
      </c>
      <c r="DO174" s="1240" t="s">
        <v>457</v>
      </c>
      <c r="DP174" s="1237">
        <v>4</v>
      </c>
      <c r="DQ174" s="1238" t="s">
        <v>458</v>
      </c>
      <c r="DR174" s="1239">
        <v>9</v>
      </c>
      <c r="DS174" s="1238">
        <v>0</v>
      </c>
      <c r="DT174" s="1239">
        <v>0</v>
      </c>
      <c r="DU174" s="1240">
        <v>0</v>
      </c>
      <c r="DV174" s="1237">
        <v>0</v>
      </c>
      <c r="DW174" s="1238">
        <v>0</v>
      </c>
      <c r="DX174" s="1239">
        <v>0</v>
      </c>
      <c r="DY174" s="1240">
        <v>0</v>
      </c>
      <c r="DZ174" s="1237">
        <v>0</v>
      </c>
      <c r="EA174" s="1238">
        <v>0</v>
      </c>
      <c r="EB174" s="1239">
        <v>0</v>
      </c>
      <c r="EC174" s="1240" t="s">
        <v>459</v>
      </c>
      <c r="ED174" s="1237">
        <v>5</v>
      </c>
      <c r="EE174" s="1238" t="s">
        <v>460</v>
      </c>
      <c r="EF174" s="1237">
        <v>4</v>
      </c>
      <c r="EG174" s="1238">
        <v>0</v>
      </c>
      <c r="EH174" s="1239">
        <v>0</v>
      </c>
    </row>
    <row r="175" spans="104:138" ht="24.95" hidden="1" customHeight="1">
      <c r="CZ175" s="1235">
        <v>8</v>
      </c>
      <c r="DA175" s="1236">
        <v>0</v>
      </c>
      <c r="DB175" s="1237">
        <v>0</v>
      </c>
      <c r="DC175" s="1238">
        <v>0</v>
      </c>
      <c r="DD175" s="1239">
        <v>0</v>
      </c>
      <c r="DE175" s="1240" t="s">
        <v>461</v>
      </c>
      <c r="DF175" s="1237">
        <v>3</v>
      </c>
      <c r="DG175" s="1238" t="s">
        <v>462</v>
      </c>
      <c r="DH175" s="1239">
        <v>3</v>
      </c>
      <c r="DI175" s="1240">
        <v>0</v>
      </c>
      <c r="DJ175" s="1237">
        <v>0</v>
      </c>
      <c r="DK175" s="1238" t="s">
        <v>463</v>
      </c>
      <c r="DL175" s="1239">
        <v>0</v>
      </c>
      <c r="DM175" s="1240" t="s">
        <v>464</v>
      </c>
      <c r="DN175" s="1237">
        <v>4</v>
      </c>
      <c r="DO175" s="1240" t="s">
        <v>465</v>
      </c>
      <c r="DP175" s="1237">
        <v>10</v>
      </c>
      <c r="DQ175" s="1238">
        <v>0</v>
      </c>
      <c r="DR175" s="1239">
        <v>0</v>
      </c>
      <c r="DS175" s="1238">
        <v>0</v>
      </c>
      <c r="DT175" s="1239">
        <v>0</v>
      </c>
      <c r="DU175" s="1240">
        <v>0</v>
      </c>
      <c r="DV175" s="1237">
        <v>0</v>
      </c>
      <c r="DW175" s="1238">
        <v>0</v>
      </c>
      <c r="DX175" s="1239">
        <v>0</v>
      </c>
      <c r="DY175" s="1240">
        <v>0</v>
      </c>
      <c r="DZ175" s="1237">
        <v>0</v>
      </c>
      <c r="EA175" s="1238">
        <v>0</v>
      </c>
      <c r="EB175" s="1239">
        <v>0</v>
      </c>
      <c r="EC175" s="1240">
        <v>0</v>
      </c>
      <c r="ED175" s="1237">
        <v>0</v>
      </c>
      <c r="EE175" s="1238">
        <v>0</v>
      </c>
      <c r="EF175" s="1237">
        <v>0</v>
      </c>
      <c r="EG175" s="1238">
        <v>0</v>
      </c>
      <c r="EH175" s="1239">
        <v>0</v>
      </c>
    </row>
    <row r="176" spans="104:138" ht="24.95" hidden="1" customHeight="1">
      <c r="CZ176" s="1235">
        <v>9</v>
      </c>
      <c r="DA176" s="1236">
        <v>0</v>
      </c>
      <c r="DB176" s="1237">
        <v>0</v>
      </c>
      <c r="DC176" s="1238">
        <v>0</v>
      </c>
      <c r="DD176" s="1239">
        <v>0</v>
      </c>
      <c r="DE176" s="1240" t="s">
        <v>466</v>
      </c>
      <c r="DF176" s="1237">
        <v>6</v>
      </c>
      <c r="DG176" s="1238" t="s">
        <v>467</v>
      </c>
      <c r="DH176" s="1239">
        <v>1</v>
      </c>
      <c r="DI176" s="1240">
        <v>0</v>
      </c>
      <c r="DJ176" s="1237">
        <v>0</v>
      </c>
      <c r="DK176" s="1238" t="s">
        <v>468</v>
      </c>
      <c r="DL176" s="1239">
        <v>2</v>
      </c>
      <c r="DM176" s="1240" t="s">
        <v>469</v>
      </c>
      <c r="DN176" s="1237">
        <v>5</v>
      </c>
      <c r="DO176" s="1240" t="s">
        <v>470</v>
      </c>
      <c r="DP176" s="1237">
        <v>10</v>
      </c>
      <c r="DQ176" s="1238">
        <v>0</v>
      </c>
      <c r="DR176" s="1239">
        <v>0</v>
      </c>
      <c r="DS176" s="1238">
        <v>0</v>
      </c>
      <c r="DT176" s="1239">
        <v>0</v>
      </c>
      <c r="DU176" s="1240">
        <v>0</v>
      </c>
      <c r="DV176" s="1237">
        <v>0</v>
      </c>
      <c r="DW176" s="1238">
        <v>0</v>
      </c>
      <c r="DX176" s="1239">
        <v>0</v>
      </c>
      <c r="DY176" s="1240">
        <v>0</v>
      </c>
      <c r="DZ176" s="1237">
        <v>0</v>
      </c>
      <c r="EA176" s="1238">
        <v>0</v>
      </c>
      <c r="EB176" s="1239">
        <v>0</v>
      </c>
      <c r="EC176" s="1240">
        <v>0</v>
      </c>
      <c r="ED176" s="1237">
        <v>0</v>
      </c>
      <c r="EE176" s="1238">
        <v>0</v>
      </c>
      <c r="EF176" s="1237">
        <v>0</v>
      </c>
      <c r="EG176" s="1238">
        <v>0</v>
      </c>
      <c r="EH176" s="1239">
        <v>0</v>
      </c>
    </row>
    <row r="177" spans="104:143" ht="24.95" hidden="1" customHeight="1">
      <c r="CZ177" s="1235">
        <v>10</v>
      </c>
      <c r="DA177" s="1236">
        <v>0</v>
      </c>
      <c r="DB177" s="1237">
        <v>0</v>
      </c>
      <c r="DC177" s="1238">
        <v>0</v>
      </c>
      <c r="DD177" s="1239">
        <v>0</v>
      </c>
      <c r="DE177" s="1240" t="s">
        <v>471</v>
      </c>
      <c r="DF177" s="1237">
        <v>4</v>
      </c>
      <c r="DG177" s="1238">
        <v>0</v>
      </c>
      <c r="DH177" s="1239">
        <v>0</v>
      </c>
      <c r="DI177" s="1240">
        <v>0</v>
      </c>
      <c r="DJ177" s="1237">
        <v>0</v>
      </c>
      <c r="DK177" s="1238" t="s">
        <v>472</v>
      </c>
      <c r="DL177" s="1239">
        <v>2</v>
      </c>
      <c r="DM177" s="1240">
        <v>0</v>
      </c>
      <c r="DN177" s="1237">
        <v>0</v>
      </c>
      <c r="DO177" s="1240" t="s">
        <v>473</v>
      </c>
      <c r="DP177" s="1237">
        <v>5</v>
      </c>
      <c r="DQ177" s="1238">
        <v>0</v>
      </c>
      <c r="DR177" s="1239">
        <v>0</v>
      </c>
      <c r="DS177" s="1238">
        <v>0</v>
      </c>
      <c r="DT177" s="1239">
        <v>0</v>
      </c>
      <c r="DU177" s="1240">
        <v>0</v>
      </c>
      <c r="DV177" s="1237">
        <v>0</v>
      </c>
      <c r="DW177" s="1238">
        <v>0</v>
      </c>
      <c r="DX177" s="1239">
        <v>0</v>
      </c>
      <c r="DY177" s="1240">
        <v>0</v>
      </c>
      <c r="DZ177" s="1237">
        <v>0</v>
      </c>
      <c r="EA177" s="1238">
        <v>0</v>
      </c>
      <c r="EB177" s="1239">
        <v>0</v>
      </c>
      <c r="EC177" s="1240">
        <v>0</v>
      </c>
      <c r="ED177" s="1237">
        <v>0</v>
      </c>
      <c r="EE177" s="1238">
        <v>0</v>
      </c>
      <c r="EF177" s="1237">
        <v>0</v>
      </c>
      <c r="EG177" s="1238">
        <v>0</v>
      </c>
      <c r="EH177" s="1239">
        <v>0</v>
      </c>
    </row>
    <row r="178" spans="104:143" ht="24.95" hidden="1" customHeight="1">
      <c r="CZ178" s="1235">
        <v>11</v>
      </c>
      <c r="DA178" s="1236">
        <v>0</v>
      </c>
      <c r="DB178" s="1237">
        <v>0</v>
      </c>
      <c r="DC178" s="1238">
        <v>0</v>
      </c>
      <c r="DD178" s="1239">
        <v>0</v>
      </c>
      <c r="DE178" s="1240">
        <v>0</v>
      </c>
      <c r="DF178" s="1237">
        <v>0</v>
      </c>
      <c r="DG178" s="1238">
        <v>0</v>
      </c>
      <c r="DH178" s="1239">
        <v>0</v>
      </c>
      <c r="DI178" s="1240">
        <v>0</v>
      </c>
      <c r="DJ178" s="1237">
        <v>0</v>
      </c>
      <c r="DK178" s="1238" t="s">
        <v>474</v>
      </c>
      <c r="DL178" s="1239">
        <v>1</v>
      </c>
      <c r="DM178" s="1240">
        <v>0</v>
      </c>
      <c r="DN178" s="1237">
        <v>0</v>
      </c>
      <c r="DO178" s="1240" t="s">
        <v>475</v>
      </c>
      <c r="DP178" s="1237">
        <v>17</v>
      </c>
      <c r="DQ178" s="1238">
        <v>0</v>
      </c>
      <c r="DR178" s="1239">
        <v>0</v>
      </c>
      <c r="DS178" s="1238">
        <v>0</v>
      </c>
      <c r="DT178" s="1239">
        <v>0</v>
      </c>
      <c r="DU178" s="1240">
        <v>0</v>
      </c>
      <c r="DV178" s="1237">
        <v>0</v>
      </c>
      <c r="DW178" s="1238">
        <v>0</v>
      </c>
      <c r="DX178" s="1239">
        <v>0</v>
      </c>
      <c r="DY178" s="1240">
        <v>0</v>
      </c>
      <c r="DZ178" s="1237">
        <v>0</v>
      </c>
      <c r="EA178" s="1238">
        <v>0</v>
      </c>
      <c r="EB178" s="1239">
        <v>0</v>
      </c>
      <c r="EC178" s="1240">
        <v>0</v>
      </c>
      <c r="ED178" s="1237">
        <v>0</v>
      </c>
      <c r="EE178" s="1238">
        <v>0</v>
      </c>
      <c r="EF178" s="1237">
        <v>0</v>
      </c>
      <c r="EG178" s="1238">
        <v>0</v>
      </c>
      <c r="EH178" s="1239">
        <v>0</v>
      </c>
    </row>
    <row r="179" spans="104:143" ht="24.95" hidden="1" customHeight="1">
      <c r="CZ179" s="1235">
        <v>12</v>
      </c>
      <c r="DA179" s="1236">
        <v>0</v>
      </c>
      <c r="DB179" s="1237">
        <v>0</v>
      </c>
      <c r="DC179" s="1238">
        <v>0</v>
      </c>
      <c r="DD179" s="1239">
        <v>0</v>
      </c>
      <c r="DE179" s="1240">
        <v>0</v>
      </c>
      <c r="DF179" s="1237">
        <v>0</v>
      </c>
      <c r="DG179" s="1238">
        <v>0</v>
      </c>
      <c r="DH179" s="1239">
        <v>0</v>
      </c>
      <c r="DI179" s="1240">
        <v>0</v>
      </c>
      <c r="DJ179" s="1237">
        <v>0</v>
      </c>
      <c r="DK179" s="1238" t="s">
        <v>476</v>
      </c>
      <c r="DL179" s="1239">
        <v>2</v>
      </c>
      <c r="DM179" s="1240">
        <v>0</v>
      </c>
      <c r="DN179" s="1237">
        <v>0</v>
      </c>
      <c r="DO179" s="1240" t="s">
        <v>477</v>
      </c>
      <c r="DP179" s="1237">
        <v>3</v>
      </c>
      <c r="DQ179" s="1238">
        <v>0</v>
      </c>
      <c r="DR179" s="1239">
        <v>0</v>
      </c>
      <c r="DS179" s="1238">
        <v>0</v>
      </c>
      <c r="DT179" s="1239">
        <v>0</v>
      </c>
      <c r="DU179" s="1240">
        <v>0</v>
      </c>
      <c r="DV179" s="1237">
        <v>0</v>
      </c>
      <c r="DW179" s="1238">
        <v>0</v>
      </c>
      <c r="DX179" s="1239">
        <v>0</v>
      </c>
      <c r="DY179" s="1240">
        <v>0</v>
      </c>
      <c r="DZ179" s="1237">
        <v>0</v>
      </c>
      <c r="EA179" s="1238">
        <v>0</v>
      </c>
      <c r="EB179" s="1239">
        <v>0</v>
      </c>
      <c r="EC179" s="1240">
        <v>0</v>
      </c>
      <c r="ED179" s="1237">
        <v>0</v>
      </c>
      <c r="EE179" s="1238">
        <v>0</v>
      </c>
      <c r="EF179" s="1237">
        <v>0</v>
      </c>
      <c r="EG179" s="1238">
        <v>0</v>
      </c>
      <c r="EH179" s="1239">
        <v>0</v>
      </c>
    </row>
    <row r="180" spans="104:143" ht="24.95" hidden="1" customHeight="1">
      <c r="CZ180" s="1235">
        <v>13</v>
      </c>
      <c r="DA180" s="1236">
        <v>0</v>
      </c>
      <c r="DB180" s="1237">
        <v>0</v>
      </c>
      <c r="DC180" s="1238">
        <v>0</v>
      </c>
      <c r="DD180" s="1239">
        <v>0</v>
      </c>
      <c r="DE180" s="1240">
        <v>0</v>
      </c>
      <c r="DF180" s="1237">
        <v>0</v>
      </c>
      <c r="DG180" s="1238">
        <v>0</v>
      </c>
      <c r="DH180" s="1239">
        <v>0</v>
      </c>
      <c r="DI180" s="1240">
        <v>0</v>
      </c>
      <c r="DJ180" s="1237">
        <v>0</v>
      </c>
      <c r="DK180" s="1238">
        <v>0</v>
      </c>
      <c r="DL180" s="1239">
        <v>0</v>
      </c>
      <c r="DM180" s="1240">
        <v>0</v>
      </c>
      <c r="DN180" s="1237">
        <v>0</v>
      </c>
      <c r="DO180" s="1240" t="s">
        <v>478</v>
      </c>
      <c r="DP180" s="1237">
        <v>3</v>
      </c>
      <c r="DQ180" s="1238">
        <v>0</v>
      </c>
      <c r="DR180" s="1239">
        <v>0</v>
      </c>
      <c r="DS180" s="1238">
        <v>0</v>
      </c>
      <c r="DT180" s="1239">
        <v>0</v>
      </c>
      <c r="DU180" s="1240">
        <v>0</v>
      </c>
      <c r="DV180" s="1237">
        <v>0</v>
      </c>
      <c r="DW180" s="1238">
        <v>0</v>
      </c>
      <c r="DX180" s="1239">
        <v>0</v>
      </c>
      <c r="DY180" s="1240">
        <v>0</v>
      </c>
      <c r="DZ180" s="1237">
        <v>0</v>
      </c>
      <c r="EA180" s="1238">
        <v>0</v>
      </c>
      <c r="EB180" s="1239">
        <v>0</v>
      </c>
      <c r="EC180" s="1240">
        <v>0</v>
      </c>
      <c r="ED180" s="1237">
        <v>0</v>
      </c>
      <c r="EE180" s="1238">
        <v>0</v>
      </c>
      <c r="EF180" s="1237">
        <v>0</v>
      </c>
      <c r="EG180" s="1238">
        <v>0</v>
      </c>
      <c r="EH180" s="1239">
        <v>0</v>
      </c>
    </row>
    <row r="181" spans="104:143" ht="24.95" hidden="1" customHeight="1">
      <c r="CZ181" s="1235">
        <v>14</v>
      </c>
      <c r="DA181" s="1236">
        <v>0</v>
      </c>
      <c r="DB181" s="1237">
        <v>0</v>
      </c>
      <c r="DC181" s="1238">
        <v>0</v>
      </c>
      <c r="DD181" s="1239">
        <v>0</v>
      </c>
      <c r="DE181" s="1240">
        <v>0</v>
      </c>
      <c r="DF181" s="1237">
        <v>0</v>
      </c>
      <c r="DG181" s="1238">
        <v>0</v>
      </c>
      <c r="DH181" s="1239">
        <v>0</v>
      </c>
      <c r="DI181" s="1240">
        <v>0</v>
      </c>
      <c r="DJ181" s="1237">
        <v>0</v>
      </c>
      <c r="DK181" s="1238">
        <v>0</v>
      </c>
      <c r="DL181" s="1239">
        <v>0</v>
      </c>
      <c r="DM181" s="1240">
        <v>0</v>
      </c>
      <c r="DN181" s="1237">
        <v>0</v>
      </c>
      <c r="DO181" s="1240" t="s">
        <v>479</v>
      </c>
      <c r="DP181" s="1237">
        <v>15</v>
      </c>
      <c r="DQ181" s="1238">
        <v>0</v>
      </c>
      <c r="DR181" s="1239">
        <v>0</v>
      </c>
      <c r="DS181" s="1238">
        <v>0</v>
      </c>
      <c r="DT181" s="1239">
        <v>0</v>
      </c>
      <c r="DU181" s="1240">
        <v>0</v>
      </c>
      <c r="DV181" s="1237">
        <v>0</v>
      </c>
      <c r="DW181" s="1238">
        <v>0</v>
      </c>
      <c r="DX181" s="1239">
        <v>0</v>
      </c>
      <c r="DY181" s="1240">
        <v>0</v>
      </c>
      <c r="DZ181" s="1237">
        <v>0</v>
      </c>
      <c r="EA181" s="1238">
        <v>0</v>
      </c>
      <c r="EB181" s="1239">
        <v>0</v>
      </c>
      <c r="EC181" s="1240">
        <v>0</v>
      </c>
      <c r="ED181" s="1237">
        <v>0</v>
      </c>
      <c r="EE181" s="1238">
        <v>0</v>
      </c>
      <c r="EF181" s="1237">
        <v>0</v>
      </c>
      <c r="EG181" s="1238">
        <v>0</v>
      </c>
      <c r="EH181" s="1239">
        <v>0</v>
      </c>
    </row>
    <row r="182" spans="104:143" ht="24.95" hidden="1" customHeight="1">
      <c r="CZ182" s="1235">
        <v>15</v>
      </c>
      <c r="DA182" s="1250">
        <v>0</v>
      </c>
      <c r="DB182" s="1245">
        <v>0</v>
      </c>
      <c r="DC182" s="1242">
        <v>0</v>
      </c>
      <c r="DD182" s="1243">
        <v>0</v>
      </c>
      <c r="DE182" s="1244">
        <v>0</v>
      </c>
      <c r="DF182" s="1245">
        <v>0</v>
      </c>
      <c r="DG182" s="1242">
        <v>0</v>
      </c>
      <c r="DH182" s="1243">
        <v>0</v>
      </c>
      <c r="DI182" s="1244">
        <v>0</v>
      </c>
      <c r="DJ182" s="1245">
        <v>0</v>
      </c>
      <c r="DK182" s="1242">
        <v>0</v>
      </c>
      <c r="DL182" s="1243">
        <v>0</v>
      </c>
      <c r="DM182" s="1244">
        <v>0</v>
      </c>
      <c r="DN182" s="1245">
        <v>0</v>
      </c>
      <c r="DO182" s="1240" t="s">
        <v>480</v>
      </c>
      <c r="DP182" s="1237">
        <v>4</v>
      </c>
      <c r="DQ182" s="1238">
        <v>0</v>
      </c>
      <c r="DR182" s="1239">
        <v>0</v>
      </c>
      <c r="DS182" s="1238">
        <v>0</v>
      </c>
      <c r="DT182" s="1239">
        <v>0</v>
      </c>
      <c r="DU182" s="1240">
        <v>0</v>
      </c>
      <c r="DV182" s="1237">
        <v>0</v>
      </c>
      <c r="DW182" s="1238">
        <v>0</v>
      </c>
      <c r="DX182" s="1239">
        <v>0</v>
      </c>
      <c r="DY182" s="1240">
        <v>0</v>
      </c>
      <c r="DZ182" s="1237">
        <v>0</v>
      </c>
      <c r="EA182" s="1238">
        <v>0</v>
      </c>
      <c r="EB182" s="1239">
        <v>0</v>
      </c>
      <c r="EC182" s="1240">
        <v>0</v>
      </c>
      <c r="ED182" s="1237">
        <v>0</v>
      </c>
      <c r="EE182" s="1238">
        <v>0</v>
      </c>
      <c r="EF182" s="1237">
        <v>0</v>
      </c>
      <c r="EG182" s="1238">
        <v>0</v>
      </c>
      <c r="EH182" s="1239">
        <v>0</v>
      </c>
    </row>
    <row r="183" spans="104:143" ht="24.95" hidden="1" customHeight="1">
      <c r="CZ183" s="1235">
        <v>16</v>
      </c>
      <c r="DA183" s="1236"/>
      <c r="DB183" s="1237"/>
      <c r="DC183" s="1238"/>
      <c r="DD183" s="1239"/>
      <c r="DE183" s="1240"/>
      <c r="DF183" s="1237"/>
      <c r="DG183" s="1238"/>
      <c r="DH183" s="1239"/>
      <c r="DI183" s="1240"/>
      <c r="DJ183" s="1237"/>
      <c r="DK183" s="1238"/>
      <c r="DL183" s="1239"/>
      <c r="DM183" s="1240"/>
      <c r="DN183" s="1237"/>
      <c r="DO183" s="1240" t="s">
        <v>481</v>
      </c>
      <c r="DP183" s="1237">
        <v>5</v>
      </c>
      <c r="DQ183" s="1238"/>
      <c r="DR183" s="1239"/>
      <c r="DS183" s="1238"/>
      <c r="DT183" s="1239"/>
      <c r="DU183" s="1240"/>
      <c r="DV183" s="1237"/>
      <c r="DW183" s="1238"/>
      <c r="DX183" s="1239"/>
      <c r="DY183" s="1240"/>
      <c r="DZ183" s="1237"/>
      <c r="EA183" s="1238"/>
      <c r="EB183" s="1239"/>
      <c r="EC183" s="1240"/>
      <c r="ED183" s="1237"/>
      <c r="EE183" s="1238"/>
      <c r="EF183" s="1237"/>
      <c r="EG183" s="1238"/>
      <c r="EH183" s="1239"/>
    </row>
    <row r="184" spans="104:143" ht="24.95" hidden="1" customHeight="1">
      <c r="CZ184" s="1235">
        <v>17</v>
      </c>
      <c r="DA184" s="1236"/>
      <c r="DB184" s="1237"/>
      <c r="DC184" s="1238"/>
      <c r="DD184" s="1239"/>
      <c r="DE184" s="1240"/>
      <c r="DF184" s="1237"/>
      <c r="DG184" s="1238"/>
      <c r="DH184" s="1239"/>
      <c r="DI184" s="1240"/>
      <c r="DJ184" s="1237"/>
      <c r="DK184" s="1238"/>
      <c r="DL184" s="1239"/>
      <c r="DM184" s="1240"/>
      <c r="DN184" s="1237"/>
      <c r="DO184" s="1240" t="s">
        <v>482</v>
      </c>
      <c r="DP184" s="1237">
        <v>12</v>
      </c>
      <c r="DQ184" s="1238"/>
      <c r="DR184" s="1239"/>
      <c r="DS184" s="1238"/>
      <c r="DT184" s="1239"/>
      <c r="DU184" s="1240"/>
      <c r="DV184" s="1237"/>
      <c r="DW184" s="1238"/>
      <c r="DX184" s="1239"/>
      <c r="DY184" s="1240"/>
      <c r="DZ184" s="1237"/>
      <c r="EA184" s="1238"/>
      <c r="EB184" s="1239"/>
      <c r="EC184" s="1240"/>
      <c r="ED184" s="1237"/>
      <c r="EE184" s="1238"/>
      <c r="EF184" s="1237"/>
      <c r="EG184" s="1238"/>
      <c r="EH184" s="1239"/>
    </row>
    <row r="185" spans="104:143" ht="24.95" hidden="1" customHeight="1">
      <c r="CZ185" s="1235">
        <v>18</v>
      </c>
      <c r="DA185" s="1236"/>
      <c r="DB185" s="1237"/>
      <c r="DC185" s="1238"/>
      <c r="DD185" s="1239"/>
      <c r="DE185" s="1240"/>
      <c r="DF185" s="1237"/>
      <c r="DG185" s="1238"/>
      <c r="DH185" s="1239"/>
      <c r="DI185" s="1240"/>
      <c r="DJ185" s="1237"/>
      <c r="DK185" s="1238"/>
      <c r="DL185" s="1239"/>
      <c r="DM185" s="1240"/>
      <c r="DN185" s="1237"/>
      <c r="DO185" s="1240" t="s">
        <v>483</v>
      </c>
      <c r="DP185" s="1237">
        <v>9</v>
      </c>
      <c r="DQ185" s="1238"/>
      <c r="DR185" s="1239"/>
      <c r="DS185" s="1238"/>
      <c r="DT185" s="1239"/>
      <c r="DU185" s="1240"/>
      <c r="DV185" s="1237"/>
      <c r="DW185" s="1238"/>
      <c r="DX185" s="1239"/>
      <c r="DY185" s="1240"/>
      <c r="DZ185" s="1237"/>
      <c r="EA185" s="1238"/>
      <c r="EB185" s="1239"/>
      <c r="EC185" s="1240"/>
      <c r="ED185" s="1237"/>
      <c r="EE185" s="1238"/>
      <c r="EF185" s="1237"/>
      <c r="EG185" s="1238"/>
      <c r="EH185" s="1239"/>
    </row>
    <row r="186" spans="104:143" ht="24.95" hidden="1" customHeight="1" thickBot="1">
      <c r="CZ186" s="1241">
        <v>19</v>
      </c>
      <c r="DA186" s="1236"/>
      <c r="DB186" s="1237"/>
      <c r="DC186" s="1238"/>
      <c r="DD186" s="1239"/>
      <c r="DE186" s="1240"/>
      <c r="DF186" s="1237"/>
      <c r="DG186" s="1238"/>
      <c r="DH186" s="1239"/>
      <c r="DI186" s="1240"/>
      <c r="DJ186" s="1237"/>
      <c r="DK186" s="1238"/>
      <c r="DL186" s="1239"/>
      <c r="DM186" s="1240"/>
      <c r="DN186" s="1237"/>
      <c r="DO186" s="1240" t="s">
        <v>484</v>
      </c>
      <c r="DP186" s="1237">
        <v>0.7</v>
      </c>
      <c r="DQ186" s="1238"/>
      <c r="DR186" s="1239"/>
      <c r="DS186" s="1238"/>
      <c r="DT186" s="1239"/>
      <c r="DU186" s="1240"/>
      <c r="DV186" s="1237"/>
      <c r="DW186" s="1238"/>
      <c r="DX186" s="1239"/>
      <c r="DY186" s="1240"/>
      <c r="DZ186" s="1237"/>
      <c r="EA186" s="1238"/>
      <c r="EB186" s="1239"/>
      <c r="EC186" s="1240"/>
      <c r="ED186" s="1237"/>
      <c r="EE186" s="1238"/>
      <c r="EF186" s="1237"/>
      <c r="EG186" s="1238"/>
      <c r="EH186" s="1239"/>
    </row>
    <row r="187" spans="104:143" ht="30" hidden="1" customHeight="1" thickBot="1">
      <c r="CZ187" s="1228"/>
      <c r="DA187" s="922" t="s">
        <v>3</v>
      </c>
      <c r="DB187" s="908">
        <v>38.130000000000003</v>
      </c>
      <c r="DC187" s="909" t="s">
        <v>3</v>
      </c>
      <c r="DD187" s="910">
        <v>7.3</v>
      </c>
      <c r="DE187" s="907" t="s">
        <v>3</v>
      </c>
      <c r="DF187" s="908">
        <v>57</v>
      </c>
      <c r="DG187" s="909" t="s">
        <v>3</v>
      </c>
      <c r="DH187" s="910">
        <v>18.667999999999999</v>
      </c>
      <c r="DI187" s="907" t="s">
        <v>3</v>
      </c>
      <c r="DJ187" s="908">
        <v>88.2</v>
      </c>
      <c r="DK187" s="909" t="s">
        <v>3</v>
      </c>
      <c r="DL187" s="910">
        <v>43</v>
      </c>
      <c r="DM187" s="907" t="s">
        <v>3</v>
      </c>
      <c r="DN187" s="908">
        <v>34</v>
      </c>
      <c r="DO187" s="907" t="s">
        <v>3</v>
      </c>
      <c r="DP187" s="908">
        <v>114.7</v>
      </c>
      <c r="DQ187" s="909" t="s">
        <v>3</v>
      </c>
      <c r="DR187" s="910">
        <v>70</v>
      </c>
      <c r="DS187" s="909" t="s">
        <v>3</v>
      </c>
      <c r="DT187" s="910">
        <v>27</v>
      </c>
      <c r="DU187" s="907" t="s">
        <v>3</v>
      </c>
      <c r="DV187" s="908">
        <v>41</v>
      </c>
      <c r="DW187" s="909" t="s">
        <v>3</v>
      </c>
      <c r="DX187" s="910">
        <v>21.663333333333334</v>
      </c>
      <c r="DY187" s="907" t="s">
        <v>3</v>
      </c>
      <c r="DZ187" s="908">
        <v>0</v>
      </c>
      <c r="EA187" s="909" t="s">
        <v>3</v>
      </c>
      <c r="EB187" s="910">
        <v>27</v>
      </c>
      <c r="EC187" s="907" t="s">
        <v>3</v>
      </c>
      <c r="ED187" s="908">
        <v>42</v>
      </c>
      <c r="EE187" s="909" t="s">
        <v>3</v>
      </c>
      <c r="EF187" s="908">
        <v>64.5</v>
      </c>
      <c r="EG187" s="909" t="s">
        <v>3</v>
      </c>
      <c r="EH187" s="910">
        <v>16.249999999999996</v>
      </c>
    </row>
    <row r="188" spans="104:143" s="1097" customFormat="1" ht="24.95" hidden="1" customHeight="1">
      <c r="DA188" s="1251" t="s">
        <v>98</v>
      </c>
      <c r="DB188" s="1252">
        <v>38.130000000000003</v>
      </c>
      <c r="DC188" s="1095"/>
      <c r="DD188" s="1252">
        <v>7.3</v>
      </c>
      <c r="DE188" s="1095"/>
      <c r="DF188" s="1252">
        <v>57</v>
      </c>
      <c r="DG188" s="1095"/>
      <c r="DH188" s="1252">
        <v>18.667999999999999</v>
      </c>
      <c r="DI188" s="1095"/>
      <c r="DJ188" s="1248">
        <v>88.2</v>
      </c>
      <c r="DK188" s="1095"/>
      <c r="DL188" s="1248">
        <v>43</v>
      </c>
      <c r="DM188" s="1095"/>
      <c r="DN188" s="1253">
        <v>34</v>
      </c>
      <c r="DO188" s="1095"/>
      <c r="DP188" s="1253">
        <v>114.7</v>
      </c>
      <c r="DQ188" s="1095"/>
      <c r="DR188" s="1253">
        <v>70</v>
      </c>
      <c r="DS188" s="1095"/>
      <c r="DT188" s="1253">
        <v>27</v>
      </c>
      <c r="DU188" s="1095"/>
      <c r="DV188" s="1253">
        <v>41</v>
      </c>
      <c r="DW188" s="1095"/>
      <c r="DX188" s="1253">
        <v>21.663333333333334</v>
      </c>
      <c r="DY188" s="1095"/>
      <c r="DZ188" s="1254">
        <v>0</v>
      </c>
      <c r="EA188" s="1095"/>
      <c r="EB188" s="1253">
        <v>27</v>
      </c>
      <c r="EC188" s="1095"/>
      <c r="ED188" s="1253">
        <v>42</v>
      </c>
      <c r="EE188" s="1095"/>
      <c r="EF188" s="1253">
        <v>64.5</v>
      </c>
      <c r="EG188" s="1095"/>
      <c r="EH188" s="1252">
        <v>16.249999999999996</v>
      </c>
    </row>
    <row r="189" spans="104:143" hidden="1"/>
    <row r="190" spans="104:143" ht="20.100000000000001" hidden="1" customHeight="1">
      <c r="EK190" s="1226">
        <v>1</v>
      </c>
      <c r="EL190" s="1226">
        <v>2</v>
      </c>
      <c r="EM190" s="1226">
        <v>3</v>
      </c>
    </row>
    <row r="191" spans="104:143" ht="20.100000000000001" hidden="1" customHeight="1">
      <c r="EK191" s="1150" t="s">
        <v>263</v>
      </c>
    </row>
    <row r="192" spans="104:143" ht="9.9499999999999993" hidden="1" customHeight="1" thickBot="1"/>
    <row r="193" spans="141:158" ht="30" hidden="1" customHeight="1">
      <c r="EK193" s="1227"/>
      <c r="EL193" s="1456" t="s">
        <v>69</v>
      </c>
      <c r="EM193" s="1473"/>
    </row>
    <row r="194" spans="141:158" ht="80.099999999999994" hidden="1" customHeight="1">
      <c r="EK194" s="1168"/>
      <c r="EL194" s="897" t="s">
        <v>244</v>
      </c>
      <c r="EM194" s="911" t="s">
        <v>264</v>
      </c>
    </row>
    <row r="195" spans="141:158" ht="24.95" hidden="1" customHeight="1">
      <c r="EK195" s="1168"/>
      <c r="EL195" s="898"/>
      <c r="EM195" s="903" t="s">
        <v>27</v>
      </c>
    </row>
    <row r="196" spans="141:158" ht="24.95" hidden="1" customHeight="1" thickBot="1">
      <c r="EK196" s="1168"/>
      <c r="EL196" s="906">
        <v>1</v>
      </c>
      <c r="EM196" s="905">
        <v>2</v>
      </c>
    </row>
    <row r="197" spans="141:158" ht="24.95" hidden="1" customHeight="1">
      <c r="EK197" s="1249">
        <v>1</v>
      </c>
      <c r="EL197" s="1240" t="s">
        <v>494</v>
      </c>
      <c r="EM197" s="1237">
        <v>8</v>
      </c>
    </row>
    <row r="198" spans="141:158" ht="24.95" hidden="1" customHeight="1">
      <c r="EK198" s="1235">
        <v>2</v>
      </c>
      <c r="EL198" s="1240" t="s">
        <v>495</v>
      </c>
      <c r="EM198" s="1237">
        <v>4</v>
      </c>
    </row>
    <row r="199" spans="141:158" ht="24.95" hidden="1" customHeight="1">
      <c r="EK199" s="1235">
        <v>3</v>
      </c>
      <c r="EL199" s="1240" t="s">
        <v>496</v>
      </c>
      <c r="EM199" s="1237">
        <v>3</v>
      </c>
    </row>
    <row r="200" spans="141:158" ht="24.95" hidden="1" customHeight="1">
      <c r="EK200" s="1235">
        <v>4</v>
      </c>
      <c r="EL200" s="1240">
        <v>0</v>
      </c>
      <c r="EM200" s="1237">
        <v>0</v>
      </c>
    </row>
    <row r="201" spans="141:158" ht="24.95" hidden="1" customHeight="1" thickBot="1">
      <c r="EK201" s="1255">
        <v>5</v>
      </c>
      <c r="EL201" s="1240">
        <v>0</v>
      </c>
      <c r="EM201" s="1237">
        <v>0</v>
      </c>
    </row>
    <row r="202" spans="141:158" ht="30" hidden="1" customHeight="1" thickBot="1">
      <c r="EK202" s="1256"/>
      <c r="EL202" s="907" t="s">
        <v>3</v>
      </c>
      <c r="EM202" s="908">
        <v>15</v>
      </c>
    </row>
    <row r="203" spans="141:158" ht="24.95" hidden="1" customHeight="1">
      <c r="EL203" s="1087" t="s">
        <v>98</v>
      </c>
      <c r="EM203" s="1257">
        <v>15</v>
      </c>
    </row>
    <row r="204" spans="141:158" hidden="1"/>
    <row r="205" spans="141:158" ht="20.100000000000001" hidden="1" customHeight="1">
      <c r="EP205" s="1226">
        <v>1</v>
      </c>
      <c r="EQ205" s="1226">
        <v>2</v>
      </c>
      <c r="ER205" s="1226">
        <v>3</v>
      </c>
      <c r="ES205" s="1226">
        <v>4</v>
      </c>
      <c r="ET205" s="1226">
        <v>5</v>
      </c>
      <c r="EU205" s="1226">
        <v>6</v>
      </c>
      <c r="EV205" s="1226">
        <v>7</v>
      </c>
      <c r="EW205" s="1226">
        <v>8</v>
      </c>
      <c r="EX205" s="1226">
        <v>9</v>
      </c>
      <c r="EY205" s="1226">
        <v>10</v>
      </c>
      <c r="EZ205" s="1226">
        <v>11</v>
      </c>
      <c r="FA205" s="1226">
        <v>12</v>
      </c>
      <c r="FB205" s="1226">
        <v>13</v>
      </c>
    </row>
    <row r="206" spans="141:158" ht="20.100000000000001" hidden="1" customHeight="1">
      <c r="EP206" s="1150" t="s">
        <v>265</v>
      </c>
    </row>
    <row r="207" spans="141:158" ht="9.9499999999999993" hidden="1" customHeight="1" thickBot="1"/>
    <row r="208" spans="141:158" ht="30" hidden="1" customHeight="1">
      <c r="EP208" s="1258"/>
      <c r="EQ208" s="1456" t="s">
        <v>66</v>
      </c>
      <c r="ER208" s="1457"/>
      <c r="ES208" s="1457"/>
      <c r="ET208" s="1458"/>
      <c r="EU208" s="1456" t="s">
        <v>71</v>
      </c>
      <c r="EV208" s="1457"/>
      <c r="EW208" s="1457"/>
      <c r="EX208" s="1458"/>
      <c r="EY208" s="1456" t="s">
        <v>100</v>
      </c>
      <c r="EZ208" s="1457"/>
      <c r="FA208" s="1457"/>
      <c r="FB208" s="1458"/>
    </row>
    <row r="209" spans="146:158" ht="39.950000000000003" hidden="1" customHeight="1">
      <c r="EP209" s="1170"/>
      <c r="EQ209" s="897" t="s">
        <v>244</v>
      </c>
      <c r="ER209" s="915" t="s">
        <v>253</v>
      </c>
      <c r="ES209" s="915" t="s">
        <v>254</v>
      </c>
      <c r="ET209" s="917" t="s">
        <v>213</v>
      </c>
      <c r="EU209" s="897" t="s">
        <v>244</v>
      </c>
      <c r="EV209" s="915" t="s">
        <v>253</v>
      </c>
      <c r="EW209" s="915" t="s">
        <v>254</v>
      </c>
      <c r="EX209" s="917" t="s">
        <v>213</v>
      </c>
      <c r="EY209" s="897" t="s">
        <v>244</v>
      </c>
      <c r="EZ209" s="915" t="s">
        <v>253</v>
      </c>
      <c r="FA209" s="915" t="s">
        <v>254</v>
      </c>
      <c r="FB209" s="917" t="s">
        <v>213</v>
      </c>
    </row>
    <row r="210" spans="146:158" ht="24.95" hidden="1" customHeight="1">
      <c r="EP210" s="1170"/>
      <c r="EQ210" s="898"/>
      <c r="ER210" s="912" t="s">
        <v>27</v>
      </c>
      <c r="ES210" s="912" t="s">
        <v>27</v>
      </c>
      <c r="ET210" s="903" t="s">
        <v>27</v>
      </c>
      <c r="EU210" s="898"/>
      <c r="EV210" s="912" t="s">
        <v>27</v>
      </c>
      <c r="EW210" s="912" t="s">
        <v>27</v>
      </c>
      <c r="EX210" s="903" t="s">
        <v>27</v>
      </c>
      <c r="EY210" s="898"/>
      <c r="EZ210" s="919" t="s">
        <v>27</v>
      </c>
      <c r="FA210" s="918"/>
      <c r="FB210" s="900" t="s">
        <v>27</v>
      </c>
    </row>
    <row r="211" spans="146:158" ht="24.95" hidden="1" customHeight="1" thickBot="1">
      <c r="EP211" s="1170"/>
      <c r="EQ211" s="906">
        <v>1</v>
      </c>
      <c r="ER211" s="913">
        <v>2</v>
      </c>
      <c r="ES211" s="916">
        <v>3</v>
      </c>
      <c r="ET211" s="905">
        <v>4</v>
      </c>
      <c r="EU211" s="906">
        <v>5</v>
      </c>
      <c r="EV211" s="913">
        <v>6</v>
      </c>
      <c r="EW211" s="916">
        <v>7</v>
      </c>
      <c r="EX211" s="905">
        <v>8</v>
      </c>
      <c r="EY211" s="906">
        <v>9</v>
      </c>
      <c r="EZ211" s="913">
        <v>10</v>
      </c>
      <c r="FA211" s="916">
        <v>11</v>
      </c>
      <c r="FB211" s="905">
        <v>12</v>
      </c>
    </row>
    <row r="212" spans="146:158" ht="24.95" hidden="1" customHeight="1">
      <c r="EP212" s="1259">
        <v>1</v>
      </c>
      <c r="EQ212" s="1260" t="s">
        <v>485</v>
      </c>
      <c r="ER212" s="1261">
        <v>0</v>
      </c>
      <c r="ES212" s="1261">
        <v>6</v>
      </c>
      <c r="ET212" s="1262">
        <v>0</v>
      </c>
      <c r="EU212" s="1240" t="s">
        <v>486</v>
      </c>
      <c r="EV212" s="1263">
        <v>13</v>
      </c>
      <c r="EW212" s="1263">
        <v>0</v>
      </c>
      <c r="EX212" s="1239">
        <v>0</v>
      </c>
      <c r="EY212" s="1240" t="s">
        <v>487</v>
      </c>
      <c r="EZ212" s="1263">
        <v>0</v>
      </c>
      <c r="FA212" s="1264">
        <v>0</v>
      </c>
      <c r="FB212" s="1239">
        <v>25</v>
      </c>
    </row>
    <row r="213" spans="146:158" ht="24.95" hidden="1" customHeight="1">
      <c r="EP213" s="1265">
        <v>2</v>
      </c>
      <c r="EQ213" s="1240" t="s">
        <v>488</v>
      </c>
      <c r="ER213" s="1261">
        <v>0</v>
      </c>
      <c r="ES213" s="1261">
        <v>11</v>
      </c>
      <c r="ET213" s="1262">
        <v>0</v>
      </c>
      <c r="EU213" s="1240">
        <v>0</v>
      </c>
      <c r="EV213" s="1263">
        <v>0</v>
      </c>
      <c r="EW213" s="1264">
        <v>0</v>
      </c>
      <c r="EX213" s="1239">
        <v>0</v>
      </c>
      <c r="EY213" s="1240">
        <v>0</v>
      </c>
      <c r="EZ213" s="1263">
        <v>0</v>
      </c>
      <c r="FA213" s="1264">
        <v>0</v>
      </c>
      <c r="FB213" s="1239">
        <v>0</v>
      </c>
    </row>
    <row r="214" spans="146:158" ht="24.95" hidden="1" customHeight="1">
      <c r="EP214" s="1265">
        <v>3</v>
      </c>
      <c r="EQ214" s="1240" t="s">
        <v>489</v>
      </c>
      <c r="ER214" s="1261">
        <v>0</v>
      </c>
      <c r="ES214" s="1261">
        <v>4</v>
      </c>
      <c r="ET214" s="1262">
        <v>0</v>
      </c>
      <c r="EU214" s="1240">
        <v>0</v>
      </c>
      <c r="EV214" s="1263">
        <v>0</v>
      </c>
      <c r="EW214" s="1264">
        <v>0</v>
      </c>
      <c r="EX214" s="1239">
        <v>0</v>
      </c>
      <c r="EY214" s="1240">
        <v>0</v>
      </c>
      <c r="EZ214" s="1263">
        <v>0</v>
      </c>
      <c r="FA214" s="1264">
        <v>0</v>
      </c>
      <c r="FB214" s="1239">
        <v>0</v>
      </c>
    </row>
    <row r="215" spans="146:158" ht="24.95" hidden="1" customHeight="1">
      <c r="EP215" s="1265">
        <v>4</v>
      </c>
      <c r="EQ215" s="1240" t="s">
        <v>490</v>
      </c>
      <c r="ER215" s="1261">
        <v>0</v>
      </c>
      <c r="ES215" s="1261">
        <v>11</v>
      </c>
      <c r="ET215" s="1262">
        <v>0</v>
      </c>
      <c r="EU215" s="1240">
        <v>0</v>
      </c>
      <c r="EV215" s="1263">
        <v>0</v>
      </c>
      <c r="EW215" s="1264">
        <v>0</v>
      </c>
      <c r="EX215" s="1239">
        <v>0</v>
      </c>
      <c r="EY215" s="1240">
        <v>0</v>
      </c>
      <c r="EZ215" s="1263">
        <v>0</v>
      </c>
      <c r="FA215" s="1264">
        <v>0</v>
      </c>
      <c r="FB215" s="1239">
        <v>0</v>
      </c>
    </row>
    <row r="216" spans="146:158" ht="24.95" hidden="1" customHeight="1">
      <c r="EP216" s="1265">
        <v>5</v>
      </c>
      <c r="EQ216" s="1240" t="s">
        <v>491</v>
      </c>
      <c r="ER216" s="1261">
        <v>0</v>
      </c>
      <c r="ES216" s="1261">
        <v>6</v>
      </c>
      <c r="ET216" s="1262">
        <v>0</v>
      </c>
      <c r="EU216" s="1240">
        <v>0</v>
      </c>
      <c r="EV216" s="1263">
        <v>0</v>
      </c>
      <c r="EW216" s="1264">
        <v>0</v>
      </c>
      <c r="EX216" s="1239">
        <v>0</v>
      </c>
      <c r="EY216" s="1240">
        <v>0</v>
      </c>
      <c r="EZ216" s="1263">
        <v>0</v>
      </c>
      <c r="FA216" s="1264">
        <v>0</v>
      </c>
      <c r="FB216" s="1239">
        <v>0</v>
      </c>
    </row>
    <row r="217" spans="146:158" ht="24.95" hidden="1" customHeight="1">
      <c r="EP217" s="1265">
        <v>6</v>
      </c>
      <c r="EQ217" s="1240" t="s">
        <v>492</v>
      </c>
      <c r="ER217" s="1261">
        <v>0</v>
      </c>
      <c r="ES217" s="1261">
        <v>4</v>
      </c>
      <c r="ET217" s="1262">
        <v>0</v>
      </c>
      <c r="EU217" s="1240">
        <v>0</v>
      </c>
      <c r="EV217" s="1263">
        <v>0</v>
      </c>
      <c r="EW217" s="1264">
        <v>0</v>
      </c>
      <c r="EX217" s="1239">
        <v>0</v>
      </c>
      <c r="EY217" s="1240">
        <v>0</v>
      </c>
      <c r="EZ217" s="1263">
        <v>0</v>
      </c>
      <c r="FA217" s="1264">
        <v>0</v>
      </c>
      <c r="FB217" s="1239">
        <v>0</v>
      </c>
    </row>
    <row r="218" spans="146:158" ht="24.95" hidden="1" customHeight="1">
      <c r="EP218" s="1265">
        <v>7</v>
      </c>
      <c r="EQ218" s="1240" t="s">
        <v>493</v>
      </c>
      <c r="ER218" s="1261">
        <v>0</v>
      </c>
      <c r="ES218" s="1261">
        <v>8</v>
      </c>
      <c r="ET218" s="1262">
        <v>0</v>
      </c>
      <c r="EU218" s="1240">
        <v>0</v>
      </c>
      <c r="EV218" s="1263">
        <v>0</v>
      </c>
      <c r="EW218" s="1264">
        <v>0</v>
      </c>
      <c r="EX218" s="1239">
        <v>0</v>
      </c>
      <c r="EY218" s="1240">
        <v>0</v>
      </c>
      <c r="EZ218" s="1263">
        <v>0</v>
      </c>
      <c r="FA218" s="1264">
        <v>0</v>
      </c>
      <c r="FB218" s="1239">
        <v>0</v>
      </c>
    </row>
    <row r="219" spans="146:158" ht="24.95" hidden="1" customHeight="1">
      <c r="EP219" s="1265">
        <v>8</v>
      </c>
      <c r="EQ219" s="1240">
        <v>0</v>
      </c>
      <c r="ER219" s="1261">
        <v>0</v>
      </c>
      <c r="ES219" s="1261">
        <v>0</v>
      </c>
      <c r="ET219" s="1262">
        <v>0</v>
      </c>
      <c r="EU219" s="1240">
        <v>0</v>
      </c>
      <c r="EV219" s="1263">
        <v>0</v>
      </c>
      <c r="EW219" s="1264">
        <v>0</v>
      </c>
      <c r="EX219" s="1239">
        <v>0</v>
      </c>
      <c r="EY219" s="1240">
        <v>0</v>
      </c>
      <c r="EZ219" s="1263">
        <v>0</v>
      </c>
      <c r="FA219" s="1264">
        <v>0</v>
      </c>
      <c r="FB219" s="1239">
        <v>0</v>
      </c>
    </row>
    <row r="220" spans="146:158" ht="24.95" hidden="1" customHeight="1">
      <c r="EP220" s="1265">
        <v>9</v>
      </c>
      <c r="EQ220" s="1240">
        <v>0</v>
      </c>
      <c r="ER220" s="1261">
        <v>0</v>
      </c>
      <c r="ES220" s="1261">
        <v>0</v>
      </c>
      <c r="ET220" s="1262">
        <v>0</v>
      </c>
      <c r="EU220" s="1240">
        <v>0</v>
      </c>
      <c r="EV220" s="1263">
        <v>0</v>
      </c>
      <c r="EW220" s="1264">
        <v>0</v>
      </c>
      <c r="EX220" s="1239">
        <v>0</v>
      </c>
      <c r="EY220" s="1240">
        <v>0</v>
      </c>
      <c r="EZ220" s="1263">
        <v>0</v>
      </c>
      <c r="FA220" s="1264">
        <v>0</v>
      </c>
      <c r="FB220" s="1239">
        <v>0</v>
      </c>
    </row>
    <row r="221" spans="146:158" ht="24.95" hidden="1" customHeight="1" thickBot="1">
      <c r="EP221" s="1266">
        <v>10</v>
      </c>
      <c r="EQ221" s="1240">
        <v>0</v>
      </c>
      <c r="ER221" s="1261">
        <v>0</v>
      </c>
      <c r="ES221" s="1261">
        <v>0</v>
      </c>
      <c r="ET221" s="1262">
        <v>0</v>
      </c>
      <c r="EU221" s="1240">
        <v>0</v>
      </c>
      <c r="EV221" s="1263">
        <v>0</v>
      </c>
      <c r="EW221" s="1264">
        <v>0</v>
      </c>
      <c r="EX221" s="1239">
        <v>0</v>
      </c>
      <c r="EY221" s="1240">
        <v>0</v>
      </c>
      <c r="EZ221" s="1263">
        <v>0</v>
      </c>
      <c r="FA221" s="1264">
        <v>0</v>
      </c>
      <c r="FB221" s="1239">
        <v>0</v>
      </c>
    </row>
    <row r="222" spans="146:158" ht="30" hidden="1" customHeight="1" thickBot="1">
      <c r="EP222" s="1256"/>
      <c r="EQ222" s="907" t="s">
        <v>3</v>
      </c>
      <c r="ER222" s="914">
        <v>0</v>
      </c>
      <c r="ES222" s="914">
        <v>50</v>
      </c>
      <c r="ET222" s="908">
        <v>0</v>
      </c>
      <c r="EU222" s="907" t="s">
        <v>3</v>
      </c>
      <c r="EV222" s="914">
        <v>13</v>
      </c>
      <c r="EW222" s="914">
        <v>0</v>
      </c>
      <c r="EX222" s="908">
        <v>0</v>
      </c>
      <c r="EY222" s="907" t="s">
        <v>3</v>
      </c>
      <c r="EZ222" s="914">
        <v>0</v>
      </c>
      <c r="FA222" s="914">
        <v>0</v>
      </c>
      <c r="FB222" s="908">
        <v>25</v>
      </c>
    </row>
    <row r="223" spans="146:158" ht="24.95" hidden="1" customHeight="1">
      <c r="ER223" s="1267">
        <v>0</v>
      </c>
      <c r="ES223" s="1267">
        <v>50</v>
      </c>
      <c r="ET223" s="1267">
        <v>0</v>
      </c>
      <c r="EV223" s="1257">
        <v>13</v>
      </c>
      <c r="EW223" s="1257">
        <v>0</v>
      </c>
      <c r="EX223" s="1257">
        <v>0</v>
      </c>
      <c r="EZ223" s="1257">
        <v>0</v>
      </c>
      <c r="FA223" s="1257">
        <v>0</v>
      </c>
      <c r="FB223" s="1257">
        <v>25</v>
      </c>
    </row>
    <row r="224" spans="146:158" hidden="1"/>
    <row r="225" hidden="1"/>
    <row r="226" hidden="1"/>
    <row r="227" hidden="1"/>
    <row r="228" hidden="1"/>
    <row r="229" hidden="1"/>
    <row r="230" hidden="1"/>
  </sheetData>
  <sheetProtection password="E23E" sheet="1" objects="1" scenarios="1"/>
  <mergeCells count="54">
    <mergeCell ref="EQ208:ET208"/>
    <mergeCell ref="EU208:EX208"/>
    <mergeCell ref="EY208:FB208"/>
    <mergeCell ref="EL193:EM193"/>
    <mergeCell ref="DS164:DT164"/>
    <mergeCell ref="DQ164:DR164"/>
    <mergeCell ref="DA164:DB164"/>
    <mergeCell ref="DC164:DD164"/>
    <mergeCell ref="DE164:DF164"/>
    <mergeCell ref="DG164:DH164"/>
    <mergeCell ref="DI164:DJ164"/>
    <mergeCell ref="DK164:DL164"/>
    <mergeCell ref="BQ115:BR115"/>
    <mergeCell ref="AQ73:AR73"/>
    <mergeCell ref="AI73:AJ73"/>
    <mergeCell ref="DM164:DN164"/>
    <mergeCell ref="DO164:DP164"/>
    <mergeCell ref="AI40:AM40"/>
    <mergeCell ref="AN40:AN41"/>
    <mergeCell ref="O40:Z40"/>
    <mergeCell ref="AA40:AH40"/>
    <mergeCell ref="BM73:BM74"/>
    <mergeCell ref="AA73:AB73"/>
    <mergeCell ref="AC73:AD73"/>
    <mergeCell ref="Q73:R73"/>
    <mergeCell ref="S73:T73"/>
    <mergeCell ref="U73:V73"/>
    <mergeCell ref="W73:X73"/>
    <mergeCell ref="Y73:Z73"/>
    <mergeCell ref="AK73:AL73"/>
    <mergeCell ref="AM73:AN73"/>
    <mergeCell ref="AO73:AP73"/>
    <mergeCell ref="AG73:AH73"/>
    <mergeCell ref="C73:D73"/>
    <mergeCell ref="E73:F73"/>
    <mergeCell ref="G73:H73"/>
    <mergeCell ref="C72:AR72"/>
    <mergeCell ref="I73:J73"/>
    <mergeCell ref="AE73:AF73"/>
    <mergeCell ref="K73:L73"/>
    <mergeCell ref="M73:N73"/>
    <mergeCell ref="O73:P73"/>
    <mergeCell ref="F9:K9"/>
    <mergeCell ref="L10:M10"/>
    <mergeCell ref="N10:O10"/>
    <mergeCell ref="L9:S9"/>
    <mergeCell ref="A42:A43"/>
    <mergeCell ref="C40:F40"/>
    <mergeCell ref="G40:H40"/>
    <mergeCell ref="I40:K40"/>
    <mergeCell ref="L40:N40"/>
    <mergeCell ref="C9:E9"/>
    <mergeCell ref="C10:D10"/>
    <mergeCell ref="P10:S10"/>
  </mergeCells>
  <dataValidations count="1">
    <dataValidation allowBlank="1" sqref="C8:C32 A4 B5:B8 U7 BV145:CW158 G11:K11 C4:J6 D8:J8 E11:E12 EV223:EX223 B77:B108 F9 D11:D32 K14:K32 AQ77:AR91 C93:AR104 C77:AN91 C106:AR109 AO80:AP91 BH40:BJ40 L41:M41 CI159 EL194:EM202 ER209 EM203 EV209 EY209:EZ209 DJ188 CE159 DL188 CG159 DN188 CW159 DP188 CK159 DR188 CM159 DT188 CO159 DV188 DX188 CQ159 DZ188 EB188 CU159 EF188 CS159 ED188 EZ223:FB223 EV210:FB222 DA165:EH187 EU209:EU222 EQ209:EQ222 F11:F32 R7 ER210:ET223 D7 F7 H7 J7 L7 N7 P7 G12:S12"/>
  </dataValidations>
  <pageMargins left="0.19685039370078741" right="0.19685039370078741" top="0.39370078740157483" bottom="0.39370078740157483" header="0" footer="0"/>
  <pageSetup paperSize="9" scale="57" fitToWidth="12" orientation="landscape" r:id="rId1"/>
  <headerFooter>
    <oddHeader>&amp;L&amp;"Calibri,Bold"&amp;11Early Statistics 2014-15</oddHeader>
  </headerFooter>
  <colBreaks count="2" manualBreakCount="2">
    <brk id="16" min="72" max="108" man="1"/>
    <brk id="30" min="72" max="108"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65"/>
  <sheetViews>
    <sheetView tabSelected="1" zoomScale="75" zoomScaleNormal="75" workbookViewId="0"/>
  </sheetViews>
  <sheetFormatPr defaultColWidth="9.140625" defaultRowHeight="15"/>
  <cols>
    <col min="1" max="1" width="72.85546875" style="579" customWidth="1"/>
    <col min="2" max="4" width="15.7109375" style="579" customWidth="1"/>
    <col min="5" max="5" width="5.7109375" style="579" customWidth="1"/>
    <col min="6" max="6" width="15.7109375" style="579" customWidth="1"/>
    <col min="7" max="7" width="5.7109375" style="579" customWidth="1"/>
    <col min="8" max="8" width="16.7109375" style="579" customWidth="1"/>
    <col min="9" max="9" width="5.7109375" style="579" customWidth="1"/>
    <col min="10" max="10" width="16.7109375" style="579" customWidth="1"/>
    <col min="11" max="12" width="5.7109375" style="579" customWidth="1"/>
    <col min="13" max="15" width="35.7109375" style="579" customWidth="1"/>
    <col min="16" max="17" width="3.7109375" style="579" customWidth="1"/>
    <col min="18" max="20" width="13.7109375" style="579" customWidth="1"/>
    <col min="21" max="21" width="15.7109375" style="579" customWidth="1"/>
    <col min="22" max="23" width="4.7109375" style="579" customWidth="1"/>
    <col min="24" max="26" width="13.7109375" style="579" customWidth="1"/>
    <col min="27" max="27" width="4.85546875" style="579" customWidth="1"/>
    <col min="28" max="28" width="17.5703125" style="579" hidden="1" customWidth="1"/>
    <col min="29" max="29" width="12.7109375" style="584" hidden="1" customWidth="1"/>
    <col min="30" max="30" width="14.140625" style="584" hidden="1" customWidth="1"/>
    <col min="31" max="31" width="15.28515625" style="584" hidden="1" customWidth="1"/>
    <col min="32" max="32" width="12.7109375" style="584" hidden="1" customWidth="1"/>
    <col min="33" max="33" width="3.5703125" style="583" hidden="1" customWidth="1"/>
    <col min="34" max="34" width="12.7109375" style="584" hidden="1" customWidth="1"/>
    <col min="35" max="35" width="13.85546875" style="584" hidden="1" customWidth="1"/>
    <col min="36" max="36" width="15.140625" style="584" hidden="1" customWidth="1"/>
    <col min="37" max="37" width="12.7109375" style="584" hidden="1" customWidth="1"/>
    <col min="38" max="38" width="9.140625" style="579" hidden="1" customWidth="1"/>
    <col min="39" max="39" width="12.7109375" style="584" hidden="1" customWidth="1"/>
    <col min="40" max="40" width="15.140625" style="584" hidden="1" customWidth="1"/>
    <col min="41" max="41" width="12.7109375" style="584" hidden="1" customWidth="1"/>
    <col min="42" max="42" width="9.140625" style="579" hidden="1" customWidth="1"/>
    <col min="43" max="16384" width="9.140625" style="579"/>
  </cols>
  <sheetData>
    <row r="1" spans="1:41" s="625" customFormat="1" ht="35.1" customHeight="1">
      <c r="A1" s="39" t="s">
        <v>43</v>
      </c>
      <c r="B1" s="40" t="s">
        <v>190</v>
      </c>
      <c r="C1" s="41"/>
      <c r="D1" s="42"/>
      <c r="E1" s="42"/>
      <c r="F1" s="42"/>
      <c r="G1" s="42"/>
      <c r="H1" s="42"/>
      <c r="I1" s="42"/>
      <c r="J1" s="1273"/>
      <c r="K1" s="42"/>
      <c r="L1" s="42"/>
      <c r="M1" s="43"/>
      <c r="N1" s="43"/>
      <c r="O1" s="43"/>
      <c r="P1" s="43"/>
      <c r="Q1" s="44"/>
      <c r="R1" s="44"/>
      <c r="S1" s="44"/>
      <c r="T1" s="44"/>
      <c r="U1" s="44"/>
      <c r="V1" s="44"/>
      <c r="W1" s="45"/>
      <c r="X1" s="45"/>
      <c r="Y1" s="45"/>
      <c r="Z1" s="1274" t="s">
        <v>329</v>
      </c>
      <c r="AA1" s="46"/>
      <c r="AB1" s="624"/>
      <c r="AC1" s="584"/>
      <c r="AD1" s="584"/>
      <c r="AE1" s="584"/>
      <c r="AF1" s="584"/>
      <c r="AG1" s="583"/>
      <c r="AH1" s="584"/>
      <c r="AI1" s="584"/>
      <c r="AJ1" s="584"/>
      <c r="AK1" s="584"/>
      <c r="AM1" s="584"/>
      <c r="AN1" s="584"/>
      <c r="AO1" s="584"/>
    </row>
    <row r="2" spans="1:41" s="625" customFormat="1" ht="35.1" customHeight="1">
      <c r="A2" s="47" t="s">
        <v>5</v>
      </c>
      <c r="B2" s="1318" t="str">
        <f>'Background Data'!$D$2</f>
        <v>Glasgow, University of</v>
      </c>
      <c r="C2" s="1334"/>
      <c r="D2" s="1319"/>
      <c r="E2" s="48"/>
      <c r="F2" s="49"/>
      <c r="G2" s="49"/>
      <c r="H2" s="49"/>
      <c r="I2" s="49"/>
      <c r="J2" s="49"/>
      <c r="K2" s="49"/>
      <c r="L2" s="49"/>
      <c r="M2" s="545"/>
      <c r="N2" s="545"/>
      <c r="O2" s="545"/>
      <c r="P2" s="545"/>
      <c r="Q2" s="50"/>
      <c r="R2" s="234"/>
      <c r="S2" s="51"/>
      <c r="T2" s="51"/>
      <c r="U2" s="51"/>
      <c r="V2" s="50"/>
      <c r="W2" s="52"/>
      <c r="X2" s="53"/>
      <c r="Y2" s="53"/>
      <c r="Z2" s="53"/>
      <c r="AA2" s="96"/>
      <c r="AB2" s="624"/>
      <c r="AC2" s="584"/>
      <c r="AD2" s="584"/>
      <c r="AE2" s="584"/>
      <c r="AF2" s="584"/>
      <c r="AG2" s="583"/>
      <c r="AH2" s="584"/>
      <c r="AI2" s="584"/>
      <c r="AJ2" s="584"/>
      <c r="AK2" s="584"/>
      <c r="AM2" s="584"/>
      <c r="AN2" s="584"/>
      <c r="AO2" s="584"/>
    </row>
    <row r="3" spans="1:41" s="626" customFormat="1" ht="24.95" customHeight="1">
      <c r="A3" s="54" t="s">
        <v>26</v>
      </c>
      <c r="B3" s="49"/>
      <c r="C3" s="49"/>
      <c r="D3" s="49"/>
      <c r="E3" s="49"/>
      <c r="F3" s="49"/>
      <c r="G3" s="49"/>
      <c r="H3" s="49"/>
      <c r="I3" s="55"/>
      <c r="J3" s="55"/>
      <c r="K3" s="55"/>
      <c r="L3" s="55"/>
      <c r="M3" s="545"/>
      <c r="N3" s="545"/>
      <c r="O3" s="545"/>
      <c r="P3" s="545"/>
      <c r="Q3" s="56"/>
      <c r="R3" s="50"/>
      <c r="S3" s="50"/>
      <c r="T3" s="50"/>
      <c r="U3" s="50"/>
      <c r="V3" s="57"/>
      <c r="W3" s="58"/>
      <c r="X3" s="546"/>
      <c r="Y3" s="546"/>
      <c r="Z3" s="546"/>
      <c r="AA3" s="96"/>
      <c r="AB3" s="624"/>
      <c r="AC3" s="584"/>
      <c r="AD3" s="584"/>
      <c r="AE3" s="584"/>
      <c r="AF3" s="584"/>
      <c r="AG3" s="583"/>
      <c r="AH3" s="584"/>
      <c r="AI3" s="584"/>
      <c r="AJ3" s="584"/>
      <c r="AK3" s="584"/>
      <c r="AM3" s="584"/>
      <c r="AN3" s="584"/>
      <c r="AO3" s="584"/>
    </row>
    <row r="4" spans="1:41" s="626" customFormat="1" ht="15" customHeight="1" thickBot="1">
      <c r="A4" s="59"/>
      <c r="B4" s="60"/>
      <c r="C4" s="60"/>
      <c r="D4" s="60"/>
      <c r="E4" s="60"/>
      <c r="F4" s="60"/>
      <c r="G4" s="60"/>
      <c r="H4" s="60"/>
      <c r="I4" s="55"/>
      <c r="J4" s="55"/>
      <c r="K4" s="55"/>
      <c r="L4" s="55"/>
      <c r="M4" s="547"/>
      <c r="N4" s="547"/>
      <c r="O4" s="547"/>
      <c r="P4" s="547"/>
      <c r="Q4" s="56"/>
      <c r="R4" s="61"/>
      <c r="S4" s="61"/>
      <c r="T4" s="61"/>
      <c r="U4" s="61"/>
      <c r="V4" s="61"/>
      <c r="W4" s="58"/>
      <c r="X4" s="546"/>
      <c r="Y4" s="546"/>
      <c r="Z4" s="546"/>
      <c r="AA4" s="96"/>
      <c r="AB4" s="624"/>
      <c r="AC4" s="584"/>
      <c r="AD4" s="584"/>
      <c r="AE4" s="584"/>
      <c r="AF4" s="584"/>
      <c r="AG4" s="583"/>
      <c r="AH4" s="584"/>
      <c r="AI4" s="584"/>
      <c r="AJ4" s="584"/>
      <c r="AK4" s="584"/>
      <c r="AM4" s="584"/>
      <c r="AN4" s="584"/>
      <c r="AO4" s="584"/>
    </row>
    <row r="5" spans="1:41" s="626" customFormat="1" ht="50.1" customHeight="1">
      <c r="A5" s="63"/>
      <c r="B5" s="1339" t="s">
        <v>193</v>
      </c>
      <c r="C5" s="1340"/>
      <c r="D5" s="1340"/>
      <c r="E5" s="1340"/>
      <c r="F5" s="1340"/>
      <c r="G5" s="1341"/>
      <c r="H5" s="1342"/>
      <c r="I5" s="255"/>
      <c r="J5" s="1346" t="s">
        <v>194</v>
      </c>
      <c r="K5" s="315"/>
      <c r="L5" s="259"/>
      <c r="M5" s="1348" t="s">
        <v>59</v>
      </c>
      <c r="N5" s="1349"/>
      <c r="O5" s="1350"/>
      <c r="P5" s="90"/>
      <c r="Q5" s="64"/>
      <c r="R5" s="276" t="s">
        <v>191</v>
      </c>
      <c r="S5" s="277"/>
      <c r="T5" s="277"/>
      <c r="U5" s="278"/>
      <c r="V5" s="65"/>
      <c r="W5" s="66"/>
      <c r="X5" s="1359" t="s">
        <v>120</v>
      </c>
      <c r="Y5" s="1360"/>
      <c r="Z5" s="1361"/>
      <c r="AA5" s="67"/>
      <c r="AB5" s="1326" t="s">
        <v>192</v>
      </c>
      <c r="AC5" s="1329" t="s">
        <v>0</v>
      </c>
      <c r="AD5" s="1330"/>
      <c r="AE5" s="1330"/>
      <c r="AF5" s="1331"/>
      <c r="AG5" s="627"/>
      <c r="AH5" s="1329" t="s">
        <v>1</v>
      </c>
      <c r="AI5" s="1330"/>
      <c r="AJ5" s="1330"/>
      <c r="AK5" s="1331"/>
      <c r="AM5" s="1329" t="s">
        <v>327</v>
      </c>
      <c r="AN5" s="1330"/>
      <c r="AO5" s="1331"/>
    </row>
    <row r="6" spans="1:41" ht="39.950000000000003" customHeight="1">
      <c r="A6" s="68"/>
      <c r="B6" s="1337" t="s">
        <v>44</v>
      </c>
      <c r="C6" s="1338"/>
      <c r="D6" s="1338"/>
      <c r="E6" s="69"/>
      <c r="F6" s="1335" t="s">
        <v>4</v>
      </c>
      <c r="G6" s="70"/>
      <c r="H6" s="71" t="s">
        <v>3</v>
      </c>
      <c r="I6" s="254"/>
      <c r="J6" s="1347"/>
      <c r="K6" s="315"/>
      <c r="L6" s="257"/>
      <c r="M6" s="1351" t="s">
        <v>47</v>
      </c>
      <c r="N6" s="1352"/>
      <c r="O6" s="1353" t="s">
        <v>326</v>
      </c>
      <c r="P6" s="548"/>
      <c r="Q6" s="73"/>
      <c r="R6" s="1343" t="s">
        <v>47</v>
      </c>
      <c r="S6" s="1344"/>
      <c r="T6" s="1345"/>
      <c r="U6" s="1355" t="s">
        <v>105</v>
      </c>
      <c r="V6" s="549"/>
      <c r="W6" s="66"/>
      <c r="X6" s="1357" t="s">
        <v>47</v>
      </c>
      <c r="Y6" s="1358"/>
      <c r="Z6" s="1362" t="s">
        <v>105</v>
      </c>
      <c r="AA6" s="67"/>
      <c r="AB6" s="1326"/>
      <c r="AC6" s="1327" t="s">
        <v>60</v>
      </c>
      <c r="AD6" s="1324" t="s">
        <v>121</v>
      </c>
      <c r="AE6" s="1324" t="s">
        <v>125</v>
      </c>
      <c r="AF6" s="1332" t="s">
        <v>123</v>
      </c>
      <c r="AG6" s="628"/>
      <c r="AH6" s="1327" t="s">
        <v>124</v>
      </c>
      <c r="AI6" s="1324" t="s">
        <v>122</v>
      </c>
      <c r="AJ6" s="1324" t="s">
        <v>125</v>
      </c>
      <c r="AK6" s="1332" t="s">
        <v>123</v>
      </c>
      <c r="AM6" s="1327" t="s">
        <v>124</v>
      </c>
      <c r="AN6" s="1324" t="s">
        <v>189</v>
      </c>
      <c r="AO6" s="1332" t="s">
        <v>123</v>
      </c>
    </row>
    <row r="7" spans="1:41" ht="60" customHeight="1">
      <c r="A7" s="74" t="s">
        <v>101</v>
      </c>
      <c r="B7" s="75" t="s">
        <v>45</v>
      </c>
      <c r="C7" s="76" t="s">
        <v>41</v>
      </c>
      <c r="D7" s="550" t="s">
        <v>3</v>
      </c>
      <c r="E7" s="551"/>
      <c r="F7" s="1336"/>
      <c r="G7" s="77"/>
      <c r="H7" s="78"/>
      <c r="I7" s="254"/>
      <c r="J7" s="1347"/>
      <c r="K7" s="315"/>
      <c r="L7" s="257"/>
      <c r="M7" s="552" t="s">
        <v>106</v>
      </c>
      <c r="N7" s="553" t="s">
        <v>2</v>
      </c>
      <c r="O7" s="1354"/>
      <c r="P7" s="554"/>
      <c r="Q7" s="79"/>
      <c r="R7" s="80" t="s">
        <v>46</v>
      </c>
      <c r="S7" s="81" t="s">
        <v>2</v>
      </c>
      <c r="T7" s="82" t="s">
        <v>3</v>
      </c>
      <c r="U7" s="1356"/>
      <c r="V7" s="83"/>
      <c r="W7" s="84"/>
      <c r="X7" s="85" t="s">
        <v>46</v>
      </c>
      <c r="Y7" s="86" t="s">
        <v>2</v>
      </c>
      <c r="Z7" s="1362"/>
      <c r="AA7" s="87"/>
      <c r="AB7" s="1326"/>
      <c r="AC7" s="1328"/>
      <c r="AD7" s="1325"/>
      <c r="AE7" s="1325"/>
      <c r="AF7" s="1333"/>
      <c r="AG7" s="628"/>
      <c r="AH7" s="1328"/>
      <c r="AI7" s="1325"/>
      <c r="AJ7" s="1325"/>
      <c r="AK7" s="1333"/>
      <c r="AM7" s="1328"/>
      <c r="AN7" s="1325"/>
      <c r="AO7" s="1333"/>
    </row>
    <row r="8" spans="1:41" ht="30">
      <c r="A8" s="88"/>
      <c r="B8" s="271" t="s">
        <v>6</v>
      </c>
      <c r="C8" s="272" t="s">
        <v>6</v>
      </c>
      <c r="D8" s="273" t="s">
        <v>131</v>
      </c>
      <c r="E8" s="89"/>
      <c r="F8" s="274" t="s">
        <v>6</v>
      </c>
      <c r="G8" s="89"/>
      <c r="H8" s="273" t="s">
        <v>131</v>
      </c>
      <c r="I8" s="255"/>
      <c r="J8" s="275" t="s">
        <v>6</v>
      </c>
      <c r="K8" s="316"/>
      <c r="L8" s="258"/>
      <c r="M8" s="555"/>
      <c r="N8" s="556"/>
      <c r="O8" s="556"/>
      <c r="P8" s="557"/>
      <c r="Q8" s="79"/>
      <c r="R8" s="91" t="s">
        <v>7</v>
      </c>
      <c r="S8" s="92" t="s">
        <v>7</v>
      </c>
      <c r="T8" s="93" t="s">
        <v>7</v>
      </c>
      <c r="U8" s="279" t="s">
        <v>7</v>
      </c>
      <c r="V8" s="83"/>
      <c r="W8" s="84"/>
      <c r="X8" s="94" t="s">
        <v>7</v>
      </c>
      <c r="Y8" s="95" t="s">
        <v>7</v>
      </c>
      <c r="Z8" s="298" t="s">
        <v>7</v>
      </c>
      <c r="AA8" s="96"/>
      <c r="AC8" s="1328"/>
      <c r="AD8" s="1325"/>
      <c r="AE8" s="1325"/>
      <c r="AF8" s="1333"/>
      <c r="AG8" s="628"/>
      <c r="AH8" s="1328"/>
      <c r="AI8" s="1325"/>
      <c r="AJ8" s="1325"/>
      <c r="AK8" s="1333"/>
      <c r="AM8" s="1328"/>
      <c r="AN8" s="1325"/>
      <c r="AO8" s="1333"/>
    </row>
    <row r="9" spans="1:41" ht="27" customHeight="1">
      <c r="A9" s="88"/>
      <c r="B9" s="568" t="s">
        <v>27</v>
      </c>
      <c r="C9" s="561" t="s">
        <v>27</v>
      </c>
      <c r="D9" s="569" t="s">
        <v>27</v>
      </c>
      <c r="E9" s="561"/>
      <c r="F9" s="570" t="s">
        <v>27</v>
      </c>
      <c r="G9" s="561"/>
      <c r="H9" s="571" t="s">
        <v>27</v>
      </c>
      <c r="I9" s="256"/>
      <c r="J9" s="700" t="s">
        <v>27</v>
      </c>
      <c r="K9" s="316"/>
      <c r="L9" s="258"/>
      <c r="M9" s="555"/>
      <c r="N9" s="556"/>
      <c r="O9" s="556"/>
      <c r="P9" s="557"/>
      <c r="Q9" s="79"/>
      <c r="R9" s="98" t="s">
        <v>27</v>
      </c>
      <c r="S9" s="99" t="s">
        <v>27</v>
      </c>
      <c r="T9" s="100" t="s">
        <v>27</v>
      </c>
      <c r="U9" s="280" t="s">
        <v>27</v>
      </c>
      <c r="V9" s="83"/>
      <c r="W9" s="84"/>
      <c r="X9" s="703" t="s">
        <v>27</v>
      </c>
      <c r="Y9" s="704" t="s">
        <v>27</v>
      </c>
      <c r="Z9" s="299" t="s">
        <v>27</v>
      </c>
      <c r="AA9" s="96"/>
      <c r="AC9" s="697"/>
      <c r="AD9" s="699"/>
      <c r="AE9" s="699"/>
      <c r="AF9" s="698"/>
      <c r="AG9" s="628"/>
      <c r="AH9" s="697"/>
      <c r="AI9" s="699"/>
      <c r="AJ9" s="699"/>
      <c r="AK9" s="698"/>
      <c r="AM9" s="697"/>
      <c r="AN9" s="699"/>
      <c r="AO9" s="698"/>
    </row>
    <row r="10" spans="1:41" ht="27" customHeight="1" thickBot="1">
      <c r="A10" s="88"/>
      <c r="B10" s="558">
        <v>1</v>
      </c>
      <c r="C10" s="559">
        <v>2</v>
      </c>
      <c r="D10" s="560">
        <v>3</v>
      </c>
      <c r="E10" s="561"/>
      <c r="F10" s="560">
        <v>4</v>
      </c>
      <c r="G10" s="561"/>
      <c r="H10" s="269">
        <v>5</v>
      </c>
      <c r="I10" s="255"/>
      <c r="J10" s="270">
        <v>6</v>
      </c>
      <c r="K10" s="317"/>
      <c r="L10" s="258"/>
      <c r="M10" s="270">
        <v>7</v>
      </c>
      <c r="N10" s="562">
        <v>8</v>
      </c>
      <c r="O10" s="562">
        <v>9</v>
      </c>
      <c r="P10" s="563"/>
      <c r="Q10" s="79"/>
      <c r="R10" s="564">
        <v>10</v>
      </c>
      <c r="S10" s="565">
        <v>11</v>
      </c>
      <c r="T10" s="566">
        <v>12</v>
      </c>
      <c r="U10" s="567">
        <v>13</v>
      </c>
      <c r="V10" s="97"/>
      <c r="W10" s="84"/>
      <c r="X10" s="705">
        <v>14</v>
      </c>
      <c r="Y10" s="706">
        <v>15</v>
      </c>
      <c r="Z10" s="339">
        <v>16</v>
      </c>
      <c r="AA10" s="96"/>
      <c r="AC10" s="629">
        <v>17</v>
      </c>
      <c r="AD10" s="630">
        <v>18</v>
      </c>
      <c r="AE10" s="630">
        <v>19</v>
      </c>
      <c r="AF10" s="631">
        <v>20</v>
      </c>
      <c r="AG10" s="628"/>
      <c r="AH10" s="629">
        <v>21</v>
      </c>
      <c r="AI10" s="630">
        <v>22</v>
      </c>
      <c r="AJ10" s="630">
        <v>23</v>
      </c>
      <c r="AK10" s="631">
        <v>24</v>
      </c>
      <c r="AM10" s="629">
        <v>25</v>
      </c>
      <c r="AN10" s="630">
        <v>26</v>
      </c>
      <c r="AO10" s="631">
        <v>27</v>
      </c>
    </row>
    <row r="11" spans="1:41" ht="37.5" customHeight="1" thickBot="1">
      <c r="A11" s="101" t="s">
        <v>11</v>
      </c>
      <c r="B11" s="260"/>
      <c r="C11" s="261"/>
      <c r="D11" s="262">
        <v>1210</v>
      </c>
      <c r="E11" s="320" t="str">
        <f>IF(AF11=1,"?","")</f>
        <v/>
      </c>
      <c r="F11" s="400">
        <v>221.04</v>
      </c>
      <c r="G11" s="326" t="str">
        <f>IF(AK11=1,"?","")</f>
        <v/>
      </c>
      <c r="H11" s="103">
        <f>SUM(D11,F11)</f>
        <v>1431.04</v>
      </c>
      <c r="I11" s="254"/>
      <c r="J11" s="264"/>
      <c r="K11" s="254"/>
      <c r="L11" s="257"/>
      <c r="M11" s="701" t="str">
        <f>IF(AD11=1,Warning1,IF(AE11=1,Warning2_for_RPG,""))</f>
        <v/>
      </c>
      <c r="N11" s="702" t="str">
        <f>IF(AI11=1,Warning1,IF(AJ11=1,Warning2_for_RPG,""))</f>
        <v/>
      </c>
      <c r="O11" s="334"/>
      <c r="P11" s="267"/>
      <c r="Q11" s="79"/>
      <c r="R11" s="104">
        <f>VLOOKUP($AB11,Early_Stats,VLOOKUP('Background Data'!$C$2,Inst_Tables,3,FALSE),FALSE)</f>
        <v>1220</v>
      </c>
      <c r="S11" s="105">
        <f>VLOOKUP($AB11,Early_Stats,VLOOKUP('Background Data'!$C$2,Inst_Tables,4,FALSE),FALSE)</f>
        <v>214.47</v>
      </c>
      <c r="T11" s="106">
        <f>SUM(R11:S11)</f>
        <v>1434.47</v>
      </c>
      <c r="U11" s="294"/>
      <c r="V11" s="61"/>
      <c r="W11" s="84"/>
      <c r="X11" s="107">
        <f>IF(R11&gt;0,(D11-R11)/R11,"")</f>
        <v>-8.1967213114754103E-3</v>
      </c>
      <c r="Y11" s="108">
        <f>IF(S11&gt;0,(F11-S11)/S11,"")</f>
        <v>3.0633655056651249E-2</v>
      </c>
      <c r="Z11" s="304"/>
      <c r="AA11" s="109"/>
      <c r="AB11" s="632">
        <v>1</v>
      </c>
      <c r="AC11" s="707">
        <f>IF(AND(MAX(D11,R11)&gt;0,OR(MIN(D11,R11)=0,D11="")),1,0)</f>
        <v>0</v>
      </c>
      <c r="AD11" s="708">
        <f>IF(ABS(D11-R11)&gt;=5,AC11,0)</f>
        <v>0</v>
      </c>
      <c r="AE11" s="708">
        <f>IF(D11&lt;&gt;"",IF(X11&lt;&gt;"",IF(AND(MIN(D11,R11)&gt;0,ABS(D11-R11)&gt;=RPG_FTE_Tol,ABS(X11)&gt;=RPG_Per_Tol),1,0),0),0)</f>
        <v>0</v>
      </c>
      <c r="AF11" s="709">
        <f>IF(SUM(AD11,AE11)&gt;0,1,0)</f>
        <v>0</v>
      </c>
      <c r="AG11" s="636"/>
      <c r="AH11" s="707">
        <f>IF(AND(MAX(F11,S11)&gt;0,OR(MIN(F11,S11)=0,F11="")),1,0)</f>
        <v>0</v>
      </c>
      <c r="AI11" s="708">
        <f>IF(ABS(F11-S11)&gt;=5,AH11,0)</f>
        <v>0</v>
      </c>
      <c r="AJ11" s="708">
        <f>IF(F11&lt;&gt;"",IF(Y11&lt;&gt;"",IF(AND(MIN(F11,S11)&gt;0,ABS(F11-S11)&gt;=RPG_FTE_Tol,ABS(Y11)&gt;=RPG_Per_Tol),1,0),0),0)</f>
        <v>0</v>
      </c>
      <c r="AK11" s="709">
        <f>IF(SUM(AI11,AJ11)&gt;0,1,0)</f>
        <v>0</v>
      </c>
      <c r="AM11" s="707"/>
      <c r="AN11" s="708"/>
      <c r="AO11" s="709"/>
    </row>
    <row r="12" spans="1:41" ht="35.1" customHeight="1">
      <c r="A12" s="110" t="s">
        <v>13</v>
      </c>
      <c r="B12" s="111"/>
      <c r="C12" s="112"/>
      <c r="D12" s="113"/>
      <c r="E12" s="321"/>
      <c r="F12" s="113"/>
      <c r="G12" s="327"/>
      <c r="H12" s="78"/>
      <c r="I12" s="254"/>
      <c r="J12" s="72"/>
      <c r="K12" s="317"/>
      <c r="L12" s="257"/>
      <c r="M12" s="114"/>
      <c r="N12" s="115"/>
      <c r="O12" s="78"/>
      <c r="P12" s="113"/>
      <c r="Q12" s="79"/>
      <c r="R12" s="116"/>
      <c r="S12" s="117"/>
      <c r="T12" s="118"/>
      <c r="U12" s="282"/>
      <c r="V12" s="61"/>
      <c r="W12" s="84"/>
      <c r="X12" s="119"/>
      <c r="Y12" s="120"/>
      <c r="Z12" s="300"/>
      <c r="AA12" s="67"/>
      <c r="AC12" s="637"/>
      <c r="AD12" s="638"/>
      <c r="AE12" s="638"/>
      <c r="AF12" s="639"/>
      <c r="AG12" s="636"/>
      <c r="AH12" s="637"/>
      <c r="AI12" s="638"/>
      <c r="AJ12" s="638"/>
      <c r="AK12" s="639"/>
      <c r="AM12" s="637"/>
      <c r="AN12" s="638"/>
      <c r="AO12" s="639"/>
    </row>
    <row r="13" spans="1:41" ht="30" customHeight="1" thickBot="1">
      <c r="A13" s="29" t="s">
        <v>28</v>
      </c>
      <c r="B13" s="121"/>
      <c r="C13" s="122"/>
      <c r="D13" s="123"/>
      <c r="E13" s="321"/>
      <c r="F13" s="123"/>
      <c r="G13" s="327"/>
      <c r="H13" s="124"/>
      <c r="I13" s="254"/>
      <c r="J13" s="72"/>
      <c r="K13" s="317"/>
      <c r="L13" s="257"/>
      <c r="M13" s="125"/>
      <c r="N13" s="78"/>
      <c r="O13" s="78"/>
      <c r="P13" s="113"/>
      <c r="Q13" s="79"/>
      <c r="R13" s="126"/>
      <c r="S13" s="127"/>
      <c r="T13" s="128"/>
      <c r="U13" s="282"/>
      <c r="V13" s="61"/>
      <c r="W13" s="84"/>
      <c r="X13" s="129"/>
      <c r="Y13" s="130"/>
      <c r="Z13" s="300"/>
      <c r="AA13" s="67"/>
      <c r="AC13" s="637"/>
      <c r="AD13" s="638"/>
      <c r="AE13" s="638"/>
      <c r="AF13" s="639"/>
      <c r="AG13" s="636"/>
      <c r="AH13" s="637"/>
      <c r="AI13" s="638"/>
      <c r="AJ13" s="638"/>
      <c r="AK13" s="639"/>
      <c r="AM13" s="637"/>
      <c r="AN13" s="638"/>
      <c r="AO13" s="639"/>
    </row>
    <row r="14" spans="1:41" ht="30" customHeight="1">
      <c r="A14" s="32" t="s">
        <v>29</v>
      </c>
      <c r="B14" s="131"/>
      <c r="C14" s="132"/>
      <c r="D14" s="133">
        <f>SUM(B14:C14)</f>
        <v>0</v>
      </c>
      <c r="E14" s="322" t="str">
        <f t="shared" ref="E14:E40" si="0">IF(AF14=1,"?","")</f>
        <v/>
      </c>
      <c r="F14" s="131"/>
      <c r="G14" s="328" t="str">
        <f t="shared" ref="G14:G40" si="1">IF(AK14=1,"?","")</f>
        <v/>
      </c>
      <c r="H14" s="134">
        <f>SUM(D14,F14)</f>
        <v>0</v>
      </c>
      <c r="I14" s="254"/>
      <c r="J14" s="72"/>
      <c r="K14" s="317"/>
      <c r="L14" s="257"/>
      <c r="M14" s="135" t="str">
        <f>IF(AD14=1,Warning1,IF(AE14=1,Warning2_for_Control,""))</f>
        <v/>
      </c>
      <c r="N14" s="136" t="str">
        <f>IF(AI14=1,Warning1,IF(AJ14=1,Warning2_for_Control,""))</f>
        <v/>
      </c>
      <c r="O14" s="268"/>
      <c r="P14" s="267"/>
      <c r="Q14" s="79"/>
      <c r="R14" s="137">
        <f>VLOOKUP($AB14,Early_Stats,VLOOKUP('Background Data'!$C$2,Inst_Tables,3,FALSE),FALSE)</f>
        <v>0</v>
      </c>
      <c r="S14" s="117">
        <f>VLOOKUP($AB14,Early_Stats,VLOOKUP('Background Data'!$C$2,Inst_Tables,4,FALSE),FALSE)</f>
        <v>0</v>
      </c>
      <c r="T14" s="138">
        <f>SUM(R14:S14)</f>
        <v>0</v>
      </c>
      <c r="U14" s="295"/>
      <c r="V14" s="61"/>
      <c r="W14" s="84"/>
      <c r="X14" s="139" t="str">
        <f>IF(R14&gt;0,(D14-R14)/R14,"")</f>
        <v/>
      </c>
      <c r="Y14" s="140" t="str">
        <f>IF(S14&gt;0,(F14-S14)/S14,"")</f>
        <v/>
      </c>
      <c r="Z14" s="305"/>
      <c r="AA14" s="109"/>
      <c r="AB14" s="632">
        <v>2</v>
      </c>
      <c r="AC14" s="633">
        <f>IF(AND(MAX(D14,R14)&gt;0,MIN(D14,R14)=0),1,0)</f>
        <v>0</v>
      </c>
      <c r="AD14" s="634">
        <f>IF(ABS(D14-R14)&gt;=5,AC14,0)</f>
        <v>0</v>
      </c>
      <c r="AE14" s="634">
        <f>IF(X14&lt;&gt;"",IF(AND(MIN(D14,R14)&gt;0,ABS(D14-R14)&gt;=Control_FTE_Tol,ABS(X14)&gt;=Control_Per_Tol),1,0),0)</f>
        <v>0</v>
      </c>
      <c r="AF14" s="635">
        <f>IF(SUM(AD14,AE14)&gt;0,1,0)</f>
        <v>0</v>
      </c>
      <c r="AG14" s="636"/>
      <c r="AH14" s="633">
        <f>IF(AND(MAX(F14,S14)&gt;0,OR(MIN(F14,S14)=0,F14="")),1,0)</f>
        <v>0</v>
      </c>
      <c r="AI14" s="634">
        <f>IF(ABS(F14-S14)&gt;=5,AH14,0)</f>
        <v>0</v>
      </c>
      <c r="AJ14" s="634">
        <f>IF(F14&lt;&gt;"",IF(Y14&lt;&gt;"",IF(AND(MIN(F14,S14)&gt;0,ABS(F14-S14)&gt;=Control_FTE_Tol,ABS(Y14)&gt;=Control_Per_Tol),1,0),0),0)</f>
        <v>0</v>
      </c>
      <c r="AK14" s="635">
        <f>IF(SUM(AI14,AJ14)&gt;0,1,0)</f>
        <v>0</v>
      </c>
      <c r="AM14" s="633"/>
      <c r="AN14" s="634"/>
      <c r="AO14" s="635"/>
    </row>
    <row r="15" spans="1:41" ht="30" customHeight="1">
      <c r="A15" s="29" t="s">
        <v>30</v>
      </c>
      <c r="B15" s="131"/>
      <c r="C15" s="132">
        <v>1076.5</v>
      </c>
      <c r="D15" s="133">
        <f>SUM(B15:C15)</f>
        <v>1076.5</v>
      </c>
      <c r="E15" s="322" t="str">
        <f t="shared" si="0"/>
        <v/>
      </c>
      <c r="F15" s="131">
        <f>275.518</f>
        <v>275.51799999999997</v>
      </c>
      <c r="G15" s="328" t="str">
        <f t="shared" si="1"/>
        <v>?</v>
      </c>
      <c r="H15" s="134">
        <f>SUM(D15,F15)</f>
        <v>1352.018</v>
      </c>
      <c r="I15" s="254"/>
      <c r="J15" s="72"/>
      <c r="K15" s="317"/>
      <c r="L15" s="257"/>
      <c r="M15" s="141" t="str">
        <f>IF(AD15=1,Warning1,IF(AE15=1,Warning2_for_Non_Control,""))</f>
        <v/>
      </c>
      <c r="N15" s="268" t="str">
        <f>IF(AI15=1,Warning1,IF(AJ15=1,Warning2_for_Non_Control,""))</f>
        <v>At least 20 FTE and 5% difference between Final Figures and Early Statistics</v>
      </c>
      <c r="O15" s="268"/>
      <c r="P15" s="267"/>
      <c r="Q15" s="79"/>
      <c r="R15" s="142">
        <f>VLOOKUP($AB15,Early_Stats,VLOOKUP('Background Data'!$C$2,Inst_Tables,3,FALSE),FALSE)</f>
        <v>1073</v>
      </c>
      <c r="S15" s="143">
        <f>VLOOKUP($AB15,Early_Stats,VLOOKUP('Background Data'!$C$2,Inst_Tables,4,FALSE),FALSE)</f>
        <v>320.19</v>
      </c>
      <c r="T15" s="144">
        <f>SUM(R15:S15)</f>
        <v>1393.19</v>
      </c>
      <c r="U15" s="296"/>
      <c r="V15" s="61"/>
      <c r="W15" s="84"/>
      <c r="X15" s="139">
        <f>IF(R15&gt;0,(D15-R15)/R15,"")</f>
        <v>3.2618825722273998E-3</v>
      </c>
      <c r="Y15" s="140">
        <f>IF(S15&gt;0,(F15-S15)/S15,"")</f>
        <v>-0.13951716168524947</v>
      </c>
      <c r="Z15" s="305"/>
      <c r="AA15" s="109"/>
      <c r="AB15" s="632">
        <v>3</v>
      </c>
      <c r="AC15" s="633">
        <f>IF(AND(MAX(D15,R15)&gt;0,MIN(D15,R15)=0),1,0)</f>
        <v>0</v>
      </c>
      <c r="AD15" s="634">
        <f>IF(ABS(D15-R15)&gt;=5,AC15,0)</f>
        <v>0</v>
      </c>
      <c r="AE15" s="634">
        <f>IF(X15&lt;&gt;"",IF(AND(MIN(D15,R15)&gt;0,ABS(D15-R15)&gt;=Non_Control_FTE_Tol,ABS(X15)&gt;=Non_Control_Per_Tol),1,0),0)</f>
        <v>0</v>
      </c>
      <c r="AF15" s="635">
        <f>IF(SUM(AD15,AE15)&gt;0,1,0)</f>
        <v>0</v>
      </c>
      <c r="AG15" s="636"/>
      <c r="AH15" s="633">
        <f>IF(AND(MAX(F15,S15)&gt;0,OR(MIN(F15,S15)=0,F15="")),1,0)</f>
        <v>0</v>
      </c>
      <c r="AI15" s="634">
        <f>IF(ABS(F15-S15)&gt;=5,AH15,0)</f>
        <v>0</v>
      </c>
      <c r="AJ15" s="634">
        <f>IF(F15&lt;&gt;"",IF(Y15&lt;&gt;"",IF(AND(MIN(F15,S15)&gt;0,ABS(F15-S15)&gt;=Non_Control_FTE_Tol,ABS(Y15)&gt;=Non_Control_Per_Tol),1,0),0),0)</f>
        <v>1</v>
      </c>
      <c r="AK15" s="635">
        <f>IF(SUM(AI15,AJ15)&gt;0,1,0)</f>
        <v>1</v>
      </c>
      <c r="AM15" s="633"/>
      <c r="AN15" s="634"/>
      <c r="AO15" s="635"/>
    </row>
    <row r="16" spans="1:41" ht="35.1" customHeight="1" thickBot="1">
      <c r="A16" s="145" t="s">
        <v>3</v>
      </c>
      <c r="B16" s="146">
        <f>SUM(B14:B15)</f>
        <v>0</v>
      </c>
      <c r="C16" s="147">
        <f>SUM(C14:C15)</f>
        <v>1076.5</v>
      </c>
      <c r="D16" s="146">
        <f>SUM(D14:D15)</f>
        <v>1076.5</v>
      </c>
      <c r="E16" s="321"/>
      <c r="F16" s="148">
        <f>SUM(F14:F15)</f>
        <v>275.51799999999997</v>
      </c>
      <c r="G16" s="327"/>
      <c r="H16" s="149">
        <f>SUM(H14:H15)</f>
        <v>1352.018</v>
      </c>
      <c r="I16" s="254"/>
      <c r="J16" s="72"/>
      <c r="K16" s="317"/>
      <c r="L16" s="257"/>
      <c r="M16" s="150"/>
      <c r="N16" s="170"/>
      <c r="O16" s="335"/>
      <c r="P16" s="113"/>
      <c r="Q16" s="79"/>
      <c r="R16" s="152">
        <f>SUM(R14:R15)</f>
        <v>1073</v>
      </c>
      <c r="S16" s="153">
        <f>SUM(S14:S15)</f>
        <v>320.19</v>
      </c>
      <c r="T16" s="154">
        <f>SUM(T14:T15)</f>
        <v>1393.19</v>
      </c>
      <c r="U16" s="297"/>
      <c r="V16" s="61"/>
      <c r="W16" s="84"/>
      <c r="X16" s="155"/>
      <c r="Y16" s="156"/>
      <c r="Z16" s="67"/>
      <c r="AA16" s="67"/>
      <c r="AC16" s="640"/>
      <c r="AD16" s="641"/>
      <c r="AE16" s="641"/>
      <c r="AF16" s="642"/>
      <c r="AG16" s="636"/>
      <c r="AH16" s="637"/>
      <c r="AI16" s="638"/>
      <c r="AJ16" s="638"/>
      <c r="AK16" s="639"/>
      <c r="AM16" s="637"/>
      <c r="AN16" s="638"/>
      <c r="AO16" s="639"/>
    </row>
    <row r="17" spans="1:41" ht="35.1" customHeight="1">
      <c r="A17" s="26" t="s">
        <v>15</v>
      </c>
      <c r="B17" s="157"/>
      <c r="C17" s="158"/>
      <c r="D17" s="159"/>
      <c r="E17" s="323"/>
      <c r="F17" s="159"/>
      <c r="G17" s="329"/>
      <c r="H17" s="115"/>
      <c r="I17" s="254"/>
      <c r="J17" s="266"/>
      <c r="K17" s="317"/>
      <c r="L17" s="257"/>
      <c r="M17" s="114"/>
      <c r="N17" s="115"/>
      <c r="O17" s="78"/>
      <c r="P17" s="113"/>
      <c r="Q17" s="79"/>
      <c r="R17" s="116"/>
      <c r="S17" s="160"/>
      <c r="T17" s="161"/>
      <c r="U17" s="282"/>
      <c r="V17" s="61"/>
      <c r="W17" s="84"/>
      <c r="X17" s="129"/>
      <c r="Y17" s="130"/>
      <c r="Z17" s="311"/>
      <c r="AA17" s="67"/>
      <c r="AB17" s="643"/>
      <c r="AC17" s="637"/>
      <c r="AD17" s="638"/>
      <c r="AE17" s="638"/>
      <c r="AF17" s="639"/>
      <c r="AG17" s="636"/>
      <c r="AH17" s="637"/>
      <c r="AI17" s="638"/>
      <c r="AJ17" s="638"/>
      <c r="AK17" s="639"/>
      <c r="AM17" s="637"/>
      <c r="AN17" s="638"/>
      <c r="AO17" s="639"/>
    </row>
    <row r="18" spans="1:41" ht="30" customHeight="1">
      <c r="A18" s="29" t="s">
        <v>28</v>
      </c>
      <c r="B18" s="121"/>
      <c r="C18" s="122"/>
      <c r="D18" s="123"/>
      <c r="E18" s="321"/>
      <c r="F18" s="123"/>
      <c r="G18" s="327"/>
      <c r="H18" s="124"/>
      <c r="I18" s="254"/>
      <c r="J18" s="72"/>
      <c r="K18" s="317"/>
      <c r="L18" s="257"/>
      <c r="M18" s="125"/>
      <c r="N18" s="124"/>
      <c r="O18" s="78"/>
      <c r="P18" s="113"/>
      <c r="Q18" s="79"/>
      <c r="R18" s="162"/>
      <c r="S18" s="163"/>
      <c r="T18" s="164"/>
      <c r="U18" s="282"/>
      <c r="V18" s="61"/>
      <c r="W18" s="84"/>
      <c r="X18" s="129"/>
      <c r="Y18" s="130"/>
      <c r="Z18" s="312"/>
      <c r="AA18" s="67"/>
      <c r="AB18" s="643"/>
      <c r="AC18" s="637"/>
      <c r="AD18" s="638"/>
      <c r="AE18" s="638"/>
      <c r="AF18" s="639"/>
      <c r="AG18" s="636"/>
      <c r="AH18" s="637"/>
      <c r="AI18" s="638"/>
      <c r="AJ18" s="638"/>
      <c r="AK18" s="639"/>
      <c r="AM18" s="637"/>
      <c r="AN18" s="638"/>
      <c r="AO18" s="639"/>
    </row>
    <row r="19" spans="1:41" ht="30" customHeight="1">
      <c r="A19" s="32" t="s">
        <v>31</v>
      </c>
      <c r="B19" s="131"/>
      <c r="C19" s="132">
        <v>168</v>
      </c>
      <c r="D19" s="133">
        <f>SUM(B19:C19)</f>
        <v>168</v>
      </c>
      <c r="E19" s="322" t="str">
        <f t="shared" si="0"/>
        <v/>
      </c>
      <c r="F19" s="131">
        <v>2</v>
      </c>
      <c r="G19" s="328" t="str">
        <f t="shared" si="1"/>
        <v/>
      </c>
      <c r="H19" s="134">
        <f t="shared" ref="H19:H21" si="2">SUM(D19,F19)</f>
        <v>170</v>
      </c>
      <c r="I19" s="254"/>
      <c r="J19" s="338">
        <v>2</v>
      </c>
      <c r="K19" s="319" t="str">
        <f t="shared" ref="K19:K20" si="3">IF(AO19=1,"?","")</f>
        <v/>
      </c>
      <c r="L19" s="257"/>
      <c r="M19" s="135" t="str">
        <f>IF(AD19=1,Warning1,IF(AE19=1,Warning2_for_Control,""))</f>
        <v/>
      </c>
      <c r="N19" s="136" t="str">
        <f>IF(AI19=1,Warning1,IF(AJ19=1,Warning2_for_Control,""))</f>
        <v/>
      </c>
      <c r="O19" s="135" t="str">
        <f>IF(AM19=1,Warning1,IF(AN19=1,Warning2_for_RUK_Control,""))</f>
        <v/>
      </c>
      <c r="P19" s="267"/>
      <c r="Q19" s="79"/>
      <c r="R19" s="232">
        <f>VLOOKUP($AB19,Early_Stats,VLOOKUP('Background Data'!$C$2,Inst_Tables,3,FALSE),FALSE)</f>
        <v>168</v>
      </c>
      <c r="S19" s="165">
        <f>VLOOKUP($AB19,Early_Stats,VLOOKUP('Background Data'!$C$2,Inst_Tables,4,FALSE),FALSE)</f>
        <v>2</v>
      </c>
      <c r="T19" s="138">
        <f>SUM(R19:S19)</f>
        <v>170</v>
      </c>
      <c r="U19" s="293">
        <f>VLOOKUP($AB19,Early_Stats,VLOOKUP('Background Data'!$C$2,Inst_Tables,5,FALSE),FALSE)</f>
        <v>2</v>
      </c>
      <c r="V19" s="61"/>
      <c r="W19" s="84"/>
      <c r="X19" s="166">
        <f>IF(R19&gt;0,(D19-R19)/R19,"")</f>
        <v>0</v>
      </c>
      <c r="Y19" s="167">
        <f>IF(S19&gt;0,(F19-S19)/S19,"")</f>
        <v>0</v>
      </c>
      <c r="Z19" s="302">
        <f>IF(U19&gt;0,(J19-U19)/U19,"")</f>
        <v>0</v>
      </c>
      <c r="AA19" s="109"/>
      <c r="AB19" s="632">
        <v>5</v>
      </c>
      <c r="AC19" s="633">
        <f>IF(AND(MAX(D19,R19)&gt;0,MIN(D19,R19)=0),1,0)</f>
        <v>0</v>
      </c>
      <c r="AD19" s="634">
        <f>IF(ABS(D19-R19)&gt;=5,AC19,0)</f>
        <v>0</v>
      </c>
      <c r="AE19" s="634">
        <f>IF(X19&lt;&gt;"",IF(AND(MIN(D19,R19)&gt;0,ABS(D19-R19)&gt;=Control_FTE_Tol,ABS(X19)&gt;=Control_Per_Tol),1,0),0)</f>
        <v>0</v>
      </c>
      <c r="AF19" s="635">
        <f>IF(SUM(AD19,AE19)&gt;0,1,0)</f>
        <v>0</v>
      </c>
      <c r="AG19" s="636"/>
      <c r="AH19" s="633">
        <f>IF(AND(MAX(F19,S19)&gt;0,OR(MIN(F19,S19)=0,F19="")),1,0)</f>
        <v>0</v>
      </c>
      <c r="AI19" s="634">
        <f>IF(ABS(F19-S19)&gt;=5,AH19,0)</f>
        <v>0</v>
      </c>
      <c r="AJ19" s="634">
        <f>IF(F19&lt;&gt;"",IF(Y19&lt;&gt;"",IF(AND(MIN(F19,S19)&gt;0,ABS(F19-S19)&gt;=Control_FTE_Tol,ABS(Y19)&gt;=Control_Per_Tol),1,0),0),0)</f>
        <v>0</v>
      </c>
      <c r="AK19" s="635">
        <f>IF(SUM(AI19,AJ19)&gt;0,1,0)</f>
        <v>0</v>
      </c>
      <c r="AM19" s="633">
        <f>IF(AND(MAX(J19,U19)&gt;0,OR(MIN(J19,U19)=0,J19="")),1,0)</f>
        <v>0</v>
      </c>
      <c r="AN19" s="634">
        <f>IF(J19&lt;&gt;"",IF(U19&lt;&gt;"",IF(AND(MIN(J19,U19)&gt;0,ABS(J19-U19)&gt;=RUK_Control_FTE_Tol),1,0),0),0)</f>
        <v>0</v>
      </c>
      <c r="AO19" s="635">
        <f>IF(SUM(AM19,AN19)&gt;0,1,0)</f>
        <v>0</v>
      </c>
    </row>
    <row r="20" spans="1:41" ht="30" customHeight="1">
      <c r="A20" s="32" t="s">
        <v>32</v>
      </c>
      <c r="B20" s="131"/>
      <c r="C20" s="132">
        <f>187+3</f>
        <v>190</v>
      </c>
      <c r="D20" s="133">
        <f>SUM(B20:C20)</f>
        <v>190</v>
      </c>
      <c r="E20" s="322" t="str">
        <f t="shared" si="0"/>
        <v/>
      </c>
      <c r="F20" s="131">
        <v>2</v>
      </c>
      <c r="G20" s="328" t="str">
        <f t="shared" si="1"/>
        <v/>
      </c>
      <c r="H20" s="134">
        <f t="shared" si="2"/>
        <v>192</v>
      </c>
      <c r="I20" s="254"/>
      <c r="J20" s="338">
        <v>6</v>
      </c>
      <c r="K20" s="319" t="str">
        <f t="shared" si="3"/>
        <v/>
      </c>
      <c r="L20" s="257"/>
      <c r="M20" s="135" t="str">
        <f>IF(AD20=1,Warning1,IF(AE20=1,Warning2_for_Control,""))</f>
        <v/>
      </c>
      <c r="N20" s="136" t="str">
        <f>IF(AI20=1,Warning1,IF(AJ20=1,Warning2_for_Control,""))</f>
        <v/>
      </c>
      <c r="O20" s="135" t="str">
        <f>IF(AM20=1,Warning1,IF(AN20=1,Warning2_for_RUK_Control,""))</f>
        <v/>
      </c>
      <c r="P20" s="267"/>
      <c r="Q20" s="79"/>
      <c r="R20" s="233">
        <f>VLOOKUP($AB20,Early_Stats,VLOOKUP('Background Data'!$C$2,Inst_Tables,3,FALSE),FALSE)</f>
        <v>194</v>
      </c>
      <c r="S20" s="143">
        <f>VLOOKUP($AB20,Early_Stats,VLOOKUP('Background Data'!$C$2,Inst_Tables,4,FALSE),FALSE)</f>
        <v>0.5</v>
      </c>
      <c r="T20" s="144">
        <f>SUM(R20:S20)</f>
        <v>194.5</v>
      </c>
      <c r="U20" s="293">
        <f>VLOOKUP($AB20,Early_Stats,VLOOKUP('Background Data'!$C$2,Inst_Tables,5,FALSE),FALSE)</f>
        <v>6</v>
      </c>
      <c r="V20" s="61"/>
      <c r="W20" s="84"/>
      <c r="X20" s="139">
        <f>IF(R20&gt;0,(D20-R20)/R20,"")</f>
        <v>-2.0618556701030927E-2</v>
      </c>
      <c r="Y20" s="140">
        <f t="shared" ref="Y20:Y21" si="4">IF(S20&gt;0,(F20-S20)/S20,"")</f>
        <v>3</v>
      </c>
      <c r="Z20" s="302">
        <f>IF(U20&gt;0,(J20-U20)/U20,"")</f>
        <v>0</v>
      </c>
      <c r="AA20" s="109"/>
      <c r="AB20" s="632">
        <v>6</v>
      </c>
      <c r="AC20" s="633">
        <f>IF(AND(MAX(D20,R20)&gt;0,MIN(D20,R20)=0),1,0)</f>
        <v>0</v>
      </c>
      <c r="AD20" s="634">
        <f>IF(ABS(D20-R20)&gt;=5,AC20,0)</f>
        <v>0</v>
      </c>
      <c r="AE20" s="634">
        <f>IF(X20&lt;&gt;"",IF(AND(MIN(D20,R20)&gt;0,ABS(D20-R20)&gt;=Control_FTE_Tol,ABS(X20)&gt;=Control_Per_Tol),1,0),0)</f>
        <v>0</v>
      </c>
      <c r="AF20" s="635">
        <f>IF(SUM(AD20,AE20)&gt;0,1,0)</f>
        <v>0</v>
      </c>
      <c r="AG20" s="636"/>
      <c r="AH20" s="633">
        <f>IF(AND(MAX(F20,S20)&gt;0,OR(MIN(F20,S20)=0,F20="")),1,0)</f>
        <v>0</v>
      </c>
      <c r="AI20" s="634">
        <f>IF(ABS(F20-S20)&gt;=5,AH20,0)</f>
        <v>0</v>
      </c>
      <c r="AJ20" s="634">
        <f>IF(F20&lt;&gt;"",IF(Y20&lt;&gt;"",IF(AND(MIN(F20,S20)&gt;0,ABS(F20-S20)&gt;=Control_FTE_Tol,ABS(Y20)&gt;=Control_Per_Tol),1,0),0),0)</f>
        <v>0</v>
      </c>
      <c r="AK20" s="635">
        <f>IF(SUM(AI20,AJ20)&gt;0,1,0)</f>
        <v>0</v>
      </c>
      <c r="AM20" s="633">
        <f>IF(AND(MAX(J20,U20)&gt;0,OR(MIN(J20,U20)=0,J20="")),1,0)</f>
        <v>0</v>
      </c>
      <c r="AN20" s="634">
        <f>IF(J20&lt;&gt;"",IF(U20&lt;&gt;"",IF(AND(MIN(J20,U20)&gt;0,ABS(J20-U20)&gt;=RUK_Control_FTE_Tol),1,0),0),0)</f>
        <v>0</v>
      </c>
      <c r="AO20" s="635">
        <f>IF(SUM(AM20,AN20)&gt;0,1,0)</f>
        <v>0</v>
      </c>
    </row>
    <row r="21" spans="1:41" ht="30" customHeight="1">
      <c r="A21" s="29" t="s">
        <v>30</v>
      </c>
      <c r="B21" s="131"/>
      <c r="C21" s="132">
        <v>3</v>
      </c>
      <c r="D21" s="133">
        <f>SUM(B21:C21)</f>
        <v>3</v>
      </c>
      <c r="E21" s="322" t="str">
        <f t="shared" si="0"/>
        <v/>
      </c>
      <c r="F21" s="131">
        <v>186.37131299999976</v>
      </c>
      <c r="G21" s="328" t="str">
        <f t="shared" si="1"/>
        <v>?</v>
      </c>
      <c r="H21" s="134">
        <f t="shared" si="2"/>
        <v>189.37131299999976</v>
      </c>
      <c r="I21" s="254"/>
      <c r="J21" s="72"/>
      <c r="K21" s="317"/>
      <c r="L21" s="257"/>
      <c r="M21" s="135" t="str">
        <f>IF(AD21=1,Warning1,IF(AE21=1,Warning2_for_Non_Control,""))</f>
        <v/>
      </c>
      <c r="N21" s="136" t="str">
        <f>IF(AI21=1,Warning1,IF(AJ21=1,Warning2_for_Non_Control,""))</f>
        <v>At least 20 FTE and 5% difference between Final Figures and Early Statistics</v>
      </c>
      <c r="O21" s="268"/>
      <c r="P21" s="267"/>
      <c r="Q21" s="79"/>
      <c r="R21" s="233">
        <f>VLOOKUP($AB21,Early_Stats,VLOOKUP('Background Data'!$C$2,Inst_Tables,3,FALSE),FALSE)</f>
        <v>9</v>
      </c>
      <c r="S21" s="143">
        <f>VLOOKUP($AB21,Early_Stats,VLOOKUP('Background Data'!$C$2,Inst_Tables,4,FALSE),FALSE)</f>
        <v>227.06</v>
      </c>
      <c r="T21" s="144">
        <f>SUM(R21:S21)</f>
        <v>236.06</v>
      </c>
      <c r="U21" s="281"/>
      <c r="V21" s="61"/>
      <c r="W21" s="84"/>
      <c r="X21" s="139">
        <f>IF(R21&gt;0,(D21-R21)/R21,"")</f>
        <v>-0.66666666666666663</v>
      </c>
      <c r="Y21" s="140">
        <f t="shared" si="4"/>
        <v>-0.1791979520831509</v>
      </c>
      <c r="Z21" s="313"/>
      <c r="AA21" s="109"/>
      <c r="AB21" s="632">
        <v>7</v>
      </c>
      <c r="AC21" s="633">
        <f>IF(AND(MAX(D21,R21)&gt;0,MIN(D21,R21)=0),1,0)</f>
        <v>0</v>
      </c>
      <c r="AD21" s="634">
        <f>IF(ABS(D21-R21)&gt;=5,AC21,0)</f>
        <v>0</v>
      </c>
      <c r="AE21" s="634">
        <f>IF(X21&lt;&gt;"",IF(AND(MIN(D21,R21)&gt;0,ABS(D21-R21)&gt;=Non_Control_FTE_Tol,ABS(X21)&gt;=Non_Control_Per_Tol),1,0),0)</f>
        <v>0</v>
      </c>
      <c r="AF21" s="635">
        <f>IF(SUM(AD21,AE21)&gt;0,1,0)</f>
        <v>0</v>
      </c>
      <c r="AG21" s="636"/>
      <c r="AH21" s="633">
        <f>IF(AND(MAX(F21,S21)&gt;0,OR(MIN(F21,S21)=0,F21="")),1,0)</f>
        <v>0</v>
      </c>
      <c r="AI21" s="634">
        <f>IF(ABS(F21-S21)&gt;=5,AH21,0)</f>
        <v>0</v>
      </c>
      <c r="AJ21" s="634">
        <f>IF(F21&lt;&gt;"",IF(Y21&lt;&gt;"",IF(AND(MIN(F21,S21)&gt;0,ABS(F21-S21)&gt;=Non_Control_FTE_Tol,ABS(Y21)&gt;=Non_Control_Per_Tol),1,0),0),0)</f>
        <v>1</v>
      </c>
      <c r="AK21" s="635">
        <f>IF(SUM(AI21,AJ21)&gt;0,1,0)</f>
        <v>1</v>
      </c>
      <c r="AM21" s="633"/>
      <c r="AN21" s="634"/>
      <c r="AO21" s="635"/>
    </row>
    <row r="22" spans="1:41" ht="35.1" customHeight="1" thickBot="1">
      <c r="A22" s="145" t="s">
        <v>3</v>
      </c>
      <c r="B22" s="146">
        <f>SUM(B19:B21)</f>
        <v>0</v>
      </c>
      <c r="C22" s="147">
        <f>SUM(C19:C21)</f>
        <v>361</v>
      </c>
      <c r="D22" s="146">
        <f>SUM(D19:D21)</f>
        <v>361</v>
      </c>
      <c r="E22" s="324"/>
      <c r="F22" s="146">
        <f>SUM(F19:F21)</f>
        <v>190.37131299999976</v>
      </c>
      <c r="G22" s="330"/>
      <c r="H22" s="168">
        <f>SUM(H19:H21)</f>
        <v>551.37131299999976</v>
      </c>
      <c r="I22" s="254"/>
      <c r="J22" s="263"/>
      <c r="K22" s="317"/>
      <c r="L22" s="257"/>
      <c r="M22" s="169"/>
      <c r="N22" s="170"/>
      <c r="O22" s="78"/>
      <c r="P22" s="113"/>
      <c r="Q22" s="79"/>
      <c r="R22" s="291">
        <f>SUM(R19:R21)</f>
        <v>371</v>
      </c>
      <c r="S22" s="292">
        <f>SUM(S19:S21)</f>
        <v>229.56</v>
      </c>
      <c r="T22" s="154">
        <f>SUM(T19:T21)</f>
        <v>600.55999999999995</v>
      </c>
      <c r="U22" s="283"/>
      <c r="V22" s="61"/>
      <c r="W22" s="84"/>
      <c r="X22" s="172"/>
      <c r="Y22" s="173"/>
      <c r="Z22" s="314"/>
      <c r="AA22" s="67"/>
      <c r="AB22" s="644"/>
      <c r="AC22" s="637"/>
      <c r="AD22" s="638"/>
      <c r="AE22" s="638"/>
      <c r="AF22" s="639"/>
      <c r="AG22" s="636"/>
      <c r="AH22" s="637"/>
      <c r="AI22" s="638"/>
      <c r="AJ22" s="638"/>
      <c r="AK22" s="639"/>
      <c r="AM22" s="637"/>
      <c r="AN22" s="638"/>
      <c r="AO22" s="639"/>
    </row>
    <row r="23" spans="1:41" ht="35.1" customHeight="1">
      <c r="A23" s="174" t="s">
        <v>17</v>
      </c>
      <c r="B23" s="175"/>
      <c r="C23" s="158"/>
      <c r="D23" s="159"/>
      <c r="E23" s="321"/>
      <c r="F23" s="113"/>
      <c r="G23" s="327"/>
      <c r="H23" s="78"/>
      <c r="I23" s="254"/>
      <c r="J23" s="72"/>
      <c r="K23" s="317"/>
      <c r="L23" s="257"/>
      <c r="M23" s="114"/>
      <c r="N23" s="115"/>
      <c r="O23" s="114"/>
      <c r="P23" s="113"/>
      <c r="Q23" s="79"/>
      <c r="R23" s="176"/>
      <c r="S23" s="177"/>
      <c r="T23" s="178"/>
      <c r="U23" s="282"/>
      <c r="V23" s="61"/>
      <c r="W23" s="84"/>
      <c r="X23" s="119"/>
      <c r="Y23" s="120"/>
      <c r="Z23" s="300"/>
      <c r="AA23" s="67"/>
      <c r="AB23" s="643"/>
      <c r="AC23" s="637"/>
      <c r="AD23" s="638"/>
      <c r="AE23" s="638"/>
      <c r="AF23" s="639"/>
      <c r="AG23" s="636"/>
      <c r="AH23" s="637"/>
      <c r="AI23" s="638"/>
      <c r="AJ23" s="638"/>
      <c r="AK23" s="639"/>
      <c r="AM23" s="637"/>
      <c r="AN23" s="638"/>
      <c r="AO23" s="639"/>
    </row>
    <row r="24" spans="1:41" ht="30" customHeight="1">
      <c r="A24" s="179" t="s">
        <v>28</v>
      </c>
      <c r="B24" s="179"/>
      <c r="C24" s="122"/>
      <c r="D24" s="113"/>
      <c r="E24" s="321"/>
      <c r="F24" s="113"/>
      <c r="G24" s="327"/>
      <c r="H24" s="78"/>
      <c r="I24" s="254"/>
      <c r="J24" s="72"/>
      <c r="K24" s="317"/>
      <c r="L24" s="257"/>
      <c r="M24" s="125"/>
      <c r="N24" s="78"/>
      <c r="O24" s="125"/>
      <c r="P24" s="113"/>
      <c r="Q24" s="79"/>
      <c r="R24" s="176"/>
      <c r="S24" s="177"/>
      <c r="T24" s="178"/>
      <c r="U24" s="282"/>
      <c r="V24" s="61"/>
      <c r="W24" s="84"/>
      <c r="X24" s="129"/>
      <c r="Y24" s="130"/>
      <c r="Z24" s="300"/>
      <c r="AA24" s="67"/>
      <c r="AB24" s="643"/>
      <c r="AC24" s="637"/>
      <c r="AD24" s="638"/>
      <c r="AE24" s="638"/>
      <c r="AF24" s="639"/>
      <c r="AG24" s="636"/>
      <c r="AH24" s="637"/>
      <c r="AI24" s="638"/>
      <c r="AJ24" s="638"/>
      <c r="AK24" s="639"/>
      <c r="AM24" s="637"/>
      <c r="AN24" s="638"/>
      <c r="AO24" s="639"/>
    </row>
    <row r="25" spans="1:41" ht="30" customHeight="1">
      <c r="A25" s="180" t="s">
        <v>33</v>
      </c>
      <c r="B25" s="180"/>
      <c r="C25" s="181"/>
      <c r="D25" s="113"/>
      <c r="E25" s="321"/>
      <c r="F25" s="113"/>
      <c r="G25" s="327"/>
      <c r="H25" s="78"/>
      <c r="I25" s="254"/>
      <c r="J25" s="72"/>
      <c r="K25" s="317"/>
      <c r="L25" s="257"/>
      <c r="M25" s="125"/>
      <c r="N25" s="124"/>
      <c r="O25" s="125"/>
      <c r="P25" s="113"/>
      <c r="Q25" s="79"/>
      <c r="R25" s="176"/>
      <c r="S25" s="177"/>
      <c r="T25" s="182"/>
      <c r="U25" s="282"/>
      <c r="V25" s="61"/>
      <c r="W25" s="84"/>
      <c r="X25" s="129"/>
      <c r="Y25" s="130"/>
      <c r="Z25" s="300"/>
      <c r="AA25" s="67"/>
      <c r="AB25" s="643"/>
      <c r="AC25" s="637"/>
      <c r="AD25" s="638"/>
      <c r="AE25" s="638"/>
      <c r="AF25" s="639"/>
      <c r="AG25" s="636"/>
      <c r="AH25" s="637"/>
      <c r="AI25" s="638"/>
      <c r="AJ25" s="638"/>
      <c r="AK25" s="639"/>
      <c r="AM25" s="637"/>
      <c r="AN25" s="638"/>
      <c r="AO25" s="639"/>
    </row>
    <row r="26" spans="1:41" ht="30" customHeight="1">
      <c r="A26" s="183" t="s">
        <v>24</v>
      </c>
      <c r="B26" s="184">
        <v>52</v>
      </c>
      <c r="C26" s="185">
        <v>499</v>
      </c>
      <c r="D26" s="133">
        <f>SUM(B26:C26)</f>
        <v>551</v>
      </c>
      <c r="E26" s="322" t="str">
        <f t="shared" si="0"/>
        <v/>
      </c>
      <c r="F26" s="131"/>
      <c r="G26" s="328" t="str">
        <f t="shared" si="1"/>
        <v/>
      </c>
      <c r="H26" s="134">
        <f t="shared" ref="H26:H29" si="5">SUM(D26,F26)</f>
        <v>551</v>
      </c>
      <c r="I26" s="254"/>
      <c r="J26" s="338">
        <v>154</v>
      </c>
      <c r="K26" s="319" t="str">
        <f t="shared" ref="K26:K29" si="6">IF(AO26=1,"?","")</f>
        <v/>
      </c>
      <c r="L26" s="257"/>
      <c r="M26" s="135" t="str">
        <f>IF(AD26=1,Warning1,IF(AE26=1,Warning2_for_Control,""))</f>
        <v/>
      </c>
      <c r="N26" s="136" t="str">
        <f>IF(AI26=1,Warning1,IF(AJ26=1,Warning2_for_Control,""))</f>
        <v/>
      </c>
      <c r="O26" s="135" t="str">
        <f>IF(AM26=1,Warning1,IF(AN26=1,Warning2_for_RUK_Control,""))</f>
        <v/>
      </c>
      <c r="P26" s="267"/>
      <c r="Q26" s="79"/>
      <c r="R26" s="142">
        <f>VLOOKUP($AB26,Early_Stats,VLOOKUP('Background Data'!$C$2,Inst_Tables,3,FALSE),FALSE)</f>
        <v>553</v>
      </c>
      <c r="S26" s="143">
        <f>VLOOKUP($AB26,Early_Stats,VLOOKUP('Background Data'!$C$2,Inst_Tables,4,FALSE),FALSE)</f>
        <v>0</v>
      </c>
      <c r="T26" s="144">
        <f>SUM(R26:S26)</f>
        <v>553</v>
      </c>
      <c r="U26" s="293">
        <f>VLOOKUP($AB26,Early_Stats,VLOOKUP('Background Data'!$C$2,Inst_Tables,5,FALSE),FALSE)</f>
        <v>154</v>
      </c>
      <c r="V26" s="61"/>
      <c r="W26" s="84"/>
      <c r="X26" s="166">
        <f>IF(R26&gt;0,(D26-R26)/R26,"")</f>
        <v>-3.616636528028933E-3</v>
      </c>
      <c r="Y26" s="167" t="str">
        <f t="shared" ref="Y26:Y29" si="7">IF(S26&gt;0,(F26-S26)/S26,"")</f>
        <v/>
      </c>
      <c r="Z26" s="302">
        <f t="shared" ref="Z26:Z29" si="8">IF(U26&gt;0,(J26-U26)/U26,"")</f>
        <v>0</v>
      </c>
      <c r="AA26" s="109"/>
      <c r="AB26" s="632">
        <v>8</v>
      </c>
      <c r="AC26" s="633">
        <f>IF(AND(MAX(D26,R26)&gt;0,MIN(D26,R26)=0),1,0)</f>
        <v>0</v>
      </c>
      <c r="AD26" s="634">
        <f>IF(ABS(D26-R26)&gt;=5,AC26,0)</f>
        <v>0</v>
      </c>
      <c r="AE26" s="634">
        <f>IF(X26&lt;&gt;"",IF(AND(MIN(D26,R26)&gt;0,ABS(D26-R26)&gt;=Control_FTE_Tol,ABS(X26)&gt;=Control_Per_Tol),1,0),0)</f>
        <v>0</v>
      </c>
      <c r="AF26" s="635">
        <f>IF(SUM(AD26,AE26)&gt;0,1,0)</f>
        <v>0</v>
      </c>
      <c r="AG26" s="636"/>
      <c r="AH26" s="633">
        <f>IF(AND(MAX(F26,S26)&gt;0,OR(MIN(F26,S26)=0,F26="")),1,0)</f>
        <v>0</v>
      </c>
      <c r="AI26" s="634">
        <f>IF(ABS(F26-S26)&gt;=5,AH26,0)</f>
        <v>0</v>
      </c>
      <c r="AJ26" s="634">
        <f>IF(F26&lt;&gt;"",IF(Y26&lt;&gt;"",IF(AND(MIN(F26,S26)&gt;0,ABS(F26-S26)&gt;=Control_FTE_Tol,ABS(Y26)&gt;=Control_Per_Tol),1,0),0),0)</f>
        <v>0</v>
      </c>
      <c r="AK26" s="635">
        <f>IF(SUM(AI26,AJ26)&gt;0,1,0)</f>
        <v>0</v>
      </c>
      <c r="AM26" s="633">
        <f t="shared" ref="AM26:AM29" si="9">IF(AND(MAX(J26,U26)&gt;0,OR(MIN(J26,U26)=0,J26="")),1,0)</f>
        <v>0</v>
      </c>
      <c r="AN26" s="634">
        <f>IF(J26&lt;&gt;"",IF(U26&lt;&gt;"",IF(AND(MIN(J26,U26)&gt;0,ABS(J26-U26)&gt;=RUK_Control_FTE_Tol),1,0),0),0)</f>
        <v>0</v>
      </c>
      <c r="AO26" s="635">
        <f t="shared" ref="AO26:AO29" si="10">IF(SUM(AM26,AN26)&gt;0,1,0)</f>
        <v>0</v>
      </c>
    </row>
    <row r="27" spans="1:41" ht="30" customHeight="1">
      <c r="A27" s="183" t="s">
        <v>25</v>
      </c>
      <c r="B27" s="184">
        <v>1</v>
      </c>
      <c r="C27" s="185">
        <v>241</v>
      </c>
      <c r="D27" s="133">
        <f t="shared" ref="D27:D40" si="11">SUM(B27:C27)</f>
        <v>242</v>
      </c>
      <c r="E27" s="322" t="str">
        <f t="shared" si="0"/>
        <v/>
      </c>
      <c r="F27" s="131"/>
      <c r="G27" s="328" t="str">
        <f t="shared" si="1"/>
        <v/>
      </c>
      <c r="H27" s="134">
        <f t="shared" si="5"/>
        <v>242</v>
      </c>
      <c r="I27" s="254"/>
      <c r="J27" s="338">
        <v>54</v>
      </c>
      <c r="K27" s="319" t="str">
        <f t="shared" si="6"/>
        <v/>
      </c>
      <c r="L27" s="257"/>
      <c r="M27" s="135" t="str">
        <f>IF(AD27=1,Warning1,IF(AE27=1,Warning2_for_Control,""))</f>
        <v/>
      </c>
      <c r="N27" s="136" t="str">
        <f>IF(AI27=1,Warning1,IF(AJ27=1,Warning2_for_Control,""))</f>
        <v/>
      </c>
      <c r="O27" s="135" t="str">
        <f>IF(AM27=1,Warning1,IF(AN27=1,Warning2_for_RUK_Control,""))</f>
        <v/>
      </c>
      <c r="P27" s="267"/>
      <c r="Q27" s="79"/>
      <c r="R27" s="142">
        <f>VLOOKUP($AB27,Early_Stats,VLOOKUP('Background Data'!$C$2,Inst_Tables,3,FALSE),FALSE)</f>
        <v>242</v>
      </c>
      <c r="S27" s="143">
        <f>VLOOKUP($AB27,Early_Stats,VLOOKUP('Background Data'!$C$2,Inst_Tables,4,FALSE),FALSE)</f>
        <v>0</v>
      </c>
      <c r="T27" s="144">
        <f>SUM(R27:S27)</f>
        <v>242</v>
      </c>
      <c r="U27" s="293">
        <f>VLOOKUP($AB27,Early_Stats,VLOOKUP('Background Data'!$C$2,Inst_Tables,5,FALSE),FALSE)</f>
        <v>54</v>
      </c>
      <c r="V27" s="61"/>
      <c r="W27" s="84"/>
      <c r="X27" s="139">
        <f>IF(R27&gt;0,(D27-R27)/R27,"")</f>
        <v>0</v>
      </c>
      <c r="Y27" s="140" t="str">
        <f t="shared" si="7"/>
        <v/>
      </c>
      <c r="Z27" s="302">
        <f t="shared" si="8"/>
        <v>0</v>
      </c>
      <c r="AA27" s="109"/>
      <c r="AB27" s="632">
        <v>9</v>
      </c>
      <c r="AC27" s="633">
        <f>IF(AND(MAX(D27,R27)&gt;0,MIN(D27,R27)=0),1,0)</f>
        <v>0</v>
      </c>
      <c r="AD27" s="634">
        <f>IF(ABS(D27-R27)&gt;=5,AC27,0)</f>
        <v>0</v>
      </c>
      <c r="AE27" s="634">
        <f>IF(X27&lt;&gt;"",IF(AND(MIN(D27,R27)&gt;0,ABS(D27-R27)&gt;=Control_FTE_Tol,ABS(X27)&gt;=Control_Per_Tol),1,0),0)</f>
        <v>0</v>
      </c>
      <c r="AF27" s="635">
        <f>IF(SUM(AD27,AE27)&gt;0,1,0)</f>
        <v>0</v>
      </c>
      <c r="AG27" s="636"/>
      <c r="AH27" s="633">
        <f>IF(AND(MAX(F27,S27)&gt;0,OR(MIN(F27,S27)=0,F27="")),1,0)</f>
        <v>0</v>
      </c>
      <c r="AI27" s="634">
        <f>IF(ABS(F27-S27)&gt;=5,AH27,0)</f>
        <v>0</v>
      </c>
      <c r="AJ27" s="634">
        <f>IF(F27&lt;&gt;"",IF(Y27&lt;&gt;"",IF(AND(MIN(F27,S27)&gt;0,ABS(F27-S27)&gt;=Control_FTE_Tol,ABS(Y27)&gt;=Control_Per_Tol),1,0),0),0)</f>
        <v>0</v>
      </c>
      <c r="AK27" s="635">
        <f>IF(SUM(AI27,AJ27)&gt;0,1,0)</f>
        <v>0</v>
      </c>
      <c r="AM27" s="633">
        <f t="shared" si="9"/>
        <v>0</v>
      </c>
      <c r="AN27" s="634">
        <f>IF(J27&lt;&gt;"",IF(U27&lt;&gt;"",IF(AND(MIN(J27,U27)&gt;0,ABS(J27-U27)&gt;=RUK_Control_FTE_Tol),1,0),0),0)</f>
        <v>0</v>
      </c>
      <c r="AO27" s="635">
        <f t="shared" si="10"/>
        <v>0</v>
      </c>
    </row>
    <row r="28" spans="1:41" ht="30" customHeight="1">
      <c r="A28" s="183" t="s">
        <v>8</v>
      </c>
      <c r="B28" s="184"/>
      <c r="C28" s="185">
        <v>324</v>
      </c>
      <c r="D28" s="133">
        <f t="shared" si="11"/>
        <v>324</v>
      </c>
      <c r="E28" s="322" t="str">
        <f t="shared" si="0"/>
        <v/>
      </c>
      <c r="F28" s="131"/>
      <c r="G28" s="328" t="str">
        <f t="shared" si="1"/>
        <v/>
      </c>
      <c r="H28" s="134">
        <f t="shared" si="5"/>
        <v>324</v>
      </c>
      <c r="I28" s="254"/>
      <c r="J28" s="338">
        <v>120</v>
      </c>
      <c r="K28" s="319" t="str">
        <f t="shared" si="6"/>
        <v/>
      </c>
      <c r="L28" s="257"/>
      <c r="M28" s="135" t="str">
        <f>IF(AD28=1,Warning1,IF(AE28=1,Warning2_for_Control,""))</f>
        <v/>
      </c>
      <c r="N28" s="136" t="str">
        <f>IF(AI28=1,Warning1,IF(AJ28=1,Warning2_for_Control,""))</f>
        <v/>
      </c>
      <c r="O28" s="135" t="str">
        <f>IF(AM28=1,Warning1,IF(AN28=1,Warning2_for_RUK_Control,""))</f>
        <v/>
      </c>
      <c r="P28" s="267"/>
      <c r="Q28" s="79"/>
      <c r="R28" s="142">
        <f>VLOOKUP($AB28,Early_Stats,VLOOKUP('Background Data'!$C$2,Inst_Tables,3,FALSE),FALSE)</f>
        <v>324</v>
      </c>
      <c r="S28" s="143">
        <f>VLOOKUP($AB28,Early_Stats,VLOOKUP('Background Data'!$C$2,Inst_Tables,4,FALSE),FALSE)</f>
        <v>0</v>
      </c>
      <c r="T28" s="144">
        <f>SUM(R28:S28)</f>
        <v>324</v>
      </c>
      <c r="U28" s="293">
        <f>VLOOKUP($AB28,Early_Stats,VLOOKUP('Background Data'!$C$2,Inst_Tables,5,FALSE),FALSE)</f>
        <v>120</v>
      </c>
      <c r="V28" s="61"/>
      <c r="W28" s="84"/>
      <c r="X28" s="139">
        <f>IF(R28&gt;0,(D28-R28)/R28,"")</f>
        <v>0</v>
      </c>
      <c r="Y28" s="140" t="str">
        <f t="shared" si="7"/>
        <v/>
      </c>
      <c r="Z28" s="302">
        <f t="shared" si="8"/>
        <v>0</v>
      </c>
      <c r="AA28" s="109"/>
      <c r="AB28" s="632">
        <v>10</v>
      </c>
      <c r="AC28" s="633">
        <f>IF(AND(MAX(D28,R28)&gt;0,MIN(D28,R28)=0),1,0)</f>
        <v>0</v>
      </c>
      <c r="AD28" s="634">
        <f>IF(ABS(D28-R28)&gt;=5,AC28,0)</f>
        <v>0</v>
      </c>
      <c r="AE28" s="634">
        <f>IF(X28&lt;&gt;"",IF(AND(MIN(D28,R28)&gt;0,ABS(D28-R28)&gt;=Control_FTE_Tol,ABS(X28)&gt;=Control_Per_Tol),1,0),0)</f>
        <v>0</v>
      </c>
      <c r="AF28" s="635">
        <f>IF(SUM(AD28,AE28)&gt;0,1,0)</f>
        <v>0</v>
      </c>
      <c r="AG28" s="636"/>
      <c r="AH28" s="633">
        <f>IF(AND(MAX(F28,S28)&gt;0,OR(MIN(F28,S28)=0,F28="")),1,0)</f>
        <v>0</v>
      </c>
      <c r="AI28" s="634">
        <f>IF(ABS(F28-S28)&gt;=5,AH28,0)</f>
        <v>0</v>
      </c>
      <c r="AJ28" s="634">
        <f>IF(F28&lt;&gt;"",IF(Y28&lt;&gt;"",IF(AND(MIN(F28,S28)&gt;0,ABS(F28-S28)&gt;=Control_FTE_Tol,ABS(Y28)&gt;=Control_Per_Tol),1,0),0),0)</f>
        <v>0</v>
      </c>
      <c r="AK28" s="635">
        <f>IF(SUM(AI28,AJ28)&gt;0,1,0)</f>
        <v>0</v>
      </c>
      <c r="AM28" s="633">
        <f t="shared" si="9"/>
        <v>0</v>
      </c>
      <c r="AN28" s="634">
        <f>IF(J28&lt;&gt;"",IF(U28&lt;&gt;"",IF(AND(MIN(J28,U28)&gt;0,ABS(J28-U28)&gt;=RUK_Control_FTE_Tol),1,0),0),0)</f>
        <v>0</v>
      </c>
      <c r="AO28" s="635">
        <f t="shared" si="10"/>
        <v>0</v>
      </c>
    </row>
    <row r="29" spans="1:41" ht="30" customHeight="1">
      <c r="A29" s="183" t="s">
        <v>9</v>
      </c>
      <c r="B29" s="184"/>
      <c r="C29" s="185">
        <v>54</v>
      </c>
      <c r="D29" s="133">
        <f>SUM(B29:C29)</f>
        <v>54</v>
      </c>
      <c r="E29" s="322" t="str">
        <f t="shared" si="0"/>
        <v/>
      </c>
      <c r="F29" s="131"/>
      <c r="G29" s="328" t="str">
        <f t="shared" si="1"/>
        <v/>
      </c>
      <c r="H29" s="134">
        <f t="shared" si="5"/>
        <v>54</v>
      </c>
      <c r="I29" s="254"/>
      <c r="J29" s="338">
        <v>14</v>
      </c>
      <c r="K29" s="319" t="str">
        <f t="shared" si="6"/>
        <v/>
      </c>
      <c r="L29" s="257"/>
      <c r="M29" s="135" t="str">
        <f>IF(AD29=1,Warning1,IF(AE29=1,Warning2_for_Control,""))</f>
        <v/>
      </c>
      <c r="N29" s="136" t="str">
        <f>IF(AI29=1,Warning1,IF(AJ29=1,Warning2_for_Control,""))</f>
        <v/>
      </c>
      <c r="O29" s="135" t="str">
        <f>IF(AM29=1,Warning1,IF(AN29=1,Warning2_for_RUK_Control,""))</f>
        <v/>
      </c>
      <c r="P29" s="267"/>
      <c r="Q29" s="79"/>
      <c r="R29" s="142">
        <f>VLOOKUP($AB29,Early_Stats,VLOOKUP('Background Data'!$C$2,Inst_Tables,3,FALSE),FALSE)</f>
        <v>54</v>
      </c>
      <c r="S29" s="143">
        <f>VLOOKUP($AB29,Early_Stats,VLOOKUP('Background Data'!$C$2,Inst_Tables,4,FALSE),FALSE)</f>
        <v>0</v>
      </c>
      <c r="T29" s="144">
        <f>SUM(R29:S29)</f>
        <v>54</v>
      </c>
      <c r="U29" s="293">
        <f>VLOOKUP($AB29,Early_Stats,VLOOKUP('Background Data'!$C$2,Inst_Tables,5,FALSE),FALSE)</f>
        <v>14</v>
      </c>
      <c r="V29" s="61"/>
      <c r="W29" s="84"/>
      <c r="X29" s="139">
        <f>IF(R29&gt;0,(D29-R29)/R29,"")</f>
        <v>0</v>
      </c>
      <c r="Y29" s="140" t="str">
        <f t="shared" si="7"/>
        <v/>
      </c>
      <c r="Z29" s="302">
        <f t="shared" si="8"/>
        <v>0</v>
      </c>
      <c r="AA29" s="109"/>
      <c r="AB29" s="632">
        <v>11</v>
      </c>
      <c r="AC29" s="633">
        <f>IF(AND(MAX(D29,R29)&gt;0,MIN(D29,R29)=0),1,0)</f>
        <v>0</v>
      </c>
      <c r="AD29" s="634">
        <f>IF(ABS(D29-R29)&gt;=5,AC29,0)</f>
        <v>0</v>
      </c>
      <c r="AE29" s="634">
        <f>IF(X29&lt;&gt;"",IF(AND(MIN(D29,R29)&gt;0,ABS(D29-R29)&gt;=Control_FTE_Tol,ABS(X29)&gt;=Control_Per_Tol),1,0),0)</f>
        <v>0</v>
      </c>
      <c r="AF29" s="635">
        <f>IF(SUM(AD29,AE29)&gt;0,1,0)</f>
        <v>0</v>
      </c>
      <c r="AG29" s="636"/>
      <c r="AH29" s="633">
        <f>IF(AND(MAX(F29,S29)&gt;0,OR(MIN(F29,S29)=0,F29="")),1,0)</f>
        <v>0</v>
      </c>
      <c r="AI29" s="634">
        <f>IF(ABS(F29-S29)&gt;=5,AH29,0)</f>
        <v>0</v>
      </c>
      <c r="AJ29" s="634">
        <f>IF(F29&lt;&gt;"",IF(Y29&lt;&gt;"",IF(AND(MIN(F29,S29)&gt;0,ABS(F29-S29)&gt;=Control_FTE_Tol,ABS(Y29)&gt;=Control_Per_Tol),1,0),0),0)</f>
        <v>0</v>
      </c>
      <c r="AK29" s="635">
        <f>IF(SUM(AI29,AJ29)&gt;0,1,0)</f>
        <v>0</v>
      </c>
      <c r="AM29" s="633">
        <f t="shared" si="9"/>
        <v>0</v>
      </c>
      <c r="AN29" s="634">
        <f>IF(J29&lt;&gt;"",IF(U29&lt;&gt;"",IF(AND(MIN(J29,U29)&gt;0,ABS(J29-U29)&gt;=RUK_Control_FTE_Tol),1,0),0),0)</f>
        <v>0</v>
      </c>
      <c r="AO29" s="635">
        <f t="shared" si="10"/>
        <v>0</v>
      </c>
    </row>
    <row r="30" spans="1:41" ht="30" customHeight="1">
      <c r="A30" s="180" t="s">
        <v>10</v>
      </c>
      <c r="B30" s="186"/>
      <c r="C30" s="187"/>
      <c r="D30" s="188"/>
      <c r="E30" s="321"/>
      <c r="F30" s="188"/>
      <c r="G30" s="327"/>
      <c r="H30" s="189"/>
      <c r="I30" s="254"/>
      <c r="J30" s="72"/>
      <c r="K30" s="317"/>
      <c r="L30" s="257"/>
      <c r="M30" s="190"/>
      <c r="N30" s="191"/>
      <c r="O30" s="337"/>
      <c r="P30" s="259"/>
      <c r="Q30" s="79"/>
      <c r="R30" s="192"/>
      <c r="S30" s="193"/>
      <c r="T30" s="194"/>
      <c r="U30" s="282"/>
      <c r="V30" s="61"/>
      <c r="W30" s="84"/>
      <c r="X30" s="195"/>
      <c r="Y30" s="196"/>
      <c r="Z30" s="300"/>
      <c r="AA30" s="67"/>
      <c r="AB30" s="644"/>
      <c r="AC30" s="637"/>
      <c r="AD30" s="638"/>
      <c r="AE30" s="638"/>
      <c r="AF30" s="639"/>
      <c r="AG30" s="636"/>
      <c r="AH30" s="637"/>
      <c r="AI30" s="638"/>
      <c r="AJ30" s="638"/>
      <c r="AK30" s="639"/>
      <c r="AM30" s="637"/>
      <c r="AN30" s="638"/>
      <c r="AO30" s="639"/>
    </row>
    <row r="31" spans="1:41" ht="30" customHeight="1">
      <c r="A31" s="183" t="s">
        <v>34</v>
      </c>
      <c r="B31" s="184"/>
      <c r="C31" s="185">
        <v>536</v>
      </c>
      <c r="D31" s="133">
        <f t="shared" si="11"/>
        <v>536</v>
      </c>
      <c r="E31" s="322" t="str">
        <f t="shared" si="0"/>
        <v/>
      </c>
      <c r="F31" s="131">
        <v>3.2</v>
      </c>
      <c r="G31" s="328" t="str">
        <f t="shared" si="1"/>
        <v/>
      </c>
      <c r="H31" s="134">
        <f t="shared" ref="H31:H34" si="12">SUM(D31,F31)</f>
        <v>539.20000000000005</v>
      </c>
      <c r="I31" s="254"/>
      <c r="J31" s="338">
        <v>8</v>
      </c>
      <c r="K31" s="319" t="str">
        <f t="shared" ref="K31:K34" si="13">IF(AO31=1,"?","")</f>
        <v/>
      </c>
      <c r="L31" s="257"/>
      <c r="M31" s="135" t="str">
        <f>IF(AD31=1,Warning1,IF(AE31=1,Warning2_for_Control,""))</f>
        <v/>
      </c>
      <c r="N31" s="136" t="str">
        <f>IF(AI31=1,Warning1,IF(AJ31=1,Warning2_for_Control,""))</f>
        <v/>
      </c>
      <c r="O31" s="135" t="str">
        <f>IF(AM31=1,Warning1,IF(AN31=1,Warning2_for_RUK_Control,""))</f>
        <v/>
      </c>
      <c r="P31" s="267"/>
      <c r="Q31" s="79"/>
      <c r="R31" s="142">
        <f>VLOOKUP($AB31,Early_Stats,VLOOKUP('Background Data'!$C$2,Inst_Tables,3,FALSE),FALSE)</f>
        <v>547.6</v>
      </c>
      <c r="S31" s="143">
        <f>VLOOKUP($AB31,Early_Stats,VLOOKUP('Background Data'!$C$2,Inst_Tables,4,FALSE),FALSE)</f>
        <v>3.9000000000000004</v>
      </c>
      <c r="T31" s="144">
        <f>SUM(R31:S31)</f>
        <v>551.5</v>
      </c>
      <c r="U31" s="293">
        <f>VLOOKUP($AB31,Early_Stats,VLOOKUP('Background Data'!$C$2,Inst_Tables,5,FALSE),FALSE)</f>
        <v>8</v>
      </c>
      <c r="V31" s="61"/>
      <c r="W31" s="84"/>
      <c r="X31" s="197">
        <f>IF(R31&gt;0,(D31-R31)/R31,"")</f>
        <v>-2.1183345507669874E-2</v>
      </c>
      <c r="Y31" s="198">
        <f t="shared" ref="Y31:Y34" si="14">IF(S31&gt;0,(F31-S31)/S31,"")</f>
        <v>-0.17948717948717952</v>
      </c>
      <c r="Z31" s="302">
        <f t="shared" ref="Z31:Z34" si="15">IF(U31&gt;0,(J31-U31)/U31,"")</f>
        <v>0</v>
      </c>
      <c r="AA31" s="109"/>
      <c r="AB31" s="632">
        <v>12</v>
      </c>
      <c r="AC31" s="633">
        <f>IF(AND(MAX(D31,R31)&gt;0,MIN(D31,R31)=0),1,0)</f>
        <v>0</v>
      </c>
      <c r="AD31" s="634">
        <f>IF(ABS(D31-R31)&gt;=5,AC31,0)</f>
        <v>0</v>
      </c>
      <c r="AE31" s="634">
        <f>IF(X31&lt;&gt;"",IF(AND(MIN(D31,R31)&gt;0,ABS(D31-R31)&gt;=Control_FTE_Tol,ABS(X31)&gt;=Control_Per_Tol),1,0),0)</f>
        <v>0</v>
      </c>
      <c r="AF31" s="635">
        <f>IF(SUM(AD31,AE31)&gt;0,1,0)</f>
        <v>0</v>
      </c>
      <c r="AG31" s="636"/>
      <c r="AH31" s="633">
        <f>IF(AND(MAX(F31,S31)&gt;0,OR(MIN(F31,S31)=0,F31="")),1,0)</f>
        <v>0</v>
      </c>
      <c r="AI31" s="634">
        <f>IF(ABS(F31-S31)&gt;=5,AH31,0)</f>
        <v>0</v>
      </c>
      <c r="AJ31" s="634">
        <f>IF(F31&lt;&gt;"",IF(Y31&lt;&gt;"",IF(AND(MIN(F31,S31)&gt;0,ABS(F31-S31)&gt;=Control_FTE_Tol,ABS(Y31)&gt;=Control_Per_Tol),1,0),0),0)</f>
        <v>0</v>
      </c>
      <c r="AK31" s="635">
        <f>IF(SUM(AI31,AJ31)&gt;0,1,0)</f>
        <v>0</v>
      </c>
      <c r="AM31" s="633">
        <f t="shared" ref="AM31:AM34" si="16">IF(AND(MAX(J31,U31)&gt;0,OR(MIN(J31,U31)=0,J31="")),1,0)</f>
        <v>0</v>
      </c>
      <c r="AN31" s="634">
        <f>IF(J31&lt;&gt;"",IF(U31&lt;&gt;"",IF(AND(MIN(J31,U31)&gt;0,ABS(J31-U31)&gt;=RUK_Control_FTE_Tol),1,0),0),0)</f>
        <v>0</v>
      </c>
      <c r="AO31" s="635">
        <f t="shared" ref="AO31:AO34" si="17">IF(SUM(AM31,AN31)&gt;0,1,0)</f>
        <v>0</v>
      </c>
    </row>
    <row r="32" spans="1:41" ht="30" customHeight="1">
      <c r="A32" s="183" t="s">
        <v>35</v>
      </c>
      <c r="B32" s="184"/>
      <c r="C32" s="185"/>
      <c r="D32" s="133">
        <f t="shared" si="11"/>
        <v>0</v>
      </c>
      <c r="E32" s="322" t="str">
        <f t="shared" si="0"/>
        <v/>
      </c>
      <c r="F32" s="131"/>
      <c r="G32" s="328" t="str">
        <f t="shared" si="1"/>
        <v/>
      </c>
      <c r="H32" s="134">
        <f t="shared" si="12"/>
        <v>0</v>
      </c>
      <c r="I32" s="254"/>
      <c r="J32" s="338"/>
      <c r="K32" s="318" t="str">
        <f t="shared" si="13"/>
        <v/>
      </c>
      <c r="L32" s="257"/>
      <c r="M32" s="135" t="str">
        <f>IF(AD32=1,Warning1,IF(AE32=1,Warning2_for_Control,""))</f>
        <v/>
      </c>
      <c r="N32" s="136" t="str">
        <f>IF(AI32=1,Warning1,IF(AJ32=1,Warning2_for_Control,""))</f>
        <v/>
      </c>
      <c r="O32" s="135" t="str">
        <f>IF(AM32=1,Warning1,IF(AN32=1,Warning2_for_RUK_Control,""))</f>
        <v/>
      </c>
      <c r="P32" s="267"/>
      <c r="Q32" s="79"/>
      <c r="R32" s="142">
        <f>VLOOKUP($AB32,Early_Stats,VLOOKUP('Background Data'!$C$2,Inst_Tables,3,FALSE),FALSE)</f>
        <v>0</v>
      </c>
      <c r="S32" s="143">
        <f>VLOOKUP($AB32,Early_Stats,VLOOKUP('Background Data'!$C$2,Inst_Tables,4,FALSE),FALSE)</f>
        <v>0</v>
      </c>
      <c r="T32" s="144">
        <f>SUM(R32:S32)</f>
        <v>0</v>
      </c>
      <c r="U32" s="293">
        <f>VLOOKUP($AB32,Early_Stats,VLOOKUP('Background Data'!$C$2,Inst_Tables,5,FALSE),FALSE)</f>
        <v>0</v>
      </c>
      <c r="V32" s="61"/>
      <c r="W32" s="84"/>
      <c r="X32" s="139" t="str">
        <f>IF(R32&gt;0,(D32-R32)/R32,"")</f>
        <v/>
      </c>
      <c r="Y32" s="140" t="str">
        <f t="shared" si="14"/>
        <v/>
      </c>
      <c r="Z32" s="302" t="str">
        <f t="shared" si="15"/>
        <v/>
      </c>
      <c r="AA32" s="109"/>
      <c r="AB32" s="632">
        <v>13</v>
      </c>
      <c r="AC32" s="633">
        <f>IF(AND(MAX(D32,R32)&gt;0,MIN(D32,R32)=0),1,0)</f>
        <v>0</v>
      </c>
      <c r="AD32" s="634">
        <f>IF(ABS(D32-R32)&gt;=5,AC32,0)</f>
        <v>0</v>
      </c>
      <c r="AE32" s="634">
        <f>IF(X32&lt;&gt;"",IF(AND(MIN(D32,R32)&gt;0,ABS(D32-R32)&gt;=Control_FTE_Tol,ABS(X32)&gt;=Control_Per_Tol),1,0),0)</f>
        <v>0</v>
      </c>
      <c r="AF32" s="635">
        <f>IF(SUM(AD32,AE32)&gt;0,1,0)</f>
        <v>0</v>
      </c>
      <c r="AG32" s="636"/>
      <c r="AH32" s="633">
        <f>IF(AND(MAX(F32,S32)&gt;0,OR(MIN(F32,S32)=0,F32="")),1,0)</f>
        <v>0</v>
      </c>
      <c r="AI32" s="634">
        <f>IF(ABS(F32-S32)&gt;=5,AH32,0)</f>
        <v>0</v>
      </c>
      <c r="AJ32" s="634">
        <f>IF(F32&lt;&gt;"",IF(Y32&lt;&gt;"",IF(AND(MIN(F32,S32)&gt;0,ABS(F32-S32)&gt;=Control_FTE_Tol,ABS(Y32)&gt;=Control_Per_Tol),1,0),0),0)</f>
        <v>0</v>
      </c>
      <c r="AK32" s="635">
        <f>IF(SUM(AI32,AJ32)&gt;0,1,0)</f>
        <v>0</v>
      </c>
      <c r="AM32" s="633">
        <f t="shared" si="16"/>
        <v>0</v>
      </c>
      <c r="AN32" s="634">
        <f>IF(J32&lt;&gt;"",IF(U32&lt;&gt;"",IF(AND(MIN(J32,U32)&gt;0,ABS(J32-U32)&gt;=RUK_Control_FTE_Tol),1,0),0),0)</f>
        <v>0</v>
      </c>
      <c r="AO32" s="635">
        <f t="shared" si="17"/>
        <v>0</v>
      </c>
    </row>
    <row r="33" spans="1:41" ht="30" customHeight="1">
      <c r="A33" s="183" t="s">
        <v>36</v>
      </c>
      <c r="B33" s="184"/>
      <c r="C33" s="185"/>
      <c r="D33" s="133">
        <f t="shared" si="11"/>
        <v>0</v>
      </c>
      <c r="E33" s="322" t="str">
        <f t="shared" si="0"/>
        <v/>
      </c>
      <c r="F33" s="131"/>
      <c r="G33" s="328" t="str">
        <f t="shared" si="1"/>
        <v/>
      </c>
      <c r="H33" s="134">
        <f t="shared" si="12"/>
        <v>0</v>
      </c>
      <c r="I33" s="254"/>
      <c r="J33" s="338"/>
      <c r="K33" s="318" t="str">
        <f t="shared" si="13"/>
        <v/>
      </c>
      <c r="L33" s="257"/>
      <c r="M33" s="135" t="str">
        <f>IF(AD33=1,Warning1,IF(AE33=1,Warning2_for_Control,""))</f>
        <v/>
      </c>
      <c r="N33" s="136" t="str">
        <f>IF(AI33=1,Warning1,IF(AJ33=1,Warning2_for_Control,""))</f>
        <v/>
      </c>
      <c r="O33" s="135" t="str">
        <f>IF(AM33=1,Warning1,IF(AN33=1,Warning2_for_RUK_Control,""))</f>
        <v/>
      </c>
      <c r="P33" s="267"/>
      <c r="Q33" s="79"/>
      <c r="R33" s="142">
        <f>VLOOKUP($AB33,Early_Stats,VLOOKUP('Background Data'!$C$2,Inst_Tables,3,FALSE),FALSE)</f>
        <v>0</v>
      </c>
      <c r="S33" s="143">
        <f>VLOOKUP($AB33,Early_Stats,VLOOKUP('Background Data'!$C$2,Inst_Tables,4,FALSE),FALSE)</f>
        <v>0</v>
      </c>
      <c r="T33" s="144">
        <f>SUM(R33:S33)</f>
        <v>0</v>
      </c>
      <c r="U33" s="293">
        <f>VLOOKUP($AB33,Early_Stats,VLOOKUP('Background Data'!$C$2,Inst_Tables,5,FALSE),FALSE)</f>
        <v>0</v>
      </c>
      <c r="V33" s="61"/>
      <c r="W33" s="84"/>
      <c r="X33" s="139" t="str">
        <f>IF(R33&gt;0,(D33-R33)/R33,"")</f>
        <v/>
      </c>
      <c r="Y33" s="140" t="str">
        <f t="shared" si="14"/>
        <v/>
      </c>
      <c r="Z33" s="302" t="str">
        <f t="shared" si="15"/>
        <v/>
      </c>
      <c r="AA33" s="109"/>
      <c r="AB33" s="632">
        <v>14</v>
      </c>
      <c r="AC33" s="633">
        <f>IF(AND(MAX(D33,R33)&gt;0,MIN(D33,R33)=0),1,0)</f>
        <v>0</v>
      </c>
      <c r="AD33" s="634">
        <f>IF(ABS(D33-R33)&gt;=5,AC33,0)</f>
        <v>0</v>
      </c>
      <c r="AE33" s="634">
        <f>IF(X33&lt;&gt;"",IF(AND(MIN(D33,R33)&gt;0,ABS(D33-R33)&gt;=Control_FTE_Tol,ABS(X33)&gt;=Control_Per_Tol),1,0),0)</f>
        <v>0</v>
      </c>
      <c r="AF33" s="635">
        <f>IF(SUM(AD33,AE33)&gt;0,1,0)</f>
        <v>0</v>
      </c>
      <c r="AG33" s="636"/>
      <c r="AH33" s="633">
        <f>IF(AND(MAX(F33,S33)&gt;0,OR(MIN(F33,S33)=0,F33="")),1,0)</f>
        <v>0</v>
      </c>
      <c r="AI33" s="634">
        <f>IF(ABS(F33-S33)&gt;=5,AH33,0)</f>
        <v>0</v>
      </c>
      <c r="AJ33" s="634">
        <f>IF(F33&lt;&gt;"",IF(Y33&lt;&gt;"",IF(AND(MIN(F33,S33)&gt;0,ABS(F33-S33)&gt;=Control_FTE_Tol,ABS(Y33)&gt;=Control_Per_Tol),1,0),0),0)</f>
        <v>0</v>
      </c>
      <c r="AK33" s="635">
        <f>IF(SUM(AI33,AJ33)&gt;0,1,0)</f>
        <v>0</v>
      </c>
      <c r="AM33" s="633">
        <f t="shared" si="16"/>
        <v>0</v>
      </c>
      <c r="AN33" s="634">
        <f>IF(J33&lt;&gt;"",IF(U33&lt;&gt;"",IF(AND(MIN(J33,U33)&gt;0,ABS(J33-U33)&gt;=RUK_Control_FTE_Tol),1,0),0),0)</f>
        <v>0</v>
      </c>
      <c r="AO33" s="635">
        <f t="shared" si="17"/>
        <v>0</v>
      </c>
    </row>
    <row r="34" spans="1:41" ht="30" customHeight="1">
      <c r="A34" s="183" t="s">
        <v>37</v>
      </c>
      <c r="B34" s="184"/>
      <c r="C34" s="185">
        <v>87</v>
      </c>
      <c r="D34" s="133">
        <f t="shared" si="11"/>
        <v>87</v>
      </c>
      <c r="E34" s="322" t="str">
        <f t="shared" si="0"/>
        <v/>
      </c>
      <c r="F34" s="131">
        <v>2.4</v>
      </c>
      <c r="G34" s="328" t="str">
        <f t="shared" si="1"/>
        <v/>
      </c>
      <c r="H34" s="134">
        <f t="shared" si="12"/>
        <v>89.4</v>
      </c>
      <c r="I34" s="254"/>
      <c r="J34" s="338"/>
      <c r="K34" s="318" t="str">
        <f t="shared" si="13"/>
        <v/>
      </c>
      <c r="L34" s="257"/>
      <c r="M34" s="135" t="str">
        <f>IF(AD34=1,Warning1,IF(AE34=1,Warning2_for_Control,""))</f>
        <v/>
      </c>
      <c r="N34" s="136" t="str">
        <f>IF(AI34=1,Warning1,IF(AJ34=1,Warning2_for_Control,""))</f>
        <v/>
      </c>
      <c r="O34" s="135" t="str">
        <f>IF(AM34=1,Warning1,IF(AN34=1,Warning2_for_RUK_Control,""))</f>
        <v/>
      </c>
      <c r="P34" s="267"/>
      <c r="Q34" s="79"/>
      <c r="R34" s="142">
        <f>VLOOKUP($AB34,Early_Stats,VLOOKUP('Background Data'!$C$2,Inst_Tables,3,FALSE),FALSE)</f>
        <v>86.2</v>
      </c>
      <c r="S34" s="143">
        <f>VLOOKUP($AB34,Early_Stats,VLOOKUP('Background Data'!$C$2,Inst_Tables,4,FALSE),FALSE)</f>
        <v>2.4</v>
      </c>
      <c r="T34" s="144">
        <f>SUM(R34:S34)</f>
        <v>88.600000000000009</v>
      </c>
      <c r="U34" s="293">
        <f>VLOOKUP($AB34,Early_Stats,VLOOKUP('Background Data'!$C$2,Inst_Tables,5,FALSE),FALSE)</f>
        <v>0</v>
      </c>
      <c r="V34" s="61"/>
      <c r="W34" s="84"/>
      <c r="X34" s="139">
        <f>IF(R34&gt;0,(D34-R34)/R34,"")</f>
        <v>9.2807424593967184E-3</v>
      </c>
      <c r="Y34" s="140">
        <f t="shared" si="14"/>
        <v>0</v>
      </c>
      <c r="Z34" s="302" t="str">
        <f t="shared" si="15"/>
        <v/>
      </c>
      <c r="AA34" s="109"/>
      <c r="AB34" s="632">
        <v>15</v>
      </c>
      <c r="AC34" s="633">
        <f>IF(AND(MAX(D34,R34)&gt;0,MIN(D34,R34)=0),1,0)</f>
        <v>0</v>
      </c>
      <c r="AD34" s="634">
        <f>IF(ABS(D34-R34)&gt;=5,AC34,0)</f>
        <v>0</v>
      </c>
      <c r="AE34" s="634">
        <f>IF(X34&lt;&gt;"",IF(AND(MIN(D34,R34)&gt;0,ABS(D34-R34)&gt;=Control_FTE_Tol,ABS(X34)&gt;=Control_Per_Tol),1,0),0)</f>
        <v>0</v>
      </c>
      <c r="AF34" s="635">
        <f>IF(SUM(AD34,AE34)&gt;0,1,0)</f>
        <v>0</v>
      </c>
      <c r="AG34" s="636"/>
      <c r="AH34" s="633">
        <f>IF(AND(MAX(F34,S34)&gt;0,OR(MIN(F34,S34)=0,F34="")),1,0)</f>
        <v>0</v>
      </c>
      <c r="AI34" s="634">
        <f>IF(ABS(F34-S34)&gt;=5,AH34,0)</f>
        <v>0</v>
      </c>
      <c r="AJ34" s="634">
        <f>IF(F34&lt;&gt;"",IF(Y34&lt;&gt;"",IF(AND(MIN(F34,S34)&gt;0,ABS(F34-S34)&gt;=Control_FTE_Tol,ABS(Y34)&gt;=Control_Per_Tol),1,0),0),0)</f>
        <v>0</v>
      </c>
      <c r="AK34" s="635">
        <f>IF(SUM(AI34,AJ34)&gt;0,1,0)</f>
        <v>0</v>
      </c>
      <c r="AM34" s="633">
        <f t="shared" si="16"/>
        <v>0</v>
      </c>
      <c r="AN34" s="634">
        <f>IF(J34&lt;&gt;"",IF(U34&lt;&gt;"",IF(AND(MIN(J34,U34)&gt;0,ABS(J34-U34)&gt;=RUK_Control_FTE_Tol),1,0),0),0)</f>
        <v>0</v>
      </c>
      <c r="AO34" s="635">
        <f t="shared" si="17"/>
        <v>0</v>
      </c>
    </row>
    <row r="35" spans="1:41" ht="30" customHeight="1">
      <c r="A35" s="180" t="s">
        <v>29</v>
      </c>
      <c r="B35" s="307"/>
      <c r="C35" s="308"/>
      <c r="D35" s="306"/>
      <c r="E35" s="322"/>
      <c r="F35" s="188"/>
      <c r="G35" s="327"/>
      <c r="H35" s="189"/>
      <c r="I35" s="254"/>
      <c r="J35" s="72"/>
      <c r="K35" s="317"/>
      <c r="L35" s="257"/>
      <c r="M35" s="135"/>
      <c r="N35" s="136"/>
      <c r="O35" s="336"/>
      <c r="P35" s="267"/>
      <c r="Q35" s="79"/>
      <c r="R35" s="142"/>
      <c r="S35" s="143"/>
      <c r="T35" s="144"/>
      <c r="U35" s="281"/>
      <c r="V35" s="61"/>
      <c r="W35" s="84"/>
      <c r="X35" s="309"/>
      <c r="Y35" s="310"/>
      <c r="Z35" s="305"/>
      <c r="AA35" s="109"/>
      <c r="AB35" s="632"/>
      <c r="AC35" s="633"/>
      <c r="AD35" s="634"/>
      <c r="AE35" s="634"/>
      <c r="AF35" s="635"/>
      <c r="AG35" s="636"/>
      <c r="AH35" s="633"/>
      <c r="AI35" s="634"/>
      <c r="AJ35" s="634"/>
      <c r="AK35" s="635"/>
      <c r="AM35" s="633"/>
      <c r="AN35" s="634"/>
      <c r="AO35" s="635"/>
    </row>
    <row r="36" spans="1:41" ht="30" customHeight="1">
      <c r="A36" s="183" t="s">
        <v>291</v>
      </c>
      <c r="B36" s="184"/>
      <c r="C36" s="185"/>
      <c r="D36" s="133">
        <f t="shared" si="11"/>
        <v>0</v>
      </c>
      <c r="E36" s="322" t="str">
        <f t="shared" si="0"/>
        <v/>
      </c>
      <c r="F36" s="131"/>
      <c r="G36" s="328" t="str">
        <f t="shared" si="1"/>
        <v/>
      </c>
      <c r="H36" s="134">
        <f t="shared" ref="H36:H37" si="18">SUM(D36,F36)</f>
        <v>0</v>
      </c>
      <c r="I36" s="254"/>
      <c r="J36" s="72"/>
      <c r="K36" s="317"/>
      <c r="L36" s="257"/>
      <c r="M36" s="135" t="str">
        <f>IF(AD36=1,Warning1,IF(AE36=1,Warning2_for_Control,""))</f>
        <v/>
      </c>
      <c r="N36" s="136" t="str">
        <f>IF(AI36=1,Warning1,IF(AJ36=1,Warning2_for_Control,""))</f>
        <v/>
      </c>
      <c r="O36" s="336"/>
      <c r="P36" s="267"/>
      <c r="Q36" s="79"/>
      <c r="R36" s="142">
        <f>VLOOKUP($AB36,Early_Stats,VLOOKUP('Background Data'!$C$2,Inst_Tables,3,FALSE),FALSE)</f>
        <v>0</v>
      </c>
      <c r="S36" s="143">
        <f>VLOOKUP($AB36,Early_Stats,VLOOKUP('Background Data'!$C$2,Inst_Tables,4,FALSE),FALSE)</f>
        <v>0</v>
      </c>
      <c r="T36" s="144">
        <f t="shared" ref="T36:T37" si="19">SUM(R36:S36)</f>
        <v>0</v>
      </c>
      <c r="U36" s="281"/>
      <c r="V36" s="61"/>
      <c r="W36" s="84"/>
      <c r="X36" s="139" t="str">
        <f t="shared" ref="X36:X37" si="20">IF(R36&gt;0,(D36-R36)/R36,"")</f>
        <v/>
      </c>
      <c r="Y36" s="140" t="str">
        <f t="shared" ref="Y36:Y37" si="21">IF(S36&gt;0,(F36-S36)/S36,"")</f>
        <v/>
      </c>
      <c r="Z36" s="305"/>
      <c r="AA36" s="109"/>
      <c r="AB36" s="632">
        <v>16</v>
      </c>
      <c r="AC36" s="633">
        <f t="shared" ref="AC36:AC37" si="22">IF(AND(MAX(D36,R36)&gt;0,MIN(D36,R36)=0),1,0)</f>
        <v>0</v>
      </c>
      <c r="AD36" s="634">
        <f t="shared" ref="AD36:AD37" si="23">IF(ABS(D36-R36)&gt;=5,AC36,0)</f>
        <v>0</v>
      </c>
      <c r="AE36" s="634">
        <f>IF(X36&lt;&gt;"",IF(AND(MIN(D36,R36)&gt;0,ABS(D36-R36)&gt;=Control_FTE_Tol,ABS(X36)&gt;=Control_Per_Tol),1,0),0)</f>
        <v>0</v>
      </c>
      <c r="AF36" s="635">
        <f t="shared" ref="AF36:AF37" si="24">IF(SUM(AD36,AE36)&gt;0,1,0)</f>
        <v>0</v>
      </c>
      <c r="AG36" s="636"/>
      <c r="AH36" s="633">
        <f t="shared" ref="AH36:AH37" si="25">IF(AND(MAX(F36,S36)&gt;0,OR(MIN(F36,S36)=0,F36="")),1,0)</f>
        <v>0</v>
      </c>
      <c r="AI36" s="634">
        <f t="shared" ref="AI36:AI37" si="26">IF(ABS(F36-S36)&gt;=5,AH36,0)</f>
        <v>0</v>
      </c>
      <c r="AJ36" s="634">
        <f>IF(F36&lt;&gt;"",IF(Y36&lt;&gt;"",IF(AND(MIN(F36,S36)&gt;0,ABS(F36-S36)&gt;=Control_FTE_Tol,ABS(Y36)&gt;=Control_Per_Tol),1,0),0),0)</f>
        <v>0</v>
      </c>
      <c r="AK36" s="635">
        <f t="shared" ref="AK36:AK37" si="27">IF(SUM(AI36,AJ36)&gt;0,1,0)</f>
        <v>0</v>
      </c>
      <c r="AM36" s="633"/>
      <c r="AN36" s="634"/>
      <c r="AO36" s="635"/>
    </row>
    <row r="37" spans="1:41" ht="30" customHeight="1">
      <c r="A37" s="183" t="s">
        <v>292</v>
      </c>
      <c r="B37" s="184"/>
      <c r="C37" s="185">
        <v>129</v>
      </c>
      <c r="D37" s="133">
        <f t="shared" si="11"/>
        <v>129</v>
      </c>
      <c r="E37" s="322" t="str">
        <f t="shared" si="0"/>
        <v/>
      </c>
      <c r="F37" s="131">
        <v>0.16700000000000001</v>
      </c>
      <c r="G37" s="328" t="str">
        <f t="shared" si="1"/>
        <v/>
      </c>
      <c r="H37" s="134">
        <f t="shared" si="18"/>
        <v>129.167</v>
      </c>
      <c r="I37" s="254"/>
      <c r="J37" s="72"/>
      <c r="K37" s="317"/>
      <c r="L37" s="257"/>
      <c r="M37" s="135" t="str">
        <f>IF(AD37=1,Warning1,IF(AE37=1,Warning2_for_Control,""))</f>
        <v/>
      </c>
      <c r="N37" s="136" t="str">
        <f>IF(AI37=1,Warning1,IF(AJ37=1,Warning2_for_Control,""))</f>
        <v/>
      </c>
      <c r="O37" s="336"/>
      <c r="P37" s="267"/>
      <c r="Q37" s="79"/>
      <c r="R37" s="142">
        <f>VLOOKUP($AB37,Early_Stats,VLOOKUP('Background Data'!$C$2,Inst_Tables,3,FALSE),FALSE)</f>
        <v>130</v>
      </c>
      <c r="S37" s="143">
        <f>VLOOKUP($AB37,Early_Stats,VLOOKUP('Background Data'!$C$2,Inst_Tables,4,FALSE),FALSE)</f>
        <v>0.17</v>
      </c>
      <c r="T37" s="144">
        <f t="shared" si="19"/>
        <v>130.16999999999999</v>
      </c>
      <c r="U37" s="281"/>
      <c r="V37" s="61"/>
      <c r="W37" s="84"/>
      <c r="X37" s="139">
        <f t="shared" si="20"/>
        <v>-7.6923076923076927E-3</v>
      </c>
      <c r="Y37" s="140">
        <f t="shared" si="21"/>
        <v>-1.7647058823529425E-2</v>
      </c>
      <c r="Z37" s="305"/>
      <c r="AA37" s="109"/>
      <c r="AB37" s="632">
        <v>17</v>
      </c>
      <c r="AC37" s="633">
        <f t="shared" si="22"/>
        <v>0</v>
      </c>
      <c r="AD37" s="634">
        <f t="shared" si="23"/>
        <v>0</v>
      </c>
      <c r="AE37" s="634">
        <f>IF(X37&lt;&gt;"",IF(AND(MIN(D37,R37)&gt;0,ABS(D37-R37)&gt;=Control_FTE_Tol,ABS(X37)&gt;=Control_Per_Tol),1,0),0)</f>
        <v>0</v>
      </c>
      <c r="AF37" s="635">
        <f t="shared" si="24"/>
        <v>0</v>
      </c>
      <c r="AG37" s="636"/>
      <c r="AH37" s="633">
        <f t="shared" si="25"/>
        <v>0</v>
      </c>
      <c r="AI37" s="634">
        <f t="shared" si="26"/>
        <v>0</v>
      </c>
      <c r="AJ37" s="634">
        <f>IF(F37&lt;&gt;"",IF(Y37&lt;&gt;"",IF(AND(MIN(F37,S37)&gt;0,ABS(F37-S37)&gt;=Control_FTE_Tol,ABS(Y37)&gt;=Control_Per_Tol),1,0),0),0)</f>
        <v>0</v>
      </c>
      <c r="AK37" s="635">
        <f t="shared" si="27"/>
        <v>0</v>
      </c>
      <c r="AM37" s="633"/>
      <c r="AN37" s="634"/>
      <c r="AO37" s="635"/>
    </row>
    <row r="38" spans="1:41" ht="30" customHeight="1">
      <c r="A38" s="179" t="s">
        <v>30</v>
      </c>
      <c r="B38" s="199"/>
      <c r="C38" s="200"/>
      <c r="D38" s="201"/>
      <c r="E38" s="321"/>
      <c r="F38" s="201"/>
      <c r="G38" s="327"/>
      <c r="H38" s="202"/>
      <c r="I38" s="254"/>
      <c r="J38" s="72"/>
      <c r="K38" s="317"/>
      <c r="L38" s="257"/>
      <c r="M38" s="190"/>
      <c r="N38" s="191"/>
      <c r="O38" s="337"/>
      <c r="P38" s="259"/>
      <c r="Q38" s="79"/>
      <c r="R38" s="142"/>
      <c r="S38" s="143"/>
      <c r="T38" s="144"/>
      <c r="U38" s="281"/>
      <c r="V38" s="61"/>
      <c r="W38" s="84"/>
      <c r="X38" s="195"/>
      <c r="Y38" s="196"/>
      <c r="Z38" s="300"/>
      <c r="AA38" s="67"/>
      <c r="AB38" s="644"/>
      <c r="AC38" s="633"/>
      <c r="AD38" s="634"/>
      <c r="AE38" s="634"/>
      <c r="AF38" s="635"/>
      <c r="AG38" s="636"/>
      <c r="AH38" s="633"/>
      <c r="AI38" s="634"/>
      <c r="AJ38" s="634"/>
      <c r="AK38" s="635"/>
      <c r="AM38" s="633"/>
      <c r="AN38" s="634"/>
      <c r="AO38" s="635"/>
    </row>
    <row r="39" spans="1:41" ht="30" customHeight="1">
      <c r="A39" s="203" t="s">
        <v>38</v>
      </c>
      <c r="B39" s="204">
        <v>2.8</v>
      </c>
      <c r="C39" s="132">
        <f>4880.31+0.2</f>
        <v>4880.51</v>
      </c>
      <c r="D39" s="133">
        <f t="shared" si="11"/>
        <v>4883.3100000000004</v>
      </c>
      <c r="E39" s="322" t="str">
        <f t="shared" si="0"/>
        <v/>
      </c>
      <c r="F39" s="401">
        <v>11.045500000000001</v>
      </c>
      <c r="G39" s="328" t="str">
        <f t="shared" si="1"/>
        <v/>
      </c>
      <c r="H39" s="134">
        <f t="shared" ref="H39:H40" si="28">SUM(D39,F39)</f>
        <v>4894.3555000000006</v>
      </c>
      <c r="I39" s="254"/>
      <c r="J39" s="72"/>
      <c r="K39" s="317"/>
      <c r="L39" s="257"/>
      <c r="M39" s="135" t="str">
        <f>IF(AD39=1,Warning1,IF(AE39=1,Warning2_for_Non_Control,""))</f>
        <v/>
      </c>
      <c r="N39" s="136" t="str">
        <f>IF(AI39=1,Warning1,IF(AJ39=1,Warning2_for_Non_Control,""))</f>
        <v/>
      </c>
      <c r="O39" s="336"/>
      <c r="P39" s="267"/>
      <c r="Q39" s="79"/>
      <c r="R39" s="142">
        <f>VLOOKUP($AB39,Early_Stats,VLOOKUP('Background Data'!$C$2,Inst_Tables,3,FALSE),FALSE)</f>
        <v>4883.8</v>
      </c>
      <c r="S39" s="143">
        <f>VLOOKUP($AB39,Early_Stats,VLOOKUP('Background Data'!$C$2,Inst_Tables,4,FALSE),FALSE)</f>
        <v>9.4700000000000006</v>
      </c>
      <c r="T39" s="144">
        <f>SUM(R39:S39)</f>
        <v>4893.2700000000004</v>
      </c>
      <c r="U39" s="281"/>
      <c r="V39" s="61"/>
      <c r="W39" s="84"/>
      <c r="X39" s="139">
        <f>IF(R39&gt;0,(D39-R39)/R39,"")</f>
        <v>-1.0033170891514429E-4</v>
      </c>
      <c r="Y39" s="140">
        <f>IF(S39&gt;0,(F39-S39)/S39,"")</f>
        <v>0.16636747624076029</v>
      </c>
      <c r="Z39" s="305"/>
      <c r="AA39" s="109"/>
      <c r="AB39" s="632">
        <v>18</v>
      </c>
      <c r="AC39" s="633">
        <f>IF(AND(MAX(D39,R39)&gt;0,MIN(D39,R39)=0),1,0)</f>
        <v>0</v>
      </c>
      <c r="AD39" s="634">
        <f>IF(ABS(D39-R39)&gt;=5,AC39,0)</f>
        <v>0</v>
      </c>
      <c r="AE39" s="634">
        <f>IF(X39&lt;&gt;"",IF(AND(MIN(D39,R39)&gt;0,ABS(D39-R39)&gt;=Non_Control_FTE_Tol,ABS(X39)&gt;=Non_Control_Per_Tol),1,0),0)</f>
        <v>0</v>
      </c>
      <c r="AF39" s="635">
        <f>IF(SUM(AD39,AE39)&gt;0,1,0)</f>
        <v>0</v>
      </c>
      <c r="AG39" s="636"/>
      <c r="AH39" s="633">
        <f>IF(AND(MAX(F39,S39)&gt;0,OR(MIN(F39,S39)=0,F39="")),1,0)</f>
        <v>0</v>
      </c>
      <c r="AI39" s="634">
        <f>IF(ABS(F39-S39)&gt;=5,AH39,0)</f>
        <v>0</v>
      </c>
      <c r="AJ39" s="634">
        <f>IF(F39&lt;&gt;"",IF(Y39&lt;&gt;"",IF(AND(MIN(F39,S39)&gt;0,ABS(F39-S39)&gt;=Non_Control_FTE_Tol,ABS(Y39)&gt;=Non_Control_Per_Tol),1,0),0),0)</f>
        <v>0</v>
      </c>
      <c r="AK39" s="635">
        <f>IF(SUM(AI39,AJ39)&gt;0,1,0)</f>
        <v>0</v>
      </c>
      <c r="AM39" s="633"/>
      <c r="AN39" s="634"/>
      <c r="AO39" s="635"/>
    </row>
    <row r="40" spans="1:41" ht="30" customHeight="1">
      <c r="A40" s="203" t="s">
        <v>39</v>
      </c>
      <c r="B40" s="204">
        <v>8</v>
      </c>
      <c r="C40" s="132">
        <f>6274.91599999999+2.875</f>
        <v>6277.7909999999902</v>
      </c>
      <c r="D40" s="133">
        <f t="shared" si="11"/>
        <v>6285.7909999999902</v>
      </c>
      <c r="E40" s="322" t="str">
        <f t="shared" si="0"/>
        <v/>
      </c>
      <c r="F40" s="401">
        <f>216.7275+0.25</f>
        <v>216.97749999999999</v>
      </c>
      <c r="G40" s="328" t="str">
        <f t="shared" si="1"/>
        <v/>
      </c>
      <c r="H40" s="134">
        <f t="shared" si="28"/>
        <v>6502.7684999999901</v>
      </c>
      <c r="I40" s="254"/>
      <c r="J40" s="72"/>
      <c r="K40" s="317"/>
      <c r="L40" s="257"/>
      <c r="M40" s="135" t="str">
        <f>IF(AD40=1,Warning1,IF(AE40=1,Warning2_for_Non_Control,""))</f>
        <v/>
      </c>
      <c r="N40" s="136" t="str">
        <f>IF(AI40=1,Warning1,IF(AJ40=1,Warning2_for_Non_Control,""))</f>
        <v/>
      </c>
      <c r="O40" s="336"/>
      <c r="P40" s="267"/>
      <c r="Q40" s="79"/>
      <c r="R40" s="142">
        <f>VLOOKUP($AB40,Early_Stats,VLOOKUP('Background Data'!$C$2,Inst_Tables,3,FALSE),FALSE)</f>
        <v>6345.0050000000001</v>
      </c>
      <c r="S40" s="143">
        <f>VLOOKUP($AB40,Early_Stats,VLOOKUP('Background Data'!$C$2,Inst_Tables,4,FALSE),FALSE)</f>
        <v>213.35999999999999</v>
      </c>
      <c r="T40" s="144">
        <f>SUM(R40:S40)</f>
        <v>6558.3649999999998</v>
      </c>
      <c r="U40" s="281"/>
      <c r="V40" s="61"/>
      <c r="W40" s="84"/>
      <c r="X40" s="139">
        <f>IF(R40&gt;0,(D40-R40)/R40,"")</f>
        <v>-9.3323803527357255E-3</v>
      </c>
      <c r="Y40" s="140">
        <f>IF(S40&gt;0,(F40-S40)/S40,"")</f>
        <v>1.6954911886014282E-2</v>
      </c>
      <c r="Z40" s="305"/>
      <c r="AA40" s="109"/>
      <c r="AB40" s="632">
        <v>19</v>
      </c>
      <c r="AC40" s="633">
        <f>IF(AND(MAX(D40,R40)&gt;0,MIN(D40,R40)=0),1,0)</f>
        <v>0</v>
      </c>
      <c r="AD40" s="634">
        <f>IF(ABS(D40-R40)&gt;=5,AC40,0)</f>
        <v>0</v>
      </c>
      <c r="AE40" s="634">
        <f>IF(X40&lt;&gt;"",IF(AND(MIN(D40,R40)&gt;0,ABS(D40-R40)&gt;=Non_Control_FTE_Tol,ABS(X40)&gt;=Non_Control_Per_Tol),1,0),0)</f>
        <v>0</v>
      </c>
      <c r="AF40" s="635">
        <f>IF(SUM(AD40,AE40)&gt;0,1,0)</f>
        <v>0</v>
      </c>
      <c r="AG40" s="636"/>
      <c r="AH40" s="633">
        <f>IF(AND(MAX(F40,S40)&gt;0,OR(MIN(F40,S40)=0,F40="")),1,0)</f>
        <v>0</v>
      </c>
      <c r="AI40" s="634">
        <f>IF(ABS(F40-S40)&gt;=5,AH40,0)</f>
        <v>0</v>
      </c>
      <c r="AJ40" s="634">
        <f>IF(F40&lt;&gt;"",IF(Y40&lt;&gt;"",IF(AND(MIN(F40,S40)&gt;0,ABS(F40-S40)&gt;=Non_Control_FTE_Tol,ABS(Y40)&gt;=Non_Control_Per_Tol),1,0),0),0)</f>
        <v>0</v>
      </c>
      <c r="AK40" s="635">
        <f>IF(SUM(AI40,AJ40)&gt;0,1,0)</f>
        <v>0</v>
      </c>
      <c r="AM40" s="633"/>
      <c r="AN40" s="634"/>
      <c r="AO40" s="635"/>
    </row>
    <row r="41" spans="1:41" ht="35.1" customHeight="1" thickBot="1">
      <c r="A41" s="205" t="s">
        <v>3</v>
      </c>
      <c r="B41" s="206">
        <f>SUM(B26:B29,B31:B34,B36:B37,B39:B40)</f>
        <v>63.8</v>
      </c>
      <c r="C41" s="207">
        <f>SUM(C26:C29,C31:C34,C36:C37,C39:C40)</f>
        <v>13028.30099999999</v>
      </c>
      <c r="D41" s="148">
        <f>SUM(D26:D29,D31:D34,D36:D37,D39:D40)</f>
        <v>13092.100999999991</v>
      </c>
      <c r="E41" s="321"/>
      <c r="F41" s="148">
        <f>SUM(F26:F29,F31:F34,F36:F37,F39:F40)</f>
        <v>233.79</v>
      </c>
      <c r="G41" s="321"/>
      <c r="H41" s="149">
        <f>SUM(H26:H29,H31:H34,H36:H37,H39:H40)</f>
        <v>13325.890999999991</v>
      </c>
      <c r="I41" s="254"/>
      <c r="J41" s="72"/>
      <c r="K41" s="317"/>
      <c r="L41" s="257"/>
      <c r="M41" s="169"/>
      <c r="N41" s="151"/>
      <c r="O41" s="335"/>
      <c r="P41" s="113"/>
      <c r="Q41" s="79"/>
      <c r="R41" s="171">
        <f>SUM(R26:R29,R31:R34,R36:R37,R39:R40)</f>
        <v>13165.605</v>
      </c>
      <c r="S41" s="153">
        <f>SUM(S26:S29,S31:S34,S36:S37,S39:S40)</f>
        <v>229.29999999999998</v>
      </c>
      <c r="T41" s="154">
        <f>SUM(T26:T29,T31:T34,T36:T37,T39:T40)</f>
        <v>13394.905000000001</v>
      </c>
      <c r="U41" s="281"/>
      <c r="V41" s="61"/>
      <c r="W41" s="84"/>
      <c r="X41" s="208"/>
      <c r="Y41" s="173"/>
      <c r="Z41" s="67"/>
      <c r="AA41" s="67"/>
      <c r="AB41" s="624"/>
      <c r="AC41" s="637"/>
      <c r="AD41" s="638"/>
      <c r="AE41" s="638"/>
      <c r="AF41" s="1067"/>
      <c r="AG41" s="585"/>
      <c r="AH41" s="637"/>
      <c r="AI41" s="638"/>
      <c r="AJ41" s="638"/>
      <c r="AK41" s="1067"/>
      <c r="AL41" s="626"/>
      <c r="AM41" s="637"/>
      <c r="AN41" s="638"/>
      <c r="AO41" s="1067"/>
    </row>
    <row r="42" spans="1:41" ht="35.1" customHeight="1" thickBot="1">
      <c r="A42" s="209" t="s">
        <v>40</v>
      </c>
      <c r="B42" s="210">
        <f>SUM(B16,B22,B41)</f>
        <v>63.8</v>
      </c>
      <c r="C42" s="102">
        <f>SUM(C16,C22,C41)</f>
        <v>14465.80099999999</v>
      </c>
      <c r="D42" s="211">
        <f>SUM(D11,D16,D22,D41)</f>
        <v>15739.600999999991</v>
      </c>
      <c r="E42" s="325"/>
      <c r="F42" s="211">
        <f>SUM(F11,F16,F22,F41)</f>
        <v>920.71931299999972</v>
      </c>
      <c r="G42" s="331"/>
      <c r="H42" s="212">
        <f>SUM(H11,H16,H22,H41)</f>
        <v>16660.320312999989</v>
      </c>
      <c r="I42" s="254"/>
      <c r="J42" s="265">
        <f>SUM(J19:J20,J26:J29,J31:J34)</f>
        <v>358</v>
      </c>
      <c r="K42" s="317"/>
      <c r="L42" s="257"/>
      <c r="M42" s="169"/>
      <c r="N42" s="170"/>
      <c r="O42" s="170"/>
      <c r="P42" s="113"/>
      <c r="Q42" s="79"/>
      <c r="R42" s="213">
        <f>SUM(R11,R16,R22,R41)</f>
        <v>15829.605</v>
      </c>
      <c r="S42" s="214">
        <f>SUM(S11,S16,S22,S41)</f>
        <v>993.52</v>
      </c>
      <c r="T42" s="106">
        <f>SUM(T11,T16,T22,T41)</f>
        <v>16823.125</v>
      </c>
      <c r="U42" s="303"/>
      <c r="V42" s="61"/>
      <c r="W42" s="84"/>
      <c r="X42" s="215"/>
      <c r="Y42" s="216"/>
      <c r="Z42" s="301"/>
      <c r="AA42" s="67"/>
      <c r="AB42" s="645">
        <v>20</v>
      </c>
      <c r="AC42" s="1068"/>
      <c r="AD42" s="1069"/>
      <c r="AE42" s="1069"/>
      <c r="AF42" s="1070"/>
      <c r="AG42" s="585"/>
      <c r="AH42" s="1068"/>
      <c r="AI42" s="1069"/>
      <c r="AJ42" s="1069"/>
      <c r="AK42" s="1070"/>
      <c r="AL42" s="626"/>
      <c r="AM42" s="1071"/>
      <c r="AN42" s="1072"/>
      <c r="AO42" s="1073"/>
    </row>
    <row r="43" spans="1:41">
      <c r="A43" s="217"/>
      <c r="B43" s="113"/>
      <c r="C43" s="113"/>
      <c r="D43" s="113"/>
      <c r="E43" s="113"/>
      <c r="F43" s="113"/>
      <c r="G43" s="113"/>
      <c r="H43" s="113"/>
      <c r="I43" s="113"/>
      <c r="J43" s="113"/>
      <c r="K43" s="113"/>
      <c r="L43" s="113"/>
      <c r="M43" s="113"/>
      <c r="N43" s="113"/>
      <c r="O43" s="113"/>
      <c r="P43" s="113"/>
      <c r="Q43" s="79"/>
      <c r="R43" s="79"/>
      <c r="S43" s="79"/>
      <c r="T43" s="79"/>
      <c r="U43" s="79"/>
      <c r="V43" s="61"/>
      <c r="W43" s="84"/>
      <c r="X43" s="218"/>
      <c r="Y43" s="218"/>
      <c r="Z43" s="218"/>
      <c r="AA43" s="67"/>
      <c r="AB43" s="646"/>
      <c r="AC43" s="647"/>
      <c r="AD43" s="585"/>
      <c r="AE43" s="585"/>
      <c r="AF43" s="585"/>
      <c r="AG43" s="585"/>
      <c r="AH43" s="647"/>
      <c r="AI43" s="585"/>
      <c r="AJ43" s="585"/>
      <c r="AK43" s="585"/>
      <c r="AL43" s="577"/>
      <c r="AM43" s="647"/>
      <c r="AN43" s="585"/>
      <c r="AO43" s="648"/>
    </row>
    <row r="44" spans="1:41" ht="18.75" customHeight="1">
      <c r="A44" s="219" t="s">
        <v>132</v>
      </c>
      <c r="B44" s="220"/>
      <c r="C44" s="220"/>
      <c r="D44" s="113"/>
      <c r="E44" s="113"/>
      <c r="F44" s="113"/>
      <c r="G44" s="113"/>
      <c r="H44" s="113"/>
      <c r="I44" s="113"/>
      <c r="J44" s="113"/>
      <c r="K44" s="113"/>
      <c r="L44" s="113"/>
      <c r="M44" s="113"/>
      <c r="N44" s="113"/>
      <c r="O44" s="113"/>
      <c r="P44" s="113"/>
      <c r="Q44" s="79"/>
      <c r="R44" s="221"/>
      <c r="S44" s="221"/>
      <c r="T44" s="221"/>
      <c r="U44" s="221"/>
      <c r="V44" s="222"/>
      <c r="W44" s="84"/>
      <c r="X44" s="223"/>
      <c r="Y44" s="223"/>
      <c r="Z44" s="223"/>
      <c r="AA44" s="67"/>
      <c r="AB44" s="646"/>
      <c r="AC44" s="649"/>
      <c r="AD44" s="636"/>
      <c r="AE44" s="636"/>
      <c r="AF44" s="636"/>
      <c r="AG44" s="636"/>
      <c r="AH44" s="649"/>
      <c r="AI44" s="636"/>
      <c r="AJ44" s="636"/>
      <c r="AK44" s="636"/>
      <c r="AL44" s="577"/>
      <c r="AM44" s="649"/>
      <c r="AN44" s="636"/>
      <c r="AO44" s="650"/>
    </row>
    <row r="45" spans="1:41" ht="18.75" customHeight="1">
      <c r="A45" s="217" t="s">
        <v>333</v>
      </c>
      <c r="B45" s="113"/>
      <c r="C45" s="113"/>
      <c r="D45" s="113"/>
      <c r="E45" s="113"/>
      <c r="F45" s="113"/>
      <c r="G45" s="113"/>
      <c r="H45" s="113"/>
      <c r="I45" s="113"/>
      <c r="J45" s="113"/>
      <c r="K45" s="113"/>
      <c r="L45" s="113"/>
      <c r="M45" s="113"/>
      <c r="N45" s="113"/>
      <c r="O45" s="113"/>
      <c r="P45" s="113"/>
      <c r="Q45" s="79"/>
      <c r="R45" s="79"/>
      <c r="S45" s="79"/>
      <c r="T45" s="79"/>
      <c r="U45" s="79"/>
      <c r="V45" s="61"/>
      <c r="W45" s="84"/>
      <c r="X45" s="218"/>
      <c r="Y45" s="218"/>
      <c r="Z45" s="218"/>
      <c r="AA45" s="67"/>
      <c r="AB45" s="646"/>
      <c r="AC45" s="636"/>
      <c r="AD45" s="636"/>
      <c r="AE45" s="636"/>
      <c r="AF45" s="636"/>
      <c r="AG45" s="636"/>
      <c r="AH45" s="636"/>
      <c r="AI45" s="636"/>
      <c r="AJ45" s="636"/>
      <c r="AK45" s="636"/>
      <c r="AL45" s="577"/>
      <c r="AM45" s="636"/>
      <c r="AN45" s="636"/>
      <c r="AO45" s="650"/>
    </row>
    <row r="46" spans="1:41" ht="24.95" customHeight="1">
      <c r="A46" s="217" t="s">
        <v>336</v>
      </c>
      <c r="B46" s="113"/>
      <c r="C46" s="113"/>
      <c r="D46" s="113"/>
      <c r="E46" s="113"/>
      <c r="F46" s="113"/>
      <c r="G46" s="113"/>
      <c r="H46" s="113"/>
      <c r="I46" s="113"/>
      <c r="J46" s="113"/>
      <c r="K46" s="113"/>
      <c r="L46" s="113"/>
      <c r="M46" s="113"/>
      <c r="N46" s="113"/>
      <c r="O46" s="113"/>
      <c r="P46" s="113"/>
      <c r="Q46" s="79"/>
      <c r="R46" s="224"/>
      <c r="S46" s="224"/>
      <c r="T46" s="224"/>
      <c r="U46" s="224"/>
      <c r="V46" s="61"/>
      <c r="W46" s="84"/>
      <c r="X46" s="225"/>
      <c r="Y46" s="225"/>
      <c r="Z46" s="225"/>
      <c r="AA46" s="67"/>
      <c r="AB46" s="646"/>
      <c r="AC46" s="649"/>
      <c r="AD46" s="636"/>
      <c r="AE46" s="636"/>
      <c r="AF46" s="636"/>
      <c r="AG46" s="636"/>
      <c r="AH46" s="649"/>
      <c r="AI46" s="636"/>
      <c r="AJ46" s="636"/>
      <c r="AK46" s="636"/>
      <c r="AL46" s="577"/>
      <c r="AM46" s="649"/>
      <c r="AN46" s="636"/>
      <c r="AO46" s="650"/>
    </row>
    <row r="47" spans="1:41" ht="18.75" customHeight="1" thickBot="1">
      <c r="A47" s="226"/>
      <c r="B47" s="227"/>
      <c r="C47" s="227"/>
      <c r="D47" s="227"/>
      <c r="E47" s="227"/>
      <c r="F47" s="227"/>
      <c r="G47" s="227"/>
      <c r="H47" s="227"/>
      <c r="I47" s="227"/>
      <c r="J47" s="227"/>
      <c r="K47" s="227"/>
      <c r="L47" s="227"/>
      <c r="M47" s="227"/>
      <c r="N47" s="227"/>
      <c r="O47" s="227"/>
      <c r="P47" s="227"/>
      <c r="Q47" s="228"/>
      <c r="R47" s="228"/>
      <c r="S47" s="228"/>
      <c r="T47" s="228"/>
      <c r="U47" s="228"/>
      <c r="V47" s="62"/>
      <c r="W47" s="229"/>
      <c r="X47" s="230"/>
      <c r="Y47" s="230"/>
      <c r="Z47" s="230"/>
      <c r="AA47" s="231"/>
      <c r="AB47" s="651"/>
      <c r="AC47" s="652"/>
      <c r="AD47" s="652"/>
      <c r="AE47" s="652"/>
      <c r="AF47" s="652"/>
      <c r="AG47" s="652"/>
      <c r="AH47" s="652"/>
      <c r="AI47" s="652"/>
      <c r="AJ47" s="652"/>
      <c r="AK47" s="652"/>
      <c r="AL47" s="653"/>
      <c r="AM47" s="652"/>
      <c r="AN47" s="652"/>
      <c r="AO47" s="654"/>
    </row>
    <row r="48" spans="1:41" ht="18.75" customHeight="1">
      <c r="A48" s="576"/>
      <c r="B48" s="577"/>
      <c r="C48" s="577"/>
      <c r="D48" s="577"/>
      <c r="E48" s="577"/>
      <c r="F48" s="577"/>
      <c r="G48" s="577"/>
      <c r="H48" s="577"/>
      <c r="I48" s="577"/>
      <c r="J48" s="577"/>
      <c r="K48" s="577"/>
      <c r="L48" s="577"/>
      <c r="M48" s="577"/>
      <c r="N48" s="577"/>
      <c r="O48" s="577"/>
      <c r="P48" s="577"/>
      <c r="Q48" s="577"/>
      <c r="R48" s="578"/>
      <c r="S48" s="578"/>
      <c r="T48" s="578"/>
      <c r="U48" s="578"/>
      <c r="V48" s="578"/>
      <c r="W48" s="577"/>
      <c r="X48" s="578"/>
      <c r="Y48" s="578"/>
      <c r="Z48" s="578"/>
      <c r="AA48" s="578"/>
      <c r="AC48" s="580"/>
      <c r="AD48" s="580"/>
      <c r="AE48" s="580"/>
      <c r="AF48" s="580"/>
      <c r="AG48" s="581"/>
      <c r="AH48" s="580"/>
      <c r="AI48" s="580"/>
      <c r="AJ48" s="580"/>
      <c r="AK48" s="580"/>
      <c r="AM48" s="580"/>
      <c r="AN48" s="580"/>
      <c r="AO48" s="580"/>
    </row>
    <row r="49" spans="1:43" ht="24.95" hidden="1" customHeight="1" thickBot="1">
      <c r="A49" s="576"/>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C49" s="582" t="s">
        <v>12</v>
      </c>
      <c r="AD49" s="583"/>
      <c r="AE49" s="583"/>
      <c r="AH49" s="582" t="s">
        <v>19</v>
      </c>
      <c r="AI49" s="585"/>
      <c r="AJ49" s="585"/>
      <c r="AK49" s="585"/>
      <c r="AM49" s="582"/>
      <c r="AN49" s="585"/>
      <c r="AO49" s="585"/>
    </row>
    <row r="50" spans="1:43" ht="24.95" hidden="1" customHeight="1">
      <c r="AC50" s="586" t="s">
        <v>14</v>
      </c>
      <c r="AD50" s="587"/>
      <c r="AE50" s="588">
        <v>10</v>
      </c>
      <c r="AH50" s="589" t="s">
        <v>52</v>
      </c>
      <c r="AI50" s="590"/>
      <c r="AJ50" s="587"/>
      <c r="AK50" s="591" t="s">
        <v>20</v>
      </c>
      <c r="AL50" s="592"/>
      <c r="AM50" s="589"/>
      <c r="AN50" s="587"/>
      <c r="AO50" s="593"/>
      <c r="AP50" s="594"/>
      <c r="AQ50" s="595"/>
    </row>
    <row r="51" spans="1:43" ht="24.95" hidden="1" customHeight="1">
      <c r="AC51" s="596" t="s">
        <v>16</v>
      </c>
      <c r="AD51" s="597"/>
      <c r="AE51" s="598">
        <v>0.1</v>
      </c>
      <c r="AH51" s="599" t="s">
        <v>21</v>
      </c>
      <c r="AI51" s="600"/>
      <c r="AJ51" s="597"/>
      <c r="AK51" s="601" t="s">
        <v>53</v>
      </c>
      <c r="AL51" s="602"/>
      <c r="AM51" s="599"/>
      <c r="AN51" s="597"/>
      <c r="AO51" s="603"/>
      <c r="AP51" s="604"/>
      <c r="AQ51" s="605"/>
    </row>
    <row r="52" spans="1:43" ht="24.75" hidden="1" customHeight="1">
      <c r="AC52" s="596" t="s">
        <v>48</v>
      </c>
      <c r="AD52" s="597"/>
      <c r="AE52" s="606">
        <v>10</v>
      </c>
      <c r="AH52" s="599" t="s">
        <v>55</v>
      </c>
      <c r="AI52" s="600"/>
      <c r="AJ52" s="597"/>
      <c r="AK52" s="601" t="s">
        <v>22</v>
      </c>
      <c r="AL52" s="602"/>
      <c r="AM52" s="599"/>
      <c r="AN52" s="597"/>
      <c r="AO52" s="603"/>
      <c r="AP52" s="604"/>
      <c r="AQ52" s="605"/>
    </row>
    <row r="53" spans="1:43" ht="24.75" hidden="1" customHeight="1">
      <c r="AC53" s="596" t="s">
        <v>49</v>
      </c>
      <c r="AD53" s="597"/>
      <c r="AE53" s="598">
        <v>0.05</v>
      </c>
      <c r="AH53" s="607" t="s">
        <v>56</v>
      </c>
      <c r="AI53" s="608"/>
      <c r="AJ53" s="609"/>
      <c r="AK53" s="610" t="s">
        <v>54</v>
      </c>
      <c r="AL53" s="611"/>
      <c r="AM53" s="607"/>
      <c r="AN53" s="609"/>
      <c r="AO53" s="612"/>
      <c r="AP53" s="577"/>
      <c r="AQ53" s="613"/>
    </row>
    <row r="54" spans="1:43" ht="24.95" hidden="1" customHeight="1" thickBot="1">
      <c r="AC54" s="596" t="s">
        <v>50</v>
      </c>
      <c r="AD54" s="597"/>
      <c r="AE54" s="606">
        <v>20</v>
      </c>
      <c r="AH54" s="614" t="s">
        <v>128</v>
      </c>
      <c r="AI54" s="615"/>
      <c r="AJ54" s="615"/>
      <c r="AK54" s="616" t="s">
        <v>127</v>
      </c>
      <c r="AL54" s="617"/>
      <c r="AM54" s="615"/>
      <c r="AN54" s="615"/>
      <c r="AO54" s="615"/>
      <c r="AP54" s="617"/>
      <c r="AQ54" s="618"/>
    </row>
    <row r="55" spans="1:43" ht="24.95" hidden="1" customHeight="1">
      <c r="AC55" s="619" t="s">
        <v>51</v>
      </c>
      <c r="AD55" s="609"/>
      <c r="AE55" s="620">
        <v>0.05</v>
      </c>
    </row>
    <row r="56" spans="1:43" ht="24.95" hidden="1" customHeight="1" thickBot="1">
      <c r="AC56" s="621" t="s">
        <v>126</v>
      </c>
      <c r="AD56" s="615"/>
      <c r="AE56" s="622">
        <v>5</v>
      </c>
    </row>
    <row r="57" spans="1:43" hidden="1"/>
    <row r="58" spans="1:43" ht="18.75" customHeight="1"/>
    <row r="61" spans="1:43">
      <c r="AC61" s="623"/>
      <c r="AD61" s="623"/>
      <c r="AE61" s="623"/>
      <c r="AF61" s="623"/>
      <c r="AG61" s="612"/>
      <c r="AH61" s="623"/>
      <c r="AI61" s="623"/>
      <c r="AJ61" s="623"/>
      <c r="AK61" s="623"/>
      <c r="AM61" s="623"/>
      <c r="AN61" s="623"/>
      <c r="AO61" s="623"/>
    </row>
    <row r="62" spans="1:43">
      <c r="AC62" s="623"/>
      <c r="AD62" s="623"/>
      <c r="AE62" s="623"/>
      <c r="AF62" s="623"/>
      <c r="AG62" s="612"/>
      <c r="AH62" s="623"/>
      <c r="AI62" s="623"/>
      <c r="AJ62" s="623"/>
      <c r="AK62" s="623"/>
      <c r="AM62" s="623"/>
      <c r="AN62" s="623"/>
      <c r="AO62" s="623"/>
    </row>
    <row r="63" spans="1:43">
      <c r="AC63" s="623"/>
      <c r="AD63" s="623"/>
      <c r="AE63" s="623"/>
      <c r="AF63" s="623"/>
      <c r="AG63" s="612"/>
      <c r="AH63" s="623"/>
      <c r="AI63" s="623"/>
      <c r="AJ63" s="623"/>
      <c r="AK63" s="623"/>
      <c r="AM63" s="623"/>
      <c r="AN63" s="623"/>
      <c r="AO63" s="623"/>
    </row>
    <row r="64" spans="1:43">
      <c r="AC64" s="623"/>
      <c r="AD64" s="623"/>
      <c r="AE64" s="623"/>
      <c r="AF64" s="623"/>
      <c r="AG64" s="612"/>
      <c r="AH64" s="623"/>
      <c r="AI64" s="623"/>
      <c r="AJ64" s="623"/>
      <c r="AK64" s="623"/>
      <c r="AM64" s="623"/>
      <c r="AN64" s="623"/>
      <c r="AO64" s="623"/>
    </row>
    <row r="65" spans="29:41">
      <c r="AC65" s="623"/>
      <c r="AD65" s="623"/>
      <c r="AE65" s="623"/>
      <c r="AF65" s="623"/>
      <c r="AG65" s="612"/>
      <c r="AH65" s="623"/>
      <c r="AI65" s="623"/>
      <c r="AJ65" s="623"/>
      <c r="AK65" s="623"/>
      <c r="AM65" s="623"/>
      <c r="AN65" s="623"/>
      <c r="AO65" s="623"/>
    </row>
  </sheetData>
  <sheetProtection password="E23E" sheet="1" objects="1" scenarios="1"/>
  <mergeCells count="28">
    <mergeCell ref="B2:D2"/>
    <mergeCell ref="F6:F7"/>
    <mergeCell ref="B6:D6"/>
    <mergeCell ref="AC6:AC8"/>
    <mergeCell ref="B5:H5"/>
    <mergeCell ref="AC5:AF5"/>
    <mergeCell ref="R6:T6"/>
    <mergeCell ref="J5:J7"/>
    <mergeCell ref="M5:O5"/>
    <mergeCell ref="M6:N6"/>
    <mergeCell ref="O6:O7"/>
    <mergeCell ref="U6:U7"/>
    <mergeCell ref="X6:Y6"/>
    <mergeCell ref="X5:Z5"/>
    <mergeCell ref="Z6:Z7"/>
    <mergeCell ref="AF6:AF8"/>
    <mergeCell ref="AM5:AO5"/>
    <mergeCell ref="AM6:AM8"/>
    <mergeCell ref="AN6:AN8"/>
    <mergeCell ref="AO6:AO8"/>
    <mergeCell ref="AK6:AK8"/>
    <mergeCell ref="AE6:AE8"/>
    <mergeCell ref="AB5:AB7"/>
    <mergeCell ref="AH6:AH8"/>
    <mergeCell ref="AH5:AK5"/>
    <mergeCell ref="AI6:AI8"/>
    <mergeCell ref="AJ6:AJ8"/>
    <mergeCell ref="AD6:AD8"/>
  </mergeCells>
  <conditionalFormatting sqref="AH11:AK42 AM11:AO42 AC11:AF42">
    <cfRule type="cellIs" dxfId="92" priority="94" stopIfTrue="1" operator="equal">
      <formula>0</formula>
    </cfRule>
  </conditionalFormatting>
  <conditionalFormatting sqref="M11">
    <cfRule type="expression" dxfId="91" priority="74" stopIfTrue="1">
      <formula>$AF$11=1</formula>
    </cfRule>
  </conditionalFormatting>
  <conditionalFormatting sqref="M14">
    <cfRule type="expression" dxfId="90" priority="68" stopIfTrue="1">
      <formula>$AF$14=1</formula>
    </cfRule>
  </conditionalFormatting>
  <conditionalFormatting sqref="M15">
    <cfRule type="expression" dxfId="89" priority="67" stopIfTrue="1">
      <formula>$AF$15=1</formula>
    </cfRule>
  </conditionalFormatting>
  <conditionalFormatting sqref="M19">
    <cfRule type="expression" dxfId="88" priority="66" stopIfTrue="1">
      <formula>$AF$19=1</formula>
    </cfRule>
  </conditionalFormatting>
  <conditionalFormatting sqref="M20">
    <cfRule type="expression" dxfId="87" priority="65" stopIfTrue="1">
      <formula>$AF$20=1</formula>
    </cfRule>
  </conditionalFormatting>
  <conditionalFormatting sqref="M21 M26:M29 M31:M34 M39:M40 M36:M37">
    <cfRule type="expression" dxfId="86" priority="64" stopIfTrue="1">
      <formula>$AF21=1</formula>
    </cfRule>
  </conditionalFormatting>
  <conditionalFormatting sqref="N11 N14:N15 N19:N21 N26:N29 N31:N34 N36:N37 N39:N40">
    <cfRule type="expression" dxfId="85" priority="62" stopIfTrue="1">
      <formula>$AK11=1</formula>
    </cfRule>
  </conditionalFormatting>
  <conditionalFormatting sqref="D14">
    <cfRule type="expression" dxfId="84" priority="45">
      <formula>AF14=1</formula>
    </cfRule>
  </conditionalFormatting>
  <conditionalFormatting sqref="D15">
    <cfRule type="expression" dxfId="83" priority="44">
      <formula>AF15=1</formula>
    </cfRule>
  </conditionalFormatting>
  <conditionalFormatting sqref="D19">
    <cfRule type="expression" dxfId="82" priority="43">
      <formula>AF19=1</formula>
    </cfRule>
  </conditionalFormatting>
  <conditionalFormatting sqref="D20">
    <cfRule type="expression" dxfId="81" priority="42">
      <formula>AF20=1</formula>
    </cfRule>
  </conditionalFormatting>
  <conditionalFormatting sqref="D21">
    <cfRule type="expression" dxfId="80" priority="41">
      <formula>AF21=1</formula>
    </cfRule>
  </conditionalFormatting>
  <conditionalFormatting sqref="D26">
    <cfRule type="expression" dxfId="79" priority="40">
      <formula>AF26=1</formula>
    </cfRule>
  </conditionalFormatting>
  <conditionalFormatting sqref="D27">
    <cfRule type="expression" dxfId="78" priority="39">
      <formula>AF27=1</formula>
    </cfRule>
  </conditionalFormatting>
  <conditionalFormatting sqref="D28">
    <cfRule type="expression" dxfId="77" priority="38">
      <formula>AF28=1</formula>
    </cfRule>
  </conditionalFormatting>
  <conditionalFormatting sqref="D29">
    <cfRule type="expression" dxfId="76" priority="37">
      <formula>AF29=1</formula>
    </cfRule>
  </conditionalFormatting>
  <conditionalFormatting sqref="D31">
    <cfRule type="expression" dxfId="75" priority="36">
      <formula>AF31=1</formula>
    </cfRule>
  </conditionalFormatting>
  <conditionalFormatting sqref="D32">
    <cfRule type="expression" dxfId="74" priority="35">
      <formula>AF32=1</formula>
    </cfRule>
  </conditionalFormatting>
  <conditionalFormatting sqref="D33">
    <cfRule type="expression" dxfId="73" priority="34">
      <formula>AF33=1</formula>
    </cfRule>
  </conditionalFormatting>
  <conditionalFormatting sqref="D34">
    <cfRule type="expression" dxfId="72" priority="33">
      <formula>AF34=1</formula>
    </cfRule>
  </conditionalFormatting>
  <conditionalFormatting sqref="D39">
    <cfRule type="expression" dxfId="71" priority="31">
      <formula>AF39=1</formula>
    </cfRule>
  </conditionalFormatting>
  <conditionalFormatting sqref="D40">
    <cfRule type="expression" dxfId="70" priority="30">
      <formula>AF40=1</formula>
    </cfRule>
  </conditionalFormatting>
  <conditionalFormatting sqref="F11">
    <cfRule type="expression" dxfId="69" priority="29">
      <formula>AK11=1</formula>
    </cfRule>
  </conditionalFormatting>
  <conditionalFormatting sqref="F14">
    <cfRule type="expression" dxfId="68" priority="28">
      <formula>AK14=1</formula>
    </cfRule>
  </conditionalFormatting>
  <conditionalFormatting sqref="F15">
    <cfRule type="expression" dxfId="67" priority="27">
      <formula>AK15=1</formula>
    </cfRule>
  </conditionalFormatting>
  <conditionalFormatting sqref="F19">
    <cfRule type="expression" dxfId="66" priority="26">
      <formula>AK19=1</formula>
    </cfRule>
  </conditionalFormatting>
  <conditionalFormatting sqref="F20">
    <cfRule type="expression" dxfId="65" priority="25">
      <formula>AK20=1</formula>
    </cfRule>
  </conditionalFormatting>
  <conditionalFormatting sqref="F21">
    <cfRule type="expression" dxfId="64" priority="24">
      <formula>AK21=1</formula>
    </cfRule>
  </conditionalFormatting>
  <conditionalFormatting sqref="F26">
    <cfRule type="expression" dxfId="63" priority="23">
      <formula>AK26=1</formula>
    </cfRule>
  </conditionalFormatting>
  <conditionalFormatting sqref="F27">
    <cfRule type="expression" dxfId="62" priority="22">
      <formula>AK27=1</formula>
    </cfRule>
  </conditionalFormatting>
  <conditionalFormatting sqref="F28">
    <cfRule type="expression" dxfId="61" priority="21">
      <formula>AK28=1</formula>
    </cfRule>
  </conditionalFormatting>
  <conditionalFormatting sqref="F29">
    <cfRule type="expression" dxfId="60" priority="20">
      <formula>AK29=1</formula>
    </cfRule>
  </conditionalFormatting>
  <conditionalFormatting sqref="F31">
    <cfRule type="expression" dxfId="59" priority="19">
      <formula>AK31=1</formula>
    </cfRule>
  </conditionalFormatting>
  <conditionalFormatting sqref="F32">
    <cfRule type="expression" dxfId="58" priority="18">
      <formula>AK32=1</formula>
    </cfRule>
  </conditionalFormatting>
  <conditionalFormatting sqref="F33">
    <cfRule type="expression" dxfId="57" priority="17">
      <formula>AK33=1</formula>
    </cfRule>
  </conditionalFormatting>
  <conditionalFormatting sqref="F34">
    <cfRule type="expression" dxfId="56" priority="16">
      <formula>AK34=1</formula>
    </cfRule>
  </conditionalFormatting>
  <conditionalFormatting sqref="F36:F37">
    <cfRule type="expression" dxfId="55" priority="15">
      <formula>AK36=1</formula>
    </cfRule>
  </conditionalFormatting>
  <conditionalFormatting sqref="F39">
    <cfRule type="expression" dxfId="54" priority="14">
      <formula>AK39=1</formula>
    </cfRule>
  </conditionalFormatting>
  <conditionalFormatting sqref="F40">
    <cfRule type="expression" dxfId="53" priority="13">
      <formula>AK40=1</formula>
    </cfRule>
  </conditionalFormatting>
  <conditionalFormatting sqref="D11">
    <cfRule type="expression" dxfId="52" priority="12">
      <formula>AF11=1</formula>
    </cfRule>
  </conditionalFormatting>
  <conditionalFormatting sqref="D36">
    <cfRule type="expression" dxfId="51" priority="9">
      <formula>AF36=1</formula>
    </cfRule>
  </conditionalFormatting>
  <conditionalFormatting sqref="D37">
    <cfRule type="expression" dxfId="50" priority="8">
      <formula>AF37=1</formula>
    </cfRule>
  </conditionalFormatting>
  <conditionalFormatting sqref="O19:O20 O26:O29 O31:O34">
    <cfRule type="expression" dxfId="49" priority="6" stopIfTrue="1">
      <formula>$AO19=1</formula>
    </cfRule>
  </conditionalFormatting>
  <conditionalFormatting sqref="J19">
    <cfRule type="expression" dxfId="48" priority="4">
      <formula>$AO19=1</formula>
    </cfRule>
  </conditionalFormatting>
  <conditionalFormatting sqref="J20">
    <cfRule type="expression" dxfId="47" priority="3">
      <formula>$AO20=1</formula>
    </cfRule>
  </conditionalFormatting>
  <conditionalFormatting sqref="J26:J29">
    <cfRule type="expression" dxfId="46" priority="2">
      <formula>$AO26=1</formula>
    </cfRule>
  </conditionalFormatting>
  <conditionalFormatting sqref="J31:J34">
    <cfRule type="expression" dxfId="45" priority="1">
      <formula>$AO31=1</formula>
    </cfRule>
  </conditionalFormatting>
  <dataValidations count="2">
    <dataValidation allowBlank="1" sqref="AP1:DU2 A5:B5 B6 R44:S44 A7:C7 AH10:AK10 M41:P42 D1:G1 D3:G3 D4:L4 R2:U2 X44:AA44 X1 AC49:AE53 AC6:AE6 AC10:AF10 J8 M12:P13 M16:P18 M22:P25 X2:Z2 X12:AA13 X16:AA18 X22:AA25 X30:AA30 X38:AA38 I6:I9 X5 AC54:AC55 AH6:AJ6 B8:G8 AM10:AO10 X41:AB42 R5:R7 R1 S7:T7 AP3:DR5 AB1:AB5 L6:L9 R8:U9 AM6:AN6 F41:F42 B38:C38 B41:C42 F12:F13 F38 J35:J42 F35 B35:C35 J30 F30 B30:C30 J21:J25 F22:F25 B22:C25 H10:H42 B11:C13 H6:H8 K8:K9 X7:Y10 Z8:AB10 V8:V10 W3:W10 Q1:Q10 Q11:W42 AL1:AL42 AP6:DS42 I11:I42 E11:E42 B16:C18 F16:F18 G11:G42 J11:J18 K11:L42 A11:A42 D12:D42"/>
    <dataValidation type="decimal" operator="greaterThanOrEqual" allowBlank="1" showErrorMessage="1" error="Invalid Entry" sqref="D11 F11 B14:C15 F14:F15 B19:C21 F19:F21 J19:J20 B26:C29 F26:F29 J26:J29 B31:C34 F31:F34 J31:J34 B36:C37 F36:F37 B39:C40 F39:F40">
      <formula1>0</formula1>
    </dataValidation>
  </dataValidations>
  <pageMargins left="0.19685039370078741" right="0.19685039370078741" top="0.19685039370078741" bottom="0.39370078740157483" header="0" footer="0"/>
  <pageSetup paperSize="8"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9"/>
  <sheetViews>
    <sheetView zoomScale="80" zoomScaleNormal="80" workbookViewId="0">
      <pane xSplit="1" ySplit="6" topLeftCell="D7" activePane="bottomRight" state="frozen"/>
      <selection pane="topRight" activeCell="B1" sqref="B1"/>
      <selection pane="bottomLeft" activeCell="A7" sqref="A7"/>
      <selection pane="bottomRight"/>
    </sheetView>
  </sheetViews>
  <sheetFormatPr defaultColWidth="9.140625" defaultRowHeight="15"/>
  <cols>
    <col min="1" max="1" width="76" style="655" customWidth="1"/>
    <col min="2" max="2" width="40.7109375" style="656" customWidth="1"/>
    <col min="3" max="3" width="100.7109375" style="657" customWidth="1"/>
    <col min="4" max="4" width="40.7109375" style="657" customWidth="1"/>
    <col min="5" max="5" width="100.7109375" style="657" customWidth="1"/>
    <col min="6" max="6" width="40.7109375" style="657" customWidth="1"/>
    <col min="7" max="7" width="100.7109375" style="584" customWidth="1"/>
    <col min="8" max="8" width="5.7109375" style="584" customWidth="1"/>
    <col min="9" max="9" width="2.5703125" style="584" customWidth="1"/>
    <col min="10" max="11" width="11.7109375" style="658" hidden="1" customWidth="1"/>
    <col min="12" max="12" width="11.7109375" style="584" hidden="1" customWidth="1"/>
    <col min="13" max="13" width="9.140625" style="584" hidden="1" customWidth="1"/>
    <col min="14" max="16384" width="9.140625" style="584"/>
  </cols>
  <sheetData>
    <row r="1" spans="1:12" ht="30" customHeight="1" thickBot="1">
      <c r="A1" s="12" t="s">
        <v>43</v>
      </c>
      <c r="B1" s="13" t="s">
        <v>190</v>
      </c>
      <c r="C1" s="1076" t="s">
        <v>330</v>
      </c>
      <c r="D1" s="13" t="s">
        <v>190</v>
      </c>
      <c r="E1" s="14"/>
      <c r="F1" s="13" t="s">
        <v>190</v>
      </c>
      <c r="G1" s="15"/>
      <c r="H1" s="15"/>
    </row>
    <row r="2" spans="1:12" s="659" customFormat="1" ht="30" customHeight="1" thickBot="1">
      <c r="A2" s="16" t="s">
        <v>5</v>
      </c>
      <c r="B2" s="17" t="str">
        <f>'T1 Final Figures 2016-17'!$B$2</f>
        <v>Glasgow, University of</v>
      </c>
      <c r="C2" s="18"/>
      <c r="D2" s="17" t="str">
        <f>'T1 Final Figures 2016-17'!$B$2</f>
        <v>Glasgow, University of</v>
      </c>
      <c r="E2" s="18"/>
      <c r="F2" s="17" t="str">
        <f>'T1 Final Figures 2016-17'!$B$2</f>
        <v>Glasgow, University of</v>
      </c>
      <c r="G2" s="19"/>
      <c r="H2" s="19"/>
      <c r="J2" s="1363" t="s">
        <v>129</v>
      </c>
      <c r="K2" s="1364"/>
      <c r="L2" s="1365"/>
    </row>
    <row r="3" spans="1:12" s="660" customFormat="1" ht="30" customHeight="1">
      <c r="A3" s="20"/>
      <c r="B3" s="21" t="s">
        <v>312</v>
      </c>
      <c r="C3" s="18"/>
      <c r="D3" s="21" t="s">
        <v>312</v>
      </c>
      <c r="E3" s="18"/>
      <c r="F3" s="21" t="s">
        <v>312</v>
      </c>
      <c r="G3" s="22"/>
      <c r="H3" s="22"/>
      <c r="J3" s="1366"/>
      <c r="K3" s="1367"/>
      <c r="L3" s="1368"/>
    </row>
    <row r="4" spans="1:12" s="660" customFormat="1" ht="30" customHeight="1" thickBot="1">
      <c r="A4" s="340"/>
      <c r="B4" s="21" t="s">
        <v>331</v>
      </c>
      <c r="C4" s="18"/>
      <c r="D4" s="21" t="s">
        <v>331</v>
      </c>
      <c r="E4" s="18"/>
      <c r="F4" s="21" t="s">
        <v>331</v>
      </c>
      <c r="G4" s="22"/>
      <c r="H4" s="22"/>
      <c r="J4" s="943"/>
      <c r="K4" s="944"/>
      <c r="L4" s="945"/>
    </row>
    <row r="5" spans="1:12" ht="37.5" customHeight="1">
      <c r="A5" s="1371" t="s">
        <v>42</v>
      </c>
      <c r="B5" s="1373" t="s">
        <v>106</v>
      </c>
      <c r="C5" s="1374"/>
      <c r="D5" s="1375" t="s">
        <v>2</v>
      </c>
      <c r="E5" s="1376"/>
      <c r="F5" s="1373" t="s">
        <v>328</v>
      </c>
      <c r="G5" s="1376"/>
      <c r="H5" s="23"/>
      <c r="J5" s="1377" t="s">
        <v>23</v>
      </c>
      <c r="K5" s="1379" t="s">
        <v>2</v>
      </c>
      <c r="L5" s="1369" t="s">
        <v>130</v>
      </c>
    </row>
    <row r="6" spans="1:12" ht="35.25" customHeight="1" thickBot="1">
      <c r="A6" s="1372"/>
      <c r="B6" s="24" t="s">
        <v>57</v>
      </c>
      <c r="C6" s="363" t="s">
        <v>58</v>
      </c>
      <c r="D6" s="373" t="s">
        <v>57</v>
      </c>
      <c r="E6" s="25" t="s">
        <v>58</v>
      </c>
      <c r="F6" s="349" t="s">
        <v>57</v>
      </c>
      <c r="G6" s="348" t="s">
        <v>58</v>
      </c>
      <c r="H6" s="23"/>
      <c r="J6" s="1378"/>
      <c r="K6" s="1380"/>
      <c r="L6" s="1370"/>
    </row>
    <row r="7" spans="1:12" ht="72" customHeight="1" thickBot="1">
      <c r="A7" s="175" t="s">
        <v>11</v>
      </c>
      <c r="B7" s="379" t="str">
        <f>'T1 Final Figures 2016-17'!M11</f>
        <v/>
      </c>
      <c r="C7" s="364"/>
      <c r="D7" s="359" t="str">
        <f>'T1 Final Figures 2016-17'!N11</f>
        <v/>
      </c>
      <c r="E7" s="27"/>
      <c r="F7" s="394"/>
      <c r="G7" s="342"/>
      <c r="H7" s="23"/>
      <c r="J7" s="661">
        <f>'T1 Final Figures 2016-17'!AF11</f>
        <v>0</v>
      </c>
      <c r="K7" s="662">
        <f>'T1 Final Figures 2016-17'!AK11</f>
        <v>0</v>
      </c>
      <c r="L7" s="663"/>
    </row>
    <row r="8" spans="1:12" ht="39.950000000000003" customHeight="1">
      <c r="A8" s="175" t="s">
        <v>13</v>
      </c>
      <c r="B8" s="360"/>
      <c r="C8" s="365"/>
      <c r="D8" s="374"/>
      <c r="E8" s="28"/>
      <c r="F8" s="350"/>
      <c r="G8" s="346"/>
      <c r="H8" s="23"/>
      <c r="J8" s="664"/>
      <c r="K8" s="665"/>
      <c r="L8" s="666"/>
    </row>
    <row r="9" spans="1:12" ht="39.950000000000003" customHeight="1">
      <c r="A9" s="179" t="s">
        <v>28</v>
      </c>
      <c r="B9" s="30"/>
      <c r="C9" s="366"/>
      <c r="D9" s="375"/>
      <c r="E9" s="31"/>
      <c r="F9" s="351"/>
      <c r="G9" s="342"/>
      <c r="H9" s="23"/>
      <c r="J9" s="667"/>
      <c r="K9" s="668"/>
      <c r="L9" s="669"/>
    </row>
    <row r="10" spans="1:12" ht="72" customHeight="1">
      <c r="A10" s="203" t="s">
        <v>29</v>
      </c>
      <c r="B10" s="34" t="str">
        <f>'T1 Final Figures 2016-17'!M14</f>
        <v/>
      </c>
      <c r="C10" s="367"/>
      <c r="D10" s="34" t="str">
        <f>'T1 Final Figures 2016-17'!N14</f>
        <v/>
      </c>
      <c r="E10" s="33"/>
      <c r="F10" s="394"/>
      <c r="G10" s="342"/>
      <c r="H10" s="23"/>
      <c r="J10" s="661">
        <f>'T1 Final Figures 2016-17'!AF14</f>
        <v>0</v>
      </c>
      <c r="K10" s="662">
        <f>'T1 Final Figures 2016-17'!AK14</f>
        <v>0</v>
      </c>
      <c r="L10" s="670"/>
    </row>
    <row r="11" spans="1:12" ht="72" customHeight="1">
      <c r="A11" s="179" t="s">
        <v>30</v>
      </c>
      <c r="B11" s="34" t="str">
        <f>'T1 Final Figures 2016-17'!M15</f>
        <v/>
      </c>
      <c r="C11" s="367"/>
      <c r="D11" s="34" t="str">
        <f>'T1 Final Figures 2016-17'!N15</f>
        <v>At least 20 FTE and 5% difference between Final Figures and Early Statistics</v>
      </c>
      <c r="E11" s="33" t="s">
        <v>502</v>
      </c>
      <c r="F11" s="394"/>
      <c r="G11" s="342"/>
      <c r="H11" s="23"/>
      <c r="J11" s="661">
        <f>'T1 Final Figures 2016-17'!AF15</f>
        <v>0</v>
      </c>
      <c r="K11" s="662">
        <f>'T1 Final Figures 2016-17'!AK15</f>
        <v>1</v>
      </c>
      <c r="L11" s="671"/>
    </row>
    <row r="12" spans="1:12" ht="20.100000000000001" customHeight="1" thickBot="1">
      <c r="A12" s="357"/>
      <c r="B12" s="35"/>
      <c r="C12" s="368"/>
      <c r="D12" s="376"/>
      <c r="E12" s="36"/>
      <c r="F12" s="352"/>
      <c r="G12" s="343"/>
      <c r="H12" s="23"/>
      <c r="J12" s="673"/>
      <c r="K12" s="674"/>
      <c r="L12" s="675"/>
    </row>
    <row r="13" spans="1:12" ht="39.950000000000003" customHeight="1">
      <c r="A13" s="174" t="s">
        <v>15</v>
      </c>
      <c r="B13" s="344"/>
      <c r="C13" s="369"/>
      <c r="D13" s="377"/>
      <c r="E13" s="345"/>
      <c r="F13" s="351"/>
      <c r="G13" s="342"/>
      <c r="H13" s="23"/>
      <c r="J13" s="676"/>
      <c r="K13" s="677"/>
      <c r="L13" s="678"/>
    </row>
    <row r="14" spans="1:12" ht="39.950000000000003" customHeight="1">
      <c r="A14" s="179" t="s">
        <v>28</v>
      </c>
      <c r="B14" s="30"/>
      <c r="C14" s="366"/>
      <c r="D14" s="375"/>
      <c r="E14" s="31"/>
      <c r="F14" s="351"/>
      <c r="G14" s="342"/>
      <c r="H14" s="23"/>
      <c r="J14" s="667"/>
      <c r="K14" s="668"/>
      <c r="L14" s="679"/>
    </row>
    <row r="15" spans="1:12" ht="72" customHeight="1">
      <c r="A15" s="203" t="s">
        <v>31</v>
      </c>
      <c r="B15" s="34" t="str">
        <f>'T1 Final Figures 2016-17'!M19</f>
        <v/>
      </c>
      <c r="C15" s="367"/>
      <c r="D15" s="34" t="str">
        <f>'T1 Final Figures 2016-17'!N19</f>
        <v/>
      </c>
      <c r="E15" s="33"/>
      <c r="F15" s="380" t="str">
        <f>'T1 Final Figures 2016-17'!O19</f>
        <v/>
      </c>
      <c r="G15" s="399"/>
      <c r="H15" s="23"/>
      <c r="J15" s="661">
        <f>'T1 Final Figures 2016-17'!AF19</f>
        <v>0</v>
      </c>
      <c r="K15" s="662">
        <f>'T1 Final Figures 2016-17'!AK19</f>
        <v>0</v>
      </c>
      <c r="L15" s="672">
        <f>'T1 Final Figures 2016-17'!AO19</f>
        <v>0</v>
      </c>
    </row>
    <row r="16" spans="1:12" ht="72" customHeight="1">
      <c r="A16" s="203" t="s">
        <v>32</v>
      </c>
      <c r="B16" s="34" t="str">
        <f>'T1 Final Figures 2016-17'!M20</f>
        <v/>
      </c>
      <c r="C16" s="367"/>
      <c r="D16" s="34" t="str">
        <f>'T1 Final Figures 2016-17'!N20</f>
        <v/>
      </c>
      <c r="E16" s="33"/>
      <c r="F16" s="380" t="str">
        <f>'T1 Final Figures 2016-17'!O20</f>
        <v/>
      </c>
      <c r="G16" s="399"/>
      <c r="H16" s="23"/>
      <c r="J16" s="661">
        <f>'T1 Final Figures 2016-17'!AF20</f>
        <v>0</v>
      </c>
      <c r="K16" s="662">
        <f>'T1 Final Figures 2016-17'!AK20</f>
        <v>0</v>
      </c>
      <c r="L16" s="672">
        <f>'T1 Final Figures 2016-17'!AO20</f>
        <v>0</v>
      </c>
    </row>
    <row r="17" spans="1:12" ht="72" customHeight="1">
      <c r="A17" s="179" t="s">
        <v>30</v>
      </c>
      <c r="B17" s="34" t="str">
        <f>'T1 Final Figures 2016-17'!M21</f>
        <v/>
      </c>
      <c r="C17" s="367"/>
      <c r="D17" s="34" t="str">
        <f>'T1 Final Figures 2016-17'!N21</f>
        <v>At least 20 FTE and 5% difference between Final Figures and Early Statistics</v>
      </c>
      <c r="E17" s="33" t="s">
        <v>502</v>
      </c>
      <c r="F17" s="395"/>
      <c r="G17" s="355"/>
      <c r="H17" s="23"/>
      <c r="J17" s="661">
        <f>'T1 Final Figures 2016-17'!AF21</f>
        <v>0</v>
      </c>
      <c r="K17" s="662">
        <f>'T1 Final Figures 2016-17'!AK21</f>
        <v>1</v>
      </c>
      <c r="L17" s="675"/>
    </row>
    <row r="18" spans="1:12" ht="20.100000000000001" customHeight="1" thickBot="1">
      <c r="A18" s="357"/>
      <c r="B18" s="35"/>
      <c r="C18" s="368"/>
      <c r="D18" s="378"/>
      <c r="E18" s="36"/>
      <c r="F18" s="352"/>
      <c r="G18" s="343"/>
      <c r="H18" s="23"/>
      <c r="J18" s="680"/>
      <c r="K18" s="681"/>
      <c r="L18" s="682"/>
    </row>
    <row r="19" spans="1:12" ht="39.950000000000003" customHeight="1">
      <c r="A19" s="175" t="s">
        <v>17</v>
      </c>
      <c r="B19" s="360"/>
      <c r="C19" s="365"/>
      <c r="D19" s="374"/>
      <c r="E19" s="28"/>
      <c r="F19" s="351"/>
      <c r="G19" s="342"/>
      <c r="H19" s="23"/>
      <c r="J19" s="664"/>
      <c r="K19" s="665"/>
      <c r="L19" s="666"/>
    </row>
    <row r="20" spans="1:12" ht="39.950000000000003" customHeight="1">
      <c r="A20" s="179" t="s">
        <v>28</v>
      </c>
      <c r="B20" s="344"/>
      <c r="C20" s="369"/>
      <c r="D20" s="377"/>
      <c r="E20" s="345"/>
      <c r="F20" s="351"/>
      <c r="G20" s="342"/>
      <c r="H20" s="23"/>
      <c r="J20" s="683"/>
      <c r="K20" s="684"/>
      <c r="L20" s="669"/>
    </row>
    <row r="21" spans="1:12" ht="39.950000000000003" customHeight="1">
      <c r="A21" s="180" t="s">
        <v>33</v>
      </c>
      <c r="B21" s="30"/>
      <c r="C21" s="366"/>
      <c r="D21" s="375"/>
      <c r="E21" s="31"/>
      <c r="F21" s="351"/>
      <c r="G21" s="342"/>
      <c r="H21" s="23"/>
      <c r="J21" s="667"/>
      <c r="K21" s="668"/>
      <c r="L21" s="679"/>
    </row>
    <row r="22" spans="1:12" ht="72" customHeight="1">
      <c r="A22" s="183" t="s">
        <v>24</v>
      </c>
      <c r="B22" s="34" t="str">
        <f>'T1 Final Figures 2016-17'!M26</f>
        <v/>
      </c>
      <c r="C22" s="367"/>
      <c r="D22" s="34" t="str">
        <f>'T1 Final Figures 2016-17'!N26</f>
        <v/>
      </c>
      <c r="E22" s="33"/>
      <c r="F22" s="380" t="str">
        <f>'T1 Final Figures 2016-17'!O26</f>
        <v/>
      </c>
      <c r="G22" s="399"/>
      <c r="H22" s="23"/>
      <c r="J22" s="661">
        <f>'T1 Final Figures 2016-17'!AF26</f>
        <v>0</v>
      </c>
      <c r="K22" s="662">
        <f>'T1 Final Figures 2016-17'!AK26</f>
        <v>0</v>
      </c>
      <c r="L22" s="672">
        <f>'T1 Final Figures 2016-17'!AO26</f>
        <v>0</v>
      </c>
    </row>
    <row r="23" spans="1:12" ht="72" customHeight="1">
      <c r="A23" s="183" t="s">
        <v>25</v>
      </c>
      <c r="B23" s="34" t="str">
        <f>'T1 Final Figures 2016-17'!M27</f>
        <v/>
      </c>
      <c r="C23" s="367"/>
      <c r="D23" s="34" t="str">
        <f>'T1 Final Figures 2016-17'!N27</f>
        <v/>
      </c>
      <c r="E23" s="33"/>
      <c r="F23" s="380" t="str">
        <f>'T1 Final Figures 2016-17'!O27</f>
        <v/>
      </c>
      <c r="G23" s="399"/>
      <c r="H23" s="23"/>
      <c r="J23" s="661">
        <f>'T1 Final Figures 2016-17'!AF27</f>
        <v>0</v>
      </c>
      <c r="K23" s="662">
        <f>'T1 Final Figures 2016-17'!AK27</f>
        <v>0</v>
      </c>
      <c r="L23" s="672">
        <f>'T1 Final Figures 2016-17'!AO27</f>
        <v>0</v>
      </c>
    </row>
    <row r="24" spans="1:12" ht="72" customHeight="1">
      <c r="A24" s="183" t="s">
        <v>8</v>
      </c>
      <c r="B24" s="34" t="str">
        <f>'T1 Final Figures 2016-17'!M28</f>
        <v/>
      </c>
      <c r="C24" s="367"/>
      <c r="D24" s="34" t="str">
        <f>'T1 Final Figures 2016-17'!N28</f>
        <v/>
      </c>
      <c r="E24" s="33"/>
      <c r="F24" s="380" t="str">
        <f>'T1 Final Figures 2016-17'!O28</f>
        <v/>
      </c>
      <c r="G24" s="399"/>
      <c r="H24" s="23"/>
      <c r="J24" s="661">
        <f>'T1 Final Figures 2016-17'!AF28</f>
        <v>0</v>
      </c>
      <c r="K24" s="662">
        <f>'T1 Final Figures 2016-17'!AK28</f>
        <v>0</v>
      </c>
      <c r="L24" s="672">
        <f>'T1 Final Figures 2016-17'!AO28</f>
        <v>0</v>
      </c>
    </row>
    <row r="25" spans="1:12" ht="72" customHeight="1">
      <c r="A25" s="183" t="s">
        <v>9</v>
      </c>
      <c r="B25" s="34" t="str">
        <f>'T1 Final Figures 2016-17'!M29</f>
        <v/>
      </c>
      <c r="C25" s="367"/>
      <c r="D25" s="34" t="str">
        <f>'T1 Final Figures 2016-17'!N29</f>
        <v/>
      </c>
      <c r="E25" s="33"/>
      <c r="F25" s="380" t="str">
        <f>'T1 Final Figures 2016-17'!O29</f>
        <v/>
      </c>
      <c r="G25" s="399"/>
      <c r="H25" s="23"/>
      <c r="J25" s="661">
        <f>'T1 Final Figures 2016-17'!AF29</f>
        <v>0</v>
      </c>
      <c r="K25" s="662">
        <f>'T1 Final Figures 2016-17'!AK29</f>
        <v>0</v>
      </c>
      <c r="L25" s="672">
        <f>'T1 Final Figures 2016-17'!AO29</f>
        <v>0</v>
      </c>
    </row>
    <row r="26" spans="1:12" ht="39.950000000000003" customHeight="1">
      <c r="A26" s="180" t="s">
        <v>10</v>
      </c>
      <c r="B26" s="361"/>
      <c r="C26" s="370"/>
      <c r="D26" s="356"/>
      <c r="E26" s="37"/>
      <c r="F26" s="353"/>
      <c r="G26" s="347"/>
      <c r="H26" s="23"/>
      <c r="J26" s="680"/>
      <c r="K26" s="681"/>
      <c r="L26" s="675"/>
    </row>
    <row r="27" spans="1:12" ht="72" customHeight="1">
      <c r="A27" s="183" t="s">
        <v>34</v>
      </c>
      <c r="B27" s="34" t="str">
        <f>'T1 Final Figures 2016-17'!M31</f>
        <v/>
      </c>
      <c r="C27" s="367"/>
      <c r="D27" s="34" t="str">
        <f>'T1 Final Figures 2016-17'!N31</f>
        <v/>
      </c>
      <c r="E27" s="33"/>
      <c r="F27" s="380" t="str">
        <f>'T1 Final Figures 2016-17'!O31</f>
        <v/>
      </c>
      <c r="G27" s="399"/>
      <c r="H27" s="23"/>
      <c r="J27" s="661">
        <f>'T1 Final Figures 2016-17'!AF31</f>
        <v>0</v>
      </c>
      <c r="K27" s="662">
        <f>'T1 Final Figures 2016-17'!AK31</f>
        <v>0</v>
      </c>
      <c r="L27" s="672">
        <f>'T1 Final Figures 2016-17'!AO31</f>
        <v>0</v>
      </c>
    </row>
    <row r="28" spans="1:12" ht="72" customHeight="1">
      <c r="A28" s="183" t="s">
        <v>35</v>
      </c>
      <c r="B28" s="34" t="str">
        <f>'T1 Final Figures 2016-17'!M32</f>
        <v/>
      </c>
      <c r="C28" s="367"/>
      <c r="D28" s="34" t="str">
        <f>'T1 Final Figures 2016-17'!N32</f>
        <v/>
      </c>
      <c r="E28" s="33"/>
      <c r="F28" s="380" t="str">
        <f>'T1 Final Figures 2016-17'!O32</f>
        <v/>
      </c>
      <c r="G28" s="399"/>
      <c r="H28" s="23"/>
      <c r="J28" s="661">
        <f>'T1 Final Figures 2016-17'!AF32</f>
        <v>0</v>
      </c>
      <c r="K28" s="662">
        <f>'T1 Final Figures 2016-17'!AK32</f>
        <v>0</v>
      </c>
      <c r="L28" s="672">
        <f>'T1 Final Figures 2016-17'!AO32</f>
        <v>0</v>
      </c>
    </row>
    <row r="29" spans="1:12" ht="72" customHeight="1">
      <c r="A29" s="183" t="s">
        <v>36</v>
      </c>
      <c r="B29" s="34" t="str">
        <f>'T1 Final Figures 2016-17'!M33</f>
        <v/>
      </c>
      <c r="C29" s="367"/>
      <c r="D29" s="34" t="str">
        <f>'T1 Final Figures 2016-17'!N33</f>
        <v/>
      </c>
      <c r="E29" s="33"/>
      <c r="F29" s="380" t="str">
        <f>'T1 Final Figures 2016-17'!O33</f>
        <v/>
      </c>
      <c r="G29" s="399"/>
      <c r="H29" s="23"/>
      <c r="J29" s="661">
        <f>'T1 Final Figures 2016-17'!AF33</f>
        <v>0</v>
      </c>
      <c r="K29" s="662">
        <f>'T1 Final Figures 2016-17'!AK33</f>
        <v>0</v>
      </c>
      <c r="L29" s="672">
        <f>'T1 Final Figures 2016-17'!AO33</f>
        <v>0</v>
      </c>
    </row>
    <row r="30" spans="1:12" ht="72" customHeight="1">
      <c r="A30" s="183" t="s">
        <v>37</v>
      </c>
      <c r="B30" s="34" t="str">
        <f>'T1 Final Figures 2016-17'!M34</f>
        <v/>
      </c>
      <c r="C30" s="367"/>
      <c r="D30" s="34" t="str">
        <f>'T1 Final Figures 2016-17'!N34</f>
        <v/>
      </c>
      <c r="E30" s="1074"/>
      <c r="F30" s="380" t="str">
        <f>'T1 Final Figures 2016-17'!O34</f>
        <v/>
      </c>
      <c r="G30" s="399"/>
      <c r="H30" s="23"/>
      <c r="J30" s="661">
        <f>'T1 Final Figures 2016-17'!AF34</f>
        <v>0</v>
      </c>
      <c r="K30" s="662">
        <f>'T1 Final Figures 2016-17'!AK34</f>
        <v>0</v>
      </c>
      <c r="L30" s="672">
        <f>'T1 Final Figures 2016-17'!AO34</f>
        <v>0</v>
      </c>
    </row>
    <row r="31" spans="1:12" ht="72" customHeight="1">
      <c r="A31" s="180" t="s">
        <v>29</v>
      </c>
      <c r="B31" s="356"/>
      <c r="C31" s="393"/>
      <c r="D31" s="361"/>
      <c r="E31" s="1075"/>
      <c r="F31" s="396"/>
      <c r="G31" s="347"/>
      <c r="H31" s="23"/>
      <c r="J31" s="685"/>
      <c r="K31" s="686"/>
      <c r="L31" s="687"/>
    </row>
    <row r="32" spans="1:12" ht="72" customHeight="1">
      <c r="A32" s="183" t="s">
        <v>291</v>
      </c>
      <c r="B32" s="34" t="str">
        <f>'T1 Final Figures 2016-17'!M36</f>
        <v/>
      </c>
      <c r="C32" s="367"/>
      <c r="D32" s="34" t="str">
        <f>'T1 Final Figures 2016-17'!N36</f>
        <v/>
      </c>
      <c r="E32" s="33"/>
      <c r="F32" s="396"/>
      <c r="G32" s="347"/>
      <c r="H32" s="23"/>
      <c r="J32" s="661">
        <f>'T1 Final Figures 2016-17'!AF36</f>
        <v>0</v>
      </c>
      <c r="K32" s="662">
        <f>'T1 Final Figures 2016-17'!AK36</f>
        <v>0</v>
      </c>
      <c r="L32" s="675"/>
    </row>
    <row r="33" spans="1:13" ht="72" customHeight="1">
      <c r="A33" s="183" t="s">
        <v>292</v>
      </c>
      <c r="B33" s="34" t="str">
        <f>'T1 Final Figures 2016-17'!M37</f>
        <v/>
      </c>
      <c r="C33" s="367"/>
      <c r="D33" s="34" t="str">
        <f>'T1 Final Figures 2016-17'!N37</f>
        <v/>
      </c>
      <c r="E33" s="33"/>
      <c r="F33" s="396"/>
      <c r="G33" s="347"/>
      <c r="H33" s="23"/>
      <c r="J33" s="661">
        <f>'T1 Final Figures 2016-17'!AF37</f>
        <v>0</v>
      </c>
      <c r="K33" s="662">
        <f>'T1 Final Figures 2016-17'!AK37</f>
        <v>0</v>
      </c>
      <c r="L33" s="675"/>
    </row>
    <row r="34" spans="1:13" ht="39.950000000000003" customHeight="1">
      <c r="A34" s="179" t="s">
        <v>30</v>
      </c>
      <c r="B34" s="361"/>
      <c r="C34" s="371"/>
      <c r="D34" s="361"/>
      <c r="E34" s="38"/>
      <c r="F34" s="354"/>
      <c r="G34" s="342"/>
      <c r="H34" s="23"/>
      <c r="J34" s="680"/>
      <c r="K34" s="681"/>
      <c r="L34" s="675"/>
    </row>
    <row r="35" spans="1:13" ht="72" customHeight="1">
      <c r="A35" s="203" t="s">
        <v>38</v>
      </c>
      <c r="B35" s="34" t="str">
        <f>'T1 Final Figures 2016-17'!M39</f>
        <v/>
      </c>
      <c r="C35" s="367"/>
      <c r="D35" s="34" t="str">
        <f>'T1 Final Figures 2016-17'!N39</f>
        <v/>
      </c>
      <c r="E35" s="1292"/>
      <c r="F35" s="394"/>
      <c r="G35" s="342"/>
      <c r="H35" s="23"/>
      <c r="J35" s="661">
        <f>'T1 Final Figures 2016-17'!AF39</f>
        <v>0</v>
      </c>
      <c r="K35" s="662">
        <f>'T1 Final Figures 2016-17'!AK39</f>
        <v>0</v>
      </c>
      <c r="L35" s="675"/>
    </row>
    <row r="36" spans="1:13" ht="72" customHeight="1" thickBot="1">
      <c r="A36" s="358" t="s">
        <v>39</v>
      </c>
      <c r="B36" s="362" t="str">
        <f>'T1 Final Figures 2016-17'!M40</f>
        <v/>
      </c>
      <c r="C36" s="372"/>
      <c r="D36" s="362" t="str">
        <f>'T1 Final Figures 2016-17'!N40</f>
        <v/>
      </c>
      <c r="E36" s="1293"/>
      <c r="F36" s="397"/>
      <c r="G36" s="343"/>
      <c r="H36" s="23"/>
      <c r="J36" s="688">
        <f>'T1 Final Figures 2016-17'!AF40</f>
        <v>0</v>
      </c>
      <c r="K36" s="689">
        <f>'T1 Final Figures 2016-17'!AK40</f>
        <v>0</v>
      </c>
      <c r="L36" s="690"/>
    </row>
    <row r="37" spans="1:13" ht="24.95" customHeight="1">
      <c r="A37" s="341"/>
      <c r="B37" s="384"/>
      <c r="C37" s="385"/>
      <c r="D37" s="389"/>
      <c r="E37" s="390"/>
      <c r="F37" s="388" t="s">
        <v>134</v>
      </c>
      <c r="G37" s="23"/>
      <c r="H37" s="23"/>
      <c r="J37" s="691"/>
      <c r="K37" s="691"/>
    </row>
    <row r="38" spans="1:13" ht="24.95" customHeight="1">
      <c r="A38" s="381"/>
      <c r="B38" s="386"/>
      <c r="C38" s="387"/>
      <c r="D38" s="391"/>
      <c r="E38" s="392"/>
      <c r="F38" s="383" t="s">
        <v>337</v>
      </c>
      <c r="G38" s="382"/>
      <c r="H38" s="382"/>
      <c r="J38" s="1271">
        <f>SUM(J7:J36)</f>
        <v>0</v>
      </c>
      <c r="K38" s="1271">
        <f t="shared" ref="K38:L38" si="0">SUM(K7:K36)</f>
        <v>2</v>
      </c>
      <c r="L38" s="1271">
        <f t="shared" si="0"/>
        <v>0</v>
      </c>
      <c r="M38" s="1272">
        <f>SUM(J38:L38)</f>
        <v>2</v>
      </c>
    </row>
    <row r="39" spans="1:13" ht="18" customHeight="1">
      <c r="A39" s="381"/>
      <c r="B39" s="340"/>
      <c r="C39" s="340"/>
      <c r="D39" s="392"/>
      <c r="E39" s="392"/>
      <c r="F39" s="398"/>
      <c r="G39" s="382"/>
      <c r="H39" s="382"/>
      <c r="J39" s="692"/>
      <c r="K39" s="692"/>
    </row>
  </sheetData>
  <sheetProtection password="E23E" sheet="1" objects="1" scenarios="1"/>
  <mergeCells count="8">
    <mergeCell ref="J2:L3"/>
    <mergeCell ref="L5:L6"/>
    <mergeCell ref="A5:A6"/>
    <mergeCell ref="B5:C5"/>
    <mergeCell ref="D5:E5"/>
    <mergeCell ref="J5:J6"/>
    <mergeCell ref="K5:K6"/>
    <mergeCell ref="F5:G5"/>
  </mergeCells>
  <conditionalFormatting sqref="E7 E10:E11 E32:E33 E22:E25 E27:E30 E35:E36 E15:E17">
    <cfRule type="expression" dxfId="44" priority="17" stopIfTrue="1">
      <formula>K7=1</formula>
    </cfRule>
  </conditionalFormatting>
  <conditionalFormatting sqref="D7 D10:D11 D15:D17 D35:D36 D27:D30 D32:D33 D22:D25">
    <cfRule type="expression" dxfId="43" priority="18" stopIfTrue="1">
      <formula>K7=0</formula>
    </cfRule>
  </conditionalFormatting>
  <conditionalFormatting sqref="B7 B10:B11 B15:B17 B22:B25 B35:B36 B27:B30 B32:B33">
    <cfRule type="expression" dxfId="42" priority="19" stopIfTrue="1">
      <formula>J7=0</formula>
    </cfRule>
  </conditionalFormatting>
  <conditionalFormatting sqref="C7 C10:C11 C15:C17 C22:C25 C27:C30 C35:C36 C32:C33">
    <cfRule type="expression" dxfId="41" priority="7" stopIfTrue="1">
      <formula>J7=1</formula>
    </cfRule>
  </conditionalFormatting>
  <conditionalFormatting sqref="F15:F16">
    <cfRule type="expression" dxfId="40" priority="4" stopIfTrue="1">
      <formula>L15=0</formula>
    </cfRule>
  </conditionalFormatting>
  <conditionalFormatting sqref="F22:F25">
    <cfRule type="expression" dxfId="39" priority="3" stopIfTrue="1">
      <formula>L22=0</formula>
    </cfRule>
  </conditionalFormatting>
  <conditionalFormatting sqref="F27:F30">
    <cfRule type="expression" dxfId="38" priority="2" stopIfTrue="1">
      <formula>L27=0</formula>
    </cfRule>
  </conditionalFormatting>
  <conditionalFormatting sqref="G15:G16 G22:G25 G27:G30">
    <cfRule type="expression" dxfId="37" priority="1" stopIfTrue="1">
      <formula>L15=1</formula>
    </cfRule>
  </conditionalFormatting>
  <dataValidations count="1">
    <dataValidation allowBlank="1" sqref="A7:A37"/>
  </dataValidations>
  <pageMargins left="0.19685039370078741" right="0.19685039370078741" top="0.19685039370078741" bottom="0.39370078740157483" header="0" footer="0"/>
  <pageSetup paperSize="9" scale="25" fitToHeight="0" orientation="landscape" r:id="rId1"/>
  <colBreaks count="2" manualBreakCount="2">
    <brk id="3" max="38" man="1"/>
    <brk id="5"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zoomScale="80" zoomScaleNormal="80" workbookViewId="0"/>
  </sheetViews>
  <sheetFormatPr defaultColWidth="9.140625" defaultRowHeight="15"/>
  <cols>
    <col min="1" max="1" width="5.7109375" style="584" customWidth="1"/>
    <col min="2" max="2" width="78.7109375" style="584" customWidth="1"/>
    <col min="3" max="3" width="13.7109375" style="584" customWidth="1"/>
    <col min="4" max="4" width="8.7109375" style="584" customWidth="1"/>
    <col min="5" max="16384" width="9.140625" style="584"/>
  </cols>
  <sheetData>
    <row r="1" spans="1:4" ht="39.950000000000003" customHeight="1">
      <c r="A1" s="802"/>
      <c r="B1" s="817" t="str">
        <f>IF(C4=0,"Your Institution Does Not Complete This Table","")</f>
        <v/>
      </c>
      <c r="C1" s="817"/>
      <c r="D1" s="818"/>
    </row>
    <row r="2" spans="1:4" s="623" customFormat="1" ht="30" customHeight="1">
      <c r="A2" s="819"/>
      <c r="B2" s="820" t="s">
        <v>270</v>
      </c>
      <c r="C2" s="820"/>
      <c r="D2" s="821"/>
    </row>
    <row r="3" spans="1:4" ht="35.1" customHeight="1">
      <c r="A3" s="822"/>
      <c r="B3" s="823" t="s">
        <v>5</v>
      </c>
      <c r="C3" s="824"/>
      <c r="D3" s="803"/>
    </row>
    <row r="4" spans="1:4" ht="35.1" customHeight="1">
      <c r="A4" s="822"/>
      <c r="B4" s="825" t="str">
        <f>'Background Data'!$D$2</f>
        <v>Glasgow, University of</v>
      </c>
      <c r="C4" s="826">
        <f>VLOOKUP('Background Data'!$C$2,Inst_Tables,6,FALSE)</f>
        <v>1</v>
      </c>
      <c r="D4" s="812"/>
    </row>
    <row r="5" spans="1:4" s="660" customFormat="1" ht="35.1" customHeight="1">
      <c r="A5" s="827"/>
      <c r="B5" s="801" t="s">
        <v>229</v>
      </c>
      <c r="C5" s="801"/>
      <c r="D5" s="828"/>
    </row>
    <row r="6" spans="1:4" s="660" customFormat="1" ht="30" customHeight="1">
      <c r="A6" s="827"/>
      <c r="B6" s="829" t="s">
        <v>340</v>
      </c>
      <c r="C6" s="829"/>
      <c r="D6" s="828"/>
    </row>
    <row r="7" spans="1:4" s="660" customFormat="1" ht="20.100000000000001" customHeight="1">
      <c r="A7" s="1287"/>
      <c r="B7" s="1288" t="s">
        <v>339</v>
      </c>
      <c r="C7" s="829"/>
      <c r="D7" s="828"/>
    </row>
    <row r="8" spans="1:4" s="660" customFormat="1" ht="24.95" customHeight="1">
      <c r="A8" s="827"/>
      <c r="B8" s="829" t="s">
        <v>332</v>
      </c>
      <c r="C8" s="829"/>
      <c r="D8" s="828"/>
    </row>
    <row r="9" spans="1:4" s="660" customFormat="1" ht="15" customHeight="1" thickBot="1">
      <c r="A9" s="827"/>
      <c r="B9" s="830"/>
      <c r="C9" s="830"/>
      <c r="D9" s="831"/>
    </row>
    <row r="10" spans="1:4" ht="35.1" customHeight="1">
      <c r="A10" s="822"/>
      <c r="B10" s="950" t="s">
        <v>303</v>
      </c>
      <c r="C10" s="1270">
        <f>VLOOKUP('Background Data'!$C$2,FPs_Ind_Nos_1617,3,FALSE)</f>
        <v>150</v>
      </c>
      <c r="D10" s="832"/>
    </row>
    <row r="11" spans="1:4" ht="35.1" customHeight="1">
      <c r="A11" s="822"/>
      <c r="B11" s="947" t="s">
        <v>236</v>
      </c>
      <c r="C11" s="949"/>
      <c r="D11" s="832"/>
    </row>
    <row r="12" spans="1:4" ht="35.1" customHeight="1">
      <c r="A12" s="822"/>
      <c r="B12" s="951" t="s">
        <v>294</v>
      </c>
      <c r="C12" s="949">
        <f>IF(C4=1,VLOOKUP('Background Data'!C2,WA_RC_Enrols,3,FALSE),"")</f>
        <v>223</v>
      </c>
      <c r="D12" s="832"/>
    </row>
    <row r="13" spans="1:4" ht="30" customHeight="1">
      <c r="A13" s="822"/>
      <c r="B13" s="952" t="s">
        <v>295</v>
      </c>
      <c r="C13" s="1268">
        <f>IF(C4=1,C12-$C$10,"")</f>
        <v>73</v>
      </c>
      <c r="D13" s="832"/>
    </row>
    <row r="14" spans="1:4" ht="35.1" customHeight="1">
      <c r="A14" s="822"/>
      <c r="B14" s="954" t="s">
        <v>304</v>
      </c>
      <c r="C14" s="985"/>
      <c r="D14" s="832"/>
    </row>
    <row r="15" spans="1:4" ht="30" customHeight="1" thickBot="1">
      <c r="A15" s="822"/>
      <c r="B15" s="953" t="s">
        <v>296</v>
      </c>
      <c r="C15" s="1269" t="str">
        <f>IF(C14&lt;&gt;"",C14-$C$10,"")</f>
        <v/>
      </c>
      <c r="D15" s="832"/>
    </row>
    <row r="16" spans="1:4" ht="30" customHeight="1">
      <c r="A16" s="822"/>
      <c r="B16" s="833" t="s">
        <v>238</v>
      </c>
      <c r="C16" s="833"/>
      <c r="D16" s="832"/>
    </row>
    <row r="17" spans="1:4" ht="24.95" customHeight="1">
      <c r="A17" s="822"/>
      <c r="B17" s="833" t="s">
        <v>239</v>
      </c>
      <c r="C17" s="833"/>
      <c r="D17" s="832"/>
    </row>
    <row r="18" spans="1:4" ht="15" customHeight="1">
      <c r="A18" s="834"/>
      <c r="B18" s="835"/>
      <c r="C18" s="835"/>
      <c r="D18" s="816"/>
    </row>
    <row r="19" spans="1:4" s="836" customFormat="1" ht="15.75" customHeight="1"/>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sheetData>
  <sheetProtection password="E23E" sheet="1" objects="1" scenarios="1"/>
  <conditionalFormatting sqref="A1:D1">
    <cfRule type="expression" dxfId="36" priority="3">
      <formula>$C$4=0</formula>
    </cfRule>
  </conditionalFormatting>
  <conditionalFormatting sqref="C14">
    <cfRule type="expression" dxfId="35" priority="1">
      <formula>$C$4=1</formula>
    </cfRule>
  </conditionalFormatting>
  <dataValidations count="2">
    <dataValidation allowBlank="1" sqref="B19:C65487 C3 B4 E1:IN1048576 D5:D65487 B10:B15 C10:C13 C15"/>
    <dataValidation type="decimal" operator="greaterThanOrEqual" allowBlank="1" showErrorMessage="1" error="Invalid Entry" sqref="C14">
      <formula1>0</formula1>
    </dataValidation>
  </dataValidations>
  <hyperlinks>
    <hyperlink ref="B7" r:id="rId1"/>
  </hyperlinks>
  <pageMargins left="0.19685039370078741" right="0.19685039370078741" top="0.19685039370078741" bottom="0.39370078740157483" header="0" footer="0"/>
  <pageSetup paperSize="9"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zoomScale="80" zoomScaleNormal="80" workbookViewId="0"/>
  </sheetViews>
  <sheetFormatPr defaultColWidth="9.140625" defaultRowHeight="15"/>
  <cols>
    <col min="1" max="1" width="5.7109375" style="584" customWidth="1"/>
    <col min="2" max="2" width="75.7109375" style="584" customWidth="1"/>
    <col min="3" max="3" width="18.7109375" style="584" customWidth="1"/>
    <col min="4" max="4" width="5.7109375" style="584" customWidth="1"/>
    <col min="5" max="5" width="75.7109375" style="584" customWidth="1"/>
    <col min="6" max="6" width="18.7109375" style="584" customWidth="1"/>
    <col min="7" max="7" width="5.7109375" style="584" customWidth="1"/>
    <col min="8" max="16384" width="9.140625" style="584"/>
  </cols>
  <sheetData>
    <row r="1" spans="1:7" ht="39.950000000000003" customHeight="1">
      <c r="A1" s="15"/>
      <c r="B1" s="837" t="str">
        <f>IF(C4=0,"Your Institution Does Not Complete This Table","")</f>
        <v/>
      </c>
      <c r="C1" s="838"/>
      <c r="D1" s="838"/>
      <c r="E1" s="838"/>
      <c r="F1" s="838"/>
      <c r="G1" s="838"/>
    </row>
    <row r="2" spans="1:7" s="623" customFormat="1" ht="30" customHeight="1">
      <c r="A2" s="819"/>
      <c r="B2" s="820" t="s">
        <v>338</v>
      </c>
      <c r="C2" s="820"/>
      <c r="D2" s="972"/>
      <c r="E2" s="972"/>
      <c r="F2" s="972"/>
      <c r="G2" s="821"/>
    </row>
    <row r="3" spans="1:7" ht="39.950000000000003" customHeight="1">
      <c r="A3" s="822"/>
      <c r="B3" s="823" t="s">
        <v>5</v>
      </c>
      <c r="C3" s="802"/>
      <c r="D3" s="802"/>
      <c r="E3" s="802"/>
      <c r="F3" s="802"/>
      <c r="G3" s="803"/>
    </row>
    <row r="4" spans="1:7" ht="39.950000000000003" customHeight="1">
      <c r="A4" s="822"/>
      <c r="B4" s="825" t="str">
        <f>'Background Data'!$D$2</f>
        <v>Glasgow, University of</v>
      </c>
      <c r="C4" s="826">
        <f>VLOOKUP('Background Data'!$C$2,Inst_Tables,7,FALSE)</f>
        <v>1</v>
      </c>
      <c r="D4" s="826"/>
      <c r="E4" s="826"/>
      <c r="F4" s="826"/>
      <c r="G4" s="803"/>
    </row>
    <row r="5" spans="1:7" s="660" customFormat="1" ht="30" customHeight="1">
      <c r="A5" s="827"/>
      <c r="B5" s="839" t="s">
        <v>230</v>
      </c>
      <c r="C5" s="840"/>
      <c r="D5" s="840"/>
      <c r="E5" s="840"/>
      <c r="F5" s="840"/>
      <c r="G5" s="828"/>
    </row>
    <row r="6" spans="1:7" s="660" customFormat="1" ht="24.95" customHeight="1">
      <c r="A6" s="827"/>
      <c r="B6" s="829" t="s">
        <v>341</v>
      </c>
      <c r="C6" s="840"/>
      <c r="D6" s="840"/>
      <c r="E6" s="840"/>
      <c r="F6" s="840"/>
      <c r="G6" s="828"/>
    </row>
    <row r="7" spans="1:7" s="660" customFormat="1" ht="20.100000000000001" customHeight="1">
      <c r="A7" s="1287"/>
      <c r="B7" s="1288" t="s">
        <v>339</v>
      </c>
      <c r="C7" s="840"/>
      <c r="D7" s="840"/>
      <c r="E7" s="840"/>
      <c r="F7" s="840"/>
      <c r="G7" s="828"/>
    </row>
    <row r="8" spans="1:7" s="660" customFormat="1" ht="24.95" customHeight="1">
      <c r="A8" s="827"/>
      <c r="B8" s="829" t="s">
        <v>332</v>
      </c>
      <c r="C8" s="840"/>
      <c r="D8" s="840"/>
      <c r="E8" s="840"/>
      <c r="F8" s="840"/>
      <c r="G8" s="828"/>
    </row>
    <row r="9" spans="1:7" s="660" customFormat="1" ht="9.9499999999999993" customHeight="1">
      <c r="A9" s="827"/>
      <c r="B9" s="829"/>
      <c r="C9" s="840"/>
      <c r="D9" s="840"/>
      <c r="E9" s="840"/>
      <c r="F9" s="840"/>
      <c r="G9" s="828"/>
    </row>
    <row r="10" spans="1:7" s="660" customFormat="1" ht="24.95" customHeight="1">
      <c r="A10" s="827"/>
      <c r="B10" s="965" t="s">
        <v>299</v>
      </c>
      <c r="C10" s="976">
        <f>VLOOKUP('Background Data'!$C$2,FPs_Ind_Nos_1617,4,FALSE)</f>
        <v>8</v>
      </c>
      <c r="D10" s="840"/>
      <c r="E10" s="840"/>
      <c r="F10" s="840"/>
      <c r="G10" s="828"/>
    </row>
    <row r="11" spans="1:7" s="660" customFormat="1" ht="9.9499999999999993" customHeight="1" thickBot="1">
      <c r="A11" s="827"/>
      <c r="B11" s="829"/>
      <c r="C11" s="840"/>
      <c r="D11" s="840"/>
      <c r="E11" s="840"/>
      <c r="F11" s="840"/>
      <c r="G11" s="828"/>
    </row>
    <row r="12" spans="1:7" ht="30" customHeight="1" thickBot="1">
      <c r="A12" s="822"/>
      <c r="B12" s="1381" t="s">
        <v>293</v>
      </c>
      <c r="C12" s="1382"/>
      <c r="D12" s="554"/>
      <c r="E12" s="1381" t="s">
        <v>305</v>
      </c>
      <c r="F12" s="1382"/>
      <c r="G12" s="841"/>
    </row>
    <row r="13" spans="1:7" ht="110.1" customHeight="1">
      <c r="A13" s="822"/>
      <c r="B13" s="981" t="s">
        <v>240</v>
      </c>
      <c r="C13" s="978" t="s">
        <v>241</v>
      </c>
      <c r="D13" s="973"/>
      <c r="E13" s="981" t="s">
        <v>240</v>
      </c>
      <c r="F13" s="978" t="s">
        <v>241</v>
      </c>
      <c r="G13" s="803"/>
    </row>
    <row r="14" spans="1:7" ht="24.95" customHeight="1">
      <c r="A14" s="822"/>
      <c r="B14" s="842"/>
      <c r="C14" s="843" t="s">
        <v>27</v>
      </c>
      <c r="D14" s="877"/>
      <c r="E14" s="842"/>
      <c r="F14" s="843" t="s">
        <v>27</v>
      </c>
      <c r="G14" s="803"/>
    </row>
    <row r="15" spans="1:7" ht="24.95" customHeight="1">
      <c r="A15" s="822"/>
      <c r="B15" s="844"/>
      <c r="C15" s="843" t="s">
        <v>6</v>
      </c>
      <c r="D15" s="877"/>
      <c r="E15" s="844"/>
      <c r="F15" s="843" t="s">
        <v>6</v>
      </c>
      <c r="G15" s="803"/>
    </row>
    <row r="16" spans="1:7" ht="24.95" customHeight="1" thickBot="1">
      <c r="A16" s="822"/>
      <c r="B16" s="845"/>
      <c r="C16" s="846">
        <v>1</v>
      </c>
      <c r="D16" s="560"/>
      <c r="E16" s="845"/>
      <c r="F16" s="846">
        <v>1</v>
      </c>
      <c r="G16" s="803"/>
    </row>
    <row r="17" spans="1:7" ht="35.1" customHeight="1">
      <c r="A17" s="971">
        <v>1</v>
      </c>
      <c r="B17" s="992" t="str">
        <f>IF($C$4=1,VLOOKUP($A17,Artic_Enrols,VLOOKUP('Background Data'!$C$2,Inst_Tables,12,FALSE),FALSE),"")</f>
        <v>Dumfries and Galloway College</v>
      </c>
      <c r="C17" s="982">
        <f>IF($C$4=1,VLOOKUP($A17,Artic_Enrols,VLOOKUP('Background Data'!$C$2,Inst_Tables,13,FALSE),FALSE),"")</f>
        <v>10</v>
      </c>
      <c r="D17" s="983"/>
      <c r="E17" s="994"/>
      <c r="F17" s="979"/>
      <c r="G17" s="803"/>
    </row>
    <row r="18" spans="1:7" ht="35.1" customHeight="1">
      <c r="A18" s="971">
        <v>2</v>
      </c>
      <c r="B18" s="992" t="str">
        <f>IF($C$4=1,VLOOKUP($A18,Artic_Enrols,VLOOKUP('Background Data'!$C$2,Inst_Tables,12,FALSE),FALSE),"")</f>
        <v>West College</v>
      </c>
      <c r="C18" s="982">
        <f>IF($C$4=1,VLOOKUP($A18,Artic_Enrols,VLOOKUP('Background Data'!$C$2,Inst_Tables,13,FALSE),FALSE),"")</f>
        <v>1</v>
      </c>
      <c r="D18" s="983"/>
      <c r="E18" s="994"/>
      <c r="F18" s="979"/>
      <c r="G18" s="803"/>
    </row>
    <row r="19" spans="1:7" ht="35.1" customHeight="1">
      <c r="A19" s="971">
        <v>3</v>
      </c>
      <c r="B19" s="992" t="str">
        <f>IF($C$4=1,VLOOKUP($A19,Artic_Enrols,VLOOKUP('Background Data'!$C$2,Inst_Tables,12,FALSE),FALSE),"")</f>
        <v>Borders College</v>
      </c>
      <c r="C19" s="982">
        <f>IF($C$4=1,VLOOKUP($A19,Artic_Enrols,VLOOKUP('Background Data'!$C$2,Inst_Tables,13,FALSE),FALSE),"")</f>
        <v>1</v>
      </c>
      <c r="D19" s="983"/>
      <c r="E19" s="994"/>
      <c r="F19" s="979"/>
      <c r="G19" s="803"/>
    </row>
    <row r="20" spans="1:7" ht="35.1" customHeight="1">
      <c r="A20" s="971">
        <v>4</v>
      </c>
      <c r="B20" s="992">
        <f>IF($C$4=1,VLOOKUP($A20,Artic_Enrols,VLOOKUP('Background Data'!$C$2,Inst_Tables,12,FALSE),FALSE),"")</f>
        <v>0</v>
      </c>
      <c r="C20" s="982">
        <f>IF($C$4=1,VLOOKUP($A20,Artic_Enrols,VLOOKUP('Background Data'!$C$2,Inst_Tables,13,FALSE),FALSE),"")</f>
        <v>0</v>
      </c>
      <c r="D20" s="983"/>
      <c r="E20" s="994"/>
      <c r="F20" s="979"/>
      <c r="G20" s="803"/>
    </row>
    <row r="21" spans="1:7" ht="35.1" customHeight="1">
      <c r="A21" s="971">
        <v>5</v>
      </c>
      <c r="B21" s="992">
        <f>IF($C$4=1,VLOOKUP($A21,Artic_Enrols,VLOOKUP('Background Data'!$C$2,Inst_Tables,12,FALSE),FALSE),"")</f>
        <v>0</v>
      </c>
      <c r="C21" s="982">
        <f>IF($C$4=1,VLOOKUP($A21,Artic_Enrols,VLOOKUP('Background Data'!$C$2,Inst_Tables,13,FALSE),FALSE),"")</f>
        <v>0</v>
      </c>
      <c r="D21" s="983"/>
      <c r="E21" s="994"/>
      <c r="F21" s="979"/>
      <c r="G21" s="803"/>
    </row>
    <row r="22" spans="1:7" ht="35.1" customHeight="1">
      <c r="A22" s="971">
        <v>6</v>
      </c>
      <c r="B22" s="992">
        <f>IF($C$4=1,VLOOKUP($A22,Artic_Enrols,VLOOKUP('Background Data'!$C$2,Inst_Tables,12,FALSE),FALSE),"")</f>
        <v>0</v>
      </c>
      <c r="C22" s="982">
        <f>IF($C$4=1,VLOOKUP($A22,Artic_Enrols,VLOOKUP('Background Data'!$C$2,Inst_Tables,13,FALSE),FALSE),"")</f>
        <v>0</v>
      </c>
      <c r="D22" s="983"/>
      <c r="E22" s="994"/>
      <c r="F22" s="979"/>
      <c r="G22" s="803"/>
    </row>
    <row r="23" spans="1:7" ht="35.1" customHeight="1">
      <c r="A23" s="971">
        <v>7</v>
      </c>
      <c r="B23" s="992">
        <f>IF($C$4=1,VLOOKUP($A23,Artic_Enrols,VLOOKUP('Background Data'!$C$2,Inst_Tables,12,FALSE),FALSE),"")</f>
        <v>0</v>
      </c>
      <c r="C23" s="982">
        <f>IF($C$4=1,VLOOKUP($A23,Artic_Enrols,VLOOKUP('Background Data'!$C$2,Inst_Tables,13,FALSE),FALSE),"")</f>
        <v>0</v>
      </c>
      <c r="D23" s="983"/>
      <c r="E23" s="994"/>
      <c r="F23" s="979"/>
      <c r="G23" s="803"/>
    </row>
    <row r="24" spans="1:7" ht="35.1" customHeight="1">
      <c r="A24" s="971">
        <v>8</v>
      </c>
      <c r="B24" s="992">
        <f>IF($C$4=1,VLOOKUP($A24,Artic_Enrols,VLOOKUP('Background Data'!$C$2,Inst_Tables,12,FALSE),FALSE),"")</f>
        <v>0</v>
      </c>
      <c r="C24" s="982">
        <f>IF($C$4=1,VLOOKUP($A24,Artic_Enrols,VLOOKUP('Background Data'!$C$2,Inst_Tables,13,FALSE),FALSE),"")</f>
        <v>0</v>
      </c>
      <c r="D24" s="983"/>
      <c r="E24" s="994"/>
      <c r="F24" s="979"/>
      <c r="G24" s="803"/>
    </row>
    <row r="25" spans="1:7" ht="35.1" customHeight="1">
      <c r="A25" s="971">
        <v>9</v>
      </c>
      <c r="B25" s="992">
        <f>IF($C$4=1,VLOOKUP($A25,Artic_Enrols,VLOOKUP('Background Data'!$C$2,Inst_Tables,12,FALSE),FALSE),"")</f>
        <v>0</v>
      </c>
      <c r="C25" s="982">
        <f>IF($C$4=1,VLOOKUP($A25,Artic_Enrols,VLOOKUP('Background Data'!$C$2,Inst_Tables,13,FALSE),FALSE),"")</f>
        <v>0</v>
      </c>
      <c r="D25" s="983"/>
      <c r="E25" s="994"/>
      <c r="F25" s="979"/>
      <c r="G25" s="803"/>
    </row>
    <row r="26" spans="1:7" ht="35.1" customHeight="1" thickBot="1">
      <c r="A26" s="971">
        <v>10</v>
      </c>
      <c r="B26" s="993">
        <f>IF($C$4=1,VLOOKUP($A26,Artic_Enrols,VLOOKUP('Background Data'!$C$2,Inst_Tables,12,FALSE),FALSE),"")</f>
        <v>0</v>
      </c>
      <c r="C26" s="984">
        <f>IF($C$4=1,VLOOKUP($A26,Artic_Enrols,VLOOKUP('Background Data'!$C$2,Inst_Tables,13,FALSE),FALSE),"")</f>
        <v>0</v>
      </c>
      <c r="D26" s="983"/>
      <c r="E26" s="995"/>
      <c r="F26" s="980"/>
      <c r="G26" s="803"/>
    </row>
    <row r="27" spans="1:7" ht="35.1" customHeight="1">
      <c r="A27" s="822"/>
      <c r="B27" s="857" t="s">
        <v>3</v>
      </c>
      <c r="C27" s="1001">
        <f>SUM(C17:C26)</f>
        <v>12</v>
      </c>
      <c r="D27" s="974"/>
      <c r="E27" s="857" t="s">
        <v>3</v>
      </c>
      <c r="F27" s="1001">
        <f>SUM(F17:F26)</f>
        <v>0</v>
      </c>
      <c r="G27" s="803"/>
    </row>
    <row r="28" spans="1:7" ht="35.1" customHeight="1" thickBot="1">
      <c r="A28" s="822"/>
      <c r="B28" s="888" t="s">
        <v>300</v>
      </c>
      <c r="C28" s="848">
        <f>IF($C$4=1,C27-$C$10,"")</f>
        <v>4</v>
      </c>
      <c r="D28" s="960"/>
      <c r="E28" s="888" t="s">
        <v>300</v>
      </c>
      <c r="F28" s="848" t="str">
        <f>IF(F27&gt;0,F27-$C$10,"")</f>
        <v/>
      </c>
      <c r="G28" s="803"/>
    </row>
    <row r="29" spans="1:7" ht="30" customHeight="1">
      <c r="A29" s="822"/>
      <c r="B29" s="833" t="s">
        <v>301</v>
      </c>
      <c r="C29" s="802"/>
      <c r="D29" s="802"/>
      <c r="E29" s="802"/>
      <c r="F29" s="802"/>
      <c r="G29" s="803"/>
    </row>
    <row r="30" spans="1:7" ht="20.100000000000001" customHeight="1">
      <c r="A30" s="834"/>
      <c r="B30" s="815"/>
      <c r="C30" s="815"/>
      <c r="D30" s="975"/>
      <c r="E30" s="975"/>
      <c r="F30" s="975"/>
      <c r="G30" s="816"/>
    </row>
    <row r="31" spans="1:7" s="836" customFormat="1"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sheetData>
  <sheetProtection password="E23E" sheet="1" objects="1" scenarios="1"/>
  <mergeCells count="2">
    <mergeCell ref="B12:C12"/>
    <mergeCell ref="E12:F12"/>
  </mergeCells>
  <conditionalFormatting sqref="B2">
    <cfRule type="expression" dxfId="34" priority="5" stopIfTrue="1">
      <formula>#REF!=0</formula>
    </cfRule>
  </conditionalFormatting>
  <conditionalFormatting sqref="B12">
    <cfRule type="expression" dxfId="33" priority="4" stopIfTrue="1">
      <formula>#REF!=0</formula>
    </cfRule>
  </conditionalFormatting>
  <conditionalFormatting sqref="A1:G1">
    <cfRule type="expression" dxfId="32" priority="6">
      <formula>$C$4=0</formula>
    </cfRule>
  </conditionalFormatting>
  <conditionalFormatting sqref="E12">
    <cfRule type="expression" dxfId="31" priority="2" stopIfTrue="1">
      <formula>#REF!=0</formula>
    </cfRule>
  </conditionalFormatting>
  <conditionalFormatting sqref="E17:F26">
    <cfRule type="expression" dxfId="30" priority="1">
      <formula>$C$4=1</formula>
    </cfRule>
  </conditionalFormatting>
  <dataValidations count="1">
    <dataValidation allowBlank="1" sqref="B30 B4 B10:C10 H1:IQ1048576 C2:F2 B31:G65499 B13:B28 G5:G30 C13:F30"/>
  </dataValidations>
  <hyperlinks>
    <hyperlink ref="B7" r:id="rId1"/>
  </hyperlinks>
  <pageMargins left="0.19685039370078741" right="0.19685039370078741" top="0.19685039370078741" bottom="0.39370078740157483" header="0" footer="0"/>
  <pageSetup paperSize="9" scale="62"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zoomScale="80" zoomScaleNormal="80" workbookViewId="0"/>
  </sheetViews>
  <sheetFormatPr defaultColWidth="9.140625" defaultRowHeight="15"/>
  <cols>
    <col min="1" max="1" width="5.7109375" style="584" customWidth="1"/>
    <col min="2" max="2" width="110.7109375" style="584" customWidth="1"/>
    <col min="3" max="3" width="18.7109375" style="657" customWidth="1"/>
    <col min="4" max="4" width="5.7109375" style="657" customWidth="1"/>
    <col min="5" max="5" width="110.7109375" style="657" customWidth="1"/>
    <col min="6" max="6" width="18.7109375" style="657" customWidth="1"/>
    <col min="7" max="7" width="5.7109375" style="584" customWidth="1"/>
    <col min="8" max="16384" width="9.140625" style="584"/>
  </cols>
  <sheetData>
    <row r="1" spans="1:7" ht="39.950000000000003" customHeight="1">
      <c r="A1" s="15"/>
      <c r="B1" s="817" t="str">
        <f>IF(C4=0,"Your Institution Does Not Complete This Table","")</f>
        <v/>
      </c>
      <c r="C1" s="818"/>
      <c r="D1" s="818"/>
      <c r="E1" s="818"/>
      <c r="F1" s="818"/>
      <c r="G1" s="818"/>
    </row>
    <row r="2" spans="1:7" s="623" customFormat="1" ht="30" customHeight="1">
      <c r="A2" s="819"/>
      <c r="B2" s="820" t="s">
        <v>348</v>
      </c>
      <c r="C2" s="849"/>
      <c r="D2" s="958"/>
      <c r="E2" s="958"/>
      <c r="F2" s="958"/>
      <c r="G2" s="821"/>
    </row>
    <row r="3" spans="1:7" ht="35.1" customHeight="1">
      <c r="A3" s="822"/>
      <c r="B3" s="823" t="s">
        <v>5</v>
      </c>
      <c r="C3" s="802"/>
      <c r="D3" s="802"/>
      <c r="E3" s="802"/>
      <c r="F3" s="802"/>
      <c r="G3" s="850"/>
    </row>
    <row r="4" spans="1:7" ht="30" customHeight="1">
      <c r="A4" s="822"/>
      <c r="B4" s="825" t="str">
        <f>'Background Data'!$D$2</f>
        <v>Glasgow, University of</v>
      </c>
      <c r="C4" s="826">
        <f>VLOOKUP('Background Data'!$C$2,Inst_Tables,8,FALSE)</f>
        <v>1</v>
      </c>
      <c r="D4" s="826"/>
      <c r="E4" s="826"/>
      <c r="F4" s="826"/>
      <c r="G4" s="850"/>
    </row>
    <row r="5" spans="1:7" s="660" customFormat="1" ht="30" customHeight="1">
      <c r="A5" s="827"/>
      <c r="B5" s="839" t="s">
        <v>242</v>
      </c>
      <c r="C5" s="840"/>
      <c r="D5" s="840"/>
      <c r="E5" s="840"/>
      <c r="F5" s="840"/>
      <c r="G5" s="828"/>
    </row>
    <row r="6" spans="1:7" s="660" customFormat="1" ht="30" customHeight="1">
      <c r="A6" s="827"/>
      <c r="B6" s="829" t="s">
        <v>342</v>
      </c>
      <c r="C6" s="840"/>
      <c r="D6" s="840"/>
      <c r="E6" s="840"/>
      <c r="F6" s="840"/>
      <c r="G6" s="828"/>
    </row>
    <row r="7" spans="1:7" s="660" customFormat="1" ht="20.100000000000001" customHeight="1">
      <c r="A7" s="1287"/>
      <c r="B7" s="1288" t="s">
        <v>339</v>
      </c>
      <c r="C7" s="840"/>
      <c r="D7" s="840"/>
      <c r="E7" s="840"/>
      <c r="F7" s="840"/>
      <c r="G7" s="828"/>
    </row>
    <row r="8" spans="1:7" s="660" customFormat="1" ht="24.95" customHeight="1">
      <c r="A8" s="827"/>
      <c r="B8" s="829" t="s">
        <v>332</v>
      </c>
      <c r="C8" s="840"/>
      <c r="D8" s="840"/>
      <c r="E8" s="840"/>
      <c r="F8" s="840"/>
      <c r="G8" s="828"/>
    </row>
    <row r="9" spans="1:7" ht="9.9499999999999993" customHeight="1">
      <c r="A9" s="822"/>
      <c r="B9" s="987"/>
      <c r="C9" s="986"/>
      <c r="D9" s="986"/>
      <c r="E9" s="986"/>
      <c r="F9" s="986"/>
      <c r="G9" s="851"/>
    </row>
    <row r="10" spans="1:7" ht="24.95" customHeight="1">
      <c r="A10" s="822"/>
      <c r="B10" s="965" t="s">
        <v>299</v>
      </c>
      <c r="C10" s="976">
        <f>VLOOKUP('Background Data'!$C$2,FPs_Ind_Nos_1617,7,FALSE)</f>
        <v>124</v>
      </c>
      <c r="D10" s="986"/>
      <c r="E10" s="986"/>
      <c r="F10" s="986"/>
      <c r="G10" s="851"/>
    </row>
    <row r="11" spans="1:7" ht="9.9499999999999993" customHeight="1" thickBot="1">
      <c r="A11" s="822"/>
      <c r="B11" s="987"/>
      <c r="C11" s="986"/>
      <c r="D11" s="986"/>
      <c r="E11" s="986"/>
      <c r="F11" s="986"/>
      <c r="G11" s="851"/>
    </row>
    <row r="12" spans="1:7" ht="30" customHeight="1" thickBot="1">
      <c r="A12" s="822"/>
      <c r="B12" s="1381" t="s">
        <v>293</v>
      </c>
      <c r="C12" s="1382"/>
      <c r="D12" s="554"/>
      <c r="E12" s="1381" t="s">
        <v>305</v>
      </c>
      <c r="F12" s="1382"/>
      <c r="G12" s="828"/>
    </row>
    <row r="13" spans="1:7" ht="95.1" customHeight="1">
      <c r="A13" s="822"/>
      <c r="B13" s="981" t="s">
        <v>244</v>
      </c>
      <c r="C13" s="1002" t="s">
        <v>243</v>
      </c>
      <c r="D13" s="959"/>
      <c r="E13" s="981" t="s">
        <v>244</v>
      </c>
      <c r="F13" s="1002" t="s">
        <v>243</v>
      </c>
      <c r="G13" s="828"/>
    </row>
    <row r="14" spans="1:7" ht="24.95" customHeight="1">
      <c r="A14" s="822"/>
      <c r="B14" s="955"/>
      <c r="C14" s="853" t="s">
        <v>27</v>
      </c>
      <c r="D14" s="877"/>
      <c r="E14" s="955"/>
      <c r="F14" s="853" t="s">
        <v>27</v>
      </c>
      <c r="G14" s="854"/>
    </row>
    <row r="15" spans="1:7" ht="24.95" customHeight="1">
      <c r="A15" s="822"/>
      <c r="B15" s="844"/>
      <c r="C15" s="876" t="s">
        <v>7</v>
      </c>
      <c r="D15" s="877"/>
      <c r="E15" s="844"/>
      <c r="F15" s="876" t="s">
        <v>6</v>
      </c>
      <c r="G15" s="854"/>
    </row>
    <row r="16" spans="1:7" ht="24.95" customHeight="1" thickBot="1">
      <c r="A16" s="822"/>
      <c r="B16" s="845"/>
      <c r="C16" s="855">
        <v>1</v>
      </c>
      <c r="D16" s="560"/>
      <c r="E16" s="845"/>
      <c r="F16" s="855">
        <v>1</v>
      </c>
      <c r="G16" s="856"/>
    </row>
    <row r="17" spans="1:7" ht="35.1" customHeight="1">
      <c r="A17" s="971">
        <v>1</v>
      </c>
      <c r="B17" s="992" t="str">
        <f>IF($C$4=1,VLOOKUP($A17,TPG_Enrols,VLOOKUP('Background Data'!$C$2,Inst_Tables,14,FALSE),FALSE),"")</f>
        <v>Theatre Practices</v>
      </c>
      <c r="C17" s="982">
        <f>IF($C$4=1,VLOOKUP($A17,TPG_Enrols,VLOOKUP('Background Data'!$C$2,Inst_Tables,15,FALSE),FALSE),"")</f>
        <v>5</v>
      </c>
      <c r="D17" s="996"/>
      <c r="E17" s="1299" t="s">
        <v>384</v>
      </c>
      <c r="F17" s="979">
        <v>4</v>
      </c>
      <c r="G17" s="856"/>
    </row>
    <row r="18" spans="1:7" ht="35.1" customHeight="1">
      <c r="A18" s="971">
        <v>2</v>
      </c>
      <c r="B18" s="999" t="str">
        <f>IF($C$4=1,VLOOKUP($A18,TPG_Enrols,VLOOKUP('Background Data'!$C$2,Inst_Tables,14,FALSE),FALSE),"")</f>
        <v>Playwriting &amp; Dramaturgy</v>
      </c>
      <c r="C18" s="997">
        <f>IF($C$4=1,VLOOKUP($A18,TPG_Enrols,VLOOKUP('Background Data'!$C$2,Inst_Tables,15,FALSE),FALSE),"")</f>
        <v>5</v>
      </c>
      <c r="D18" s="996"/>
      <c r="E18" s="1300" t="s">
        <v>399</v>
      </c>
      <c r="F18" s="991">
        <v>5</v>
      </c>
      <c r="G18" s="803"/>
    </row>
    <row r="19" spans="1:7" ht="35.1" customHeight="1">
      <c r="A19" s="971">
        <v>3</v>
      </c>
      <c r="B19" s="999" t="str">
        <f>IF($C$4=1,VLOOKUP($A19,TPG_Enrols,VLOOKUP('Background Data'!$C$2,Inst_Tables,14,FALSE),FALSE),"")</f>
        <v>Dress and Textile Histories</v>
      </c>
      <c r="C19" s="997">
        <f>IF($C$4=1,VLOOKUP($A19,TPG_Enrols,VLOOKUP('Background Data'!$C$2,Inst_Tables,15,FALSE),FALSE),"")</f>
        <v>2</v>
      </c>
      <c r="D19" s="996"/>
      <c r="E19" s="1301" t="s">
        <v>414</v>
      </c>
      <c r="F19" s="991">
        <v>2</v>
      </c>
      <c r="G19" s="803"/>
    </row>
    <row r="20" spans="1:7" ht="35.1" customHeight="1">
      <c r="A20" s="971">
        <v>4</v>
      </c>
      <c r="B20" s="999" t="str">
        <f>IF($C$4=1,VLOOKUP($A20,TPG_Enrols,VLOOKUP('Background Data'!$C$2,Inst_Tables,14,FALSE),FALSE),"")</f>
        <v>Collecting and Provenance Studies in an International Context</v>
      </c>
      <c r="C20" s="997">
        <f>IF($C$4=1,VLOOKUP($A20,TPG_Enrols,VLOOKUP('Background Data'!$C$2,Inst_Tables,15,FALSE),FALSE),"")</f>
        <v>1</v>
      </c>
      <c r="D20" s="996"/>
      <c r="E20" s="1302" t="s">
        <v>498</v>
      </c>
      <c r="F20" s="991">
        <v>1</v>
      </c>
      <c r="G20" s="803"/>
    </row>
    <row r="21" spans="1:7" ht="35.1" customHeight="1">
      <c r="A21" s="971">
        <v>5</v>
      </c>
      <c r="B21" s="999" t="str">
        <f>IF($C$4=1,VLOOKUP($A21,TPG_Enrols,VLOOKUP('Background Data'!$C$2,Inst_Tables,14,FALSE),FALSE),"")</f>
        <v>Art Politics and Transgression</v>
      </c>
      <c r="C21" s="998">
        <f>IF($C$4=1,VLOOKUP($A21,TPG_Enrols,VLOOKUP('Background Data'!$C$2,Inst_Tables,15,FALSE),FALSE),"")</f>
        <v>1</v>
      </c>
      <c r="D21" s="996"/>
      <c r="E21" s="1303" t="s">
        <v>439</v>
      </c>
      <c r="F21" s="989">
        <v>2</v>
      </c>
      <c r="G21" s="803"/>
    </row>
    <row r="22" spans="1:7" ht="35.1" customHeight="1">
      <c r="A22" s="971">
        <v>6</v>
      </c>
      <c r="B22" s="999" t="str">
        <f>IF($C$4=1,VLOOKUP($A22,TPG_Enrols,VLOOKUP('Background Data'!$C$2,Inst_Tables,14,FALSE),FALSE),"")</f>
        <v>Material Culture &amp; Artefact Studies</v>
      </c>
      <c r="C22" s="997">
        <f>IF($C$4=1,VLOOKUP($A22,TPG_Enrols,VLOOKUP('Background Data'!$C$2,Inst_Tables,15,FALSE),FALSE),"")</f>
        <v>3</v>
      </c>
      <c r="D22" s="996"/>
      <c r="E22" s="1304" t="s">
        <v>499</v>
      </c>
      <c r="F22" s="991">
        <v>3</v>
      </c>
      <c r="G22" s="803"/>
    </row>
    <row r="23" spans="1:7" ht="35.1" customHeight="1">
      <c r="A23" s="971">
        <v>7</v>
      </c>
      <c r="B23" s="999" t="str">
        <f>IF($C$4=1,VLOOKUP($A23,TPG_Enrols,VLOOKUP('Background Data'!$C$2,Inst_Tables,14,FALSE),FALSE),"")</f>
        <v>Animal Welfare Science, Ethics&amp; Law</v>
      </c>
      <c r="C23" s="997">
        <f>IF($C$4=1,VLOOKUP($A23,TPG_Enrols,VLOOKUP('Background Data'!$C$2,Inst_Tables,15,FALSE),FALSE),"")</f>
        <v>4</v>
      </c>
      <c r="D23" s="996"/>
      <c r="E23" s="1305" t="s">
        <v>500</v>
      </c>
      <c r="F23" s="991">
        <v>4</v>
      </c>
      <c r="G23" s="803"/>
    </row>
    <row r="24" spans="1:7" ht="35.1" customHeight="1">
      <c r="A24" s="971">
        <v>8</v>
      </c>
      <c r="B24" s="999" t="str">
        <f>IF($C$4=1,VLOOKUP($A24,TPG_Enrols,VLOOKUP('Background Data'!$C$2,Inst_Tables,14,FALSE),FALSE),"")</f>
        <v>Mammilian Biology</v>
      </c>
      <c r="C24" s="997">
        <f>IF($C$4=1,VLOOKUP($A24,TPG_Enrols,VLOOKUP('Background Data'!$C$2,Inst_Tables,15,FALSE),FALSE),"")</f>
        <v>10</v>
      </c>
      <c r="D24" s="996"/>
      <c r="E24" s="1306" t="s">
        <v>501</v>
      </c>
      <c r="F24" s="991">
        <v>10</v>
      </c>
      <c r="G24" s="803"/>
    </row>
    <row r="25" spans="1:7" ht="35.1" customHeight="1">
      <c r="A25" s="971">
        <v>9</v>
      </c>
      <c r="B25" s="999" t="str">
        <f>IF($C$4=1,VLOOKUP($A25,TPG_Enrols,VLOOKUP('Background Data'!$C$2,Inst_Tables,14,FALSE),FALSE),"")</f>
        <v>Medical Visualisation &amp; Human Anatomy</v>
      </c>
      <c r="C25" s="997">
        <f>IF($C$4=1,VLOOKUP($A25,TPG_Enrols,VLOOKUP('Background Data'!$C$2,Inst_Tables,15,FALSE),FALSE),"")</f>
        <v>10</v>
      </c>
      <c r="D25" s="996"/>
      <c r="E25" s="1307" t="s">
        <v>470</v>
      </c>
      <c r="F25" s="991">
        <v>10</v>
      </c>
      <c r="G25" s="803"/>
    </row>
    <row r="26" spans="1:7" ht="35.1" customHeight="1">
      <c r="A26" s="971">
        <v>10</v>
      </c>
      <c r="B26" s="999" t="str">
        <f>IF($C$4=1,VLOOKUP($A26,TPG_Enrols,VLOOKUP('Background Data'!$C$2,Inst_Tables,14,FALSE),FALSE),"")</f>
        <v>Information Technology</v>
      </c>
      <c r="C26" s="997">
        <f>IF($C$4=1,VLOOKUP($A26,TPG_Enrols,VLOOKUP('Background Data'!$C$2,Inst_Tables,15,FALSE),FALSE),"")</f>
        <v>5</v>
      </c>
      <c r="D26" s="996"/>
      <c r="E26" s="1308" t="s">
        <v>473</v>
      </c>
      <c r="F26" s="991">
        <v>5</v>
      </c>
      <c r="G26" s="803"/>
    </row>
    <row r="27" spans="1:7" ht="35.1" customHeight="1">
      <c r="A27" s="971">
        <v>11</v>
      </c>
      <c r="B27" s="999" t="str">
        <f>IF($C$4=1,VLOOKUP($A27,TPG_Enrols,VLOOKUP('Background Data'!$C$2,Inst_Tables,14,FALSE),FALSE),"")</f>
        <v>Software Development</v>
      </c>
      <c r="C27" s="997">
        <f>IF($C$4=1,VLOOKUP($A27,TPG_Enrols,VLOOKUP('Background Data'!$C$2,Inst_Tables,15,FALSE),FALSE),"")</f>
        <v>17</v>
      </c>
      <c r="D27" s="996"/>
      <c r="E27" s="1309" t="s">
        <v>475</v>
      </c>
      <c r="F27" s="991">
        <v>17</v>
      </c>
      <c r="G27" s="803"/>
    </row>
    <row r="28" spans="1:7" ht="35.1" customHeight="1">
      <c r="A28" s="971">
        <v>12</v>
      </c>
      <c r="B28" s="999" t="str">
        <f>IF($C$4=1,VLOOKUP($A28,TPG_Enrols,VLOOKUP('Background Data'!$C$2,Inst_Tables,14,FALSE),FALSE),"")</f>
        <v>Aeronautical Engineering</v>
      </c>
      <c r="C28" s="997">
        <f>IF($C$4=1,VLOOKUP($A28,TPG_Enrols,VLOOKUP('Background Data'!$C$2,Inst_Tables,15,FALSE),FALSE),"")</f>
        <v>3</v>
      </c>
      <c r="D28" s="996"/>
      <c r="E28" s="1310" t="s">
        <v>477</v>
      </c>
      <c r="F28" s="991">
        <v>3</v>
      </c>
      <c r="G28" s="803"/>
    </row>
    <row r="29" spans="1:7" ht="35.1" customHeight="1">
      <c r="A29" s="971">
        <v>13</v>
      </c>
      <c r="B29" s="999" t="str">
        <f>IF($C$4=1,VLOOKUP($A29,TPG_Enrols,VLOOKUP('Background Data'!$C$2,Inst_Tables,14,FALSE),FALSE),"")</f>
        <v>Nanoscience and Nanotechnology</v>
      </c>
      <c r="C29" s="997">
        <f>IF($C$4=1,VLOOKUP($A29,TPG_Enrols,VLOOKUP('Background Data'!$C$2,Inst_Tables,15,FALSE),FALSE),"")</f>
        <v>3</v>
      </c>
      <c r="D29" s="996"/>
      <c r="E29" s="1311" t="s">
        <v>478</v>
      </c>
      <c r="F29" s="991">
        <v>3</v>
      </c>
      <c r="G29" s="803"/>
    </row>
    <row r="30" spans="1:7" ht="35.1" customHeight="1">
      <c r="A30" s="971">
        <v>14</v>
      </c>
      <c r="B30" s="999" t="str">
        <f>IF($C$4=1,VLOOKUP($A30,TPG_Enrols,VLOOKUP('Background Data'!$C$2,Inst_Tables,14,FALSE),FALSE),"")</f>
        <v>Financial Risk Management</v>
      </c>
      <c r="C30" s="997">
        <f>IF($C$4=1,VLOOKUP($A30,TPG_Enrols,VLOOKUP('Background Data'!$C$2,Inst_Tables,15,FALSE),FALSE),"")</f>
        <v>15</v>
      </c>
      <c r="D30" s="996"/>
      <c r="E30" s="1312" t="s">
        <v>479</v>
      </c>
      <c r="F30" s="991">
        <v>15</v>
      </c>
      <c r="G30" s="803"/>
    </row>
    <row r="31" spans="1:7" ht="35.1" customHeight="1">
      <c r="A31" s="971">
        <v>15</v>
      </c>
      <c r="B31" s="999" t="str">
        <f>IF($C$4=1,VLOOKUP($A31,TPG_Enrols,VLOOKUP('Background Data'!$C$2,Inst_Tables,14,FALSE),FALSE),"")</f>
        <v>Investment &amp; Fund Management</v>
      </c>
      <c r="C31" s="998">
        <f>IF($C$4=1,VLOOKUP($A31,TPG_Enrols,VLOOKUP('Background Data'!$C$2,Inst_Tables,15,FALSE),FALSE),"")</f>
        <v>4</v>
      </c>
      <c r="D31" s="996"/>
      <c r="E31" s="1313" t="s">
        <v>480</v>
      </c>
      <c r="F31" s="989">
        <v>4</v>
      </c>
      <c r="G31" s="803"/>
    </row>
    <row r="32" spans="1:7" ht="35.1" customHeight="1">
      <c r="A32" s="971">
        <v>16</v>
      </c>
      <c r="B32" s="999" t="str">
        <f>IF($C$4=1,VLOOKUP($A32,TPG_Enrols,VLOOKUP('Background Data'!$C$2,Inst_Tables,14,FALSE),FALSE),"")</f>
        <v>Environment, Culture &amp; Communication</v>
      </c>
      <c r="C32" s="997">
        <f>IF($C$4=1,VLOOKUP($A32,TPG_Enrols,VLOOKUP('Background Data'!$C$2,Inst_Tables,15,FALSE),FALSE),"")</f>
        <v>5</v>
      </c>
      <c r="D32" s="996"/>
      <c r="E32" s="1314" t="s">
        <v>481</v>
      </c>
      <c r="F32" s="991">
        <v>5</v>
      </c>
      <c r="G32" s="803"/>
    </row>
    <row r="33" spans="1:7" ht="35.1" customHeight="1">
      <c r="A33" s="971">
        <v>17</v>
      </c>
      <c r="B33" s="999" t="str">
        <f>IF($C$4=1,VLOOKUP($A33,TPG_Enrols,VLOOKUP('Background Data'!$C$2,Inst_Tables,14,FALSE),FALSE),"")</f>
        <v>City Planning and Real Estate Development</v>
      </c>
      <c r="C33" s="997">
        <f>IF($C$4=1,VLOOKUP($A33,TPG_Enrols,VLOOKUP('Background Data'!$C$2,Inst_Tables,15,FALSE),FALSE),"")</f>
        <v>12</v>
      </c>
      <c r="D33" s="996"/>
      <c r="E33" s="1315" t="s">
        <v>482</v>
      </c>
      <c r="F33" s="991">
        <v>12</v>
      </c>
      <c r="G33" s="803"/>
    </row>
    <row r="34" spans="1:7" ht="35.1" customHeight="1">
      <c r="A34" s="971">
        <v>18</v>
      </c>
      <c r="B34" s="999" t="str">
        <f>IF($C$4=1,VLOOKUP($A34,TPG_Enrols,VLOOKUP('Background Data'!$C$2,Inst_Tables,14,FALSE),FALSE),"")</f>
        <v>Real Estate</v>
      </c>
      <c r="C34" s="997">
        <f>IF($C$4=1,VLOOKUP($A34,TPG_Enrols,VLOOKUP('Background Data'!$C$2,Inst_Tables,15,FALSE),FALSE),"")</f>
        <v>9</v>
      </c>
      <c r="D34" s="996"/>
      <c r="E34" s="1316" t="s">
        <v>483</v>
      </c>
      <c r="F34" s="991">
        <v>9</v>
      </c>
      <c r="G34" s="803"/>
    </row>
    <row r="35" spans="1:7" ht="35.1" customHeight="1" thickBot="1">
      <c r="A35" s="971">
        <v>19</v>
      </c>
      <c r="B35" s="1000" t="str">
        <f>IF($C$4=1,VLOOKUP($A35,TPG_Enrols,VLOOKUP('Background Data'!$C$2,Inst_Tables,14,FALSE),FALSE),"")</f>
        <v>PGCert in Real Estate</v>
      </c>
      <c r="C35" s="998">
        <f>IF($C$4=1,VLOOKUP($A35,TPG_Enrols,VLOOKUP('Background Data'!$C$2,Inst_Tables,15,FALSE),FALSE),"")</f>
        <v>0.7</v>
      </c>
      <c r="D35" s="996"/>
      <c r="E35" s="1317" t="s">
        <v>484</v>
      </c>
      <c r="F35" s="989">
        <v>1.5</v>
      </c>
      <c r="G35" s="803"/>
    </row>
    <row r="36" spans="1:7" ht="35.1" customHeight="1">
      <c r="A36" s="822"/>
      <c r="B36" s="857" t="s">
        <v>3</v>
      </c>
      <c r="C36" s="858">
        <f>SUM(C17:C35)</f>
        <v>114.7</v>
      </c>
      <c r="D36" s="883"/>
      <c r="E36" s="857" t="s">
        <v>3</v>
      </c>
      <c r="F36" s="858">
        <f>SUM(F17:F35)</f>
        <v>115.5</v>
      </c>
      <c r="G36" s="803"/>
    </row>
    <row r="37" spans="1:7" ht="35.1" customHeight="1" thickBot="1">
      <c r="A37" s="822"/>
      <c r="B37" s="859" t="s">
        <v>237</v>
      </c>
      <c r="C37" s="860">
        <f>IF($C$4=1,C36-$C$10,"")</f>
        <v>-9.2999999999999972</v>
      </c>
      <c r="D37" s="960"/>
      <c r="E37" s="859" t="s">
        <v>237</v>
      </c>
      <c r="F37" s="860">
        <f>IF(F36&gt;0,F36-$C$10,"")</f>
        <v>-8.5</v>
      </c>
      <c r="G37" s="803"/>
    </row>
    <row r="38" spans="1:7" ht="30" customHeight="1">
      <c r="A38" s="822"/>
      <c r="B38" s="861" t="s">
        <v>307</v>
      </c>
      <c r="C38" s="862"/>
      <c r="D38" s="862"/>
      <c r="E38" s="862"/>
      <c r="F38" s="862"/>
      <c r="G38" s="803"/>
    </row>
    <row r="39" spans="1:7" ht="20.100000000000001" customHeight="1">
      <c r="A39" s="834"/>
      <c r="B39" s="815"/>
      <c r="C39" s="863"/>
      <c r="D39" s="961"/>
      <c r="E39" s="961"/>
      <c r="F39" s="961"/>
      <c r="G39" s="816"/>
    </row>
  </sheetData>
  <sheetProtection password="E23E" sheet="1" objects="1" scenarios="1"/>
  <mergeCells count="2">
    <mergeCell ref="B12:C12"/>
    <mergeCell ref="E12:F12"/>
  </mergeCells>
  <conditionalFormatting sqref="B2">
    <cfRule type="expression" dxfId="29" priority="5" stopIfTrue="1">
      <formula>#REF!=0</formula>
    </cfRule>
  </conditionalFormatting>
  <conditionalFormatting sqref="A1:G1">
    <cfRule type="expression" dxfId="28" priority="6" stopIfTrue="1">
      <formula>$C$4=0</formula>
    </cfRule>
  </conditionalFormatting>
  <conditionalFormatting sqref="B9 B11">
    <cfRule type="expression" dxfId="27" priority="4" stopIfTrue="1">
      <formula>#REF!=0</formula>
    </cfRule>
  </conditionalFormatting>
  <conditionalFormatting sqref="B12">
    <cfRule type="expression" dxfId="26" priority="3" stopIfTrue="1">
      <formula>#REF!=0</formula>
    </cfRule>
  </conditionalFormatting>
  <conditionalFormatting sqref="E12">
    <cfRule type="expression" dxfId="25" priority="2" stopIfTrue="1">
      <formula>#REF!=0</formula>
    </cfRule>
  </conditionalFormatting>
  <conditionalFormatting sqref="E17:F35">
    <cfRule type="expression" dxfId="24" priority="1">
      <formula>$C$4=1</formula>
    </cfRule>
  </conditionalFormatting>
  <dataValidations count="1">
    <dataValidation allowBlank="1" sqref="B39 H12:IK12 C2:F2 B4 B10:C10 H1:IO11 G5:G12 B40:G65413 B13:B37 G21:G39 H13:IO1048576 C13:F39"/>
  </dataValidations>
  <hyperlinks>
    <hyperlink ref="B7" r:id="rId1"/>
  </hyperlinks>
  <pageMargins left="0.19685039370078741" right="0.19685039370078741" top="0.19685039370078741" bottom="0.19685039370078741" header="0" footer="0"/>
  <pageSetup paperSize="9" scale="49"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5"/>
  <sheetViews>
    <sheetView zoomScale="80" zoomScaleNormal="80" workbookViewId="0"/>
  </sheetViews>
  <sheetFormatPr defaultColWidth="9.140625" defaultRowHeight="15"/>
  <cols>
    <col min="1" max="1" width="5.7109375" style="584" customWidth="1"/>
    <col min="2" max="2" width="39.42578125" style="584" customWidth="1"/>
    <col min="3" max="3" width="18.7109375" style="584" customWidth="1"/>
    <col min="4" max="7" width="18.7109375" style="657" customWidth="1"/>
    <col min="8" max="8" width="94.85546875" style="657" customWidth="1"/>
    <col min="9" max="9" width="18.7109375" style="657" customWidth="1"/>
    <col min="10" max="10" width="5.7109375" style="584" customWidth="1"/>
    <col min="11" max="16384" width="9.140625" style="584"/>
  </cols>
  <sheetData>
    <row r="1" spans="1:10" ht="39.950000000000003" customHeight="1">
      <c r="A1" s="864"/>
      <c r="B1" s="817" t="str">
        <f>IF(SUM(E4,F4)=0,"Your Institution Does Not Complete This Table","")</f>
        <v/>
      </c>
      <c r="C1" s="818"/>
      <c r="D1" s="818"/>
      <c r="E1" s="818"/>
      <c r="F1" s="818"/>
      <c r="G1" s="818"/>
      <c r="H1" s="818"/>
      <c r="I1" s="818"/>
      <c r="J1" s="818"/>
    </row>
    <row r="2" spans="1:10" s="623" customFormat="1" ht="30" customHeight="1">
      <c r="A2" s="819"/>
      <c r="B2" s="820" t="s">
        <v>297</v>
      </c>
      <c r="C2" s="820"/>
      <c r="D2" s="849"/>
      <c r="E2" s="849"/>
      <c r="F2" s="849"/>
      <c r="G2" s="958"/>
      <c r="H2" s="958"/>
      <c r="I2" s="958"/>
      <c r="J2" s="821"/>
    </row>
    <row r="3" spans="1:10" s="623" customFormat="1" ht="15" customHeight="1">
      <c r="A3" s="865"/>
      <c r="B3" s="839"/>
      <c r="C3" s="866"/>
      <c r="D3" s="867"/>
      <c r="E3" s="867"/>
      <c r="F3" s="867"/>
      <c r="G3" s="867"/>
      <c r="H3" s="867"/>
      <c r="I3" s="867"/>
      <c r="J3" s="868"/>
    </row>
    <row r="4" spans="1:10" ht="35.1" customHeight="1">
      <c r="A4" s="822"/>
      <c r="B4" s="823" t="s">
        <v>5</v>
      </c>
      <c r="C4" s="1389" t="str">
        <f>'Background Data'!$D$2</f>
        <v>Glasgow, University of</v>
      </c>
      <c r="D4" s="1390"/>
      <c r="E4" s="826">
        <f>VLOOKUP('Background Data'!$C$2,Inst_Tables,9,FALSE)</f>
        <v>0</v>
      </c>
      <c r="F4" s="826">
        <f>VLOOKUP('Background Data'!$C$2,Inst_Tables,10,FALSE)</f>
        <v>1</v>
      </c>
      <c r="G4" s="15"/>
      <c r="H4" s="15"/>
      <c r="I4" s="15"/>
      <c r="J4" s="803"/>
    </row>
    <row r="5" spans="1:10" s="660" customFormat="1" ht="35.1" customHeight="1">
      <c r="A5" s="827"/>
      <c r="B5" s="839" t="s">
        <v>245</v>
      </c>
      <c r="C5" s="840"/>
      <c r="D5" s="840"/>
      <c r="E5" s="840"/>
      <c r="F5" s="840"/>
      <c r="G5" s="840"/>
      <c r="H5" s="840"/>
      <c r="I5" s="840"/>
      <c r="J5" s="828"/>
    </row>
    <row r="6" spans="1:10" s="660" customFormat="1" ht="30" customHeight="1">
      <c r="A6" s="827"/>
      <c r="B6" s="829" t="s">
        <v>343</v>
      </c>
      <c r="C6" s="840"/>
      <c r="D6" s="840"/>
      <c r="E6" s="840"/>
      <c r="F6" s="840"/>
      <c r="G6" s="840"/>
      <c r="H6" s="840"/>
      <c r="I6" s="840"/>
      <c r="J6" s="828"/>
    </row>
    <row r="7" spans="1:10" s="660" customFormat="1" ht="20.100000000000001" customHeight="1">
      <c r="A7" s="1287"/>
      <c r="B7" s="1288" t="s">
        <v>339</v>
      </c>
      <c r="C7" s="840"/>
      <c r="D7" s="840"/>
      <c r="E7" s="840"/>
      <c r="F7" s="840"/>
      <c r="G7" s="840"/>
      <c r="H7" s="840"/>
      <c r="I7" s="840"/>
      <c r="J7" s="828"/>
    </row>
    <row r="8" spans="1:10" s="660" customFormat="1" ht="24.95" customHeight="1">
      <c r="A8" s="827"/>
      <c r="B8" s="829" t="s">
        <v>332</v>
      </c>
      <c r="C8" s="840"/>
      <c r="D8" s="840"/>
      <c r="E8" s="840"/>
      <c r="F8" s="840"/>
      <c r="G8" s="840"/>
      <c r="H8" s="840"/>
      <c r="I8" s="840"/>
      <c r="J8" s="828"/>
    </row>
    <row r="9" spans="1:10" s="660" customFormat="1" ht="30" customHeight="1">
      <c r="A9" s="827"/>
      <c r="B9" s="801" t="s">
        <v>246</v>
      </c>
      <c r="C9" s="840"/>
      <c r="D9" s="840"/>
      <c r="E9" s="840"/>
      <c r="F9" s="840"/>
      <c r="G9" s="840"/>
      <c r="H9" s="840"/>
      <c r="I9" s="840"/>
      <c r="J9" s="828"/>
    </row>
    <row r="10" spans="1:10" s="660" customFormat="1" ht="9.9499999999999993" customHeight="1" thickBot="1">
      <c r="A10" s="827"/>
      <c r="B10" s="870"/>
      <c r="C10" s="840"/>
      <c r="D10" s="840"/>
      <c r="E10" s="871"/>
      <c r="F10" s="869"/>
      <c r="G10" s="869"/>
      <c r="H10" s="869"/>
      <c r="I10" s="869"/>
      <c r="J10" s="828"/>
    </row>
    <row r="11" spans="1:10" ht="45" customHeight="1">
      <c r="A11" s="822"/>
      <c r="B11" s="852"/>
      <c r="C11" s="1400" t="s">
        <v>247</v>
      </c>
      <c r="D11" s="1391" t="s">
        <v>293</v>
      </c>
      <c r="E11" s="1392"/>
      <c r="F11" s="1399" t="s">
        <v>306</v>
      </c>
      <c r="G11" s="1392"/>
      <c r="H11" s="872"/>
      <c r="I11" s="872"/>
      <c r="J11" s="832"/>
    </row>
    <row r="12" spans="1:10" ht="84.95" customHeight="1">
      <c r="A12" s="822"/>
      <c r="B12" s="955"/>
      <c r="C12" s="1401"/>
      <c r="D12" s="956" t="s">
        <v>248</v>
      </c>
      <c r="E12" s="957" t="s">
        <v>302</v>
      </c>
      <c r="F12" s="956" t="s">
        <v>248</v>
      </c>
      <c r="G12" s="957" t="s">
        <v>302</v>
      </c>
      <c r="H12" s="872"/>
      <c r="I12" s="872"/>
      <c r="J12" s="832"/>
    </row>
    <row r="13" spans="1:10" ht="24.95" customHeight="1">
      <c r="A13" s="822"/>
      <c r="B13" s="873" t="s">
        <v>249</v>
      </c>
      <c r="C13" s="843" t="s">
        <v>27</v>
      </c>
      <c r="D13" s="874" t="s">
        <v>27</v>
      </c>
      <c r="E13" s="876" t="s">
        <v>27</v>
      </c>
      <c r="F13" s="875" t="s">
        <v>27</v>
      </c>
      <c r="G13" s="876" t="s">
        <v>27</v>
      </c>
      <c r="H13" s="877"/>
      <c r="I13" s="877"/>
      <c r="J13" s="832"/>
    </row>
    <row r="14" spans="1:10" ht="24.95" customHeight="1">
      <c r="A14" s="822"/>
      <c r="B14" s="844"/>
      <c r="C14" s="843" t="s">
        <v>7</v>
      </c>
      <c r="D14" s="874" t="s">
        <v>7</v>
      </c>
      <c r="E14" s="876" t="s">
        <v>163</v>
      </c>
      <c r="F14" s="874" t="s">
        <v>7</v>
      </c>
      <c r="G14" s="876" t="s">
        <v>163</v>
      </c>
      <c r="H14" s="877"/>
      <c r="I14" s="877"/>
      <c r="J14" s="832"/>
    </row>
    <row r="15" spans="1:10" ht="24.95" customHeight="1" thickBot="1">
      <c r="A15" s="822"/>
      <c r="B15" s="845"/>
      <c r="C15" s="846">
        <v>1</v>
      </c>
      <c r="D15" s="878">
        <v>2</v>
      </c>
      <c r="E15" s="879">
        <v>3</v>
      </c>
      <c r="F15" s="878">
        <v>4</v>
      </c>
      <c r="G15" s="855">
        <v>5</v>
      </c>
      <c r="H15" s="880"/>
      <c r="I15" s="880"/>
      <c r="J15" s="832"/>
    </row>
    <row r="16" spans="1:10" ht="35.1" customHeight="1" thickBot="1">
      <c r="A16" s="822"/>
      <c r="B16" s="881" t="s">
        <v>250</v>
      </c>
      <c r="C16" s="977">
        <f>VLOOKUP('Background Data'!$C$2,FPs_Ind_Nos_1617,8,FALSE)</f>
        <v>0</v>
      </c>
      <c r="D16" s="1294" t="str">
        <f>IF($E$4=1,VLOOKUP('Background Data'!C2,WA_RC_Enrols,4,FALSE),"")</f>
        <v/>
      </c>
      <c r="E16" s="882" t="str">
        <f>IF($E$4=1,D16-$C$16,"")</f>
        <v/>
      </c>
      <c r="F16" s="1295"/>
      <c r="G16" s="948" t="str">
        <f>IF(F16&lt;&gt;"",F16-$C$16,"")</f>
        <v/>
      </c>
      <c r="H16" s="969"/>
      <c r="I16" s="883"/>
      <c r="J16" s="832"/>
    </row>
    <row r="17" spans="1:10" ht="30" customHeight="1">
      <c r="A17" s="822"/>
      <c r="B17" s="833" t="s">
        <v>298</v>
      </c>
      <c r="C17" s="884"/>
      <c r="D17" s="884"/>
      <c r="E17" s="883"/>
      <c r="F17" s="883"/>
      <c r="G17" s="883"/>
      <c r="H17" s="883"/>
      <c r="I17" s="883"/>
      <c r="J17" s="832"/>
    </row>
    <row r="18" spans="1:10" ht="30" customHeight="1">
      <c r="A18" s="822"/>
      <c r="B18" s="801" t="s">
        <v>251</v>
      </c>
      <c r="C18" s="259"/>
      <c r="D18" s="259"/>
      <c r="E18" s="259"/>
      <c r="F18" s="259"/>
      <c r="G18" s="259"/>
      <c r="H18" s="259"/>
      <c r="I18" s="259"/>
      <c r="J18" s="831"/>
    </row>
    <row r="19" spans="1:10" ht="15" customHeight="1">
      <c r="A19" s="827"/>
      <c r="B19" s="967"/>
      <c r="C19" s="545"/>
      <c r="D19" s="545"/>
      <c r="E19" s="968"/>
      <c r="F19" s="968"/>
      <c r="G19" s="968"/>
      <c r="H19" s="968"/>
      <c r="I19" s="968"/>
      <c r="J19" s="831"/>
    </row>
    <row r="20" spans="1:10" ht="24.95" customHeight="1">
      <c r="A20" s="822"/>
      <c r="B20" s="965" t="s">
        <v>299</v>
      </c>
      <c r="C20" s="976">
        <f>VLOOKUP('Background Data'!$C$2,FPs_Ind_Nos_1617,6,FALSE)</f>
        <v>15</v>
      </c>
      <c r="D20" s="862"/>
      <c r="E20" s="802"/>
      <c r="F20" s="966"/>
      <c r="G20" s="869"/>
      <c r="H20" s="869"/>
      <c r="I20" s="869"/>
      <c r="J20" s="831"/>
    </row>
    <row r="21" spans="1:10" ht="9.9499999999999993" customHeight="1" thickBot="1">
      <c r="A21" s="822"/>
      <c r="B21" s="962"/>
      <c r="C21" s="840"/>
      <c r="D21" s="840"/>
      <c r="E21" s="869"/>
      <c r="F21" s="869"/>
      <c r="G21" s="869"/>
      <c r="H21" s="869"/>
      <c r="I21" s="869"/>
      <c r="J21" s="831"/>
    </row>
    <row r="22" spans="1:10" ht="30" customHeight="1">
      <c r="A22" s="822"/>
      <c r="B22" s="1348" t="s">
        <v>293</v>
      </c>
      <c r="C22" s="1349"/>
      <c r="D22" s="1349"/>
      <c r="E22" s="1349"/>
      <c r="F22" s="1350"/>
      <c r="G22" s="869"/>
      <c r="H22" s="1348" t="s">
        <v>305</v>
      </c>
      <c r="I22" s="1350"/>
      <c r="J22" s="831"/>
    </row>
    <row r="23" spans="1:10" ht="84.95" customHeight="1">
      <c r="A23" s="822"/>
      <c r="B23" s="1396" t="s">
        <v>244</v>
      </c>
      <c r="C23" s="1397"/>
      <c r="D23" s="1397"/>
      <c r="E23" s="1398"/>
      <c r="F23" s="1013" t="s">
        <v>248</v>
      </c>
      <c r="G23" s="959"/>
      <c r="H23" s="1019" t="s">
        <v>244</v>
      </c>
      <c r="I23" s="1013" t="s">
        <v>248</v>
      </c>
      <c r="J23" s="828"/>
    </row>
    <row r="24" spans="1:10" ht="24.95" customHeight="1">
      <c r="A24" s="822"/>
      <c r="B24" s="88"/>
      <c r="C24" s="545"/>
      <c r="D24" s="545"/>
      <c r="E24" s="1014"/>
      <c r="F24" s="853" t="s">
        <v>27</v>
      </c>
      <c r="G24" s="877"/>
      <c r="H24" s="955"/>
      <c r="I24" s="853" t="s">
        <v>27</v>
      </c>
      <c r="J24" s="854"/>
    </row>
    <row r="25" spans="1:10" ht="24.95" customHeight="1">
      <c r="A25" s="822"/>
      <c r="B25" s="886"/>
      <c r="C25" s="259"/>
      <c r="D25" s="259"/>
      <c r="E25" s="1015"/>
      <c r="F25" s="853" t="s">
        <v>7</v>
      </c>
      <c r="G25" s="877"/>
      <c r="H25" s="844"/>
      <c r="I25" s="853" t="s">
        <v>6</v>
      </c>
      <c r="J25" s="854"/>
    </row>
    <row r="26" spans="1:10" ht="24.95" customHeight="1" thickBot="1">
      <c r="A26" s="822"/>
      <c r="B26" s="1010"/>
      <c r="C26" s="1011"/>
      <c r="D26" s="1011"/>
      <c r="E26" s="1016"/>
      <c r="F26" s="855">
        <v>1</v>
      </c>
      <c r="G26" s="560"/>
      <c r="H26" s="845"/>
      <c r="I26" s="855">
        <v>1</v>
      </c>
      <c r="J26" s="856"/>
    </row>
    <row r="27" spans="1:10" ht="35.1" customHeight="1">
      <c r="A27" s="971">
        <v>1</v>
      </c>
      <c r="B27" s="1393" t="str">
        <f>IF($F$4=1,VLOOKUP($A27,Crich_Enrols,2,FALSE),"")</f>
        <v>MA Primary Education</v>
      </c>
      <c r="C27" s="1394"/>
      <c r="D27" s="1394"/>
      <c r="E27" s="1395"/>
      <c r="F27" s="998">
        <f>IF($F$4=1,VLOOKUP($A27,Crich_Enrols,3,FALSE),"")</f>
        <v>8</v>
      </c>
      <c r="G27" s="996"/>
      <c r="H27" s="988"/>
      <c r="I27" s="989"/>
      <c r="J27" s="856"/>
    </row>
    <row r="28" spans="1:10" ht="35.1" customHeight="1">
      <c r="A28" s="971">
        <v>2</v>
      </c>
      <c r="B28" s="1383" t="str">
        <f>IF($F$4=1,VLOOKUP($A28,Crich_Enrols,2,FALSE),"")</f>
        <v>BSc Environmental Science and Sustainability</v>
      </c>
      <c r="C28" s="1384"/>
      <c r="D28" s="1384"/>
      <c r="E28" s="1385"/>
      <c r="F28" s="997">
        <f>IF($F$4=1,VLOOKUP($A28,Crich_Enrols,3,FALSE),"")</f>
        <v>4</v>
      </c>
      <c r="G28" s="996"/>
      <c r="H28" s="990"/>
      <c r="I28" s="991"/>
      <c r="J28" s="803"/>
    </row>
    <row r="29" spans="1:10" ht="35.1" customHeight="1">
      <c r="A29" s="971">
        <v>3</v>
      </c>
      <c r="B29" s="1383" t="str">
        <f>IF($F$4=1,VLOOKUP($A29,Crich_Enrols,2,FALSE),"")</f>
        <v>MA Health and Social Policy</v>
      </c>
      <c r="C29" s="1384"/>
      <c r="D29" s="1384"/>
      <c r="E29" s="1385"/>
      <c r="F29" s="997">
        <f>IF($F$4=1,VLOOKUP($A29,Crich_Enrols,3,FALSE),"")</f>
        <v>3</v>
      </c>
      <c r="G29" s="996"/>
      <c r="H29" s="990"/>
      <c r="I29" s="991"/>
      <c r="J29" s="803"/>
    </row>
    <row r="30" spans="1:10" ht="35.1" customHeight="1">
      <c r="A30" s="971">
        <v>4</v>
      </c>
      <c r="B30" s="1383">
        <f>IF($F$4=1,VLOOKUP($A30,Crich_Enrols,2,FALSE),"")</f>
        <v>0</v>
      </c>
      <c r="C30" s="1384"/>
      <c r="D30" s="1384"/>
      <c r="E30" s="1385"/>
      <c r="F30" s="997">
        <f>IF($F$4=1,VLOOKUP($A30,Crich_Enrols,3,FALSE),"")</f>
        <v>0</v>
      </c>
      <c r="G30" s="996"/>
      <c r="H30" s="990"/>
      <c r="I30" s="991"/>
      <c r="J30" s="803"/>
    </row>
    <row r="31" spans="1:10" ht="35.1" customHeight="1" thickBot="1">
      <c r="A31" s="971">
        <v>5</v>
      </c>
      <c r="B31" s="1386">
        <f>IF($F$4=1,VLOOKUP($A31,Crich_Enrols,2,FALSE),"")</f>
        <v>0</v>
      </c>
      <c r="C31" s="1387"/>
      <c r="D31" s="1387"/>
      <c r="E31" s="1388"/>
      <c r="F31" s="998">
        <f>IF($F$4=1,VLOOKUP($A31,Crich_Enrols,3,FALSE),"")</f>
        <v>0</v>
      </c>
      <c r="G31" s="996"/>
      <c r="H31" s="1020"/>
      <c r="I31" s="989"/>
      <c r="J31" s="803"/>
    </row>
    <row r="32" spans="1:10" ht="35.1" customHeight="1">
      <c r="A32" s="822"/>
      <c r="B32" s="887" t="s">
        <v>3</v>
      </c>
      <c r="C32" s="1017"/>
      <c r="D32" s="1017"/>
      <c r="E32" s="1018"/>
      <c r="F32" s="858">
        <f>SUM(F27:F31)</f>
        <v>15</v>
      </c>
      <c r="G32" s="883"/>
      <c r="H32" s="857" t="s">
        <v>3</v>
      </c>
      <c r="I32" s="858">
        <f>SUM(I27:I31)</f>
        <v>0</v>
      </c>
      <c r="J32" s="803"/>
    </row>
    <row r="33" spans="1:10" ht="35.1" customHeight="1" thickBot="1">
      <c r="A33" s="822"/>
      <c r="B33" s="1077" t="s">
        <v>300</v>
      </c>
      <c r="C33" s="1078"/>
      <c r="D33" s="1078"/>
      <c r="E33" s="1079"/>
      <c r="F33" s="860">
        <f>IF($F$4=1,F32-$C$20,"")</f>
        <v>0</v>
      </c>
      <c r="G33" s="960"/>
      <c r="H33" s="847" t="s">
        <v>300</v>
      </c>
      <c r="I33" s="860" t="str">
        <f>IF(I32&gt;0,I32-$C$20,"")</f>
        <v/>
      </c>
      <c r="J33" s="803"/>
    </row>
    <row r="34" spans="1:10" ht="30" customHeight="1">
      <c r="A34" s="822"/>
      <c r="B34" s="833" t="s">
        <v>298</v>
      </c>
      <c r="C34" s="884"/>
      <c r="D34" s="884"/>
      <c r="E34" s="862"/>
      <c r="F34" s="862"/>
      <c r="G34" s="862"/>
      <c r="H34" s="862"/>
      <c r="I34" s="862"/>
      <c r="J34" s="803"/>
    </row>
    <row r="35" spans="1:10" ht="15" customHeight="1">
      <c r="A35" s="834"/>
      <c r="B35" s="835"/>
      <c r="C35" s="815"/>
      <c r="D35" s="863"/>
      <c r="E35" s="863"/>
      <c r="F35" s="863"/>
      <c r="G35" s="961"/>
      <c r="H35" s="961"/>
      <c r="I35" s="961"/>
      <c r="J35" s="816"/>
    </row>
    <row r="36" spans="1:10" s="836" customFormat="1" ht="15.75" customHeight="1"/>
    <row r="37" spans="1:10" ht="15.75" customHeight="1"/>
    <row r="38" spans="1:10" ht="15.75" customHeight="1"/>
    <row r="39" spans="1:10" ht="15.75"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sheetData>
  <sheetProtection password="E23E" sheet="1" objects="1" scenarios="1"/>
  <mergeCells count="12">
    <mergeCell ref="H22:I22"/>
    <mergeCell ref="B23:E23"/>
    <mergeCell ref="F11:G11"/>
    <mergeCell ref="C11:C12"/>
    <mergeCell ref="B22:F22"/>
    <mergeCell ref="B30:E30"/>
    <mergeCell ref="B31:E31"/>
    <mergeCell ref="C4:D4"/>
    <mergeCell ref="D11:E11"/>
    <mergeCell ref="B27:E27"/>
    <mergeCell ref="B28:E28"/>
    <mergeCell ref="B29:E29"/>
  </mergeCells>
  <conditionalFormatting sqref="B2">
    <cfRule type="expression" dxfId="23" priority="8" stopIfTrue="1">
      <formula>#REF!=0</formula>
    </cfRule>
  </conditionalFormatting>
  <conditionalFormatting sqref="D32">
    <cfRule type="expression" dxfId="22" priority="7" stopIfTrue="1">
      <formula>C32&gt;0</formula>
    </cfRule>
  </conditionalFormatting>
  <conditionalFormatting sqref="B19 B21:B22">
    <cfRule type="expression" dxfId="21" priority="6" stopIfTrue="1">
      <formula>#REF!=0</formula>
    </cfRule>
  </conditionalFormatting>
  <conditionalFormatting sqref="A1:J1">
    <cfRule type="expression" dxfId="20" priority="10" stopIfTrue="1">
      <formula>SUM($E$4,$F$4)=0</formula>
    </cfRule>
  </conditionalFormatting>
  <conditionalFormatting sqref="F16">
    <cfRule type="expression" dxfId="19" priority="5">
      <formula>$E$4=1</formula>
    </cfRule>
  </conditionalFormatting>
  <conditionalFormatting sqref="H22">
    <cfRule type="expression" dxfId="18" priority="2" stopIfTrue="1">
      <formula>#REF!=0</formula>
    </cfRule>
  </conditionalFormatting>
  <conditionalFormatting sqref="H27:I31">
    <cfRule type="expression" dxfId="17" priority="1">
      <formula>$F$4=1</formula>
    </cfRule>
  </conditionalFormatting>
  <dataValidations count="2">
    <dataValidation type="custom" allowBlank="1" showErrorMessage="1" errorTitle="No HFU funded places" error="You cannot enter HFU funded student FTE where no HFU funded places exist " sqref="D32 D34 D16:D17">
      <formula1>AND($C16&gt;0,$D16&gt;=0)</formula1>
    </dataValidation>
    <dataValidation allowBlank="1" sqref="C2:C4 C25:D26 C32 B36:B65502 B11:B16 C35:D65502 C34 C13:C17 F23:I33 F11 D11:D15 C11 F20 B20:D20 J31:J65502 J5:J22 D2:I3 E34:I65502 H11:I15 E16:I17 C18:I18 E12:G15 K1:IT1048576 B23:B33"/>
  </dataValidations>
  <hyperlinks>
    <hyperlink ref="B7" r:id="rId1"/>
  </hyperlinks>
  <printOptions horizontalCentered="1"/>
  <pageMargins left="0.19685039370078741" right="0.19685039370078741" top="0.19685039370078741" bottom="0.19685039370078741" header="0" footer="0"/>
  <pageSetup paperSize="9" scale="53" fitToWidth="0" orientation="landscape" r:id="rId2"/>
  <headerFooter alignWithMargins="0"/>
  <rowBreaks count="1" manualBreakCount="1">
    <brk id="1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zoomScale="80" zoomScaleNormal="80" workbookViewId="0"/>
  </sheetViews>
  <sheetFormatPr defaultColWidth="9.140625" defaultRowHeight="15"/>
  <cols>
    <col min="1" max="1" width="5.7109375" style="584" customWidth="1"/>
    <col min="2" max="2" width="70.7109375" style="584" customWidth="1"/>
    <col min="3" max="5" width="18.7109375" style="657" customWidth="1"/>
    <col min="6" max="6" width="5.7109375" style="657" customWidth="1"/>
    <col min="7" max="7" width="70.7109375" style="657" customWidth="1"/>
    <col min="8" max="10" width="18.7109375" style="657" customWidth="1"/>
    <col min="11" max="11" width="5.7109375" style="584" customWidth="1"/>
    <col min="12" max="16384" width="9.140625" style="584"/>
  </cols>
  <sheetData>
    <row r="1" spans="1:11" ht="39.950000000000003" customHeight="1">
      <c r="A1" s="864"/>
      <c r="B1" s="817" t="str">
        <f>IF(F4=0,"Your Institution Does Not Complete This Table","")</f>
        <v>Your Institution Does Not Complete This Table</v>
      </c>
      <c r="C1" s="818"/>
      <c r="D1" s="818"/>
      <c r="E1" s="818"/>
      <c r="F1" s="818"/>
      <c r="G1" s="818"/>
      <c r="H1" s="818"/>
      <c r="I1" s="818"/>
      <c r="J1" s="818"/>
      <c r="K1" s="818"/>
    </row>
    <row r="2" spans="1:11" s="623" customFormat="1" ht="30" customHeight="1">
      <c r="A2" s="819"/>
      <c r="B2" s="820" t="s">
        <v>347</v>
      </c>
      <c r="C2" s="849"/>
      <c r="D2" s="849"/>
      <c r="E2" s="849"/>
      <c r="F2" s="958"/>
      <c r="G2" s="958"/>
      <c r="H2" s="958"/>
      <c r="I2" s="958"/>
      <c r="J2" s="958"/>
      <c r="K2" s="821"/>
    </row>
    <row r="3" spans="1:11" s="623" customFormat="1" ht="15" customHeight="1">
      <c r="A3" s="865"/>
      <c r="B3" s="839"/>
      <c r="C3" s="867"/>
      <c r="D3" s="867"/>
      <c r="E3" s="867"/>
      <c r="F3" s="867"/>
      <c r="G3" s="867"/>
      <c r="H3" s="867"/>
      <c r="I3" s="867"/>
      <c r="J3" s="867"/>
      <c r="K3" s="868"/>
    </row>
    <row r="4" spans="1:11" ht="35.1" customHeight="1">
      <c r="A4" s="822"/>
      <c r="B4" s="823" t="s">
        <v>5</v>
      </c>
      <c r="C4" s="1389" t="str">
        <f>'Background Data'!$D$2</f>
        <v>Glasgow, University of</v>
      </c>
      <c r="D4" s="1402"/>
      <c r="E4" s="1390"/>
      <c r="F4" s="826">
        <f>VLOOKUP('Background Data'!$C$2,Inst_Tables,11,FALSE)</f>
        <v>0</v>
      </c>
      <c r="G4" s="1004"/>
      <c r="H4" s="1004"/>
      <c r="I4" s="1004"/>
      <c r="J4" s="1004"/>
      <c r="K4" s="803"/>
    </row>
    <row r="5" spans="1:11" s="660" customFormat="1" ht="35.1" customHeight="1">
      <c r="A5" s="827"/>
      <c r="B5" s="839" t="s">
        <v>233</v>
      </c>
      <c r="C5" s="840"/>
      <c r="D5" s="840"/>
      <c r="E5" s="840"/>
      <c r="F5" s="840"/>
      <c r="G5" s="840"/>
      <c r="H5" s="840"/>
      <c r="I5" s="840"/>
      <c r="J5" s="840"/>
      <c r="K5" s="828"/>
    </row>
    <row r="6" spans="1:11" s="660" customFormat="1" ht="30" customHeight="1">
      <c r="A6" s="827"/>
      <c r="B6" s="829" t="s">
        <v>344</v>
      </c>
      <c r="C6" s="840"/>
      <c r="D6" s="840"/>
      <c r="E6" s="840"/>
      <c r="F6" s="840"/>
      <c r="G6" s="840"/>
      <c r="H6" s="840"/>
      <c r="I6" s="840"/>
      <c r="J6" s="840"/>
      <c r="K6" s="828"/>
    </row>
    <row r="7" spans="1:11" s="660" customFormat="1" ht="20.100000000000001" customHeight="1">
      <c r="A7" s="1287"/>
      <c r="B7" s="1288" t="s">
        <v>339</v>
      </c>
      <c r="C7" s="840"/>
      <c r="D7" s="840"/>
      <c r="E7" s="840"/>
      <c r="F7" s="840"/>
      <c r="G7" s="840"/>
      <c r="H7" s="840"/>
      <c r="I7" s="840"/>
      <c r="J7" s="840"/>
      <c r="K7" s="828"/>
    </row>
    <row r="8" spans="1:11" s="660" customFormat="1" ht="24.95" customHeight="1">
      <c r="A8" s="827"/>
      <c r="B8" s="829" t="s">
        <v>332</v>
      </c>
      <c r="C8" s="840"/>
      <c r="D8" s="840"/>
      <c r="E8" s="840"/>
      <c r="F8" s="840"/>
      <c r="G8" s="840"/>
      <c r="H8" s="840"/>
      <c r="I8" s="840"/>
      <c r="J8" s="840"/>
      <c r="K8" s="828"/>
    </row>
    <row r="9" spans="1:11" ht="15" customHeight="1">
      <c r="A9" s="822"/>
      <c r="B9" s="962"/>
      <c r="C9" s="869"/>
      <c r="D9" s="869"/>
      <c r="E9" s="869"/>
      <c r="F9" s="869"/>
      <c r="G9" s="869"/>
      <c r="H9" s="869"/>
      <c r="I9" s="869"/>
      <c r="J9" s="869"/>
      <c r="K9" s="831"/>
    </row>
    <row r="10" spans="1:11" ht="30" customHeight="1">
      <c r="A10" s="822"/>
      <c r="B10" s="964" t="s">
        <v>308</v>
      </c>
      <c r="C10" s="1009"/>
      <c r="D10" s="1009"/>
      <c r="E10" s="1009"/>
      <c r="F10" s="1009"/>
      <c r="G10" s="1009"/>
      <c r="H10" s="1009"/>
      <c r="I10" s="1009"/>
      <c r="J10" s="1009"/>
      <c r="K10" s="831"/>
    </row>
    <row r="11" spans="1:11" ht="24.95" customHeight="1">
      <c r="A11" s="822"/>
      <c r="B11" s="946" t="s">
        <v>309</v>
      </c>
      <c r="C11" s="976">
        <f>VLOOKUP('Background Data'!$C$2,FPs_Ind_Nos_1617,9,FALSE)</f>
        <v>0</v>
      </c>
      <c r="D11" s="1009"/>
      <c r="E11" s="1009"/>
      <c r="F11" s="1009"/>
      <c r="G11" s="1009"/>
      <c r="H11" s="1009"/>
      <c r="I11" s="1009"/>
      <c r="J11" s="1009"/>
      <c r="K11" s="831"/>
    </row>
    <row r="12" spans="1:11" ht="24.95" customHeight="1">
      <c r="A12" s="822"/>
      <c r="B12" s="946" t="s">
        <v>310</v>
      </c>
      <c r="C12" s="976">
        <f>VLOOKUP('Background Data'!$C$2,FPs_Ind_Nos_1617,10,FALSE)</f>
        <v>0</v>
      </c>
      <c r="D12" s="1009"/>
      <c r="E12" s="1009"/>
      <c r="F12" s="1009"/>
      <c r="G12" s="1009"/>
      <c r="H12" s="1009"/>
      <c r="I12" s="1009"/>
      <c r="J12" s="1009"/>
      <c r="K12" s="831"/>
    </row>
    <row r="13" spans="1:11" ht="24.95" customHeight="1">
      <c r="A13" s="822"/>
      <c r="B13" s="946" t="s">
        <v>213</v>
      </c>
      <c r="C13" s="976">
        <f>VLOOKUP('Background Data'!$C$2,FPs_Ind_Nos_1617,11,FALSE)</f>
        <v>0</v>
      </c>
      <c r="D13" s="1009"/>
      <c r="E13" s="1009"/>
      <c r="F13" s="1009"/>
      <c r="G13" s="1009"/>
      <c r="H13" s="1009"/>
      <c r="I13" s="1009"/>
      <c r="J13" s="1009"/>
      <c r="K13" s="831"/>
    </row>
    <row r="14" spans="1:11" ht="9.9499999999999993" customHeight="1" thickBot="1">
      <c r="A14" s="822"/>
      <c r="B14" s="963"/>
      <c r="C14" s="1009"/>
      <c r="D14" s="1009"/>
      <c r="E14" s="1009"/>
      <c r="F14" s="1009"/>
      <c r="G14" s="1009"/>
      <c r="H14" s="1009"/>
      <c r="I14" s="1009"/>
      <c r="J14" s="1009"/>
      <c r="K14" s="831"/>
    </row>
    <row r="15" spans="1:11" ht="30" customHeight="1" thickBot="1">
      <c r="A15" s="822"/>
      <c r="B15" s="1405" t="s">
        <v>293</v>
      </c>
      <c r="C15" s="1406"/>
      <c r="D15" s="1406"/>
      <c r="E15" s="1407"/>
      <c r="F15" s="955"/>
      <c r="G15" s="1405" t="s">
        <v>305</v>
      </c>
      <c r="H15" s="1406"/>
      <c r="I15" s="1406"/>
      <c r="J15" s="1407"/>
      <c r="K15" s="831"/>
    </row>
    <row r="16" spans="1:11" ht="30" customHeight="1">
      <c r="A16" s="822"/>
      <c r="B16" s="852"/>
      <c r="C16" s="1403" t="s">
        <v>252</v>
      </c>
      <c r="D16" s="1403"/>
      <c r="E16" s="1404"/>
      <c r="F16" s="877"/>
      <c r="G16" s="852"/>
      <c r="H16" s="1403" t="s">
        <v>252</v>
      </c>
      <c r="I16" s="1403"/>
      <c r="J16" s="1404"/>
      <c r="K16" s="828"/>
    </row>
    <row r="17" spans="1:11" ht="35.1" customHeight="1">
      <c r="A17" s="822"/>
      <c r="B17" s="955"/>
      <c r="C17" s="1025" t="s">
        <v>253</v>
      </c>
      <c r="D17" s="889" t="s">
        <v>254</v>
      </c>
      <c r="E17" s="890" t="s">
        <v>213</v>
      </c>
      <c r="F17" s="1003"/>
      <c r="G17" s="955"/>
      <c r="H17" s="1025" t="s">
        <v>253</v>
      </c>
      <c r="I17" s="889" t="s">
        <v>254</v>
      </c>
      <c r="J17" s="890" t="s">
        <v>213</v>
      </c>
      <c r="K17" s="828"/>
    </row>
    <row r="18" spans="1:11" ht="24.95" customHeight="1">
      <c r="A18" s="822"/>
      <c r="B18" s="275" t="s">
        <v>244</v>
      </c>
      <c r="C18" s="877" t="s">
        <v>27</v>
      </c>
      <c r="D18" s="875" t="s">
        <v>27</v>
      </c>
      <c r="E18" s="853" t="s">
        <v>27</v>
      </c>
      <c r="F18" s="877"/>
      <c r="G18" s="275" t="s">
        <v>244</v>
      </c>
      <c r="H18" s="877" t="s">
        <v>27</v>
      </c>
      <c r="I18" s="875" t="s">
        <v>27</v>
      </c>
      <c r="J18" s="853" t="s">
        <v>27</v>
      </c>
      <c r="K18" s="885"/>
    </row>
    <row r="19" spans="1:11" ht="24.95" customHeight="1">
      <c r="A19" s="822"/>
      <c r="B19" s="844"/>
      <c r="C19" s="877" t="s">
        <v>6</v>
      </c>
      <c r="D19" s="875" t="s">
        <v>6</v>
      </c>
      <c r="E19" s="853" t="s">
        <v>6</v>
      </c>
      <c r="F19" s="877"/>
      <c r="G19" s="844"/>
      <c r="H19" s="877" t="s">
        <v>6</v>
      </c>
      <c r="I19" s="875" t="s">
        <v>6</v>
      </c>
      <c r="J19" s="853" t="s">
        <v>6</v>
      </c>
      <c r="K19" s="854"/>
    </row>
    <row r="20" spans="1:11" ht="24.95" customHeight="1" thickBot="1">
      <c r="A20" s="822"/>
      <c r="B20" s="845"/>
      <c r="C20" s="1026">
        <v>1</v>
      </c>
      <c r="D20" s="1012">
        <v>2</v>
      </c>
      <c r="E20" s="855">
        <v>3</v>
      </c>
      <c r="F20" s="560"/>
      <c r="G20" s="845"/>
      <c r="H20" s="1026">
        <v>1</v>
      </c>
      <c r="I20" s="1012">
        <v>2</v>
      </c>
      <c r="J20" s="855">
        <v>3</v>
      </c>
      <c r="K20" s="856"/>
    </row>
    <row r="21" spans="1:11" ht="35.1" customHeight="1">
      <c r="A21" s="971">
        <v>1</v>
      </c>
      <c r="B21" s="1022" t="str">
        <f>IF($F$4=1,VLOOKUP($A21,ESF_Enrols,VLOOKUP('Background Data'!$C$2,Inst_Tables,16,FALSE),FALSE),"")</f>
        <v/>
      </c>
      <c r="C21" s="1024" t="str">
        <f>IF($F$4=1,VLOOKUP($A21,ESF_Enrols,VLOOKUP('Background Data'!$C$2,Inst_Tables,17,FALSE),FALSE),"")</f>
        <v/>
      </c>
      <c r="D21" s="1029" t="str">
        <f>IF($F$4=1,VLOOKUP($A21,ESF_Enrols,VLOOKUP('Background Data'!$C$2,Inst_Tables,18,FALSE),FALSE),"")</f>
        <v/>
      </c>
      <c r="E21" s="1030" t="str">
        <f>IF($F$4=1,VLOOKUP($A21,ESF_Enrols,VLOOKUP('Background Data'!$C$2,Inst_Tables,19,FALSE),FALSE),"")</f>
        <v/>
      </c>
      <c r="F21" s="996"/>
      <c r="G21" s="1023"/>
      <c r="H21" s="970"/>
      <c r="I21" s="1007"/>
      <c r="J21" s="1008"/>
      <c r="K21" s="856"/>
    </row>
    <row r="22" spans="1:11" ht="35.1" customHeight="1">
      <c r="A22" s="971">
        <v>2</v>
      </c>
      <c r="B22" s="999" t="str">
        <f>IF($F$4=1,VLOOKUP($A22,ESF_Enrols,VLOOKUP('Background Data'!$C$2,Inst_Tables,16,FALSE),FALSE),"")</f>
        <v/>
      </c>
      <c r="C22" s="1031" t="str">
        <f>IF($F$4=1,VLOOKUP($A22,ESF_Enrols,VLOOKUP('Background Data'!$C$2,Inst_Tables,17,FALSE),FALSE),"")</f>
        <v/>
      </c>
      <c r="D22" s="1032" t="str">
        <f>IF($F$4=1,VLOOKUP($A22,ESF_Enrols,VLOOKUP('Background Data'!$C$2,Inst_Tables,18,FALSE),FALSE),"")</f>
        <v/>
      </c>
      <c r="E22" s="1033" t="str">
        <f>IF($F$4=1,VLOOKUP($A22,ESF_Enrols,VLOOKUP('Background Data'!$C$2,Inst_Tables,19,FALSE),FALSE),"")</f>
        <v/>
      </c>
      <c r="F22" s="996"/>
      <c r="G22" s="990"/>
      <c r="H22" s="1021"/>
      <c r="I22" s="1005"/>
      <c r="J22" s="1006"/>
      <c r="K22" s="803"/>
    </row>
    <row r="23" spans="1:11" ht="35.1" customHeight="1">
      <c r="A23" s="971">
        <v>3</v>
      </c>
      <c r="B23" s="999" t="str">
        <f>IF($F$4=1,VLOOKUP($A23,ESF_Enrols,VLOOKUP('Background Data'!$C$2,Inst_Tables,16,FALSE),FALSE),"")</f>
        <v/>
      </c>
      <c r="C23" s="1031" t="str">
        <f>IF($F$4=1,VLOOKUP($A23,ESF_Enrols,VLOOKUP('Background Data'!$C$2,Inst_Tables,17,FALSE),FALSE),"")</f>
        <v/>
      </c>
      <c r="D23" s="1032" t="str">
        <f>IF($F$4=1,VLOOKUP($A23,ESF_Enrols,VLOOKUP('Background Data'!$C$2,Inst_Tables,18,FALSE),FALSE),"")</f>
        <v/>
      </c>
      <c r="E23" s="1033" t="str">
        <f>IF($F$4=1,VLOOKUP($A23,ESF_Enrols,VLOOKUP('Background Data'!$C$2,Inst_Tables,19,FALSE),FALSE),"")</f>
        <v/>
      </c>
      <c r="F23" s="996"/>
      <c r="G23" s="990"/>
      <c r="H23" s="1021"/>
      <c r="I23" s="1005"/>
      <c r="J23" s="1006"/>
      <c r="K23" s="803"/>
    </row>
    <row r="24" spans="1:11" ht="35.1" customHeight="1">
      <c r="A24" s="971">
        <v>4</v>
      </c>
      <c r="B24" s="999" t="str">
        <f>IF($F$4=1,VLOOKUP($A24,ESF_Enrols,VLOOKUP('Background Data'!$C$2,Inst_Tables,16,FALSE),FALSE),"")</f>
        <v/>
      </c>
      <c r="C24" s="1031" t="str">
        <f>IF($F$4=1,VLOOKUP($A24,ESF_Enrols,VLOOKUP('Background Data'!$C$2,Inst_Tables,17,FALSE),FALSE),"")</f>
        <v/>
      </c>
      <c r="D24" s="1032" t="str">
        <f>IF($F$4=1,VLOOKUP($A24,ESF_Enrols,VLOOKUP('Background Data'!$C$2,Inst_Tables,18,FALSE),FALSE),"")</f>
        <v/>
      </c>
      <c r="E24" s="1033" t="str">
        <f>IF($F$4=1,VLOOKUP($A24,ESF_Enrols,VLOOKUP('Background Data'!$C$2,Inst_Tables,19,FALSE),FALSE),"")</f>
        <v/>
      </c>
      <c r="F24" s="996"/>
      <c r="G24" s="990"/>
      <c r="H24" s="1021"/>
      <c r="I24" s="1005"/>
      <c r="J24" s="1006"/>
      <c r="K24" s="803"/>
    </row>
    <row r="25" spans="1:11" ht="35.1" customHeight="1">
      <c r="A25" s="971">
        <v>5</v>
      </c>
      <c r="B25" s="999" t="str">
        <f>IF($F$4=1,VLOOKUP($A25,ESF_Enrols,VLOOKUP('Background Data'!$C$2,Inst_Tables,16,FALSE),FALSE),"")</f>
        <v/>
      </c>
      <c r="C25" s="1034" t="str">
        <f>IF($F$4=1,VLOOKUP($A25,ESF_Enrols,VLOOKUP('Background Data'!$C$2,Inst_Tables,17,FALSE),FALSE),"")</f>
        <v/>
      </c>
      <c r="D25" s="1035" t="str">
        <f>IF($F$4=1,VLOOKUP($A25,ESF_Enrols,VLOOKUP('Background Data'!$C$2,Inst_Tables,18,FALSE),FALSE),"")</f>
        <v/>
      </c>
      <c r="E25" s="1030" t="str">
        <f>IF($F$4=1,VLOOKUP($A25,ESF_Enrols,VLOOKUP('Background Data'!$C$2,Inst_Tables,19,FALSE),FALSE),"")</f>
        <v/>
      </c>
      <c r="F25" s="996"/>
      <c r="G25" s="990"/>
      <c r="H25" s="970"/>
      <c r="I25" s="1007"/>
      <c r="J25" s="1008"/>
      <c r="K25" s="803"/>
    </row>
    <row r="26" spans="1:11" ht="35.1" customHeight="1">
      <c r="A26" s="971">
        <v>6</v>
      </c>
      <c r="B26" s="999" t="str">
        <f>IF($F$4=1,VLOOKUP($A26,ESF_Enrols,VLOOKUP('Background Data'!$C$2,Inst_Tables,16,FALSE),FALSE),"")</f>
        <v/>
      </c>
      <c r="C26" s="1031" t="str">
        <f>IF($F$4=1,VLOOKUP($A26,ESF_Enrols,VLOOKUP('Background Data'!$C$2,Inst_Tables,17,FALSE),FALSE),"")</f>
        <v/>
      </c>
      <c r="D26" s="1032" t="str">
        <f>IF($F$4=1,VLOOKUP($A26,ESF_Enrols,VLOOKUP('Background Data'!$C$2,Inst_Tables,18,FALSE),FALSE),"")</f>
        <v/>
      </c>
      <c r="E26" s="1033" t="str">
        <f>IF($F$4=1,VLOOKUP($A26,ESF_Enrols,VLOOKUP('Background Data'!$C$2,Inst_Tables,19,FALSE),FALSE),"")</f>
        <v/>
      </c>
      <c r="F26" s="996"/>
      <c r="G26" s="990"/>
      <c r="H26" s="1021"/>
      <c r="I26" s="1005"/>
      <c r="J26" s="1006"/>
      <c r="K26" s="803"/>
    </row>
    <row r="27" spans="1:11" ht="35.1" customHeight="1">
      <c r="A27" s="971">
        <v>7</v>
      </c>
      <c r="B27" s="999" t="str">
        <f>IF($F$4=1,VLOOKUP($A27,ESF_Enrols,VLOOKUP('Background Data'!$C$2,Inst_Tables,16,FALSE),FALSE),"")</f>
        <v/>
      </c>
      <c r="C27" s="1031" t="str">
        <f>IF($F$4=1,VLOOKUP($A27,ESF_Enrols,VLOOKUP('Background Data'!$C$2,Inst_Tables,17,FALSE),FALSE),"")</f>
        <v/>
      </c>
      <c r="D27" s="1032" t="str">
        <f>IF($F$4=1,VLOOKUP($A27,ESF_Enrols,VLOOKUP('Background Data'!$C$2,Inst_Tables,18,FALSE),FALSE),"")</f>
        <v/>
      </c>
      <c r="E27" s="1033" t="str">
        <f>IF($F$4=1,VLOOKUP($A27,ESF_Enrols,VLOOKUP('Background Data'!$C$2,Inst_Tables,19,FALSE),FALSE),"")</f>
        <v/>
      </c>
      <c r="F27" s="996"/>
      <c r="G27" s="990"/>
      <c r="H27" s="1021"/>
      <c r="I27" s="1005"/>
      <c r="J27" s="1006"/>
      <c r="K27" s="803"/>
    </row>
    <row r="28" spans="1:11" ht="35.1" customHeight="1">
      <c r="A28" s="971">
        <v>8</v>
      </c>
      <c r="B28" s="999" t="str">
        <f>IF($F$4=1,VLOOKUP($A28,ESF_Enrols,VLOOKUP('Background Data'!$C$2,Inst_Tables,16,FALSE),FALSE),"")</f>
        <v/>
      </c>
      <c r="C28" s="1031" t="str">
        <f>IF($F$4=1,VLOOKUP($A28,ESF_Enrols,VLOOKUP('Background Data'!$C$2,Inst_Tables,17,FALSE),FALSE),"")</f>
        <v/>
      </c>
      <c r="D28" s="1032" t="str">
        <f>IF($F$4=1,VLOOKUP($A28,ESF_Enrols,VLOOKUP('Background Data'!$C$2,Inst_Tables,18,FALSE),FALSE),"")</f>
        <v/>
      </c>
      <c r="E28" s="1033" t="str">
        <f>IF($F$4=1,VLOOKUP($A28,ESF_Enrols,VLOOKUP('Background Data'!$C$2,Inst_Tables,19,FALSE),FALSE),"")</f>
        <v/>
      </c>
      <c r="F28" s="996"/>
      <c r="G28" s="990"/>
      <c r="H28" s="1021"/>
      <c r="I28" s="1005"/>
      <c r="J28" s="1006"/>
      <c r="K28" s="803"/>
    </row>
    <row r="29" spans="1:11" ht="35.1" customHeight="1">
      <c r="A29" s="971">
        <v>9</v>
      </c>
      <c r="B29" s="999" t="str">
        <f>IF($F$4=1,VLOOKUP($A29,ESF_Enrols,VLOOKUP('Background Data'!$C$2,Inst_Tables,16,FALSE),FALSE),"")</f>
        <v/>
      </c>
      <c r="C29" s="1031" t="str">
        <f>IF($F$4=1,VLOOKUP($A29,ESF_Enrols,VLOOKUP('Background Data'!$C$2,Inst_Tables,17,FALSE),FALSE),"")</f>
        <v/>
      </c>
      <c r="D29" s="1032" t="str">
        <f>IF($F$4=1,VLOOKUP($A29,ESF_Enrols,VLOOKUP('Background Data'!$C$2,Inst_Tables,18,FALSE),FALSE),"")</f>
        <v/>
      </c>
      <c r="E29" s="1033" t="str">
        <f>IF($F$4=1,VLOOKUP($A29,ESF_Enrols,VLOOKUP('Background Data'!$C$2,Inst_Tables,19,FALSE),FALSE),"")</f>
        <v/>
      </c>
      <c r="F29" s="996"/>
      <c r="G29" s="990"/>
      <c r="H29" s="1021"/>
      <c r="I29" s="1005"/>
      <c r="J29" s="1006"/>
      <c r="K29" s="803"/>
    </row>
    <row r="30" spans="1:11" ht="35.1" customHeight="1" thickBot="1">
      <c r="A30" s="971">
        <v>10</v>
      </c>
      <c r="B30" s="999" t="str">
        <f>IF($F$4=1,VLOOKUP($A30,ESF_Enrols,VLOOKUP('Background Data'!$C$2,Inst_Tables,16,FALSE),FALSE),"")</f>
        <v/>
      </c>
      <c r="C30" s="1031" t="str">
        <f>IF($F$4=1,VLOOKUP($A30,ESF_Enrols,VLOOKUP('Background Data'!$C$2,Inst_Tables,17,FALSE),FALSE),"")</f>
        <v/>
      </c>
      <c r="D30" s="1032" t="str">
        <f>IF($F$4=1,VLOOKUP($A30,ESF_Enrols,VLOOKUP('Background Data'!$C$2,Inst_Tables,18,FALSE),FALSE),"")</f>
        <v/>
      </c>
      <c r="E30" s="1033" t="str">
        <f>IF($F$4=1,VLOOKUP($A30,ESF_Enrols,VLOOKUP('Background Data'!$C$2,Inst_Tables,19,FALSE),FALSE),"")</f>
        <v/>
      </c>
      <c r="F30" s="996"/>
      <c r="G30" s="990"/>
      <c r="H30" s="1021"/>
      <c r="I30" s="1005"/>
      <c r="J30" s="1006"/>
      <c r="K30" s="803"/>
    </row>
    <row r="31" spans="1:11" ht="35.1" customHeight="1">
      <c r="A31" s="822"/>
      <c r="B31" s="857" t="s">
        <v>3</v>
      </c>
      <c r="C31" s="891">
        <f>SUM(C21:C30)</f>
        <v>0</v>
      </c>
      <c r="D31" s="892">
        <f>SUM(D21:D30)</f>
        <v>0</v>
      </c>
      <c r="E31" s="893">
        <f>SUM(E21:E30)</f>
        <v>0</v>
      </c>
      <c r="F31" s="883"/>
      <c r="G31" s="857" t="s">
        <v>3</v>
      </c>
      <c r="H31" s="891">
        <f>SUM(H21:H30)</f>
        <v>0</v>
      </c>
      <c r="I31" s="892">
        <f>SUM(I21:I30)</f>
        <v>0</v>
      </c>
      <c r="J31" s="893">
        <f>SUM(J21:J30)</f>
        <v>0</v>
      </c>
      <c r="K31" s="803"/>
    </row>
    <row r="32" spans="1:11" ht="35.1" customHeight="1" thickBot="1">
      <c r="A32" s="822"/>
      <c r="B32" s="847" t="s">
        <v>300</v>
      </c>
      <c r="C32" s="894" t="str">
        <f>IF($C$11&gt;0,C31-$C$11,"")</f>
        <v/>
      </c>
      <c r="D32" s="895" t="str">
        <f>IF($C$12&gt;0,D31-$C$12,"")</f>
        <v/>
      </c>
      <c r="E32" s="896" t="str">
        <f>IF($C$13&gt;0,E31-$C$13,"")</f>
        <v/>
      </c>
      <c r="F32" s="960"/>
      <c r="G32" s="847" t="s">
        <v>300</v>
      </c>
      <c r="H32" s="894" t="str">
        <f>IF(H31&gt;0,H31-$C$11,"")</f>
        <v/>
      </c>
      <c r="I32" s="895" t="str">
        <f>IF(I31&gt;0,I31-$C$12,"")</f>
        <v/>
      </c>
      <c r="J32" s="896" t="str">
        <f>IF(J31&gt;0,J31-$C$13,"")</f>
        <v/>
      </c>
      <c r="K32" s="803"/>
    </row>
    <row r="33" spans="1:11" ht="15" customHeight="1">
      <c r="A33" s="834"/>
      <c r="B33" s="835"/>
      <c r="C33" s="863"/>
      <c r="D33" s="863"/>
      <c r="E33" s="863"/>
      <c r="F33" s="961"/>
      <c r="G33" s="961"/>
      <c r="H33" s="961"/>
      <c r="I33" s="961"/>
      <c r="J33" s="961"/>
      <c r="K33" s="816"/>
    </row>
    <row r="34" spans="1:11" s="836" customFormat="1" ht="15.75" customHeight="1"/>
    <row r="35" spans="1:11" ht="15.75" customHeight="1"/>
    <row r="36" spans="1:11" ht="15.75" customHeight="1"/>
    <row r="37" spans="1:11" ht="15.75" customHeight="1"/>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sheetData>
  <sheetProtection password="E23E" sheet="1" objects="1" scenarios="1"/>
  <mergeCells count="5">
    <mergeCell ref="C4:E4"/>
    <mergeCell ref="C16:E16"/>
    <mergeCell ref="H16:J16"/>
    <mergeCell ref="B15:E15"/>
    <mergeCell ref="G15:J15"/>
  </mergeCells>
  <conditionalFormatting sqref="B2">
    <cfRule type="expression" dxfId="16" priority="13" stopIfTrue="1">
      <formula>#REF!=0</formula>
    </cfRule>
  </conditionalFormatting>
  <conditionalFormatting sqref="B9:B10 B14">
    <cfRule type="expression" dxfId="15" priority="12" stopIfTrue="1">
      <formula>#REF!=0</formula>
    </cfRule>
  </conditionalFormatting>
  <conditionalFormatting sqref="A1:K1">
    <cfRule type="expression" dxfId="14" priority="102" stopIfTrue="1">
      <formula>$F$4=0</formula>
    </cfRule>
  </conditionalFormatting>
  <conditionalFormatting sqref="B15">
    <cfRule type="expression" dxfId="13" priority="6" stopIfTrue="1">
      <formula>#REF!=0</formula>
    </cfRule>
  </conditionalFormatting>
  <conditionalFormatting sqref="G15">
    <cfRule type="expression" dxfId="12" priority="5" stopIfTrue="1">
      <formula>#REF!=0</formula>
    </cfRule>
  </conditionalFormatting>
  <conditionalFormatting sqref="G21:G30">
    <cfRule type="expression" dxfId="11" priority="4">
      <formula>$F$4=1</formula>
    </cfRule>
  </conditionalFormatting>
  <conditionalFormatting sqref="H21:H30">
    <cfRule type="expression" dxfId="10" priority="3">
      <formula>$C$11&gt;0</formula>
    </cfRule>
  </conditionalFormatting>
  <conditionalFormatting sqref="I21:I30">
    <cfRule type="expression" dxfId="9" priority="2">
      <formula>$C$12&gt;0</formula>
    </cfRule>
  </conditionalFormatting>
  <conditionalFormatting sqref="J21:J30">
    <cfRule type="expression" dxfId="8" priority="1">
      <formula>$C$13&gt;0</formula>
    </cfRule>
  </conditionalFormatting>
  <dataValidations count="1">
    <dataValidation allowBlank="1" sqref="B34:B65500 K5:K15 C4 C2:J3 C33:J65500 B11 B16:C32 K25:K65500 L1:IU1048576 D18:F32 I18:J32 G16:H32"/>
  </dataValidations>
  <hyperlinks>
    <hyperlink ref="B7" r:id="rId1"/>
  </hyperlinks>
  <printOptions horizontalCentered="1"/>
  <pageMargins left="0.19685039370078741" right="0.19685039370078741" top="0.19685039370078741" bottom="0.19685039370078741" header="0" footer="0"/>
  <pageSetup paperSize="9" scale="54"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Normal="100" workbookViewId="0"/>
  </sheetViews>
  <sheetFormatPr defaultColWidth="9.140625" defaultRowHeight="15"/>
  <cols>
    <col min="1" max="1" width="5.7109375" style="584" customWidth="1"/>
    <col min="2" max="2" width="53.7109375" style="584" customWidth="1"/>
    <col min="3" max="3" width="40" style="584" customWidth="1"/>
    <col min="4" max="4" width="12.7109375" style="584" customWidth="1"/>
    <col min="5" max="5" width="15.7109375" style="584" customWidth="1"/>
    <col min="6" max="6" width="37.28515625" style="584" customWidth="1"/>
    <col min="7" max="16384" width="9.140625" style="584"/>
  </cols>
  <sheetData>
    <row r="1" spans="1:6">
      <c r="A1" s="15"/>
      <c r="B1" s="15"/>
      <c r="C1" s="15"/>
      <c r="D1" s="15"/>
      <c r="E1" s="15"/>
      <c r="F1" s="15"/>
    </row>
    <row r="2" spans="1:6" s="623" customFormat="1" ht="30" customHeight="1">
      <c r="A2" s="819"/>
      <c r="B2" s="1044" t="s">
        <v>346</v>
      </c>
      <c r="C2" s="1040"/>
      <c r="D2" s="1040"/>
      <c r="E2" s="1040"/>
      <c r="F2" s="1045"/>
    </row>
    <row r="3" spans="1:6" s="623" customFormat="1" ht="15" customHeight="1">
      <c r="A3" s="1289"/>
      <c r="B3" s="1041"/>
      <c r="C3" s="1042"/>
      <c r="D3" s="1042"/>
      <c r="E3" s="1042"/>
      <c r="F3" s="1046"/>
    </row>
    <row r="4" spans="1:6" ht="35.1" customHeight="1">
      <c r="A4" s="1290"/>
      <c r="B4" s="1043" t="s">
        <v>5</v>
      </c>
      <c r="C4" s="825" t="str">
        <f>'Background Data'!$D$2</f>
        <v>Glasgow, University of</v>
      </c>
      <c r="D4" s="1291"/>
      <c r="E4" s="824"/>
      <c r="F4" s="1047"/>
    </row>
    <row r="5" spans="1:6" ht="30" customHeight="1">
      <c r="A5" s="1290"/>
      <c r="B5" s="1041" t="s">
        <v>325</v>
      </c>
      <c r="C5" s="802"/>
      <c r="D5" s="802"/>
      <c r="E5" s="802"/>
      <c r="F5" s="803"/>
    </row>
    <row r="6" spans="1:6" ht="9.9499999999999993" customHeight="1" thickBot="1">
      <c r="A6" s="1290"/>
      <c r="B6" s="802"/>
      <c r="C6" s="802"/>
      <c r="D6" s="802"/>
      <c r="E6" s="802"/>
      <c r="F6" s="803"/>
    </row>
    <row r="7" spans="1:6" ht="84.95" customHeight="1">
      <c r="A7" s="1290"/>
      <c r="B7" s="1048" t="s">
        <v>313</v>
      </c>
      <c r="C7" s="1049" t="s">
        <v>314</v>
      </c>
      <c r="D7" s="1050" t="s">
        <v>315</v>
      </c>
      <c r="E7" s="1058" t="s">
        <v>324</v>
      </c>
      <c r="F7" s="803"/>
    </row>
    <row r="8" spans="1:6" ht="21.95" customHeight="1">
      <c r="A8" s="1290"/>
      <c r="B8" s="1051"/>
      <c r="C8" s="1052"/>
      <c r="D8" s="1053" t="s">
        <v>27</v>
      </c>
      <c r="E8" s="1059" t="s">
        <v>27</v>
      </c>
      <c r="F8" s="803"/>
    </row>
    <row r="9" spans="1:6" ht="21.95" customHeight="1" thickBot="1">
      <c r="A9" s="1290"/>
      <c r="B9" s="1054"/>
      <c r="C9" s="1055"/>
      <c r="D9" s="1064"/>
      <c r="E9" s="1060">
        <v>1</v>
      </c>
      <c r="F9" s="803"/>
    </row>
    <row r="10" spans="1:6" ht="30" customHeight="1">
      <c r="A10" s="1290"/>
      <c r="B10" s="1051" t="s">
        <v>316</v>
      </c>
      <c r="C10" s="1052" t="s">
        <v>65</v>
      </c>
      <c r="D10" s="1084">
        <v>15</v>
      </c>
      <c r="E10" s="1061"/>
      <c r="F10" s="803"/>
    </row>
    <row r="11" spans="1:6" ht="30" customHeight="1">
      <c r="A11" s="1290"/>
      <c r="B11" s="1080" t="s">
        <v>317</v>
      </c>
      <c r="C11" s="1082" t="s">
        <v>66</v>
      </c>
      <c r="D11" s="1085">
        <v>50</v>
      </c>
      <c r="E11" s="1062">
        <v>13.5</v>
      </c>
      <c r="F11" s="803"/>
    </row>
    <row r="12" spans="1:6" ht="30" customHeight="1">
      <c r="A12" s="1290"/>
      <c r="B12" s="1080" t="s">
        <v>318</v>
      </c>
      <c r="C12" s="1082" t="s">
        <v>78</v>
      </c>
      <c r="D12" s="1085">
        <v>15</v>
      </c>
      <c r="E12" s="1062"/>
      <c r="F12" s="803"/>
    </row>
    <row r="13" spans="1:6" ht="30" customHeight="1">
      <c r="A13" s="1290"/>
      <c r="B13" s="1080" t="s">
        <v>319</v>
      </c>
      <c r="C13" s="1082" t="s">
        <v>69</v>
      </c>
      <c r="D13" s="1085">
        <v>20</v>
      </c>
      <c r="E13" s="1062">
        <v>6</v>
      </c>
      <c r="F13" s="803"/>
    </row>
    <row r="14" spans="1:6" ht="30" customHeight="1">
      <c r="A14" s="1290"/>
      <c r="B14" s="1080" t="s">
        <v>320</v>
      </c>
      <c r="C14" s="1082" t="s">
        <v>69</v>
      </c>
      <c r="D14" s="1085">
        <v>30</v>
      </c>
      <c r="E14" s="1062">
        <v>35</v>
      </c>
      <c r="F14" s="803"/>
    </row>
    <row r="15" spans="1:6" ht="30" customHeight="1">
      <c r="A15" s="1290"/>
      <c r="B15" s="1080" t="s">
        <v>321</v>
      </c>
      <c r="C15" s="1082" t="s">
        <v>70</v>
      </c>
      <c r="D15" s="1085">
        <v>30</v>
      </c>
      <c r="E15" s="1062"/>
      <c r="F15" s="803"/>
    </row>
    <row r="16" spans="1:6" ht="30" customHeight="1">
      <c r="A16" s="1290"/>
      <c r="B16" s="1080" t="s">
        <v>322</v>
      </c>
      <c r="C16" s="1082" t="s">
        <v>77</v>
      </c>
      <c r="D16" s="1085">
        <v>25</v>
      </c>
      <c r="E16" s="1062"/>
      <c r="F16" s="803"/>
    </row>
    <row r="17" spans="1:6" ht="30" customHeight="1" thickBot="1">
      <c r="A17" s="1290"/>
      <c r="B17" s="1081" t="s">
        <v>323</v>
      </c>
      <c r="C17" s="1083" t="s">
        <v>78</v>
      </c>
      <c r="D17" s="1086">
        <v>30</v>
      </c>
      <c r="E17" s="1063"/>
      <c r="F17" s="803"/>
    </row>
    <row r="18" spans="1:6" ht="27" customHeight="1" thickBot="1">
      <c r="A18" s="1290"/>
      <c r="B18" s="1056" t="s">
        <v>3</v>
      </c>
      <c r="C18" s="1057"/>
      <c r="D18" s="1065"/>
      <c r="E18" s="1066">
        <f>SUM(E10:E17)</f>
        <v>54.5</v>
      </c>
      <c r="F18" s="803"/>
    </row>
    <row r="19" spans="1:6" ht="30" customHeight="1">
      <c r="A19" s="1290"/>
      <c r="B19" s="554" t="s">
        <v>345</v>
      </c>
      <c r="C19" s="802"/>
      <c r="D19" s="802"/>
      <c r="E19" s="802"/>
      <c r="F19" s="803"/>
    </row>
    <row r="20" spans="1:6">
      <c r="A20" s="834"/>
      <c r="B20" s="815"/>
      <c r="C20" s="815"/>
      <c r="D20" s="815"/>
      <c r="E20" s="815"/>
      <c r="F20" s="816"/>
    </row>
  </sheetData>
  <sheetProtection password="E23E" sheet="1" objects="1" scenarios="1"/>
  <dataValidations count="1">
    <dataValidation allowBlank="1" sqref="C4 C2:F3 G2:IP4"/>
  </dataValidations>
  <pageMargins left="0.19685039370078741" right="0.19685039370078741" top="0.19685039370078741" bottom="0.39370078740157483" header="0" footer="0"/>
  <pageSetup paperSize="9" scale="89" orientation="landscape" r:id="rId1"/>
  <extLst>
    <ext xmlns:x14="http://schemas.microsoft.com/office/spreadsheetml/2009/9/main" uri="{78C0D931-6437-407d-A8EE-F0AAD7539E65}">
      <x14:conditionalFormattings>
        <x14:conditionalFormatting xmlns:xm="http://schemas.microsoft.com/office/excel/2006/main">
          <x14:cfRule type="cellIs" priority="2" operator="equal" id="{A3F36F9C-524F-4DBB-839D-F283996D9BF6}">
            <xm:f>'Background Data'!$D$2</xm:f>
            <x14:dxf>
              <font>
                <color rgb="FFFF0000"/>
              </font>
            </x14:dxf>
          </x14:cfRule>
          <xm:sqref>C10:C17</xm:sqref>
        </x14:conditionalFormatting>
        <x14:conditionalFormatting xmlns:xm="http://schemas.microsoft.com/office/excel/2006/main">
          <x14:cfRule type="expression" priority="1" id="{9F48C3C7-289A-4EA0-BF70-5D13E9DB40AF}">
            <xm:f>C10='Background Data'!$D$2</xm:f>
            <x14:dxf>
              <font>
                <u val="none"/>
                <color rgb="FFFF0000"/>
              </font>
            </x14:dxf>
          </x14:cfRule>
          <xm:sqref>B10:B17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Contents</vt:lpstr>
      <vt:lpstr>T1 Final Figures 2016-17</vt:lpstr>
      <vt:lpstr>T2 Comments</vt:lpstr>
      <vt:lpstr>T3a Widening Access FPs</vt:lpstr>
      <vt:lpstr>T3b Articulation FPs</vt:lpstr>
      <vt:lpstr>T3c TPG FPs</vt:lpstr>
      <vt:lpstr>T3d Reg Coh, Crichton FPs</vt:lpstr>
      <vt:lpstr>T3e ESF DSW FPs </vt:lpstr>
      <vt:lpstr>T3f Innovation Centres FPs</vt:lpstr>
      <vt:lpstr>Monitoring</vt:lpstr>
      <vt:lpstr>Background Data</vt:lpstr>
      <vt:lpstr>Artic_Enrols</vt:lpstr>
      <vt:lpstr>Consol_Tol_FTE</vt:lpstr>
      <vt:lpstr>Consol_Tol_Per</vt:lpstr>
      <vt:lpstr>Control_FTE_Tol</vt:lpstr>
      <vt:lpstr>Control_Per_Tol</vt:lpstr>
      <vt:lpstr>Controlled_Tol</vt:lpstr>
      <vt:lpstr>Crich_Enrols</vt:lpstr>
      <vt:lpstr>Early_Stats</vt:lpstr>
      <vt:lpstr>ESF_Enrols</vt:lpstr>
      <vt:lpstr>FPs_Ind_Nos_1617</vt:lpstr>
      <vt:lpstr>Inst_Tables</vt:lpstr>
      <vt:lpstr>Non_Control_FTE_Tol</vt:lpstr>
      <vt:lpstr>Non_Control_Per_Tol</vt:lpstr>
      <vt:lpstr>Non_controlled_Tol</vt:lpstr>
      <vt:lpstr>'Background Data'!Print_Area</vt:lpstr>
      <vt:lpstr>Contents!Print_Area</vt:lpstr>
      <vt:lpstr>Monitoring!Print_Area</vt:lpstr>
      <vt:lpstr>'T1 Final Figures 2016-17'!Print_Area</vt:lpstr>
      <vt:lpstr>'T2 Comments'!Print_Area</vt:lpstr>
      <vt:lpstr>'T3a Widening Access FPs'!Print_Area</vt:lpstr>
      <vt:lpstr>'T3b Articulation FPs'!Print_Area</vt:lpstr>
      <vt:lpstr>'T3c TPG FPs'!Print_Area</vt:lpstr>
      <vt:lpstr>'T3d Reg Coh, Crichton FPs'!Print_Area</vt:lpstr>
      <vt:lpstr>'T3e ESF DSW FPs '!Print_Area</vt:lpstr>
      <vt:lpstr>'T3f Innovation Centres FPs'!Print_Area</vt:lpstr>
      <vt:lpstr>'Background Data'!Print_Titles</vt:lpstr>
      <vt:lpstr>Monitoring!Print_Titles</vt:lpstr>
      <vt:lpstr>'T2 Comments'!Print_Titles</vt:lpstr>
      <vt:lpstr>'T3d Reg Coh, Crichton FPs'!Print_Titles</vt:lpstr>
      <vt:lpstr>RPG_FTE_Tol</vt:lpstr>
      <vt:lpstr>RPG_Per_Tol</vt:lpstr>
      <vt:lpstr>RUK_Control_FTE_Tol</vt:lpstr>
      <vt:lpstr>TPG_Enrols</vt:lpstr>
      <vt:lpstr>WA_RC_Enrols</vt:lpstr>
      <vt:lpstr>Warning1</vt:lpstr>
      <vt:lpstr>Warning2_for_Control</vt:lpstr>
      <vt:lpstr>Warning2_for_Non_Control</vt:lpstr>
      <vt:lpstr>Warning2_for_RPG</vt:lpstr>
      <vt:lpstr>Warning2_for_RUK_Control</vt:lpstr>
    </vt:vector>
  </TitlesOfParts>
  <Company>SFC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Parr</dc:creator>
  <cp:lastModifiedBy>Jacqueline Jack</cp:lastModifiedBy>
  <cp:lastPrinted>2017-10-06T08:31:12Z</cp:lastPrinted>
  <dcterms:created xsi:type="dcterms:W3CDTF">2013-07-17T13:15:07Z</dcterms:created>
  <dcterms:modified xsi:type="dcterms:W3CDTF">2017-10-06T10:38:50Z</dcterms:modified>
</cp:coreProperties>
</file>