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Communal\SFC\early and final returns\sfc fr 201516\0_FINAL_VERSION_RETURNED_TO_SFC_5OCT16\"/>
    </mc:Choice>
  </mc:AlternateContent>
  <bookViews>
    <workbookView xWindow="180" yWindow="120" windowWidth="10320" windowHeight="11025"/>
  </bookViews>
  <sheets>
    <sheet name="Final Figures 2015-16" sheetId="4" r:id="rId1"/>
    <sheet name="Comments" sheetId="3" r:id="rId2"/>
    <sheet name="Monitoring" sheetId="7" r:id="rId3"/>
    <sheet name="Background Data" sheetId="5" state="hidden" r:id="rId4"/>
  </sheets>
  <definedNames>
    <definedName name="Consol_Tol_FTE">Monitoring!$C$63</definedName>
    <definedName name="Consol_Tol_Per">Monitoring!$C$62</definedName>
    <definedName name="Control_FTE_Tol">'Final Figures 2015-16'!$AE$53</definedName>
    <definedName name="Control_Per_Tol">'Final Figures 2015-16'!$AE$54</definedName>
    <definedName name="Controlled_Tol">Monitoring!$C$60</definedName>
    <definedName name="Early_Stats">'Background Data'!$A$44:$BM$75</definedName>
    <definedName name="FPs_Ind_Nos_1516">'Background Data'!$A$89:$AB$107</definedName>
    <definedName name="HTML_CodePage" hidden="1">1252</definedName>
    <definedName name="HTML_Control" localSheetId="2" hidden="1">{"'Page1'!$E$11:$AJ$51","'Page1'!$A$1"}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Inst_Tables">'Background Data'!$A$12:$E$31</definedName>
    <definedName name="Non_Control_FTE_Tol">'Final Figures 2015-16'!$AE$55</definedName>
    <definedName name="Non_Control_Per_Tol">'Final Figures 2015-16'!$AE$56</definedName>
    <definedName name="Non_controlled_Tol">Monitoring!$C$61</definedName>
    <definedName name="_xlnm.Print_Area" localSheetId="3">'Background Data'!$A$40:$AR$76</definedName>
    <definedName name="_xlnm.Print_Area" localSheetId="1">Comments!$A$1:$G$39</definedName>
    <definedName name="_xlnm.Print_Area" localSheetId="0">'Final Figures 2015-16'!$A$1:$AA$48</definedName>
    <definedName name="_xlnm.Print_Area" localSheetId="2">Monitoring!$B$1:$J$57</definedName>
    <definedName name="_xlnm.Print_Titles" localSheetId="3">'Background Data'!$A:$B</definedName>
    <definedName name="_xlnm.Print_Titles" localSheetId="1">Comments!$A:$A,Comments!$1:$5</definedName>
    <definedName name="_xlnm.Print_Titles" localSheetId="2">Monitoring!$1:$3</definedName>
    <definedName name="RPG_FTE_Tol">'Final Figures 2015-16'!$AE$51</definedName>
    <definedName name="RPG_Per_Tol">'Final Figures 2015-16'!$AE$52</definedName>
    <definedName name="RUK_Control_FTE_Tol">'Final Figures 2015-16'!$AE$57</definedName>
    <definedName name="Warning1">'Final Figures 2015-16'!$AK$51</definedName>
    <definedName name="Warning2_for_Control">'Final Figures 2015-16'!$AK$53</definedName>
    <definedName name="Warning2_for_Non_Control">'Final Figures 2015-16'!$AK$54</definedName>
    <definedName name="Warning2_for_RPG">'Final Figures 2015-16'!$AK$52</definedName>
    <definedName name="Warning2_for_RUK_Control">'Final Figures 2015-16'!$AK$55</definedName>
  </definedNames>
  <calcPr calcId="162913"/>
</workbook>
</file>

<file path=xl/calcChain.xml><?xml version="1.0" encoding="utf-8"?>
<calcChain xmlns="http://schemas.openxmlformats.org/spreadsheetml/2006/main">
  <c r="C57" i="7" l="1"/>
  <c r="C55" i="7"/>
  <c r="C53" i="7"/>
  <c r="C52" i="7"/>
  <c r="C50" i="7"/>
  <c r="D25" i="7"/>
  <c r="D23" i="7"/>
  <c r="D22" i="7"/>
  <c r="D18" i="7"/>
  <c r="D14" i="7"/>
  <c r="D13" i="7"/>
  <c r="C26" i="7"/>
  <c r="C23" i="7"/>
  <c r="C22" i="7"/>
  <c r="C21" i="7"/>
  <c r="C20" i="7"/>
  <c r="C19" i="7"/>
  <c r="C18" i="7"/>
  <c r="C16" i="7"/>
  <c r="C15" i="7"/>
  <c r="C36" i="7"/>
  <c r="AB109" i="5"/>
  <c r="AB102" i="5"/>
  <c r="C109" i="5" l="1"/>
  <c r="C104" i="5"/>
  <c r="C102" i="5"/>
  <c r="Y109" i="5" l="1"/>
  <c r="AR56" i="5" l="1"/>
  <c r="AR75" i="5" l="1"/>
  <c r="AR50" i="5"/>
  <c r="AR76" i="5" l="1"/>
  <c r="AQ75" i="5"/>
  <c r="AQ50" i="5"/>
  <c r="AQ76" i="5" s="1"/>
  <c r="AQ56" i="5"/>
  <c r="Y91" i="5" l="1"/>
  <c r="Y107" i="5"/>
  <c r="S109" i="5"/>
  <c r="S91" i="5"/>
  <c r="S107" i="5"/>
  <c r="F42" i="4" l="1"/>
  <c r="C42" i="4"/>
  <c r="B42" i="4"/>
  <c r="BK76" i="5" l="1"/>
  <c r="BI76" i="5"/>
  <c r="BE76" i="5"/>
  <c r="AX76" i="5"/>
  <c r="AW76" i="5"/>
  <c r="AV76" i="5"/>
  <c r="AU76" i="5"/>
  <c r="AT76" i="5"/>
  <c r="AG75" i="5"/>
  <c r="AH56" i="5"/>
  <c r="AG56" i="5"/>
  <c r="AM75" i="5"/>
  <c r="AM50" i="5"/>
  <c r="AL75" i="5"/>
  <c r="AK75" i="5"/>
  <c r="AK56" i="5"/>
  <c r="AL50" i="5"/>
  <c r="AJ75" i="5"/>
  <c r="AI75" i="5"/>
  <c r="AJ50" i="5"/>
  <c r="AI50" i="5"/>
  <c r="AN75" i="5"/>
  <c r="AN56" i="5"/>
  <c r="AN50" i="5"/>
  <c r="AK50" i="5"/>
  <c r="AJ56" i="5"/>
  <c r="AH75" i="5"/>
  <c r="AH50" i="5"/>
  <c r="AG50" i="5"/>
  <c r="AN76" i="5" l="1"/>
  <c r="AG76" i="5"/>
  <c r="AK76" i="5"/>
  <c r="AL56" i="5"/>
  <c r="AL76" i="5" s="1"/>
  <c r="BB76" i="5"/>
  <c r="BF76" i="5"/>
  <c r="BJ76" i="5"/>
  <c r="AJ76" i="5"/>
  <c r="AH76" i="5"/>
  <c r="AZ76" i="5"/>
  <c r="BD76" i="5"/>
  <c r="BH76" i="5"/>
  <c r="AI56" i="5"/>
  <c r="AI76" i="5" s="1"/>
  <c r="AM56" i="5"/>
  <c r="AY76" i="5"/>
  <c r="BA76" i="5"/>
  <c r="BC76" i="5"/>
  <c r="BG76" i="5"/>
  <c r="AM76" i="5"/>
  <c r="J56" i="5" l="1"/>
  <c r="I75" i="5"/>
  <c r="I56" i="5"/>
  <c r="I50" i="5"/>
  <c r="AF75" i="5"/>
  <c r="AF50" i="5"/>
  <c r="AE50" i="5"/>
  <c r="AD56" i="5"/>
  <c r="AD50" i="5"/>
  <c r="AC50" i="5"/>
  <c r="AB75" i="5"/>
  <c r="AB56" i="5"/>
  <c r="AA56" i="5"/>
  <c r="AB50" i="5"/>
  <c r="AA50" i="5"/>
  <c r="Z56" i="5"/>
  <c r="Z50" i="5"/>
  <c r="Y50" i="5"/>
  <c r="X56" i="5"/>
  <c r="X50" i="5"/>
  <c r="W50" i="5"/>
  <c r="U56" i="5"/>
  <c r="V56" i="5"/>
  <c r="V50" i="5"/>
  <c r="S75" i="5"/>
  <c r="S56" i="5"/>
  <c r="T56" i="5"/>
  <c r="T50" i="5"/>
  <c r="Q75" i="5"/>
  <c r="Q56" i="5"/>
  <c r="R56" i="5"/>
  <c r="Q50" i="5"/>
  <c r="O75" i="5"/>
  <c r="O56" i="5"/>
  <c r="P50" i="5"/>
  <c r="O50" i="5"/>
  <c r="N75" i="5"/>
  <c r="M50" i="5"/>
  <c r="L75" i="5"/>
  <c r="L50" i="5"/>
  <c r="K50" i="5"/>
  <c r="O76" i="5" l="1"/>
  <c r="L56" i="5"/>
  <c r="L76" i="5" s="1"/>
  <c r="N50" i="5"/>
  <c r="N56" i="5"/>
  <c r="N76" i="5" s="1"/>
  <c r="R75" i="5"/>
  <c r="T75" i="5"/>
  <c r="U75" i="5"/>
  <c r="W56" i="5"/>
  <c r="W75" i="5"/>
  <c r="Y56" i="5"/>
  <c r="Y75" i="5"/>
  <c r="AF56" i="5"/>
  <c r="AF76" i="5" s="1"/>
  <c r="K56" i="5"/>
  <c r="K75" i="5"/>
  <c r="M56" i="5"/>
  <c r="M75" i="5"/>
  <c r="P56" i="5"/>
  <c r="R50" i="5"/>
  <c r="S50" i="5"/>
  <c r="S76" i="5" s="1"/>
  <c r="U50" i="5"/>
  <c r="V75" i="5"/>
  <c r="X75" i="5"/>
  <c r="X76" i="5" s="1"/>
  <c r="Z75" i="5"/>
  <c r="Z76" i="5" s="1"/>
  <c r="AA75" i="5"/>
  <c r="AA76" i="5" s="1"/>
  <c r="AC56" i="5"/>
  <c r="AC75" i="5"/>
  <c r="AE56" i="5"/>
  <c r="AE75" i="5"/>
  <c r="J50" i="5"/>
  <c r="J75" i="5"/>
  <c r="AD75" i="5"/>
  <c r="AD76" i="5" s="1"/>
  <c r="P75" i="5"/>
  <c r="P76" i="5" s="1"/>
  <c r="I76" i="5"/>
  <c r="AB76" i="5"/>
  <c r="V76" i="5"/>
  <c r="T76" i="5"/>
  <c r="Q76" i="5"/>
  <c r="C14" i="7"/>
  <c r="C13" i="7"/>
  <c r="E13" i="7" s="1"/>
  <c r="H56" i="5"/>
  <c r="F56" i="5"/>
  <c r="E56" i="5"/>
  <c r="F50" i="5"/>
  <c r="F76" i="5" s="1"/>
  <c r="F75" i="5"/>
  <c r="Y76" i="5" l="1"/>
  <c r="G50" i="5"/>
  <c r="G56" i="5"/>
  <c r="G76" i="5" s="1"/>
  <c r="W76" i="5"/>
  <c r="G75" i="5"/>
  <c r="AC76" i="5"/>
  <c r="K76" i="5"/>
  <c r="R76" i="5"/>
  <c r="AE76" i="5"/>
  <c r="U76" i="5"/>
  <c r="M76" i="5"/>
  <c r="J76" i="5"/>
  <c r="H50" i="5"/>
  <c r="H75" i="5"/>
  <c r="E50" i="5"/>
  <c r="E75" i="5"/>
  <c r="C48" i="7"/>
  <c r="E26" i="7"/>
  <c r="E25" i="7"/>
  <c r="E23" i="7"/>
  <c r="E22" i="7"/>
  <c r="E21" i="7"/>
  <c r="E20" i="7"/>
  <c r="E19" i="7"/>
  <c r="E18" i="7"/>
  <c r="E16" i="7"/>
  <c r="E15" i="7"/>
  <c r="E14" i="7"/>
  <c r="V109" i="5"/>
  <c r="O109" i="5"/>
  <c r="AB108" i="5"/>
  <c r="AA108" i="5"/>
  <c r="Z108" i="5"/>
  <c r="Y108" i="5"/>
  <c r="X108" i="5"/>
  <c r="W108" i="5"/>
  <c r="U108" i="5"/>
  <c r="T108" i="5"/>
  <c r="S108" i="5"/>
  <c r="R108" i="5"/>
  <c r="Q108" i="5"/>
  <c r="P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V107" i="5"/>
  <c r="O107" i="5"/>
  <c r="V106" i="5"/>
  <c r="O106" i="5"/>
  <c r="V105" i="5"/>
  <c r="O105" i="5"/>
  <c r="V104" i="5"/>
  <c r="O104" i="5"/>
  <c r="V103" i="5"/>
  <c r="O103" i="5"/>
  <c r="V102" i="5"/>
  <c r="O102" i="5"/>
  <c r="V101" i="5"/>
  <c r="O101" i="5"/>
  <c r="V100" i="5"/>
  <c r="O100" i="5"/>
  <c r="V99" i="5"/>
  <c r="O99" i="5"/>
  <c r="V98" i="5"/>
  <c r="O98" i="5"/>
  <c r="V97" i="5"/>
  <c r="O97" i="5"/>
  <c r="V96" i="5"/>
  <c r="O96" i="5"/>
  <c r="V95" i="5"/>
  <c r="O95" i="5"/>
  <c r="V94" i="5"/>
  <c r="O94" i="5"/>
  <c r="V93" i="5"/>
  <c r="O93" i="5"/>
  <c r="V92" i="5"/>
  <c r="O92" i="5"/>
  <c r="V91" i="5"/>
  <c r="O91" i="5"/>
  <c r="V90" i="5"/>
  <c r="O90" i="5"/>
  <c r="V89" i="5"/>
  <c r="O89" i="5"/>
  <c r="H76" i="5" l="1"/>
  <c r="E76" i="5"/>
  <c r="V108" i="5"/>
  <c r="O108" i="5"/>
  <c r="C56" i="5" l="1"/>
  <c r="D56" i="5"/>
  <c r="AS76" i="5"/>
  <c r="D50" i="5" l="1"/>
  <c r="C50" i="5"/>
  <c r="D75" i="5"/>
  <c r="D76" i="5" l="1"/>
  <c r="C75" i="5"/>
  <c r="C76" i="5" s="1"/>
  <c r="T16" i="4" l="1"/>
  <c r="AN16" i="4" s="1"/>
  <c r="Z16" i="4" l="1"/>
  <c r="AM16" i="4"/>
  <c r="BL49" i="5"/>
  <c r="R20" i="4" l="1"/>
  <c r="BM76" i="5" l="1"/>
  <c r="U20" i="4"/>
  <c r="J43" i="4"/>
  <c r="Z20" i="4" l="1"/>
  <c r="AN20" i="4"/>
  <c r="BL54" i="5"/>
  <c r="U21" i="4"/>
  <c r="AN21" i="4" s="1"/>
  <c r="BL61" i="5"/>
  <c r="U28" i="4"/>
  <c r="AN28" i="4" s="1"/>
  <c r="BL66" i="5"/>
  <c r="U33" i="4"/>
  <c r="AN33" i="4" s="1"/>
  <c r="AM20" i="4"/>
  <c r="BL62" i="5"/>
  <c r="U29" i="4"/>
  <c r="AN29" i="4" s="1"/>
  <c r="BL67" i="5"/>
  <c r="U34" i="4"/>
  <c r="AN34" i="4" s="1"/>
  <c r="BL68" i="5"/>
  <c r="U35" i="4"/>
  <c r="AN35" i="4" s="1"/>
  <c r="BL63" i="5"/>
  <c r="U30" i="4"/>
  <c r="AN30" i="4" s="1"/>
  <c r="BL60" i="5"/>
  <c r="U27" i="4"/>
  <c r="AN27" i="4" s="1"/>
  <c r="BL65" i="5"/>
  <c r="U32" i="4"/>
  <c r="AN32" i="4" s="1"/>
  <c r="BL53" i="5"/>
  <c r="BL76" i="5" l="1"/>
  <c r="AO20" i="4"/>
  <c r="O20" i="4"/>
  <c r="F15" i="3" s="1"/>
  <c r="Z28" i="4"/>
  <c r="AM28" i="4"/>
  <c r="Z32" i="4"/>
  <c r="AM32" i="4"/>
  <c r="Z30" i="4"/>
  <c r="AM30" i="4"/>
  <c r="Z33" i="4"/>
  <c r="AM33" i="4"/>
  <c r="Z21" i="4"/>
  <c r="AM21" i="4"/>
  <c r="Z34" i="4"/>
  <c r="AM34" i="4"/>
  <c r="Z27" i="4"/>
  <c r="AM27" i="4"/>
  <c r="Z35" i="4"/>
  <c r="AM35" i="4"/>
  <c r="Z29" i="4"/>
  <c r="AM29" i="4"/>
  <c r="AO61" i="5"/>
  <c r="AO54" i="5"/>
  <c r="K20" i="4" l="1"/>
  <c r="L15" i="3"/>
  <c r="AO32" i="4"/>
  <c r="O32" i="4"/>
  <c r="F27" i="3" s="1"/>
  <c r="AO30" i="4"/>
  <c r="O30" i="4"/>
  <c r="F25" i="3" s="1"/>
  <c r="AO29" i="4"/>
  <c r="O29" i="4"/>
  <c r="F24" i="3" s="1"/>
  <c r="AO28" i="4"/>
  <c r="O28" i="4"/>
  <c r="F23" i="3" s="1"/>
  <c r="AO27" i="4"/>
  <c r="O27" i="4"/>
  <c r="F22" i="3" s="1"/>
  <c r="AO21" i="4"/>
  <c r="O21" i="4"/>
  <c r="F16" i="3" s="1"/>
  <c r="AO35" i="4"/>
  <c r="O35" i="4"/>
  <c r="F30" i="3" s="1"/>
  <c r="AO34" i="4"/>
  <c r="O34" i="4"/>
  <c r="F29" i="3" s="1"/>
  <c r="AO33" i="4"/>
  <c r="O33" i="4"/>
  <c r="F28" i="3" s="1"/>
  <c r="AO60" i="5"/>
  <c r="AO55" i="5"/>
  <c r="AP54" i="5"/>
  <c r="AP53" i="5"/>
  <c r="K35" i="4" l="1"/>
  <c r="L30" i="3"/>
  <c r="K34" i="4"/>
  <c r="L29" i="3"/>
  <c r="K21" i="4"/>
  <c r="L16" i="3"/>
  <c r="K30" i="4"/>
  <c r="L25" i="3"/>
  <c r="K33" i="4"/>
  <c r="L28" i="3"/>
  <c r="K27" i="4"/>
  <c r="L22" i="3"/>
  <c r="K29" i="4"/>
  <c r="L24" i="3"/>
  <c r="K32" i="4"/>
  <c r="L27" i="3"/>
  <c r="K28" i="4"/>
  <c r="L23" i="3"/>
  <c r="AO47" i="5"/>
  <c r="AP47" i="5"/>
  <c r="AO48" i="5"/>
  <c r="AP48" i="5"/>
  <c r="AO50" i="5"/>
  <c r="AP50" i="5"/>
  <c r="AO53" i="5"/>
  <c r="AP55" i="5"/>
  <c r="AO56" i="5"/>
  <c r="AP56" i="5"/>
  <c r="AP60" i="5"/>
  <c r="AP61" i="5"/>
  <c r="AO62" i="5"/>
  <c r="AP62" i="5"/>
  <c r="AO63" i="5"/>
  <c r="AP63" i="5"/>
  <c r="AO65" i="5"/>
  <c r="AP65" i="5"/>
  <c r="AO66" i="5"/>
  <c r="AP66" i="5"/>
  <c r="AO67" i="5"/>
  <c r="AP67" i="5"/>
  <c r="AO68" i="5"/>
  <c r="AP68" i="5"/>
  <c r="AO70" i="5"/>
  <c r="AP70" i="5"/>
  <c r="AO71" i="5"/>
  <c r="AP71" i="5"/>
  <c r="AO73" i="5"/>
  <c r="AP73" i="5"/>
  <c r="AO74" i="5"/>
  <c r="AP74" i="5"/>
  <c r="AO75" i="5"/>
  <c r="AP75" i="5"/>
  <c r="AO76" i="5"/>
  <c r="AP76" i="5"/>
  <c r="AP44" i="5"/>
  <c r="AO44" i="5"/>
  <c r="O16" i="4" l="1"/>
  <c r="F11" i="3" s="1"/>
  <c r="AE43" i="4"/>
  <c r="S37" i="4"/>
  <c r="S38" i="4"/>
  <c r="R38" i="4"/>
  <c r="R37" i="4"/>
  <c r="D37" i="4"/>
  <c r="D38" i="4"/>
  <c r="X38" i="4" l="1"/>
  <c r="AE38" i="4" s="1"/>
  <c r="X37" i="4"/>
  <c r="AE37" i="4" s="1"/>
  <c r="AH38" i="4"/>
  <c r="AI38" i="4" s="1"/>
  <c r="Y38" i="4"/>
  <c r="AJ38" i="4" s="1"/>
  <c r="AH37" i="4"/>
  <c r="Y37" i="4"/>
  <c r="AJ37" i="4" s="1"/>
  <c r="AO16" i="4"/>
  <c r="AC37" i="4"/>
  <c r="AD37" i="4" s="1"/>
  <c r="AI37" i="4"/>
  <c r="AC38" i="4"/>
  <c r="AD38" i="4" s="1"/>
  <c r="T38" i="4"/>
  <c r="T37" i="4"/>
  <c r="I16" i="4" l="1"/>
  <c r="L11" i="3"/>
  <c r="AF37" i="4"/>
  <c r="M37" i="4"/>
  <c r="B32" i="3" s="1"/>
  <c r="AF38" i="4"/>
  <c r="M38" i="4"/>
  <c r="B33" i="3" s="1"/>
  <c r="AK37" i="4"/>
  <c r="N37" i="4"/>
  <c r="D32" i="3" s="1"/>
  <c r="AK38" i="4"/>
  <c r="N38" i="4"/>
  <c r="D33" i="3" s="1"/>
  <c r="D30" i="4"/>
  <c r="B23" i="4"/>
  <c r="F17" i="4"/>
  <c r="C17" i="4"/>
  <c r="B17" i="4"/>
  <c r="G37" i="4" l="1"/>
  <c r="K32" i="3"/>
  <c r="E37" i="4"/>
  <c r="H37" i="4" s="1"/>
  <c r="J32" i="3"/>
  <c r="E38" i="4"/>
  <c r="H38" i="4" s="1"/>
  <c r="F26" i="7" s="1"/>
  <c r="G26" i="7" s="1"/>
  <c r="H26" i="7" s="1"/>
  <c r="I26" i="7" s="1"/>
  <c r="J33" i="3"/>
  <c r="G38" i="4"/>
  <c r="K33" i="3"/>
  <c r="B43" i="4"/>
  <c r="R11" i="4"/>
  <c r="AC11" i="4" s="1"/>
  <c r="X11" i="4" l="1"/>
  <c r="D15" i="4"/>
  <c r="D14" i="4"/>
  <c r="D17" i="4" l="1"/>
  <c r="D20" i="4"/>
  <c r="D21" i="4"/>
  <c r="D22" i="4"/>
  <c r="D27" i="4"/>
  <c r="D28" i="4"/>
  <c r="D29" i="4"/>
  <c r="R28" i="4" l="1"/>
  <c r="D2" i="5" l="1"/>
  <c r="S27" i="4"/>
  <c r="R27" i="4"/>
  <c r="B2" i="4" l="1"/>
  <c r="F2" i="3" s="1"/>
  <c r="C3" i="7"/>
  <c r="T27" i="4"/>
  <c r="S11" i="4"/>
  <c r="AH11" i="4" s="1"/>
  <c r="S14" i="4"/>
  <c r="Y14" i="4" s="1"/>
  <c r="AJ14" i="4" s="1"/>
  <c r="S15" i="4"/>
  <c r="AH15" i="4" s="1"/>
  <c r="AI15" i="4" s="1"/>
  <c r="R21" i="4"/>
  <c r="R22" i="4"/>
  <c r="S28" i="4"/>
  <c r="S29" i="4"/>
  <c r="Y29" i="4" s="1"/>
  <c r="AJ29" i="4" s="1"/>
  <c r="S30" i="4"/>
  <c r="Y30" i="4" s="1"/>
  <c r="AJ30" i="4" s="1"/>
  <c r="S32" i="4"/>
  <c r="AH32" i="4" s="1"/>
  <c r="AI32" i="4" s="1"/>
  <c r="S33" i="4"/>
  <c r="AH33" i="4" s="1"/>
  <c r="S34" i="4"/>
  <c r="AH34" i="4" s="1"/>
  <c r="AI34" i="4" s="1"/>
  <c r="S35" i="4"/>
  <c r="AH35" i="4" s="1"/>
  <c r="S40" i="4"/>
  <c r="Y40" i="4" s="1"/>
  <c r="AJ40" i="4" s="1"/>
  <c r="S41" i="4"/>
  <c r="Y41" i="4" s="1"/>
  <c r="AJ41" i="4" s="1"/>
  <c r="R14" i="4"/>
  <c r="R15" i="4"/>
  <c r="S20" i="4"/>
  <c r="Y20" i="4" s="1"/>
  <c r="S21" i="4"/>
  <c r="Y21" i="4" s="1"/>
  <c r="AJ21" i="4" s="1"/>
  <c r="S22" i="4"/>
  <c r="Y22" i="4" s="1"/>
  <c r="AJ22" i="4" s="1"/>
  <c r="R29" i="4"/>
  <c r="R30" i="4"/>
  <c r="R32" i="4"/>
  <c r="R33" i="4"/>
  <c r="R34" i="4"/>
  <c r="R35" i="4"/>
  <c r="R40" i="4"/>
  <c r="R41" i="4"/>
  <c r="AC27" i="4"/>
  <c r="AD27" i="4" s="1"/>
  <c r="C23" i="4"/>
  <c r="C43" i="4" s="1"/>
  <c r="F23" i="4"/>
  <c r="F43" i="4" s="1"/>
  <c r="AJ43" i="4" s="1"/>
  <c r="AH27" i="4"/>
  <c r="AI27" i="4" s="1"/>
  <c r="D32" i="4"/>
  <c r="D33" i="4"/>
  <c r="D34" i="4"/>
  <c r="D35" i="4"/>
  <c r="D40" i="4"/>
  <c r="D41" i="4"/>
  <c r="X27" i="4"/>
  <c r="X28" i="4"/>
  <c r="D23" i="4"/>
  <c r="AC28" i="4"/>
  <c r="AD28" i="4" s="1"/>
  <c r="Y27" i="4"/>
  <c r="AJ27" i="4" s="1"/>
  <c r="D57" i="7" l="1"/>
  <c r="E57" i="7" s="1"/>
  <c r="F57" i="7" s="1"/>
  <c r="G57" i="7" s="1"/>
  <c r="S42" i="4"/>
  <c r="D42" i="4"/>
  <c r="D43" i="4" s="1"/>
  <c r="D2" i="3"/>
  <c r="B2" i="3"/>
  <c r="AE28" i="4"/>
  <c r="M28" i="4" s="1"/>
  <c r="B23" i="3" s="1"/>
  <c r="AE27" i="4"/>
  <c r="AF27" i="4" s="1"/>
  <c r="R42" i="4"/>
  <c r="T40" i="4"/>
  <c r="T41" i="4"/>
  <c r="T30" i="4"/>
  <c r="Y15" i="4"/>
  <c r="AJ15" i="4" s="1"/>
  <c r="AK15" i="4" s="1"/>
  <c r="X34" i="4"/>
  <c r="T34" i="4"/>
  <c r="AC32" i="4"/>
  <c r="AD32" i="4" s="1"/>
  <c r="T32" i="4"/>
  <c r="AJ20" i="4"/>
  <c r="S23" i="4"/>
  <c r="X22" i="4"/>
  <c r="AE22" i="4" s="1"/>
  <c r="T22" i="4"/>
  <c r="X21" i="4"/>
  <c r="T21" i="4"/>
  <c r="AC20" i="4"/>
  <c r="AD20" i="4" s="1"/>
  <c r="R23" i="4"/>
  <c r="T20" i="4"/>
  <c r="AH14" i="4"/>
  <c r="AI14" i="4" s="1"/>
  <c r="S17" i="4"/>
  <c r="Y11" i="4"/>
  <c r="AJ11" i="4" s="1"/>
  <c r="T11" i="4"/>
  <c r="X35" i="4"/>
  <c r="T35" i="4"/>
  <c r="AC33" i="4"/>
  <c r="AD33" i="4" s="1"/>
  <c r="T33" i="4"/>
  <c r="X29" i="4"/>
  <c r="T29" i="4"/>
  <c r="X15" i="4"/>
  <c r="AE15" i="4" s="1"/>
  <c r="T15" i="4"/>
  <c r="X14" i="4"/>
  <c r="AE14" i="4" s="1"/>
  <c r="R17" i="4"/>
  <c r="T14" i="4"/>
  <c r="Y28" i="4"/>
  <c r="AJ28" i="4" s="1"/>
  <c r="T28" i="4"/>
  <c r="X20" i="4"/>
  <c r="AH28" i="4"/>
  <c r="AI28" i="4" s="1"/>
  <c r="AC22" i="4"/>
  <c r="AD22" i="4" s="1"/>
  <c r="AI33" i="4"/>
  <c r="AH30" i="4"/>
  <c r="AI30" i="4" s="1"/>
  <c r="AK30" i="4" s="1"/>
  <c r="G30" i="4" s="1"/>
  <c r="Y33" i="4"/>
  <c r="AJ33" i="4" s="1"/>
  <c r="AI35" i="4"/>
  <c r="AC15" i="4"/>
  <c r="AD15" i="4" s="1"/>
  <c r="AC14" i="4"/>
  <c r="AD14" i="4" s="1"/>
  <c r="Y35" i="4"/>
  <c r="AJ35" i="4" s="1"/>
  <c r="AH41" i="4"/>
  <c r="AI41" i="4" s="1"/>
  <c r="N41" i="4" s="1"/>
  <c r="D36" i="3" s="1"/>
  <c r="AC34" i="4"/>
  <c r="AD34" i="4" s="1"/>
  <c r="X33" i="4"/>
  <c r="X30" i="4"/>
  <c r="AC29" i="4"/>
  <c r="AD29" i="4" s="1"/>
  <c r="AH20" i="4"/>
  <c r="AI20" i="4" s="1"/>
  <c r="AC30" i="4"/>
  <c r="AD30" i="4" s="1"/>
  <c r="X32" i="4"/>
  <c r="X41" i="4"/>
  <c r="X40" i="4"/>
  <c r="AC35" i="4"/>
  <c r="AD35" i="4" s="1"/>
  <c r="AC41" i="4"/>
  <c r="AD41" i="4" s="1"/>
  <c r="AH29" i="4"/>
  <c r="AI29" i="4" s="1"/>
  <c r="N29" i="4" s="1"/>
  <c r="D24" i="3" s="1"/>
  <c r="AD11" i="4"/>
  <c r="AK27" i="4"/>
  <c r="K22" i="3" s="1"/>
  <c r="AI11" i="4"/>
  <c r="AC40" i="4"/>
  <c r="AD40" i="4" s="1"/>
  <c r="AE11" i="4"/>
  <c r="N27" i="4"/>
  <c r="D22" i="3" s="1"/>
  <c r="Y34" i="4"/>
  <c r="AJ34" i="4" s="1"/>
  <c r="AK34" i="4" s="1"/>
  <c r="AH21" i="4"/>
  <c r="AI21" i="4" s="1"/>
  <c r="N21" i="4" s="1"/>
  <c r="D16" i="3" s="1"/>
  <c r="AH40" i="4"/>
  <c r="AI40" i="4" s="1"/>
  <c r="Y32" i="4"/>
  <c r="AJ32" i="4" s="1"/>
  <c r="N32" i="4" s="1"/>
  <c r="D27" i="3" s="1"/>
  <c r="AH22" i="4"/>
  <c r="AI22" i="4" s="1"/>
  <c r="AC21" i="4"/>
  <c r="AD21" i="4" s="1"/>
  <c r="T42" i="4" l="1"/>
  <c r="AK28" i="4"/>
  <c r="G28" i="4" s="1"/>
  <c r="M15" i="4"/>
  <c r="B10" i="3" s="1"/>
  <c r="N33" i="4"/>
  <c r="D28" i="3" s="1"/>
  <c r="AF28" i="4"/>
  <c r="E28" i="4" s="1"/>
  <c r="H28" i="4" s="1"/>
  <c r="M27" i="4"/>
  <c r="B22" i="3" s="1"/>
  <c r="N15" i="4"/>
  <c r="D10" i="3" s="1"/>
  <c r="N11" i="4"/>
  <c r="D6" i="3" s="1"/>
  <c r="AE20" i="4"/>
  <c r="M20" i="4" s="1"/>
  <c r="B15" i="3" s="1"/>
  <c r="AE32" i="4"/>
  <c r="AF32" i="4" s="1"/>
  <c r="J27" i="3" s="1"/>
  <c r="AE30" i="4"/>
  <c r="AF30" i="4" s="1"/>
  <c r="J25" i="3" s="1"/>
  <c r="AE29" i="4"/>
  <c r="AF29" i="4" s="1"/>
  <c r="AE35" i="4"/>
  <c r="M35" i="4" s="1"/>
  <c r="B30" i="3" s="1"/>
  <c r="AE41" i="4"/>
  <c r="AF41" i="4" s="1"/>
  <c r="AE40" i="4"/>
  <c r="AF40" i="4" s="1"/>
  <c r="E40" i="4" s="1"/>
  <c r="H40" i="4" s="1"/>
  <c r="AE33" i="4"/>
  <c r="AF33" i="4" s="1"/>
  <c r="J28" i="3" s="1"/>
  <c r="AE21" i="4"/>
  <c r="M21" i="4" s="1"/>
  <c r="B16" i="3" s="1"/>
  <c r="AE34" i="4"/>
  <c r="M34" i="4" s="1"/>
  <c r="B29" i="3" s="1"/>
  <c r="M22" i="4"/>
  <c r="B17" i="3" s="1"/>
  <c r="AK41" i="4"/>
  <c r="G41" i="4" s="1"/>
  <c r="AF15" i="4"/>
  <c r="E15" i="4" s="1"/>
  <c r="H15" i="4" s="1"/>
  <c r="N30" i="4"/>
  <c r="D25" i="3" s="1"/>
  <c r="N28" i="4"/>
  <c r="D23" i="3" s="1"/>
  <c r="M14" i="4"/>
  <c r="B9" i="3" s="1"/>
  <c r="T23" i="4"/>
  <c r="AF14" i="4"/>
  <c r="E14" i="4" s="1"/>
  <c r="H14" i="4" s="1"/>
  <c r="AK33" i="4"/>
  <c r="G33" i="4" s="1"/>
  <c r="AF22" i="4"/>
  <c r="J17" i="3" s="1"/>
  <c r="N20" i="4"/>
  <c r="D15" i="3" s="1"/>
  <c r="AK20" i="4"/>
  <c r="K15" i="3" s="1"/>
  <c r="S43" i="4"/>
  <c r="AH43" i="4" s="1"/>
  <c r="AI43" i="4" s="1"/>
  <c r="AK43" i="4" s="1"/>
  <c r="T17" i="4"/>
  <c r="R43" i="4"/>
  <c r="AC43" i="4" s="1"/>
  <c r="AD43" i="4" s="1"/>
  <c r="AF43" i="4" s="1"/>
  <c r="AK35" i="4"/>
  <c r="G35" i="4" s="1"/>
  <c r="N35" i="4"/>
  <c r="D30" i="3" s="1"/>
  <c r="AF11" i="4"/>
  <c r="J6" i="3" s="1"/>
  <c r="G27" i="4"/>
  <c r="AK29" i="4"/>
  <c r="AK32" i="4"/>
  <c r="K29" i="3"/>
  <c r="G34" i="4"/>
  <c r="N34" i="4"/>
  <c r="D29" i="3" s="1"/>
  <c r="K25" i="3"/>
  <c r="M11" i="4"/>
  <c r="B6" i="3" s="1"/>
  <c r="AK11" i="4"/>
  <c r="AK21" i="4"/>
  <c r="G21" i="4" s="1"/>
  <c r="J22" i="3"/>
  <c r="E27" i="4"/>
  <c r="H27" i="4" s="1"/>
  <c r="K10" i="3"/>
  <c r="G15" i="4"/>
  <c r="AK14" i="4"/>
  <c r="N14" i="4"/>
  <c r="D9" i="3" s="1"/>
  <c r="N22" i="4"/>
  <c r="D17" i="3" s="1"/>
  <c r="AK22" i="4"/>
  <c r="AK40" i="4"/>
  <c r="N40" i="4"/>
  <c r="D35" i="3" s="1"/>
  <c r="K23" i="3" l="1"/>
  <c r="F25" i="7"/>
  <c r="G25" i="7" s="1"/>
  <c r="H25" i="7" s="1"/>
  <c r="I25" i="7" s="1"/>
  <c r="D55" i="7"/>
  <c r="E55" i="7" s="1"/>
  <c r="F55" i="7" s="1"/>
  <c r="G55" i="7" s="1"/>
  <c r="F13" i="7"/>
  <c r="G13" i="7" s="1"/>
  <c r="H13" i="7" s="1"/>
  <c r="I13" i="7" s="1"/>
  <c r="F14" i="7"/>
  <c r="G14" i="7" s="1"/>
  <c r="H14" i="7" s="1"/>
  <c r="I14" i="7" s="1"/>
  <c r="M33" i="4"/>
  <c r="B28" i="3" s="1"/>
  <c r="J23" i="3"/>
  <c r="AF35" i="4"/>
  <c r="E35" i="4" s="1"/>
  <c r="H35" i="4" s="1"/>
  <c r="F21" i="7" s="1"/>
  <c r="G21" i="7" s="1"/>
  <c r="H21" i="7" s="1"/>
  <c r="I21" i="7" s="1"/>
  <c r="M41" i="4"/>
  <c r="B36" i="3" s="1"/>
  <c r="M40" i="4"/>
  <c r="B35" i="3" s="1"/>
  <c r="M30" i="4"/>
  <c r="B25" i="3" s="1"/>
  <c r="AF21" i="4"/>
  <c r="E21" i="4" s="1"/>
  <c r="H21" i="4" s="1"/>
  <c r="F23" i="7" s="1"/>
  <c r="G23" i="7" s="1"/>
  <c r="H23" i="7" s="1"/>
  <c r="I23" i="7" s="1"/>
  <c r="M32" i="4"/>
  <c r="B27" i="3" s="1"/>
  <c r="M29" i="4"/>
  <c r="B24" i="3" s="1"/>
  <c r="AF20" i="4"/>
  <c r="J15" i="3" s="1"/>
  <c r="K36" i="3"/>
  <c r="AF34" i="4"/>
  <c r="E22" i="4"/>
  <c r="H22" i="4" s="1"/>
  <c r="J10" i="3"/>
  <c r="E30" i="4"/>
  <c r="H30" i="4" s="1"/>
  <c r="F16" i="7" s="1"/>
  <c r="G16" i="7" s="1"/>
  <c r="H16" i="7" s="1"/>
  <c r="I16" i="7" s="1"/>
  <c r="J9" i="3"/>
  <c r="T43" i="4"/>
  <c r="E33" i="4"/>
  <c r="H33" i="4" s="1"/>
  <c r="K28" i="3"/>
  <c r="E32" i="4"/>
  <c r="H32" i="4" s="1"/>
  <c r="J35" i="3"/>
  <c r="G20" i="4"/>
  <c r="E29" i="4"/>
  <c r="H29" i="4" s="1"/>
  <c r="F15" i="7" s="1"/>
  <c r="G15" i="7" s="1"/>
  <c r="H15" i="7" s="1"/>
  <c r="I15" i="7" s="1"/>
  <c r="J24" i="3"/>
  <c r="K30" i="3"/>
  <c r="H17" i="4"/>
  <c r="E41" i="4"/>
  <c r="H41" i="4" s="1"/>
  <c r="J36" i="3"/>
  <c r="E11" i="4"/>
  <c r="H11" i="4" s="1"/>
  <c r="K24" i="3"/>
  <c r="G29" i="4"/>
  <c r="K16" i="3"/>
  <c r="K27" i="3"/>
  <c r="G32" i="4"/>
  <c r="G11" i="4"/>
  <c r="K6" i="3"/>
  <c r="K17" i="3"/>
  <c r="G22" i="4"/>
  <c r="K35" i="3"/>
  <c r="G40" i="4"/>
  <c r="K9" i="3"/>
  <c r="G14" i="4"/>
  <c r="D36" i="7" l="1"/>
  <c r="E36" i="7" s="1"/>
  <c r="F36" i="7" s="1"/>
  <c r="G36" i="7" s="1"/>
  <c r="F19" i="7"/>
  <c r="G19" i="7" s="1"/>
  <c r="H19" i="7" s="1"/>
  <c r="I19" i="7" s="1"/>
  <c r="D50" i="7"/>
  <c r="E50" i="7" s="1"/>
  <c r="F50" i="7" s="1"/>
  <c r="G50" i="7" s="1"/>
  <c r="F18" i="7"/>
  <c r="G18" i="7" s="1"/>
  <c r="H18" i="7" s="1"/>
  <c r="I18" i="7" s="1"/>
  <c r="D48" i="7"/>
  <c r="E48" i="7" s="1"/>
  <c r="F48" i="7" s="1"/>
  <c r="G48" i="7" s="1"/>
  <c r="J30" i="3"/>
  <c r="J16" i="3"/>
  <c r="E20" i="4"/>
  <c r="H20" i="4" s="1"/>
  <c r="J29" i="3"/>
  <c r="E34" i="4"/>
  <c r="H34" i="4" s="1"/>
  <c r="H42" i="4" l="1"/>
  <c r="F20" i="7"/>
  <c r="G20" i="7" s="1"/>
  <c r="H20" i="7" s="1"/>
  <c r="I20" i="7" s="1"/>
  <c r="H23" i="4"/>
  <c r="F22" i="7"/>
  <c r="G22" i="7" s="1"/>
  <c r="H22" i="7" s="1"/>
  <c r="I22" i="7" s="1"/>
  <c r="D53" i="7"/>
  <c r="E53" i="7" s="1"/>
  <c r="F53" i="7" s="1"/>
  <c r="G53" i="7" s="1"/>
  <c r="D52" i="7"/>
  <c r="E52" i="7" s="1"/>
  <c r="F52" i="7" s="1"/>
  <c r="G52" i="7" s="1"/>
  <c r="H43" i="4" l="1"/>
</calcChain>
</file>

<file path=xl/comments1.xml><?xml version="1.0" encoding="utf-8"?>
<comments xmlns="http://schemas.openxmlformats.org/spreadsheetml/2006/main">
  <authors>
    <author>Gordon Anderson</author>
  </authors>
  <commentList>
    <comment ref="S91" authorId="0" shapeId="0">
      <text>
        <r>
          <rPr>
            <b/>
            <sz val="9"/>
            <color indexed="81"/>
            <rFont val="Tahoma"/>
            <charset val="1"/>
          </rPr>
          <t>Gordon Anderson:</t>
        </r>
        <r>
          <rPr>
            <sz val="9"/>
            <color indexed="81"/>
            <rFont val="Tahoma"/>
            <charset val="1"/>
          </rPr>
          <t xml:space="preserve">
Includes additional 10 FTE places allocated in-year.</t>
        </r>
      </text>
    </comment>
    <comment ref="Y91" authorId="0" shapeId="0">
      <text>
        <r>
          <rPr>
            <b/>
            <sz val="9"/>
            <color indexed="81"/>
            <rFont val="Tahoma"/>
            <charset val="1"/>
          </rPr>
          <t>Gordon Anderson:</t>
        </r>
        <r>
          <rPr>
            <sz val="9"/>
            <color indexed="81"/>
            <rFont val="Tahoma"/>
            <charset val="1"/>
          </rPr>
          <t xml:space="preserve">
Includes additional 10 FTE places allocated in-year.</t>
        </r>
      </text>
    </comment>
    <comment ref="C102" authorId="0" shapeId="0">
      <text>
        <r>
          <rPr>
            <b/>
            <sz val="9"/>
            <color indexed="81"/>
            <rFont val="Tahoma"/>
            <family val="2"/>
          </rPr>
          <t>Gordon Anderson:</t>
        </r>
        <r>
          <rPr>
            <sz val="9"/>
            <color indexed="81"/>
            <rFont val="Tahoma"/>
            <family val="2"/>
          </rPr>
          <t xml:space="preserve">
Includes 19 Strategic Places (4 for 2014-15, 15 for 2015-16)</t>
        </r>
      </text>
    </comment>
    <comment ref="AB102" authorId="0" shapeId="0">
      <text>
        <r>
          <rPr>
            <b/>
            <sz val="9"/>
            <color indexed="81"/>
            <rFont val="Tahoma"/>
            <family val="2"/>
          </rPr>
          <t>Gordon Anderson:</t>
        </r>
        <r>
          <rPr>
            <sz val="9"/>
            <color indexed="81"/>
            <rFont val="Tahoma"/>
            <family val="2"/>
          </rPr>
          <t xml:space="preserve">
Includes 8 Strategic Places for 2015-16.</t>
        </r>
      </text>
    </comment>
    <comment ref="C104" authorId="0" shapeId="0">
      <text>
        <r>
          <rPr>
            <b/>
            <sz val="9"/>
            <color indexed="81"/>
            <rFont val="Tahoma"/>
            <family val="2"/>
          </rPr>
          <t>Gordon Anderson:</t>
        </r>
        <r>
          <rPr>
            <sz val="9"/>
            <color indexed="81"/>
            <rFont val="Tahoma"/>
            <family val="2"/>
          </rPr>
          <t xml:space="preserve">
Includes 9 Strategic Places (9 for 2014-15)</t>
        </r>
      </text>
    </comment>
    <comment ref="S107" authorId="0" shapeId="0">
      <text>
        <r>
          <rPr>
            <b/>
            <sz val="9"/>
            <color indexed="81"/>
            <rFont val="Tahoma"/>
            <charset val="1"/>
          </rPr>
          <t>Gordon Anderson:</t>
        </r>
        <r>
          <rPr>
            <sz val="9"/>
            <color indexed="81"/>
            <rFont val="Tahoma"/>
            <charset val="1"/>
          </rPr>
          <t xml:space="preserve">
Includes additional 9 FTE places allocated in-year.</t>
        </r>
      </text>
    </comment>
    <comment ref="Y107" authorId="0" shapeId="0">
      <text>
        <r>
          <rPr>
            <b/>
            <sz val="9"/>
            <color indexed="81"/>
            <rFont val="Tahoma"/>
            <charset val="1"/>
          </rPr>
          <t>Gordon Anderson:</t>
        </r>
        <r>
          <rPr>
            <sz val="9"/>
            <color indexed="81"/>
            <rFont val="Tahoma"/>
            <charset val="1"/>
          </rPr>
          <t xml:space="preserve">
Includes additional 9 FTE places allocated in-year.</t>
        </r>
      </text>
    </comment>
    <comment ref="C109" authorId="0" shapeId="0">
      <text>
        <r>
          <rPr>
            <b/>
            <sz val="9"/>
            <color indexed="81"/>
            <rFont val="Tahoma"/>
            <family val="2"/>
          </rPr>
          <t>Gordon Anderson:</t>
        </r>
        <r>
          <rPr>
            <sz val="9"/>
            <color indexed="81"/>
            <rFont val="Tahoma"/>
            <family val="2"/>
          </rPr>
          <t xml:space="preserve">
Includes 28 Strategic Places (13 for 2014-15, 15 for 2015-16)</t>
        </r>
      </text>
    </comment>
    <comment ref="S109" authorId="0" shapeId="0">
      <text>
        <r>
          <rPr>
            <b/>
            <sz val="9"/>
            <color indexed="81"/>
            <rFont val="Tahoma"/>
            <charset val="1"/>
          </rPr>
          <t>Gordon Anderson:</t>
        </r>
        <r>
          <rPr>
            <sz val="9"/>
            <color indexed="81"/>
            <rFont val="Tahoma"/>
            <charset val="1"/>
          </rPr>
          <t xml:space="preserve">
Includes additional 19 FTE places allocated in-year to Dundee and West.</t>
        </r>
      </text>
    </comment>
    <comment ref="Y109" authorId="0" shapeId="0">
      <text>
        <r>
          <rPr>
            <b/>
            <sz val="9"/>
            <color indexed="81"/>
            <rFont val="Tahoma"/>
            <charset val="1"/>
          </rPr>
          <t>Gordon Anderson:</t>
        </r>
        <r>
          <rPr>
            <sz val="9"/>
            <color indexed="81"/>
            <rFont val="Tahoma"/>
            <charset val="1"/>
          </rPr>
          <t xml:space="preserve">
Includes additional 19 FTE places allocated in-year to Dundee and West.</t>
        </r>
      </text>
    </comment>
    <comment ref="AB109" authorId="0" shapeId="0">
      <text>
        <r>
          <rPr>
            <b/>
            <sz val="9"/>
            <color indexed="81"/>
            <rFont val="Tahoma"/>
            <family val="2"/>
          </rPr>
          <t>Gordon Anderson:</t>
        </r>
        <r>
          <rPr>
            <sz val="9"/>
            <color indexed="81"/>
            <rFont val="Tahoma"/>
            <family val="2"/>
          </rPr>
          <t xml:space="preserve">
Includes 8 Strategic Places for 2015-16.</t>
        </r>
      </text>
    </comment>
  </commentList>
</comments>
</file>

<file path=xl/sharedStrings.xml><?xml version="1.0" encoding="utf-8"?>
<sst xmlns="http://schemas.openxmlformats.org/spreadsheetml/2006/main" count="565" uniqueCount="221">
  <si>
    <t>Full-time Checks</t>
  </si>
  <si>
    <t>Part-time Checks</t>
  </si>
  <si>
    <t>Part-time</t>
  </si>
  <si>
    <t>Total</t>
  </si>
  <si>
    <t>Part-time
(including
short
full-time)</t>
  </si>
  <si>
    <t>Institution:</t>
  </si>
  <si>
    <t>Enter</t>
  </si>
  <si>
    <t>Referenced</t>
  </si>
  <si>
    <t>Pre-clinical Medicine</t>
  </si>
  <si>
    <t>Pre-clinical Dentistry</t>
  </si>
  <si>
    <t>Education</t>
  </si>
  <si>
    <t>Research Postgraduate</t>
  </si>
  <si>
    <t>Tolerances</t>
  </si>
  <si>
    <t>Taught Postgraduate</t>
  </si>
  <si>
    <t>RPG FTE</t>
  </si>
  <si>
    <t>Taught PG: UG fees</t>
  </si>
  <si>
    <t>RPG Percentage</t>
  </si>
  <si>
    <t>Undergraduate</t>
  </si>
  <si>
    <t>Aberdeen, University of</t>
  </si>
  <si>
    <t>Warning messages</t>
  </si>
  <si>
    <t>Non-zero FTE in only one of Early Statistics or Final Figures</t>
  </si>
  <si>
    <t>Warning 2 for RPG</t>
  </si>
  <si>
    <t>At least 10 FTE and 5% difference between Final Figures and Early Statistics</t>
  </si>
  <si>
    <t>Full-time</t>
  </si>
  <si>
    <t>Clinical Medicine</t>
  </si>
  <si>
    <t>Clinical Dentistry</t>
  </si>
  <si>
    <t>Students eligible for funding in all subject areas and rest of UK students not eligible for funding in controlled subject areas</t>
  </si>
  <si>
    <t>FTE</t>
  </si>
  <si>
    <t>Controlled Subject Areas</t>
  </si>
  <si>
    <t>Nursing and Midwifery</t>
  </si>
  <si>
    <t>Non-Controlled Subject Areas</t>
  </si>
  <si>
    <t>PGCE / PGDE Primary</t>
  </si>
  <si>
    <t>PGCE / PGDE Secondary</t>
  </si>
  <si>
    <t>Medicine and Dentistry</t>
  </si>
  <si>
    <t>BEd Primary</t>
  </si>
  <si>
    <t>BEd Music</t>
  </si>
  <si>
    <t>BEd Physical Education</t>
  </si>
  <si>
    <t>BEd Technology</t>
  </si>
  <si>
    <t>STEM subject areas</t>
  </si>
  <si>
    <t>Other subject areas</t>
  </si>
  <si>
    <t>All Levels</t>
  </si>
  <si>
    <t>Other</t>
  </si>
  <si>
    <t>Level of Study / Subject Area</t>
  </si>
  <si>
    <t>Scottish Funding Council</t>
  </si>
  <si>
    <t>Full-time and sandwich
(excluding short full-time)</t>
  </si>
  <si>
    <t>Continuing
Rest of UK
(*)</t>
  </si>
  <si>
    <t>Full-time
and
sandwich</t>
  </si>
  <si>
    <t>Students Eligible for Funding</t>
  </si>
  <si>
    <t>Control FTE</t>
  </si>
  <si>
    <t>Control Percentage</t>
  </si>
  <si>
    <t>Non-control FTE</t>
  </si>
  <si>
    <t>Non-control Percentage</t>
  </si>
  <si>
    <t>Warning 1 One Non-zero FTE</t>
  </si>
  <si>
    <t>At least 10 FTE and 10% difference between Final Figures and Early Statistics</t>
  </si>
  <si>
    <t>At least 20 FTE and 5% difference between Final Figures and Early Statistics</t>
  </si>
  <si>
    <t>Warning 2 for Control</t>
  </si>
  <si>
    <t>Warning 2 for Non-control Non-RPG</t>
  </si>
  <si>
    <t>Comments on Full-time Equivalent (FTE) data warnings: Enter explanation of material differences in cells with a white background in table below</t>
  </si>
  <si>
    <t>Automatic warning message</t>
  </si>
  <si>
    <t>Comment on automatic warning message</t>
  </si>
  <si>
    <t>Warning Messages</t>
  </si>
  <si>
    <t>Only
one of
either
ES and
FF is
zero</t>
  </si>
  <si>
    <t>Institution selected</t>
  </si>
  <si>
    <t>Col</t>
  </si>
  <si>
    <t>Early Statistics Table
Column Number</t>
  </si>
  <si>
    <t>Abertay Dundee, University of</t>
  </si>
  <si>
    <t>Dundee, University of</t>
  </si>
  <si>
    <t>Edinburgh Napier University</t>
  </si>
  <si>
    <t>Edinburgh, University of</t>
  </si>
  <si>
    <t>Glasgow Caledonian University</t>
  </si>
  <si>
    <t>Glasgow School of Art</t>
  </si>
  <si>
    <t>Glasgow, University of</t>
  </si>
  <si>
    <t>Heriot-Watt University</t>
  </si>
  <si>
    <t>Highlands and Islands, University of the</t>
  </si>
  <si>
    <t>Open University in Scotland</t>
  </si>
  <si>
    <t>Queen Margaret University, Edinburgh</t>
  </si>
  <si>
    <t>Robert Gordon University</t>
  </si>
  <si>
    <t>Royal Conservatoire of Scotland</t>
  </si>
  <si>
    <t>St Andrews, University of</t>
  </si>
  <si>
    <t>Stirling, University of</t>
  </si>
  <si>
    <t>Strathclyde, University of</t>
  </si>
  <si>
    <t>West of Scotland, University of the</t>
  </si>
  <si>
    <t>Open University in Scotland (completions)</t>
  </si>
  <si>
    <t>Aberdeen,
University of</t>
  </si>
  <si>
    <t>Abertay Dundee,
University of</t>
  </si>
  <si>
    <t>Dundee,
University of</t>
  </si>
  <si>
    <t>Edinburgh Napier
University</t>
  </si>
  <si>
    <t>Edinburgh,
University of</t>
  </si>
  <si>
    <t>Glasgow Caledonian
University</t>
  </si>
  <si>
    <t>Heriot-Watt
University</t>
  </si>
  <si>
    <t>Highlands and Islands,
University of the</t>
  </si>
  <si>
    <t>Open University
in Scotland
(Enrolments)</t>
  </si>
  <si>
    <t>Queen Margaret
University, Edinburgh</t>
  </si>
  <si>
    <t>Robert Gordon
University</t>
  </si>
  <si>
    <t>Royal Conservatoire
of Scotland</t>
  </si>
  <si>
    <t>St Andrews,
University of</t>
  </si>
  <si>
    <t>Stirling,
University of</t>
  </si>
  <si>
    <t>Strathclyde,
University of</t>
  </si>
  <si>
    <t>West of Scotland,
University of the</t>
  </si>
  <si>
    <t>Open University
in Scotland
(Completions)</t>
  </si>
  <si>
    <t>Check total</t>
  </si>
  <si>
    <t>Early Statistics Table Column Number Look Ups</t>
  </si>
  <si>
    <t>SRUC</t>
  </si>
  <si>
    <r>
      <t xml:space="preserve">Level of Study / </t>
    </r>
    <r>
      <rPr>
        <b/>
        <sz val="11"/>
        <color indexed="56"/>
        <rFont val="Calibri"/>
        <family val="2"/>
      </rPr>
      <t>Subject Areas</t>
    </r>
  </si>
  <si>
    <t>Previously Controlled</t>
  </si>
  <si>
    <t>Controlled Four-year Degree - Entrants</t>
  </si>
  <si>
    <t>Of which associated with Innovation Centres</t>
  </si>
  <si>
    <t>Rest of UK
students
not eligible
for funding
in controlled
subject areas</t>
  </si>
  <si>
    <t>Full-time and sandwich</t>
  </si>
  <si>
    <t>Glasgow
Caledonian
University</t>
  </si>
  <si>
    <t>Abertay
Dundee,
University of</t>
  </si>
  <si>
    <t>Edinburgh
Napier
University</t>
  </si>
  <si>
    <t>Glasgow
School
of Art</t>
  </si>
  <si>
    <t>Glasgow,
University of</t>
  </si>
  <si>
    <t>Highlands
and Islands,
University
of the</t>
  </si>
  <si>
    <t>Open
University
in Scotland
(Enrolments)</t>
  </si>
  <si>
    <t>Queen
Margaret
University,
Edinburgh</t>
  </si>
  <si>
    <t>Robert
Gordon
University</t>
  </si>
  <si>
    <t>Royal
Conservatoire
of Scotland</t>
  </si>
  <si>
    <t>West of
Scotland,
University
of the</t>
  </si>
  <si>
    <t>Students eligible
for funding</t>
  </si>
  <si>
    <t>RUK students
not eligible
for funding
in controlled
subject
areas</t>
  </si>
  <si>
    <t>Percentage Change from
Early Statistics to Final Figures</t>
  </si>
  <si>
    <t xml:space="preserve">Only one of
either
ES and FF
is 0 and
difference
at least
5 FTE </t>
  </si>
  <si>
    <t xml:space="preserve">Only one of
either
ES and FF 
is 0 and
difference
at least 5 FTE </t>
  </si>
  <si>
    <t xml:space="preserve">Flags
warning
(for
warning
messages
and
conditional
format) </t>
  </si>
  <si>
    <t>Only
one of
either
ES and FF 
is zero</t>
  </si>
  <si>
    <t>Both ES and FF
are non-zero,
check breach
of tolerances
(FTE and %)
for RPG /
Control /
Non-control</t>
  </si>
  <si>
    <t>RUK Control FTE</t>
  </si>
  <si>
    <t>At least 5 FTE difference between Final Figures and Early Statistics</t>
  </si>
  <si>
    <t>RUK students not eligible for funding
in controlled subject areas /
Innovation Centres</t>
  </si>
  <si>
    <t>Warning 2 for RUK Control</t>
  </si>
  <si>
    <t>Flags for comments request
(warnings on FTE sheet)</t>
  </si>
  <si>
    <t>RUK</t>
  </si>
  <si>
    <t>Enter /
Calculated</t>
  </si>
  <si>
    <t>Rest of UK students not eligible for funding in controlled subject areas / Taught postgraduates eligible for funding at Innovation Centres</t>
  </si>
  <si>
    <t>(*) 'Continuing rest of UK' students are students who are eligible for funding because they started their courses prior to 2012-13, but who would not have been eligible for funding if they had started in 2012-13 or later because they would have been paying the deregulated tuition fees introduced for rest of UK students.</t>
  </si>
  <si>
    <t>Rest of UK Students Not Eligible for Funding in Controlled Subject Areas / Taught Postgraduate Students Eligible for Funding in Innovation Centres</t>
  </si>
  <si>
    <t>Rest of UK students
not eligible for funding
in controlled subject areas /
Taught Postgraduate
Students Eligible for Funding
at Innovation Centres</t>
  </si>
  <si>
    <r>
      <t>Send the completed return by e-mail to Michelle McNeill, Funding Policy/Analysis Officer, E-mail:  mmcneill</t>
    </r>
    <r>
      <rPr>
        <b/>
        <u/>
        <sz val="11"/>
        <color indexed="12"/>
        <rFont val="Calibri"/>
        <family val="2"/>
      </rPr>
      <t>@sfc.ac.uk</t>
    </r>
    <r>
      <rPr>
        <sz val="12"/>
        <rFont val="Garamond"/>
        <family val="1"/>
      </rPr>
      <t/>
    </r>
  </si>
  <si>
    <t>Final Figures Return 2015-16</t>
  </si>
  <si>
    <t>Students Eligible for Funding 2015-16</t>
  </si>
  <si>
    <t>Rest of UK
students
not eligible
for funding
in controlled
subject areas,
2015-16</t>
  </si>
  <si>
    <t>Early Statistics 2015-16</t>
  </si>
  <si>
    <t>Funded Places and Indicative Numbers</t>
  </si>
  <si>
    <t>SFC
non-
controlled
funded
places
for
2015-16</t>
  </si>
  <si>
    <t>SFC Controlled Funded Places for 2015-16</t>
  </si>
  <si>
    <t>Scottish Government Controlled Funded Places for 2015-16</t>
  </si>
  <si>
    <t>Controlled Indicative Numbers for 2015-16</t>
  </si>
  <si>
    <t>Non-
controlled
Indicative
number
for 2015-16</t>
  </si>
  <si>
    <t>Institution</t>
  </si>
  <si>
    <t>Clinical
medicine</t>
  </si>
  <si>
    <t>Clinical
dentistry</t>
  </si>
  <si>
    <t>Pre-clinical
medicine</t>
  </si>
  <si>
    <t>Pre-clinical
dentistry</t>
  </si>
  <si>
    <t>BEd
Primary</t>
  </si>
  <si>
    <t>BEd
Music</t>
  </si>
  <si>
    <t>BEd PE</t>
  </si>
  <si>
    <t>BEd
Technology</t>
  </si>
  <si>
    <t>PGDE
Primary</t>
  </si>
  <si>
    <t>PGDE
Secondary</t>
  </si>
  <si>
    <t>Honours
Nursing</t>
  </si>
  <si>
    <t xml:space="preserve">Nursing
and
Midwifery
Pre-
registration   </t>
  </si>
  <si>
    <t>Medicine
under-
graduates</t>
  </si>
  <si>
    <t>Dentistry
under-
graduates</t>
  </si>
  <si>
    <t>Initial
Teacher
Education
Primary</t>
  </si>
  <si>
    <t>Initial
Teacher
Education
Secondary</t>
  </si>
  <si>
    <t>Nursing
and
midwifery
pre-
registration</t>
  </si>
  <si>
    <t>Num-
ber</t>
  </si>
  <si>
    <t>Title</t>
  </si>
  <si>
    <t>Monitoring for Under-enrolments against Funded Places or Breaches of Consolidation, 2015-16</t>
  </si>
  <si>
    <t>Controlled subject areas, 2015-16</t>
  </si>
  <si>
    <t>Students eligible for funding compared to funded places</t>
  </si>
  <si>
    <t>Controlled subject areas</t>
  </si>
  <si>
    <t>SFC
funded
places</t>
  </si>
  <si>
    <t>Scottish
Govern-
ment
funded
places</t>
  </si>
  <si>
    <t>Total
funded
places</t>
  </si>
  <si>
    <t>Fees-only students</t>
  </si>
  <si>
    <t>Is there an
under-
enrolment
below the
tolerance
threshold
(Yes or
No) ?</t>
  </si>
  <si>
    <t>Percentage</t>
  </si>
  <si>
    <t>Calculated</t>
  </si>
  <si>
    <t>BEd  Physical Education</t>
  </si>
  <si>
    <t>PGDE Primary</t>
  </si>
  <si>
    <t>PGDE Secondary</t>
  </si>
  <si>
    <t>Previously controlled nursing and midwifery</t>
  </si>
  <si>
    <t>Controlled Four-year Nursing Degrees</t>
  </si>
  <si>
    <t>Non-controlled subject areas, 2015-16</t>
  </si>
  <si>
    <t>Non-controlled subject areas</t>
  </si>
  <si>
    <t>Taught Postgraduate and Undergraduate</t>
  </si>
  <si>
    <t>Indicative student numbers, 2015-16</t>
  </si>
  <si>
    <t>Scottish and other EU full-time and sandwich undergraduate students eligible for funding compared to Indicative student numbers for non-controlled subject areas</t>
  </si>
  <si>
    <t>Students eligible for funding and rest of UK students paying deregulated tuition fees compared to Indicative student numbers for controlled subject areas</t>
  </si>
  <si>
    <t>Subject area</t>
  </si>
  <si>
    <t>Indicative
Numbers 
2015-16</t>
  </si>
  <si>
    <t>Relevant
student
numbers</t>
  </si>
  <si>
    <t>Difference between
student numbers and
Indicative Number</t>
  </si>
  <si>
    <t>Is there a
breach of
consol-
idation
(Yes or
No) ?</t>
  </si>
  <si>
    <t>Medicine Undergraduates:</t>
  </si>
  <si>
    <t>Scots, Other EU, Rest of UK</t>
  </si>
  <si>
    <t>Dentistry Undergraduates:</t>
  </si>
  <si>
    <t>Initial Teacher Education (BEd and PGDE)
(Scots, Other EU, Rest of UK):</t>
  </si>
  <si>
    <t>Primary</t>
  </si>
  <si>
    <t>Secondary</t>
  </si>
  <si>
    <t>Nursing and Midwifery Pre-registration:</t>
  </si>
  <si>
    <t>Non-controlled Subject Areas</t>
  </si>
  <si>
    <t>Full-time undergraduates (Scots, Other EU)</t>
  </si>
  <si>
    <t>Parameters</t>
  </si>
  <si>
    <t>Controlled Under-enrolments</t>
  </si>
  <si>
    <t>Non-controlled Under-enrolments</t>
  </si>
  <si>
    <t>Consolidation tolerance (&gt;=100)</t>
  </si>
  <si>
    <t>Consolidation tolerance (&lt;100) (FTE)</t>
  </si>
  <si>
    <t>All
students
eligible
for  
funding in
2015-16</t>
  </si>
  <si>
    <t>Students
eligible
for  
funding
2015-16</t>
  </si>
  <si>
    <t>Scottish Funding Council Final Figures Return 2015-16</t>
  </si>
  <si>
    <t xml:space="preserve">     Paragraphs 37 to 40 of the Early Statistics Notes of Guidance for 2015-16 provide further information on 'continuing rest of UK' students.</t>
  </si>
  <si>
    <r>
      <t xml:space="preserve">Completed spreadsheet should be emailed to </t>
    </r>
    <r>
      <rPr>
        <b/>
        <sz val="11"/>
        <rFont val="Calibri"/>
        <family val="2"/>
      </rPr>
      <t>mmcneill@sfc.ac.uk</t>
    </r>
    <r>
      <rPr>
        <sz val="11"/>
        <rFont val="Calibri"/>
        <family val="2"/>
      </rPr>
      <t xml:space="preserve"> by </t>
    </r>
    <r>
      <rPr>
        <b/>
        <sz val="11"/>
        <rFont val="Calibri"/>
        <family val="2"/>
      </rPr>
      <t>Friday 7 October 2016</t>
    </r>
  </si>
  <si>
    <t>Look up
for
Early
Statistics
for
2015-16</t>
  </si>
  <si>
    <t>Both ES and FF
are non-zero,
check breach
of tolerance</t>
  </si>
  <si>
    <t>You must make your return by, or preferably before, Friday 7 October 2016</t>
  </si>
  <si>
    <t>Most of the increase between ER &amp; FR 2015-16 is late registrations.</t>
  </si>
  <si>
    <t xml:space="preserve">An additional Innovation Centre course was identified between the ER 2015-16 and FR 2015-16.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</si>
</sst>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#,##0.0\ \ \ ;\-#,##0.0\ \ \ ;"/>
    <numFmt numFmtId="165" formatCode="0.0%\ \ "/>
    <numFmt numFmtId="166" formatCode="_(* #,##0.00_);_(* \(#,##0.00\);_(* &quot;-&quot;??_);_(@_)"/>
    <numFmt numFmtId="167" formatCode="#,##0\ "/>
    <numFmt numFmtId="168" formatCode="#,##0.0\ \ ;\-#,##0.0\ \ ;0.0\ \ "/>
    <numFmt numFmtId="169" formatCode="#,##0.00_ ;\-#,##0.00\ "/>
    <numFmt numFmtId="170" formatCode="#,##0;\-#,##0;\-"/>
    <numFmt numFmtId="171" formatCode="#,##0\ \ ;\-#,##0\ \ ;\-\ \ "/>
    <numFmt numFmtId="172" formatCode="#,##0\ \ ;\-#,##0\ \ ;\ \ \ "/>
    <numFmt numFmtId="173" formatCode="0\ \ "/>
    <numFmt numFmtId="174" formatCode="#,##0\ \ ;\-#,##0\ \ ;\ \ "/>
    <numFmt numFmtId="175" formatCode="#,##0.0\ \ ;\-#,##0.0\ \ ;\-\ \ "/>
    <numFmt numFmtId="176" formatCode="\(0\)"/>
    <numFmt numFmtId="177" formatCode="#,##0\ \ "/>
    <numFmt numFmtId="178" formatCode="#,##0\ \ \ "/>
    <numFmt numFmtId="179" formatCode="#,##0.0\ \ ;#,##0.0\ \ ;\-\ \ "/>
    <numFmt numFmtId="180" formatCode="0.0%"/>
    <numFmt numFmtId="181" formatCode="#,##0.0"/>
  </numFmts>
  <fonts count="34">
    <font>
      <sz val="10"/>
      <name val="Arial"/>
    </font>
    <font>
      <sz val="12"/>
      <name val="Garamond"/>
      <family val="1"/>
    </font>
    <font>
      <sz val="10"/>
      <name val="Arial MT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1"/>
      <color indexed="18"/>
      <name val="Calibri"/>
      <family val="2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b/>
      <u/>
      <sz val="11"/>
      <color indexed="12"/>
      <name val="Calibri"/>
      <family val="2"/>
    </font>
    <font>
      <sz val="11"/>
      <color indexed="22"/>
      <name val="Calibri"/>
      <family val="2"/>
    </font>
    <font>
      <u/>
      <sz val="11"/>
      <name val="Calibri"/>
      <family val="2"/>
    </font>
    <font>
      <b/>
      <sz val="11"/>
      <color indexed="20"/>
      <name val="Calibri"/>
      <family val="2"/>
    </font>
    <font>
      <sz val="11"/>
      <color indexed="2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indexed="26"/>
      <name val="Calibri"/>
      <family val="2"/>
    </font>
    <font>
      <sz val="11"/>
      <color indexed="18"/>
      <name val="Calibri"/>
      <family val="2"/>
    </font>
    <font>
      <b/>
      <sz val="11"/>
      <color rgb="FF000080"/>
      <name val="Calibri"/>
      <family val="2"/>
    </font>
    <font>
      <sz val="11"/>
      <color rgb="FF000080"/>
      <name val="Calibri"/>
      <family val="2"/>
    </font>
    <font>
      <sz val="11"/>
      <color rgb="FF1F497D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43"/>
      </patternFill>
    </fill>
    <fill>
      <patternFill patternType="mediumGray">
        <fgColor indexed="47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00"/>
        <bgColor auto="1"/>
      </patternFill>
    </fill>
    <fill>
      <patternFill patternType="solid">
        <fgColor indexed="52"/>
        <bgColor auto="1"/>
      </patternFill>
    </fill>
    <fill>
      <patternFill patternType="solid">
        <fgColor indexed="27"/>
        <bgColor indexed="3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43"/>
      </patternFill>
    </fill>
  </fills>
  <borders count="1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43" fontId="28" fillId="0" borderId="0" applyFont="0" applyFill="0" applyBorder="0" applyAlignment="0" applyProtection="0"/>
    <xf numFmtId="0" fontId="33" fillId="0" borderId="0"/>
  </cellStyleXfs>
  <cellXfs count="1007">
    <xf numFmtId="0" fontId="0" fillId="0" borderId="0" xfId="0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 applyBorder="1" applyAlignment="1" applyProtection="1">
      <protection hidden="1"/>
    </xf>
    <xf numFmtId="0" fontId="7" fillId="0" borderId="0" xfId="0" applyFont="1" applyFill="1" applyProtection="1">
      <protection hidden="1"/>
    </xf>
    <xf numFmtId="164" fontId="6" fillId="0" borderId="0" xfId="0" applyNumberFormat="1" applyFont="1" applyFill="1" applyAlignment="1" applyProtection="1">
      <alignment horizontal="center" vertical="top"/>
      <protection hidden="1"/>
    </xf>
    <xf numFmtId="164" fontId="6" fillId="0" borderId="0" xfId="0" applyNumberFormat="1" applyFont="1" applyFill="1" applyAlignment="1" applyProtection="1">
      <alignment horizontal="center" vertical="top" wrapText="1"/>
      <protection hidden="1"/>
    </xf>
    <xf numFmtId="0" fontId="7" fillId="0" borderId="0" xfId="8" applyFont="1" applyFill="1" applyBorder="1" applyProtection="1">
      <protection hidden="1"/>
    </xf>
    <xf numFmtId="170" fontId="7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8" applyFont="1" applyFill="1" applyBorder="1" applyAlignment="1" applyProtection="1">
      <alignment horizontal="center"/>
      <protection hidden="1"/>
    </xf>
    <xf numFmtId="0" fontId="7" fillId="0" borderId="0" xfId="0" applyNumberFormat="1" applyFont="1" applyFill="1" applyBorder="1" applyAlignment="1"/>
    <xf numFmtId="0" fontId="7" fillId="0" borderId="0" xfId="8" applyNumberFormat="1" applyFont="1" applyFill="1" applyBorder="1" applyAlignment="1" applyProtection="1">
      <protection hidden="1"/>
    </xf>
    <xf numFmtId="0" fontId="7" fillId="0" borderId="0" xfId="0" applyNumberFormat="1" applyFont="1" applyFill="1" applyBorder="1" applyAlignment="1" applyProtection="1">
      <protection hidden="1"/>
    </xf>
    <xf numFmtId="0" fontId="7" fillId="0" borderId="71" xfId="0" applyFont="1" applyBorder="1"/>
    <xf numFmtId="0" fontId="7" fillId="0" borderId="17" xfId="0" applyFont="1" applyBorder="1"/>
    <xf numFmtId="0" fontId="7" fillId="0" borderId="76" xfId="0" applyFont="1" applyBorder="1"/>
    <xf numFmtId="0" fontId="7" fillId="0" borderId="3" xfId="0" applyFont="1" applyBorder="1"/>
    <xf numFmtId="0" fontId="6" fillId="0" borderId="46" xfId="0" applyNumberFormat="1" applyFont="1" applyFill="1" applyBorder="1" applyAlignment="1" applyProtection="1">
      <alignment horizontal="center" vertical="center" wrapText="1"/>
      <protection hidden="1"/>
    </xf>
    <xf numFmtId="171" fontId="7" fillId="0" borderId="9" xfId="0" applyNumberFormat="1" applyFont="1" applyBorder="1" applyAlignment="1">
      <alignment vertical="center"/>
    </xf>
    <xf numFmtId="0" fontId="7" fillId="0" borderId="69" xfId="0" applyFont="1" applyFill="1" applyBorder="1" applyAlignment="1">
      <alignment horizontal="left" vertical="center" indent="1"/>
    </xf>
    <xf numFmtId="172" fontId="7" fillId="0" borderId="1" xfId="0" applyNumberFormat="1" applyFont="1" applyFill="1" applyBorder="1" applyAlignment="1" applyProtection="1">
      <alignment vertical="center"/>
      <protection hidden="1"/>
    </xf>
    <xf numFmtId="0" fontId="7" fillId="0" borderId="1" xfId="0" applyFont="1" applyFill="1" applyBorder="1" applyAlignment="1">
      <alignment horizontal="left" vertical="center" indent="1"/>
    </xf>
    <xf numFmtId="0" fontId="7" fillId="0" borderId="1" xfId="9" applyNumberFormat="1" applyFont="1" applyBorder="1" applyAlignment="1" applyProtection="1">
      <alignment horizontal="left" vertical="center" indent="1"/>
    </xf>
    <xf numFmtId="173" fontId="7" fillId="0" borderId="41" xfId="0" applyNumberFormat="1" applyFont="1" applyBorder="1" applyAlignment="1">
      <alignment vertical="center"/>
    </xf>
    <xf numFmtId="0" fontId="7" fillId="0" borderId="72" xfId="0" applyFont="1" applyFill="1" applyBorder="1" applyAlignment="1">
      <alignment horizontal="left" vertical="center" indent="1"/>
    </xf>
    <xf numFmtId="172" fontId="7" fillId="0" borderId="72" xfId="0" applyNumberFormat="1" applyFont="1" applyFill="1" applyBorder="1" applyAlignment="1" applyProtection="1">
      <alignment vertical="center"/>
      <protection hidden="1"/>
    </xf>
    <xf numFmtId="0" fontId="6" fillId="0" borderId="0" xfId="0" applyFont="1"/>
    <xf numFmtId="0" fontId="7" fillId="0" borderId="9" xfId="0" applyFont="1" applyBorder="1"/>
    <xf numFmtId="0" fontId="6" fillId="0" borderId="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9" xfId="0" applyFont="1" applyBorder="1" applyAlignment="1"/>
    <xf numFmtId="0" fontId="6" fillId="0" borderId="4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76" xfId="0" applyFont="1" applyBorder="1" applyAlignment="1"/>
    <xf numFmtId="174" fontId="7" fillId="0" borderId="9" xfId="0" applyNumberFormat="1" applyFont="1" applyBorder="1"/>
    <xf numFmtId="175" fontId="7" fillId="0" borderId="0" xfId="4" applyNumberFormat="1" applyFont="1" applyFill="1" applyBorder="1" applyProtection="1">
      <protection hidden="1"/>
    </xf>
    <xf numFmtId="174" fontId="7" fillId="0" borderId="9" xfId="0" applyNumberFormat="1" applyFont="1" applyBorder="1" applyAlignment="1">
      <alignment vertical="center"/>
    </xf>
    <xf numFmtId="172" fontId="7" fillId="0" borderId="41" xfId="0" applyNumberFormat="1" applyFont="1" applyBorder="1" applyAlignment="1">
      <alignment vertical="center"/>
    </xf>
    <xf numFmtId="0" fontId="7" fillId="0" borderId="0" xfId="0" applyFont="1" applyAlignment="1">
      <alignment horizontal="left" indent="1"/>
    </xf>
    <xf numFmtId="0" fontId="6" fillId="3" borderId="8" xfId="4" applyFont="1" applyFill="1" applyBorder="1" applyAlignment="1" applyProtection="1">
      <alignment horizontal="left" vertical="center" indent="1"/>
      <protection hidden="1"/>
    </xf>
    <xf numFmtId="0" fontId="5" fillId="2" borderId="10" xfId="0" applyNumberFormat="1" applyFont="1" applyFill="1" applyBorder="1" applyAlignment="1" applyProtection="1">
      <alignment horizontal="left" vertical="top" wrapText="1"/>
      <protection locked="0"/>
    </xf>
    <xf numFmtId="0" fontId="9" fillId="3" borderId="22" xfId="4" applyFont="1" applyFill="1" applyBorder="1" applyAlignment="1" applyProtection="1">
      <alignment horizontal="left" vertical="center" indent="3"/>
      <protection hidden="1"/>
    </xf>
    <xf numFmtId="0" fontId="11" fillId="3" borderId="22" xfId="4" applyFont="1" applyFill="1" applyBorder="1" applyAlignment="1" applyProtection="1">
      <alignment horizontal="left" vertical="center" indent="4"/>
      <protection hidden="1"/>
    </xf>
    <xf numFmtId="0" fontId="5" fillId="2" borderId="6" xfId="0" applyNumberFormat="1" applyFont="1" applyFill="1" applyBorder="1" applyAlignment="1" applyProtection="1">
      <alignment horizontal="left" vertical="top" wrapText="1"/>
      <protection locked="0"/>
    </xf>
    <xf numFmtId="0" fontId="10" fillId="10" borderId="40" xfId="0" applyFont="1" applyFill="1" applyBorder="1" applyAlignment="1" applyProtection="1">
      <alignment horizontal="left" vertical="center" wrapText="1" indent="1"/>
      <protection hidden="1"/>
    </xf>
    <xf numFmtId="0" fontId="9" fillId="3" borderId="22" xfId="4" applyFont="1" applyFill="1" applyBorder="1" applyAlignment="1" applyProtection="1">
      <alignment horizontal="left" vertical="center" indent="4"/>
      <protection hidden="1"/>
    </xf>
    <xf numFmtId="0" fontId="6" fillId="3" borderId="71" xfId="0" applyNumberFormat="1" applyFont="1" applyFill="1" applyBorder="1" applyAlignment="1" applyProtection="1">
      <alignment vertical="center"/>
      <protection hidden="1"/>
    </xf>
    <xf numFmtId="0" fontId="6" fillId="3" borderId="17" xfId="0" applyNumberFormat="1" applyFont="1" applyFill="1" applyBorder="1" applyAlignment="1" applyProtection="1">
      <alignment vertical="center"/>
      <protection hidden="1"/>
    </xf>
    <xf numFmtId="0" fontId="6" fillId="3" borderId="17" xfId="0" applyNumberFormat="1" applyFont="1" applyFill="1" applyBorder="1" applyAlignment="1" applyProtection="1">
      <protection hidden="1"/>
    </xf>
    <xf numFmtId="0" fontId="7" fillId="3" borderId="17" xfId="4" applyFont="1" applyFill="1" applyBorder="1" applyAlignment="1" applyProtection="1">
      <alignment vertical="top"/>
      <protection hidden="1"/>
    </xf>
    <xf numFmtId="0" fontId="7" fillId="3" borderId="17" xfId="0" applyFont="1" applyFill="1" applyBorder="1" applyAlignment="1" applyProtection="1">
      <protection hidden="1"/>
    </xf>
    <xf numFmtId="0" fontId="7" fillId="4" borderId="17" xfId="0" applyNumberFormat="1" applyFont="1" applyFill="1" applyBorder="1" applyAlignment="1" applyProtection="1">
      <protection hidden="1"/>
    </xf>
    <xf numFmtId="0" fontId="7" fillId="7" borderId="17" xfId="0" applyNumberFormat="1" applyFont="1" applyFill="1" applyBorder="1" applyAlignment="1" applyProtection="1">
      <protection hidden="1"/>
    </xf>
    <xf numFmtId="0" fontId="7" fillId="7" borderId="18" xfId="0" applyNumberFormat="1" applyFont="1" applyFill="1" applyBorder="1" applyAlignment="1" applyProtection="1">
      <protection hidden="1"/>
    </xf>
    <xf numFmtId="164" fontId="6" fillId="3" borderId="9" xfId="4" applyNumberFormat="1" applyFont="1" applyFill="1" applyBorder="1" applyAlignment="1" applyProtection="1">
      <alignment vertical="center"/>
      <protection hidden="1"/>
    </xf>
    <xf numFmtId="0" fontId="7" fillId="11" borderId="44" xfId="4" applyNumberFormat="1" applyFont="1" applyFill="1" applyBorder="1" applyAlignment="1" applyProtection="1">
      <protection hidden="1"/>
    </xf>
    <xf numFmtId="0" fontId="7" fillId="3" borderId="0" xfId="4" applyNumberFormat="1" applyFont="1" applyFill="1" applyBorder="1" applyAlignment="1" applyProtection="1">
      <protection hidden="1"/>
    </xf>
    <xf numFmtId="0" fontId="7" fillId="4" borderId="0" xfId="0" applyNumberFormat="1" applyFont="1" applyFill="1" applyBorder="1" applyAlignment="1" applyProtection="1"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0" fontId="7" fillId="7" borderId="0" xfId="0" applyNumberFormat="1" applyFont="1" applyFill="1" applyBorder="1" applyAlignment="1" applyProtection="1">
      <protection hidden="1"/>
    </xf>
    <xf numFmtId="0" fontId="7" fillId="6" borderId="0" xfId="0" applyFont="1" applyFill="1" applyBorder="1" applyAlignment="1" applyProtection="1">
      <protection hidden="1"/>
    </xf>
    <xf numFmtId="0" fontId="6" fillId="3" borderId="9" xfId="4" applyNumberFormat="1" applyFont="1" applyFill="1" applyBorder="1" applyAlignment="1" applyProtection="1">
      <protection hidden="1"/>
    </xf>
    <xf numFmtId="0" fontId="7" fillId="3" borderId="0" xfId="4" applyFont="1" applyFill="1" applyBorder="1" applyAlignment="1" applyProtection="1">
      <protection hidden="1"/>
    </xf>
    <xf numFmtId="0" fontId="14" fillId="4" borderId="0" xfId="0" applyNumberFormat="1" applyFont="1" applyFill="1" applyBorder="1" applyAlignment="1" applyProtection="1">
      <protection hidden="1"/>
    </xf>
    <xf numFmtId="0" fontId="7" fillId="14" borderId="0" xfId="0" applyNumberFormat="1" applyFont="1" applyFill="1" applyBorder="1" applyAlignment="1" applyProtection="1">
      <protection hidden="1"/>
    </xf>
    <xf numFmtId="0" fontId="14" fillId="7" borderId="0" xfId="0" applyNumberFormat="1" applyFont="1" applyFill="1" applyBorder="1" applyAlignment="1" applyProtection="1">
      <protection hidden="1"/>
    </xf>
    <xf numFmtId="0" fontId="7" fillId="3" borderId="41" xfId="4" applyNumberFormat="1" applyFont="1" applyFill="1" applyBorder="1" applyAlignment="1" applyProtection="1">
      <protection hidden="1"/>
    </xf>
    <xf numFmtId="0" fontId="7" fillId="3" borderId="51" xfId="4" applyNumberFormat="1" applyFont="1" applyFill="1" applyBorder="1" applyAlignment="1" applyProtection="1">
      <protection hidden="1"/>
    </xf>
    <xf numFmtId="0" fontId="7" fillId="5" borderId="0" xfId="4" applyNumberFormat="1" applyFont="1" applyFill="1" applyBorder="1" applyAlignment="1" applyProtection="1">
      <protection hidden="1"/>
    </xf>
    <xf numFmtId="0" fontId="7" fillId="5" borderId="51" xfId="4" applyNumberFormat="1" applyFont="1" applyFill="1" applyBorder="1" applyAlignment="1" applyProtection="1">
      <protection hidden="1"/>
    </xf>
    <xf numFmtId="0" fontId="9" fillId="3" borderId="8" xfId="4" applyFont="1" applyFill="1" applyBorder="1" applyAlignment="1" applyProtection="1">
      <alignment vertical="center"/>
      <protection hidden="1"/>
    </xf>
    <xf numFmtId="0" fontId="10" fillId="4" borderId="0" xfId="0" applyFont="1" applyFill="1" applyBorder="1" applyAlignment="1" applyProtection="1">
      <alignment vertical="center"/>
      <protection hidden="1"/>
    </xf>
    <xf numFmtId="0" fontId="16" fillId="4" borderId="0" xfId="0" applyNumberFormat="1" applyFont="1" applyFill="1" applyBorder="1" applyAlignment="1" applyProtection="1">
      <protection hidden="1"/>
    </xf>
    <xf numFmtId="0" fontId="10" fillId="7" borderId="0" xfId="0" applyNumberFormat="1" applyFont="1" applyFill="1" applyBorder="1" applyAlignment="1" applyProtection="1">
      <protection hidden="1"/>
    </xf>
    <xf numFmtId="0" fontId="7" fillId="6" borderId="11" xfId="4" applyNumberFormat="1" applyFont="1" applyFill="1" applyBorder="1" applyAlignment="1" applyProtection="1">
      <protection hidden="1"/>
    </xf>
    <xf numFmtId="0" fontId="7" fillId="3" borderId="9" xfId="4" applyFont="1" applyFill="1" applyBorder="1" applyAlignment="1" applyProtection="1">
      <alignment vertical="center"/>
      <protection hidden="1"/>
    </xf>
    <xf numFmtId="0" fontId="6" fillId="3" borderId="52" xfId="4" applyFont="1" applyFill="1" applyBorder="1" applyAlignment="1" applyProtection="1">
      <alignment horizontal="center" vertical="center" wrapText="1"/>
      <protection hidden="1"/>
    </xf>
    <xf numFmtId="0" fontId="6" fillId="2" borderId="52" xfId="0" applyFont="1" applyFill="1" applyBorder="1" applyAlignment="1" applyProtection="1">
      <alignment horizontal="center" vertical="center" wrapText="1"/>
      <protection hidden="1"/>
    </xf>
    <xf numFmtId="0" fontId="6" fillId="3" borderId="11" xfId="4" applyFont="1" applyFill="1" applyBorder="1" applyAlignment="1" applyProtection="1">
      <alignment horizontal="center" vertical="top"/>
      <protection hidden="1"/>
    </xf>
    <xf numFmtId="0" fontId="7" fillId="3" borderId="22" xfId="4" applyNumberFormat="1" applyFont="1" applyFill="1" applyBorder="1" applyAlignment="1" applyProtection="1">
      <protection hidden="1"/>
    </xf>
    <xf numFmtId="0" fontId="10" fillId="4" borderId="0" xfId="0" applyFont="1" applyFill="1" applyBorder="1" applyAlignment="1" applyProtection="1">
      <protection hidden="1"/>
    </xf>
    <xf numFmtId="0" fontId="9" fillId="3" borderId="9" xfId="4" applyFont="1" applyFill="1" applyBorder="1" applyAlignment="1" applyProtection="1">
      <alignment horizontal="left" vertical="center" indent="1"/>
      <protection hidden="1"/>
    </xf>
    <xf numFmtId="0" fontId="6" fillId="3" borderId="74" xfId="0" applyFont="1" applyFill="1" applyBorder="1" applyAlignment="1" applyProtection="1">
      <alignment horizontal="center" vertical="top" wrapText="1"/>
      <protection hidden="1"/>
    </xf>
    <xf numFmtId="0" fontId="6" fillId="3" borderId="52" xfId="0" applyFont="1" applyFill="1" applyBorder="1" applyAlignment="1" applyProtection="1">
      <alignment horizontal="center" vertical="top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7" fillId="3" borderId="11" xfId="4" applyFont="1" applyFill="1" applyBorder="1" applyProtection="1">
      <protection hidden="1"/>
    </xf>
    <xf numFmtId="0" fontId="7" fillId="5" borderId="0" xfId="4" applyFont="1" applyFill="1" applyBorder="1" applyProtection="1">
      <protection hidden="1"/>
    </xf>
    <xf numFmtId="164" fontId="15" fillId="4" borderId="66" xfId="0" applyNumberFormat="1" applyFont="1" applyFill="1" applyBorder="1" applyAlignment="1" applyProtection="1">
      <alignment horizontal="center" vertical="top" wrapText="1"/>
      <protection hidden="1"/>
    </xf>
    <xf numFmtId="164" fontId="15" fillId="4" borderId="52" xfId="0" applyNumberFormat="1" applyFont="1" applyFill="1" applyBorder="1" applyAlignment="1" applyProtection="1">
      <alignment horizontal="center" vertical="top" wrapText="1"/>
      <protection hidden="1"/>
    </xf>
    <xf numFmtId="164" fontId="15" fillId="4" borderId="10" xfId="0" applyNumberFormat="1" applyFont="1" applyFill="1" applyBorder="1" applyAlignment="1" applyProtection="1">
      <alignment horizontal="center" vertical="top" wrapText="1"/>
      <protection hidden="1"/>
    </xf>
    <xf numFmtId="0" fontId="7" fillId="5" borderId="0" xfId="0" applyNumberFormat="1" applyFont="1" applyFill="1" applyBorder="1" applyAlignment="1" applyProtection="1">
      <protection hidden="1"/>
    </xf>
    <xf numFmtId="0" fontId="7" fillId="6" borderId="0" xfId="4" applyNumberFormat="1" applyFont="1" applyFill="1" applyBorder="1" applyAlignment="1" applyProtection="1">
      <protection hidden="1"/>
    </xf>
    <xf numFmtId="164" fontId="15" fillId="7" borderId="66" xfId="0" applyNumberFormat="1" applyFont="1" applyFill="1" applyBorder="1" applyAlignment="1" applyProtection="1">
      <alignment horizontal="center" vertical="top" wrapText="1"/>
      <protection hidden="1"/>
    </xf>
    <xf numFmtId="164" fontId="15" fillId="7" borderId="10" xfId="0" applyNumberFormat="1" applyFont="1" applyFill="1" applyBorder="1" applyAlignment="1" applyProtection="1">
      <alignment horizontal="center" vertical="top" wrapText="1"/>
      <protection hidden="1"/>
    </xf>
    <xf numFmtId="0" fontId="7" fillId="7" borderId="11" xfId="0" applyNumberFormat="1" applyFont="1" applyFill="1" applyBorder="1" applyAlignment="1" applyProtection="1">
      <protection hidden="1"/>
    </xf>
    <xf numFmtId="0" fontId="7" fillId="3" borderId="9" xfId="0" applyFont="1" applyFill="1" applyBorder="1" applyAlignment="1" applyProtection="1"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15" fillId="5" borderId="24" xfId="0" applyFont="1" applyFill="1" applyBorder="1" applyAlignment="1" applyProtection="1">
      <alignment horizontal="center" vertical="center"/>
      <protection hidden="1"/>
    </xf>
    <xf numFmtId="0" fontId="15" fillId="5" borderId="25" xfId="0" applyFont="1" applyFill="1" applyBorder="1" applyAlignment="1" applyProtection="1">
      <alignment horizontal="center" vertical="center"/>
      <protection hidden="1"/>
    </xf>
    <xf numFmtId="0" fontId="15" fillId="5" borderId="27" xfId="0" applyFont="1" applyFill="1" applyBorder="1" applyAlignment="1" applyProtection="1">
      <alignment horizontal="center" vertical="center"/>
      <protection hidden="1"/>
    </xf>
    <xf numFmtId="0" fontId="15" fillId="6" borderId="24" xfId="0" applyFont="1" applyFill="1" applyBorder="1" applyAlignment="1" applyProtection="1">
      <alignment horizontal="center" vertical="center"/>
      <protection hidden="1"/>
    </xf>
    <xf numFmtId="0" fontId="15" fillId="6" borderId="27" xfId="0" applyFont="1" applyFill="1" applyBorder="1" applyAlignment="1" applyProtection="1">
      <alignment horizontal="center" vertical="center"/>
      <protection hidden="1"/>
    </xf>
    <xf numFmtId="0" fontId="7" fillId="6" borderId="11" xfId="0" applyNumberFormat="1" applyFont="1" applyFill="1" applyBorder="1" applyAlignment="1" applyProtection="1">
      <protection hidden="1"/>
    </xf>
    <xf numFmtId="0" fontId="16" fillId="5" borderId="0" xfId="0" applyNumberFormat="1" applyFont="1" applyFill="1" applyBorder="1" applyAlignment="1" applyProtection="1">
      <protection hidden="1"/>
    </xf>
    <xf numFmtId="168" fontId="7" fillId="3" borderId="31" xfId="4" applyNumberFormat="1" applyFont="1" applyFill="1" applyBorder="1" applyAlignment="1" applyProtection="1">
      <protection hidden="1"/>
    </xf>
    <xf numFmtId="0" fontId="6" fillId="5" borderId="9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7" fillId="5" borderId="0" xfId="0" quotePrefix="1" applyNumberFormat="1" applyFont="1" applyFill="1" applyBorder="1" applyAlignment="1" applyProtection="1">
      <protection hidden="1"/>
    </xf>
    <xf numFmtId="0" fontId="6" fillId="6" borderId="41" xfId="0" applyFont="1" applyFill="1" applyBorder="1" applyAlignment="1" applyProtection="1">
      <alignment horizontal="center" vertical="center"/>
      <protection hidden="1"/>
    </xf>
    <xf numFmtId="0" fontId="6" fillId="6" borderId="56" xfId="0" applyFont="1" applyFill="1" applyBorder="1" applyAlignment="1" applyProtection="1">
      <alignment horizontal="center" vertical="center"/>
      <protection hidden="1"/>
    </xf>
    <xf numFmtId="0" fontId="7" fillId="6" borderId="11" xfId="0" quotePrefix="1" applyNumberFormat="1" applyFont="1" applyFill="1" applyBorder="1" applyAlignment="1" applyProtection="1">
      <protection hidden="1"/>
    </xf>
    <xf numFmtId="0" fontId="6" fillId="3" borderId="12" xfId="4" applyFont="1" applyFill="1" applyBorder="1" applyAlignment="1" applyProtection="1">
      <alignment horizontal="left" vertical="center" indent="1"/>
      <protection hidden="1"/>
    </xf>
    <xf numFmtId="168" fontId="6" fillId="3" borderId="15" xfId="4" applyNumberFormat="1" applyFont="1" applyFill="1" applyBorder="1" applyAlignment="1" applyProtection="1">
      <alignment vertical="center"/>
      <protection hidden="1"/>
    </xf>
    <xf numFmtId="168" fontId="6" fillId="3" borderId="16" xfId="4" applyNumberFormat="1" applyFont="1" applyFill="1" applyBorder="1" applyAlignment="1" applyProtection="1">
      <alignment horizontal="right" vertical="center"/>
      <protection hidden="1"/>
    </xf>
    <xf numFmtId="168" fontId="6" fillId="3" borderId="33" xfId="4" applyNumberFormat="1" applyFont="1" applyFill="1" applyBorder="1" applyAlignment="1" applyProtection="1">
      <alignment horizontal="left" vertical="center" wrapText="1" indent="1"/>
      <protection hidden="1"/>
    </xf>
    <xf numFmtId="0" fontId="10" fillId="3" borderId="42" xfId="0" applyFont="1" applyFill="1" applyBorder="1" applyAlignment="1" applyProtection="1">
      <alignment horizontal="left" vertical="center" wrapText="1" indent="1"/>
      <protection hidden="1"/>
    </xf>
    <xf numFmtId="168" fontId="7" fillId="5" borderId="14" xfId="4" applyNumberFormat="1" applyFont="1" applyFill="1" applyBorder="1" applyAlignment="1" applyProtection="1">
      <alignment vertical="center"/>
      <protection hidden="1"/>
    </xf>
    <xf numFmtId="168" fontId="7" fillId="5" borderId="15" xfId="4" applyNumberFormat="1" applyFont="1" applyFill="1" applyBorder="1" applyAlignment="1" applyProtection="1">
      <alignment vertical="center"/>
      <protection hidden="1"/>
    </xf>
    <xf numFmtId="168" fontId="6" fillId="5" borderId="16" xfId="4" applyNumberFormat="1" applyFont="1" applyFill="1" applyBorder="1" applyAlignment="1" applyProtection="1">
      <alignment vertical="center"/>
      <protection hidden="1"/>
    </xf>
    <xf numFmtId="165" fontId="7" fillId="8" borderId="53" xfId="7" quotePrefix="1" applyNumberFormat="1" applyFont="1" applyFill="1" applyBorder="1" applyAlignment="1" applyProtection="1">
      <alignment vertical="center"/>
      <protection hidden="1"/>
    </xf>
    <xf numFmtId="165" fontId="7" fillId="8" borderId="54" xfId="7" quotePrefix="1" applyNumberFormat="1" applyFont="1" applyFill="1" applyBorder="1" applyAlignment="1" applyProtection="1">
      <alignment vertical="center"/>
      <protection hidden="1"/>
    </xf>
    <xf numFmtId="0" fontId="7" fillId="6" borderId="11" xfId="7" quotePrefix="1" applyNumberFormat="1" applyFont="1" applyFill="1" applyBorder="1" applyAlignment="1" applyProtection="1">
      <protection hidden="1"/>
    </xf>
    <xf numFmtId="0" fontId="6" fillId="3" borderId="22" xfId="4" applyFont="1" applyFill="1" applyBorder="1" applyAlignment="1" applyProtection="1">
      <alignment horizontal="left" vertical="center" indent="1"/>
      <protection hidden="1"/>
    </xf>
    <xf numFmtId="0" fontId="6" fillId="3" borderId="0" xfId="4" applyFont="1" applyFill="1" applyBorder="1" applyAlignment="1" applyProtection="1">
      <alignment horizontal="left" vertical="center" indent="1"/>
      <protection hidden="1"/>
    </xf>
    <xf numFmtId="0" fontId="6" fillId="3" borderId="25" xfId="4" applyFont="1" applyFill="1" applyBorder="1" applyAlignment="1" applyProtection="1">
      <alignment horizontal="left" vertical="center" indent="1"/>
      <protection hidden="1"/>
    </xf>
    <xf numFmtId="0" fontId="7" fillId="3" borderId="0" xfId="4" applyFont="1" applyFill="1" applyBorder="1" applyProtection="1">
      <protection hidden="1"/>
    </xf>
    <xf numFmtId="0" fontId="7" fillId="3" borderId="8" xfId="4" applyFont="1" applyFill="1" applyBorder="1" applyProtection="1">
      <protection hidden="1"/>
    </xf>
    <xf numFmtId="0" fontId="7" fillId="3" borderId="18" xfId="4" applyFont="1" applyFill="1" applyBorder="1" applyProtection="1">
      <protection hidden="1"/>
    </xf>
    <xf numFmtId="168" fontId="7" fillId="5" borderId="19" xfId="4" applyNumberFormat="1" applyFont="1" applyFill="1" applyBorder="1" applyAlignment="1" applyProtection="1">
      <alignment vertical="center"/>
      <protection hidden="1"/>
    </xf>
    <xf numFmtId="168" fontId="7" fillId="5" borderId="20" xfId="4" applyNumberFormat="1" applyFont="1" applyFill="1" applyBorder="1" applyAlignment="1" applyProtection="1">
      <alignment vertical="center"/>
      <protection hidden="1"/>
    </xf>
    <xf numFmtId="0" fontId="7" fillId="5" borderId="21" xfId="4" applyFont="1" applyFill="1" applyBorder="1" applyProtection="1">
      <protection hidden="1"/>
    </xf>
    <xf numFmtId="0" fontId="7" fillId="6" borderId="19" xfId="4" applyFont="1" applyFill="1" applyBorder="1" applyProtection="1">
      <protection hidden="1"/>
    </xf>
    <xf numFmtId="0" fontId="7" fillId="6" borderId="21" xfId="4" applyFont="1" applyFill="1" applyBorder="1" applyProtection="1">
      <protection hidden="1"/>
    </xf>
    <xf numFmtId="0" fontId="9" fillId="3" borderId="0" xfId="4" applyFont="1" applyFill="1" applyBorder="1" applyAlignment="1" applyProtection="1">
      <alignment horizontal="left" vertical="center" indent="3"/>
      <protection hidden="1"/>
    </xf>
    <xf numFmtId="0" fontId="9" fillId="3" borderId="25" xfId="4" applyFont="1" applyFill="1" applyBorder="1" applyAlignment="1" applyProtection="1">
      <alignment horizontal="left" vertical="center" indent="3"/>
      <protection hidden="1"/>
    </xf>
    <xf numFmtId="0" fontId="7" fillId="3" borderId="2" xfId="4" applyFont="1" applyFill="1" applyBorder="1" applyProtection="1">
      <protection hidden="1"/>
    </xf>
    <xf numFmtId="0" fontId="7" fillId="3" borderId="13" xfId="4" applyFont="1" applyFill="1" applyBorder="1" applyProtection="1">
      <protection hidden="1"/>
    </xf>
    <xf numFmtId="0" fontId="7" fillId="3" borderId="22" xfId="4" applyFont="1" applyFill="1" applyBorder="1" applyProtection="1">
      <protection hidden="1"/>
    </xf>
    <xf numFmtId="168" fontId="7" fillId="5" borderId="41" xfId="4" applyNumberFormat="1" applyFont="1" applyFill="1" applyBorder="1" applyAlignment="1" applyProtection="1">
      <alignment vertical="center"/>
      <protection hidden="1"/>
    </xf>
    <xf numFmtId="168" fontId="7" fillId="5" borderId="39" xfId="4" applyNumberFormat="1" applyFont="1" applyFill="1" applyBorder="1" applyAlignment="1" applyProtection="1">
      <alignment vertical="center"/>
      <protection hidden="1"/>
    </xf>
    <xf numFmtId="0" fontId="7" fillId="5" borderId="56" xfId="4" applyFont="1" applyFill="1" applyBorder="1" applyProtection="1">
      <protection hidden="1"/>
    </xf>
    <xf numFmtId="0" fontId="7" fillId="6" borderId="24" xfId="4" applyFont="1" applyFill="1" applyBorder="1" applyProtection="1">
      <protection hidden="1"/>
    </xf>
    <xf numFmtId="0" fontId="7" fillId="6" borderId="27" xfId="4" applyFont="1" applyFill="1" applyBorder="1" applyProtection="1">
      <protection hidden="1"/>
    </xf>
    <xf numFmtId="168" fontId="7" fillId="9" borderId="48" xfId="4" applyNumberFormat="1" applyFont="1" applyFill="1" applyBorder="1" applyAlignment="1" applyProtection="1">
      <alignment vertical="center"/>
      <protection locked="0"/>
    </xf>
    <xf numFmtId="168" fontId="7" fillId="9" borderId="30" xfId="4" applyNumberFormat="1" applyFont="1" applyFill="1" applyBorder="1" applyAlignment="1" applyProtection="1">
      <alignment vertical="center"/>
      <protection locked="0"/>
    </xf>
    <xf numFmtId="168" fontId="6" fillId="3" borderId="48" xfId="4" applyNumberFormat="1" applyFont="1" applyFill="1" applyBorder="1" applyAlignment="1" applyProtection="1">
      <alignment vertical="center"/>
      <protection hidden="1"/>
    </xf>
    <xf numFmtId="168" fontId="6" fillId="3" borderId="28" xfId="4" applyNumberFormat="1" applyFont="1" applyFill="1" applyBorder="1" applyAlignment="1" applyProtection="1">
      <alignment vertical="center"/>
      <protection hidden="1"/>
    </xf>
    <xf numFmtId="168" fontId="6" fillId="3" borderId="49" xfId="4" applyNumberFormat="1" applyFont="1" applyFill="1" applyBorder="1" applyAlignment="1" applyProtection="1">
      <alignment horizontal="left" vertical="center" wrapText="1" indent="1"/>
      <protection hidden="1"/>
    </xf>
    <xf numFmtId="0" fontId="10" fillId="3" borderId="28" xfId="0" applyFont="1" applyFill="1" applyBorder="1" applyAlignment="1" applyProtection="1">
      <alignment horizontal="left" vertical="center" wrapText="1" indent="1"/>
      <protection hidden="1"/>
    </xf>
    <xf numFmtId="168" fontId="7" fillId="5" borderId="71" xfId="4" applyNumberFormat="1" applyFont="1" applyFill="1" applyBorder="1" applyAlignment="1" applyProtection="1">
      <alignment vertical="center"/>
      <protection hidden="1"/>
    </xf>
    <xf numFmtId="168" fontId="6" fillId="5" borderId="26" xfId="4" applyNumberFormat="1" applyFont="1" applyFill="1" applyBorder="1" applyAlignment="1" applyProtection="1">
      <alignment vertical="center"/>
      <protection hidden="1"/>
    </xf>
    <xf numFmtId="165" fontId="7" fillId="8" borderId="55" xfId="7" quotePrefix="1" applyNumberFormat="1" applyFont="1" applyFill="1" applyBorder="1" applyAlignment="1" applyProtection="1">
      <alignment vertical="center"/>
      <protection hidden="1"/>
    </xf>
    <xf numFmtId="165" fontId="7" fillId="8" borderId="6" xfId="7" quotePrefix="1" applyNumberFormat="1" applyFont="1" applyFill="1" applyBorder="1" applyAlignment="1" applyProtection="1">
      <alignment vertical="center"/>
      <protection hidden="1"/>
    </xf>
    <xf numFmtId="168" fontId="6" fillId="3" borderId="23" xfId="4" applyNumberFormat="1" applyFont="1" applyFill="1" applyBorder="1" applyAlignment="1" applyProtection="1">
      <alignment horizontal="left" vertical="center" wrapText="1" indent="1"/>
      <protection hidden="1"/>
    </xf>
    <xf numFmtId="168" fontId="7" fillId="5" borderId="29" xfId="4" applyNumberFormat="1" applyFont="1" applyFill="1" applyBorder="1" applyAlignment="1" applyProtection="1">
      <alignment vertical="center"/>
      <protection hidden="1"/>
    </xf>
    <xf numFmtId="168" fontId="7" fillId="5" borderId="30" xfId="4" applyNumberFormat="1" applyFont="1" applyFill="1" applyBorder="1" applyAlignment="1" applyProtection="1">
      <alignment vertical="center"/>
      <protection hidden="1"/>
    </xf>
    <xf numFmtId="168" fontId="6" fillId="5" borderId="6" xfId="4" applyNumberFormat="1" applyFont="1" applyFill="1" applyBorder="1" applyAlignment="1" applyProtection="1">
      <alignment vertical="center"/>
      <protection hidden="1"/>
    </xf>
    <xf numFmtId="0" fontId="6" fillId="3" borderId="31" xfId="4" applyFont="1" applyFill="1" applyBorder="1" applyAlignment="1" applyProtection="1">
      <alignment horizontal="left" vertical="center" indent="3"/>
      <protection hidden="1"/>
    </xf>
    <xf numFmtId="168" fontId="6" fillId="3" borderId="32" xfId="4" applyNumberFormat="1" applyFont="1" applyFill="1" applyBorder="1" applyAlignment="1" applyProtection="1">
      <alignment vertical="center"/>
      <protection hidden="1"/>
    </xf>
    <xf numFmtId="168" fontId="6" fillId="3" borderId="36" xfId="4" applyNumberFormat="1" applyFont="1" applyFill="1" applyBorder="1" applyAlignment="1" applyProtection="1">
      <alignment vertical="center"/>
      <protection hidden="1"/>
    </xf>
    <xf numFmtId="168" fontId="6" fillId="3" borderId="7" xfId="4" applyNumberFormat="1" applyFont="1" applyFill="1" applyBorder="1" applyAlignment="1" applyProtection="1">
      <alignment vertical="center"/>
      <protection hidden="1"/>
    </xf>
    <xf numFmtId="168" fontId="6" fillId="3" borderId="67" xfId="4" applyNumberFormat="1" applyFont="1" applyFill="1" applyBorder="1" applyAlignment="1" applyProtection="1">
      <alignment vertical="center"/>
      <protection hidden="1"/>
    </xf>
    <xf numFmtId="168" fontId="6" fillId="3" borderId="33" xfId="4" applyNumberFormat="1" applyFont="1" applyFill="1" applyBorder="1" applyAlignment="1" applyProtection="1">
      <alignment vertical="center"/>
      <protection hidden="1"/>
    </xf>
    <xf numFmtId="0" fontId="7" fillId="3" borderId="34" xfId="4" applyFont="1" applyFill="1" applyBorder="1" applyProtection="1">
      <protection hidden="1"/>
    </xf>
    <xf numFmtId="168" fontId="6" fillId="5" borderId="24" xfId="4" applyNumberFormat="1" applyFont="1" applyFill="1" applyBorder="1" applyAlignment="1" applyProtection="1">
      <alignment vertical="center"/>
      <protection hidden="1"/>
    </xf>
    <xf numFmtId="168" fontId="6" fillId="5" borderId="39" xfId="4" applyNumberFormat="1" applyFont="1" applyFill="1" applyBorder="1" applyAlignment="1" applyProtection="1">
      <alignment vertical="center"/>
      <protection hidden="1"/>
    </xf>
    <xf numFmtId="168" fontId="6" fillId="5" borderId="37" xfId="4" applyNumberFormat="1" applyFont="1" applyFill="1" applyBorder="1" applyAlignment="1" applyProtection="1">
      <alignment vertical="center"/>
      <protection hidden="1"/>
    </xf>
    <xf numFmtId="0" fontId="7" fillId="6" borderId="35" xfId="4" applyNumberFormat="1" applyFont="1" applyFill="1" applyBorder="1" applyAlignment="1" applyProtection="1">
      <protection hidden="1"/>
    </xf>
    <xf numFmtId="0" fontId="7" fillId="6" borderId="37" xfId="4" applyNumberFormat="1" applyFont="1" applyFill="1" applyBorder="1" applyAlignment="1" applyProtection="1">
      <protection hidden="1"/>
    </xf>
    <xf numFmtId="0" fontId="6" fillId="3" borderId="17" xfId="4" applyFont="1" applyFill="1" applyBorder="1" applyAlignment="1" applyProtection="1">
      <alignment horizontal="left" vertical="center" indent="1"/>
      <protection hidden="1"/>
    </xf>
    <xf numFmtId="0" fontId="6" fillId="3" borderId="20" xfId="4" applyFont="1" applyFill="1" applyBorder="1" applyAlignment="1" applyProtection="1">
      <alignment horizontal="left" vertical="center" indent="1"/>
      <protection hidden="1"/>
    </xf>
    <xf numFmtId="0" fontId="7" fillId="3" borderId="17" xfId="4" applyFont="1" applyFill="1" applyBorder="1" applyProtection="1">
      <protection hidden="1"/>
    </xf>
    <xf numFmtId="0" fontId="7" fillId="5" borderId="75" xfId="4" applyFont="1" applyFill="1" applyBorder="1" applyProtection="1">
      <protection hidden="1"/>
    </xf>
    <xf numFmtId="0" fontId="7" fillId="5" borderId="18" xfId="4" applyFont="1" applyFill="1" applyBorder="1" applyProtection="1">
      <protection hidden="1"/>
    </xf>
    <xf numFmtId="168" fontId="7" fillId="5" borderId="5" xfId="4" applyNumberFormat="1" applyFont="1" applyFill="1" applyBorder="1" applyAlignment="1" applyProtection="1">
      <alignment vertical="center"/>
      <protection hidden="1"/>
    </xf>
    <xf numFmtId="0" fontId="7" fillId="5" borderId="3" xfId="4" applyFont="1" applyFill="1" applyBorder="1" applyProtection="1">
      <protection hidden="1"/>
    </xf>
    <xf numFmtId="0" fontId="7" fillId="5" borderId="13" xfId="4" applyFont="1" applyFill="1" applyBorder="1" applyProtection="1">
      <protection hidden="1"/>
    </xf>
    <xf numFmtId="168" fontId="7" fillId="5" borderId="4" xfId="4" applyNumberFormat="1" applyFont="1" applyFill="1" applyBorder="1" applyAlignment="1" applyProtection="1">
      <alignment vertical="center"/>
      <protection hidden="1"/>
    </xf>
    <xf numFmtId="165" fontId="7" fillId="8" borderId="58" xfId="7" quotePrefix="1" applyNumberFormat="1" applyFont="1" applyFill="1" applyBorder="1" applyAlignment="1" applyProtection="1">
      <alignment vertical="center"/>
      <protection hidden="1"/>
    </xf>
    <xf numFmtId="165" fontId="7" fillId="8" borderId="10" xfId="7" quotePrefix="1" applyNumberFormat="1" applyFont="1" applyFill="1" applyBorder="1" applyAlignment="1" applyProtection="1">
      <alignment vertical="center"/>
      <protection hidden="1"/>
    </xf>
    <xf numFmtId="168" fontId="6" fillId="3" borderId="34" xfId="4" applyNumberFormat="1" applyFont="1" applyFill="1" applyBorder="1" applyAlignment="1" applyProtection="1">
      <alignment vertical="center"/>
      <protection hidden="1"/>
    </xf>
    <xf numFmtId="168" fontId="6" fillId="3" borderId="31" xfId="4" applyNumberFormat="1" applyFont="1" applyFill="1" applyBorder="1" applyAlignment="1" applyProtection="1">
      <alignment vertical="center"/>
      <protection hidden="1"/>
    </xf>
    <xf numFmtId="0" fontId="7" fillId="3" borderId="42" xfId="4" applyFont="1" applyFill="1" applyBorder="1" applyProtection="1">
      <protection hidden="1"/>
    </xf>
    <xf numFmtId="168" fontId="6" fillId="5" borderId="5" xfId="4" applyNumberFormat="1" applyFont="1" applyFill="1" applyBorder="1" applyAlignment="1" applyProtection="1">
      <alignment vertical="center"/>
      <protection hidden="1"/>
    </xf>
    <xf numFmtId="0" fontId="7" fillId="6" borderId="38" xfId="4" applyNumberFormat="1" applyFont="1" applyFill="1" applyBorder="1" applyAlignment="1" applyProtection="1">
      <protection hidden="1"/>
    </xf>
    <xf numFmtId="0" fontId="7" fillId="6" borderId="56" xfId="4" applyNumberFormat="1" applyFont="1" applyFill="1" applyBorder="1" applyAlignment="1" applyProtection="1">
      <protection hidden="1"/>
    </xf>
    <xf numFmtId="0" fontId="6" fillId="3" borderId="9" xfId="4" applyFont="1" applyFill="1" applyBorder="1" applyAlignment="1" applyProtection="1">
      <alignment horizontal="left" vertical="center" indent="1"/>
      <protection hidden="1"/>
    </xf>
    <xf numFmtId="0" fontId="6" fillId="3" borderId="71" xfId="4" applyFont="1" applyFill="1" applyBorder="1" applyAlignment="1" applyProtection="1">
      <alignment horizontal="left" vertical="center" indent="1"/>
      <protection hidden="1"/>
    </xf>
    <xf numFmtId="0" fontId="7" fillId="5" borderId="24" xfId="4" applyFont="1" applyFill="1" applyBorder="1" applyProtection="1">
      <protection hidden="1"/>
    </xf>
    <xf numFmtId="0" fontId="7" fillId="5" borderId="25" xfId="4" applyFont="1" applyFill="1" applyBorder="1" applyProtection="1">
      <protection hidden="1"/>
    </xf>
    <xf numFmtId="0" fontId="7" fillId="5" borderId="27" xfId="4" applyFont="1" applyFill="1" applyBorder="1" applyProtection="1">
      <protection hidden="1"/>
    </xf>
    <xf numFmtId="0" fontId="9" fillId="3" borderId="9" xfId="4" applyFont="1" applyFill="1" applyBorder="1" applyAlignment="1" applyProtection="1">
      <alignment horizontal="left" vertical="center" indent="3"/>
      <protection hidden="1"/>
    </xf>
    <xf numFmtId="0" fontId="9" fillId="3" borderId="9" xfId="4" applyFont="1" applyFill="1" applyBorder="1" applyAlignment="1" applyProtection="1">
      <alignment horizontal="left" vertical="center" indent="4"/>
      <protection hidden="1"/>
    </xf>
    <xf numFmtId="0" fontId="9" fillId="3" borderId="25" xfId="4" applyFont="1" applyFill="1" applyBorder="1" applyAlignment="1" applyProtection="1">
      <alignment horizontal="left" vertical="center" indent="4"/>
      <protection hidden="1"/>
    </xf>
    <xf numFmtId="0" fontId="7" fillId="5" borderId="26" xfId="4" applyFont="1" applyFill="1" applyBorder="1" applyProtection="1">
      <protection hidden="1"/>
    </xf>
    <xf numFmtId="0" fontId="11" fillId="3" borderId="9" xfId="4" applyFont="1" applyFill="1" applyBorder="1" applyAlignment="1" applyProtection="1">
      <alignment horizontal="left" vertical="center" indent="5"/>
      <protection hidden="1"/>
    </xf>
    <xf numFmtId="168" fontId="7" fillId="0" borderId="29" xfId="4" applyNumberFormat="1" applyFont="1" applyFill="1" applyBorder="1" applyAlignment="1" applyProtection="1">
      <alignment vertical="center"/>
      <protection locked="0"/>
    </xf>
    <xf numFmtId="168" fontId="7" fillId="0" borderId="30" xfId="4" applyNumberFormat="1" applyFont="1" applyFill="1" applyBorder="1" applyAlignment="1" applyProtection="1">
      <alignment vertical="center"/>
      <protection locked="0"/>
    </xf>
    <xf numFmtId="0" fontId="7" fillId="3" borderId="76" xfId="4" applyNumberFormat="1" applyFont="1" applyFill="1" applyBorder="1" applyAlignment="1" applyProtection="1">
      <protection hidden="1"/>
    </xf>
    <xf numFmtId="0" fontId="7" fillId="3" borderId="4" xfId="4" applyNumberFormat="1" applyFont="1" applyFill="1" applyBorder="1" applyAlignment="1" applyProtection="1">
      <protection hidden="1"/>
    </xf>
    <xf numFmtId="0" fontId="7" fillId="3" borderId="2" xfId="4" applyNumberFormat="1" applyFont="1" applyFill="1" applyBorder="1" applyAlignment="1" applyProtection="1">
      <protection hidden="1"/>
    </xf>
    <xf numFmtId="0" fontId="7" fillId="3" borderId="13" xfId="4" applyNumberFormat="1" applyFont="1" applyFill="1" applyBorder="1" applyAlignment="1" applyProtection="1">
      <protection hidden="1"/>
    </xf>
    <xf numFmtId="0" fontId="7" fillId="3" borderId="49" xfId="4" applyNumberFormat="1" applyFont="1" applyFill="1" applyBorder="1" applyAlignment="1" applyProtection="1">
      <protection hidden="1"/>
    </xf>
    <xf numFmtId="0" fontId="7" fillId="3" borderId="28" xfId="0" applyNumberFormat="1" applyFont="1" applyFill="1" applyBorder="1" applyAlignment="1" applyProtection="1">
      <protection hidden="1"/>
    </xf>
    <xf numFmtId="0" fontId="7" fillId="5" borderId="40" xfId="4" applyFont="1" applyFill="1" applyBorder="1" applyProtection="1">
      <protection hidden="1"/>
    </xf>
    <xf numFmtId="0" fontId="7" fillId="5" borderId="30" xfId="4" applyFont="1" applyFill="1" applyBorder="1" applyProtection="1">
      <protection hidden="1"/>
    </xf>
    <xf numFmtId="0" fontId="7" fillId="5" borderId="6" xfId="4" applyFont="1" applyFill="1" applyBorder="1" applyProtection="1">
      <protection hidden="1"/>
    </xf>
    <xf numFmtId="0" fontId="7" fillId="6" borderId="40" xfId="4" applyFont="1" applyFill="1" applyBorder="1" applyProtection="1">
      <protection hidden="1"/>
    </xf>
    <xf numFmtId="0" fontId="7" fillId="6" borderId="6" xfId="4" applyFont="1" applyFill="1" applyBorder="1" applyProtection="1">
      <protection hidden="1"/>
    </xf>
    <xf numFmtId="165" fontId="7" fillId="8" borderId="57" xfId="7" quotePrefix="1" applyNumberFormat="1" applyFont="1" applyFill="1" applyBorder="1" applyAlignment="1" applyProtection="1">
      <alignment vertical="center"/>
      <protection hidden="1"/>
    </xf>
    <xf numFmtId="165" fontId="7" fillId="8" borderId="27" xfId="7" quotePrefix="1" applyNumberFormat="1" applyFont="1" applyFill="1" applyBorder="1" applyAlignment="1" applyProtection="1">
      <alignment vertical="center"/>
      <protection hidden="1"/>
    </xf>
    <xf numFmtId="0" fontId="7" fillId="3" borderId="29" xfId="4" applyNumberFormat="1" applyFont="1" applyFill="1" applyBorder="1" applyAlignment="1" applyProtection="1">
      <protection hidden="1"/>
    </xf>
    <xf numFmtId="0" fontId="7" fillId="3" borderId="30" xfId="4" applyNumberFormat="1" applyFont="1" applyFill="1" applyBorder="1" applyAlignment="1" applyProtection="1">
      <protection hidden="1"/>
    </xf>
    <xf numFmtId="0" fontId="7" fillId="3" borderId="48" xfId="4" applyNumberFormat="1" applyFont="1" applyFill="1" applyBorder="1" applyAlignment="1" applyProtection="1">
      <protection hidden="1"/>
    </xf>
    <xf numFmtId="0" fontId="7" fillId="3" borderId="28" xfId="4" applyNumberFormat="1" applyFont="1" applyFill="1" applyBorder="1" applyAlignment="1" applyProtection="1">
      <protection hidden="1"/>
    </xf>
    <xf numFmtId="0" fontId="11" fillId="3" borderId="9" xfId="4" applyFont="1" applyFill="1" applyBorder="1" applyAlignment="1" applyProtection="1">
      <alignment horizontal="left" vertical="center" indent="4"/>
      <protection hidden="1"/>
    </xf>
    <xf numFmtId="168" fontId="7" fillId="9" borderId="29" xfId="4" applyNumberFormat="1" applyFont="1" applyFill="1" applyBorder="1" applyAlignment="1" applyProtection="1">
      <alignment vertical="center"/>
      <protection locked="0"/>
    </xf>
    <xf numFmtId="0" fontId="6" fillId="3" borderId="9" xfId="4" applyFont="1" applyFill="1" applyBorder="1" applyAlignment="1" applyProtection="1">
      <alignment horizontal="left" vertical="center" indent="3"/>
      <protection hidden="1"/>
    </xf>
    <xf numFmtId="168" fontId="6" fillId="3" borderId="74" xfId="4" applyNumberFormat="1" applyFont="1" applyFill="1" applyBorder="1" applyAlignment="1" applyProtection="1">
      <alignment vertical="center"/>
      <protection hidden="1"/>
    </xf>
    <xf numFmtId="168" fontId="6" fillId="3" borderId="52" xfId="4" applyNumberFormat="1" applyFont="1" applyFill="1" applyBorder="1" applyAlignment="1" applyProtection="1">
      <alignment vertical="center"/>
      <protection hidden="1"/>
    </xf>
    <xf numFmtId="0" fontId="7" fillId="6" borderId="5" xfId="4" applyNumberFormat="1" applyFont="1" applyFill="1" applyBorder="1" applyAlignment="1" applyProtection="1">
      <protection hidden="1"/>
    </xf>
    <xf numFmtId="0" fontId="6" fillId="3" borderId="14" xfId="4" applyFont="1" applyFill="1" applyBorder="1" applyAlignment="1" applyProtection="1">
      <alignment horizontal="left" vertical="center" indent="1"/>
      <protection hidden="1"/>
    </xf>
    <xf numFmtId="168" fontId="6" fillId="3" borderId="14" xfId="4" applyNumberFormat="1" applyFont="1" applyFill="1" applyBorder="1" applyAlignment="1" applyProtection="1">
      <alignment vertical="center"/>
      <protection hidden="1"/>
    </xf>
    <xf numFmtId="168" fontId="6" fillId="3" borderId="77" xfId="4" applyNumberFormat="1" applyFont="1" applyFill="1" applyBorder="1" applyAlignment="1" applyProtection="1">
      <alignment vertical="center"/>
      <protection hidden="1"/>
    </xf>
    <xf numFmtId="168" fontId="6" fillId="3" borderId="73" xfId="4" applyNumberFormat="1" applyFont="1" applyFill="1" applyBorder="1" applyAlignment="1" applyProtection="1">
      <alignment vertical="center"/>
      <protection hidden="1"/>
    </xf>
    <xf numFmtId="168" fontId="6" fillId="5" borderId="43" xfId="4" applyNumberFormat="1" applyFont="1" applyFill="1" applyBorder="1" applyAlignment="1" applyProtection="1">
      <alignment vertical="center"/>
      <protection hidden="1"/>
    </xf>
    <xf numFmtId="168" fontId="6" fillId="5" borderId="15" xfId="4" applyNumberFormat="1" applyFont="1" applyFill="1" applyBorder="1" applyAlignment="1" applyProtection="1">
      <alignment vertical="center"/>
      <protection hidden="1"/>
    </xf>
    <xf numFmtId="0" fontId="7" fillId="6" borderId="43" xfId="4" applyNumberFormat="1" applyFont="1" applyFill="1" applyBorder="1" applyAlignment="1" applyProtection="1">
      <protection hidden="1"/>
    </xf>
    <xf numFmtId="0" fontId="7" fillId="6" borderId="16" xfId="4" applyNumberFormat="1" applyFont="1" applyFill="1" applyBorder="1" applyAlignment="1" applyProtection="1">
      <protection hidden="1"/>
    </xf>
    <xf numFmtId="0" fontId="7" fillId="3" borderId="9" xfId="4" applyFont="1" applyFill="1" applyBorder="1" applyProtection="1">
      <protection hidden="1"/>
    </xf>
    <xf numFmtId="0" fontId="7" fillId="6" borderId="0" xfId="4" applyFont="1" applyFill="1" applyBorder="1" applyProtection="1">
      <protection hidden="1"/>
    </xf>
    <xf numFmtId="0" fontId="7" fillId="3" borderId="9" xfId="4" quotePrefix="1" applyFont="1" applyFill="1" applyBorder="1" applyProtection="1">
      <protection hidden="1"/>
    </xf>
    <xf numFmtId="0" fontId="7" fillId="3" borderId="0" xfId="4" quotePrefix="1" applyFont="1" applyFill="1" applyBorder="1" applyProtection="1">
      <protection hidden="1"/>
    </xf>
    <xf numFmtId="168" fontId="19" fillId="5" borderId="0" xfId="4" applyNumberFormat="1" applyFont="1" applyFill="1" applyBorder="1" applyAlignment="1" applyProtection="1">
      <protection hidden="1"/>
    </xf>
    <xf numFmtId="0" fontId="19" fillId="5" borderId="0" xfId="4" applyNumberFormat="1" applyFont="1" applyFill="1" applyBorder="1" applyAlignment="1" applyProtection="1">
      <protection hidden="1"/>
    </xf>
    <xf numFmtId="168" fontId="19" fillId="6" borderId="0" xfId="4" applyNumberFormat="1" applyFont="1" applyFill="1" applyBorder="1" applyAlignment="1" applyProtection="1">
      <protection hidden="1"/>
    </xf>
    <xf numFmtId="168" fontId="7" fillId="5" borderId="0" xfId="4" applyNumberFormat="1" applyFont="1" applyFill="1" applyBorder="1" applyProtection="1">
      <protection hidden="1"/>
    </xf>
    <xf numFmtId="168" fontId="7" fillId="6" borderId="0" xfId="4" applyNumberFormat="1" applyFont="1" applyFill="1" applyBorder="1" applyProtection="1">
      <protection hidden="1"/>
    </xf>
    <xf numFmtId="0" fontId="6" fillId="3" borderId="41" xfId="4" applyFont="1" applyFill="1" applyBorder="1" applyProtection="1">
      <protection hidden="1"/>
    </xf>
    <xf numFmtId="0" fontId="7" fillId="3" borderId="51" xfId="4" applyFont="1" applyFill="1" applyBorder="1" applyProtection="1">
      <protection hidden="1"/>
    </xf>
    <xf numFmtId="0" fontId="7" fillId="5" borderId="51" xfId="4" applyFont="1" applyFill="1" applyBorder="1" applyProtection="1">
      <protection hidden="1"/>
    </xf>
    <xf numFmtId="0" fontId="7" fillId="6" borderId="51" xfId="4" applyNumberFormat="1" applyFont="1" applyFill="1" applyBorder="1" applyAlignment="1" applyProtection="1">
      <protection hidden="1"/>
    </xf>
    <xf numFmtId="0" fontId="7" fillId="6" borderId="51" xfId="4" applyFont="1" applyFill="1" applyBorder="1" applyProtection="1">
      <protection hidden="1"/>
    </xf>
    <xf numFmtId="0" fontId="7" fillId="6" borderId="42" xfId="4" applyNumberFormat="1" applyFont="1" applyFill="1" applyBorder="1" applyAlignment="1" applyProtection="1">
      <protection hidden="1"/>
    </xf>
    <xf numFmtId="174" fontId="7" fillId="0" borderId="9" xfId="0" applyNumberFormat="1" applyFont="1" applyBorder="1" applyAlignment="1"/>
    <xf numFmtId="168" fontId="7" fillId="5" borderId="24" xfId="4" applyNumberFormat="1" applyFont="1" applyFill="1" applyBorder="1" applyAlignment="1" applyProtection="1">
      <alignment vertical="center"/>
      <protection hidden="1"/>
    </xf>
    <xf numFmtId="168" fontId="7" fillId="5" borderId="40" xfId="4" applyNumberFormat="1" applyFont="1" applyFill="1" applyBorder="1" applyAlignment="1" applyProtection="1">
      <alignment vertical="center"/>
      <protection hidden="1"/>
    </xf>
    <xf numFmtId="0" fontId="7" fillId="15" borderId="0" xfId="0" applyFont="1" applyFill="1" applyBorder="1" applyAlignment="1" applyProtection="1">
      <alignment horizontal="center"/>
      <protection hidden="1"/>
    </xf>
    <xf numFmtId="0" fontId="7" fillId="0" borderId="0" xfId="0" applyFont="1" applyBorder="1"/>
    <xf numFmtId="168" fontId="6" fillId="3" borderId="22" xfId="4" applyNumberFormat="1" applyFont="1" applyFill="1" applyBorder="1" applyAlignment="1" applyProtection="1">
      <alignment horizontal="left" vertical="center" wrapText="1" indent="1"/>
      <protection hidden="1"/>
    </xf>
    <xf numFmtId="175" fontId="7" fillId="0" borderId="0" xfId="4" applyNumberFormat="1" applyFont="1" applyFill="1" applyBorder="1" applyAlignment="1" applyProtection="1">
      <alignment horizontal="center" vertical="center"/>
      <protection hidden="1"/>
    </xf>
    <xf numFmtId="175" fontId="7" fillId="0" borderId="78" xfId="4" applyNumberFormat="1" applyFont="1" applyFill="1" applyBorder="1" applyAlignment="1" applyProtection="1">
      <alignment horizontal="center" vertical="center"/>
      <protection hidden="1"/>
    </xf>
    <xf numFmtId="0" fontId="7" fillId="0" borderId="78" xfId="0" applyFont="1" applyBorder="1" applyAlignment="1">
      <alignment horizontal="center" vertical="center"/>
    </xf>
    <xf numFmtId="175" fontId="7" fillId="0" borderId="0" xfId="0" applyNumberFormat="1" applyFont="1" applyBorder="1" applyAlignment="1">
      <alignment horizontal="center" vertical="center"/>
    </xf>
    <xf numFmtId="175" fontId="6" fillId="0" borderId="44" xfId="4" applyNumberFormat="1" applyFont="1" applyFill="1" applyBorder="1" applyAlignment="1" applyProtection="1">
      <alignment horizontal="right" vertical="center"/>
      <protection hidden="1"/>
    </xf>
    <xf numFmtId="175" fontId="6" fillId="0" borderId="0" xfId="4" applyNumberFormat="1" applyFont="1" applyFill="1" applyBorder="1" applyAlignment="1" applyProtection="1">
      <alignment horizontal="right" vertical="center"/>
      <protection hidden="1"/>
    </xf>
    <xf numFmtId="175" fontId="7" fillId="0" borderId="79" xfId="4" applyNumberFormat="1" applyFont="1" applyFill="1" applyBorder="1" applyAlignment="1" applyProtection="1">
      <alignment vertical="center"/>
      <protection hidden="1"/>
    </xf>
    <xf numFmtId="175" fontId="7" fillId="0" borderId="78" xfId="4" applyNumberFormat="1" applyFont="1" applyFill="1" applyBorder="1" applyAlignment="1" applyProtection="1">
      <alignment vertical="center"/>
      <protection hidden="1"/>
    </xf>
    <xf numFmtId="175" fontId="7" fillId="0" borderId="0" xfId="4" applyNumberFormat="1" applyFont="1" applyFill="1" applyBorder="1" applyAlignment="1" applyProtection="1">
      <alignment vertical="center"/>
      <protection hidden="1"/>
    </xf>
    <xf numFmtId="0" fontId="7" fillId="0" borderId="44" xfId="4" applyNumberFormat="1" applyFont="1" applyFill="1" applyBorder="1" applyAlignment="1" applyProtection="1">
      <protection hidden="1"/>
    </xf>
    <xf numFmtId="0" fontId="7" fillId="0" borderId="0" xfId="4" applyNumberFormat="1" applyFont="1" applyFill="1" applyBorder="1" applyAlignment="1" applyProtection="1">
      <protection hidden="1"/>
    </xf>
    <xf numFmtId="0" fontId="6" fillId="0" borderId="80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175" fontId="7" fillId="0" borderId="81" xfId="4" applyNumberFormat="1" applyFont="1" applyFill="1" applyBorder="1" applyAlignment="1" applyProtection="1">
      <protection hidden="1"/>
    </xf>
    <xf numFmtId="168" fontId="6" fillId="0" borderId="0" xfId="4" applyNumberFormat="1" applyFont="1" applyFill="1" applyBorder="1" applyAlignment="1" applyProtection="1">
      <alignment horizontal="right" vertical="center"/>
      <protection hidden="1"/>
    </xf>
    <xf numFmtId="168" fontId="6" fillId="0" borderId="51" xfId="4" applyNumberFormat="1" applyFont="1" applyFill="1" applyBorder="1" applyAlignment="1" applyProtection="1">
      <alignment horizontal="right" vertical="center"/>
      <protection hidden="1"/>
    </xf>
    <xf numFmtId="175" fontId="7" fillId="0" borderId="74" xfId="4" applyNumberFormat="1" applyFont="1" applyFill="1" applyBorder="1" applyAlignment="1" applyProtection="1">
      <protection hidden="1"/>
    </xf>
    <xf numFmtId="175" fontId="7" fillId="0" borderId="9" xfId="4" applyNumberFormat="1" applyFont="1" applyFill="1" applyBorder="1" applyAlignment="1" applyProtection="1">
      <alignment horizontal="center" vertical="center"/>
      <protection hidden="1"/>
    </xf>
    <xf numFmtId="175" fontId="7" fillId="0" borderId="9" xfId="4" applyNumberFormat="1" applyFont="1" applyFill="1" applyBorder="1" applyAlignment="1" applyProtection="1">
      <alignment vertical="center"/>
      <protection hidden="1"/>
    </xf>
    <xf numFmtId="175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5" fontId="6" fillId="0" borderId="70" xfId="4" applyNumberFormat="1" applyFont="1" applyFill="1" applyBorder="1" applyAlignment="1" applyProtection="1">
      <protection hidden="1"/>
    </xf>
    <xf numFmtId="175" fontId="6" fillId="0" borderId="81" xfId="4" applyNumberFormat="1" applyFont="1" applyFill="1" applyBorder="1" applyAlignment="1" applyProtection="1">
      <protection hidden="1"/>
    </xf>
    <xf numFmtId="0" fontId="7" fillId="0" borderId="0" xfId="0" applyNumberFormat="1" applyFont="1" applyAlignment="1"/>
    <xf numFmtId="0" fontId="7" fillId="0" borderId="44" xfId="0" applyNumberFormat="1" applyFont="1" applyBorder="1" applyAlignment="1"/>
    <xf numFmtId="0" fontId="7" fillId="0" borderId="0" xfId="0" applyNumberFormat="1" applyFont="1" applyBorder="1" applyAlignment="1"/>
    <xf numFmtId="175" fontId="6" fillId="0" borderId="79" xfId="4" applyNumberFormat="1" applyFont="1" applyFill="1" applyBorder="1" applyAlignment="1" applyProtection="1">
      <alignment vertical="center"/>
      <protection hidden="1"/>
    </xf>
    <xf numFmtId="175" fontId="6" fillId="0" borderId="0" xfId="4" applyNumberFormat="1" applyFont="1" applyFill="1" applyBorder="1" applyAlignment="1" applyProtection="1">
      <alignment vertical="center"/>
      <protection hidden="1"/>
    </xf>
    <xf numFmtId="175" fontId="6" fillId="0" borderId="50" xfId="4" applyNumberFormat="1" applyFont="1" applyFill="1" applyBorder="1" applyAlignment="1" applyProtection="1">
      <alignment horizontal="right" vertical="center"/>
      <protection hidden="1"/>
    </xf>
    <xf numFmtId="175" fontId="6" fillId="0" borderId="51" xfId="4" applyNumberFormat="1" applyFont="1" applyFill="1" applyBorder="1" applyAlignment="1" applyProtection="1">
      <alignment horizontal="right" vertical="center"/>
      <protection hidden="1"/>
    </xf>
    <xf numFmtId="175" fontId="7" fillId="0" borderId="80" xfId="4" applyNumberFormat="1" applyFont="1" applyFill="1" applyBorder="1" applyAlignment="1" applyProtection="1">
      <protection hidden="1"/>
    </xf>
    <xf numFmtId="175" fontId="7" fillId="0" borderId="82" xfId="4" applyNumberFormat="1" applyFont="1" applyFill="1" applyBorder="1" applyAlignment="1" applyProtection="1">
      <protection hidden="1"/>
    </xf>
    <xf numFmtId="175" fontId="6" fillId="0" borderId="79" xfId="4" applyNumberFormat="1" applyFont="1" applyFill="1" applyBorder="1" applyAlignment="1" applyProtection="1">
      <alignment horizontal="right" vertical="center"/>
      <protection hidden="1"/>
    </xf>
    <xf numFmtId="175" fontId="6" fillId="0" borderId="78" xfId="4" applyNumberFormat="1" applyFont="1" applyFill="1" applyBorder="1" applyAlignment="1" applyProtection="1">
      <alignment horizontal="right" vertical="center"/>
      <protection hidden="1"/>
    </xf>
    <xf numFmtId="175" fontId="7" fillId="0" borderId="7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9" xfId="0" applyNumberFormat="1" applyFont="1" applyBorder="1" applyAlignment="1"/>
    <xf numFmtId="0" fontId="7" fillId="3" borderId="9" xfId="4" applyNumberFormat="1" applyFont="1" applyFill="1" applyBorder="1" applyAlignment="1" applyProtection="1">
      <protection hidden="1"/>
    </xf>
    <xf numFmtId="0" fontId="7" fillId="3" borderId="9" xfId="0" applyNumberFormat="1" applyFont="1" applyFill="1" applyBorder="1" applyAlignment="1" applyProtection="1">
      <protection hidden="1"/>
    </xf>
    <xf numFmtId="0" fontId="7" fillId="3" borderId="9" xfId="0" quotePrefix="1" applyNumberFormat="1" applyFont="1" applyFill="1" applyBorder="1" applyAlignment="1" applyProtection="1">
      <protection hidden="1"/>
    </xf>
    <xf numFmtId="0" fontId="7" fillId="3" borderId="11" xfId="4" applyNumberFormat="1" applyFont="1" applyFill="1" applyBorder="1" applyAlignment="1" applyProtection="1">
      <protection hidden="1"/>
    </xf>
    <xf numFmtId="0" fontId="7" fillId="3" borderId="11" xfId="0" applyNumberFormat="1" applyFont="1" applyFill="1" applyBorder="1" applyAlignment="1" applyProtection="1">
      <protection hidden="1"/>
    </xf>
    <xf numFmtId="0" fontId="7" fillId="3" borderId="11" xfId="0" quotePrefix="1" applyNumberFormat="1" applyFont="1" applyFill="1" applyBorder="1" applyAlignment="1" applyProtection="1">
      <protection hidden="1"/>
    </xf>
    <xf numFmtId="0" fontId="7" fillId="3" borderId="0" xfId="0" applyNumberFormat="1" applyFont="1" applyFill="1" applyBorder="1" applyAlignment="1" applyProtection="1">
      <protection hidden="1"/>
    </xf>
    <xf numFmtId="168" fontId="7" fillId="11" borderId="14" xfId="4" applyNumberFormat="1" applyFont="1" applyFill="1" applyBorder="1" applyAlignment="1" applyProtection="1">
      <alignment vertical="center"/>
      <protection hidden="1"/>
    </xf>
    <xf numFmtId="168" fontId="7" fillId="11" borderId="15" xfId="4" applyNumberFormat="1" applyFont="1" applyFill="1" applyBorder="1" applyAlignment="1" applyProtection="1">
      <alignment vertical="center"/>
      <protection hidden="1"/>
    </xf>
    <xf numFmtId="168" fontId="6" fillId="0" borderId="15" xfId="4" applyNumberFormat="1" applyFont="1" applyFill="1" applyBorder="1" applyAlignment="1" applyProtection="1">
      <alignment vertical="center"/>
      <protection locked="0"/>
    </xf>
    <xf numFmtId="0" fontId="7" fillId="3" borderId="31" xfId="4" applyNumberFormat="1" applyFont="1" applyFill="1" applyBorder="1" applyAlignment="1" applyProtection="1">
      <protection hidden="1"/>
    </xf>
    <xf numFmtId="0" fontId="7" fillId="3" borderId="12" xfId="4" applyNumberFormat="1" applyFont="1" applyFill="1" applyBorder="1" applyAlignment="1" applyProtection="1">
      <protection hidden="1"/>
    </xf>
    <xf numFmtId="168" fontId="6" fillId="3" borderId="12" xfId="4" applyNumberFormat="1" applyFont="1" applyFill="1" applyBorder="1" applyAlignment="1" applyProtection="1">
      <alignment vertical="center"/>
      <protection hidden="1"/>
    </xf>
    <xf numFmtId="0" fontId="7" fillId="3" borderId="8" xfId="4" applyNumberFormat="1" applyFont="1" applyFill="1" applyBorder="1" applyAlignment="1" applyProtection="1">
      <protection hidden="1"/>
    </xf>
    <xf numFmtId="0" fontId="10" fillId="3" borderId="0" xfId="0" applyFont="1" applyFill="1" applyBorder="1" applyAlignment="1" applyProtection="1">
      <alignment horizontal="left" vertical="center" wrapText="1" indent="1"/>
      <protection hidden="1"/>
    </xf>
    <xf numFmtId="0" fontId="10" fillId="3" borderId="11" xfId="0" applyFont="1" applyFill="1" applyBorder="1" applyAlignment="1" applyProtection="1">
      <alignment horizontal="left" vertical="center" wrapText="1" indent="1"/>
      <protection hidden="1"/>
    </xf>
    <xf numFmtId="176" fontId="6" fillId="3" borderId="11" xfId="0" quotePrefix="1" applyNumberFormat="1" applyFont="1" applyFill="1" applyBorder="1" applyAlignment="1" applyProtection="1">
      <alignment horizontal="center" vertical="center"/>
      <protection hidden="1"/>
    </xf>
    <xf numFmtId="176" fontId="6" fillId="3" borderId="22" xfId="4" applyNumberFormat="1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top"/>
      <protection hidden="1"/>
    </xf>
    <xf numFmtId="0" fontId="6" fillId="3" borderId="25" xfId="0" applyFont="1" applyFill="1" applyBorder="1" applyAlignment="1" applyProtection="1">
      <alignment horizontal="center" vertical="top"/>
      <protection hidden="1"/>
    </xf>
    <xf numFmtId="0" fontId="6" fillId="3" borderId="0" xfId="0" applyFont="1" applyFill="1" applyBorder="1" applyAlignment="1" applyProtection="1">
      <alignment horizontal="center" vertical="top" wrapText="1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6" fillId="3" borderId="22" xfId="0" applyFont="1" applyFill="1" applyBorder="1" applyAlignment="1" applyProtection="1">
      <alignment horizontal="center" vertical="top"/>
      <protection hidden="1"/>
    </xf>
    <xf numFmtId="164" fontId="15" fillId="4" borderId="59" xfId="0" applyNumberFormat="1" applyFont="1" applyFill="1" applyBorder="1" applyAlignment="1" applyProtection="1">
      <alignment horizontal="centerContinuous" vertical="center"/>
      <protection hidden="1"/>
    </xf>
    <xf numFmtId="164" fontId="15" fillId="4" borderId="60" xfId="0" applyNumberFormat="1" applyFont="1" applyFill="1" applyBorder="1" applyAlignment="1" applyProtection="1">
      <alignment horizontal="centerContinuous" vertical="center"/>
      <protection hidden="1"/>
    </xf>
    <xf numFmtId="164" fontId="15" fillId="4" borderId="61" xfId="0" applyNumberFormat="1" applyFont="1" applyFill="1" applyBorder="1" applyAlignment="1" applyProtection="1">
      <alignment horizontal="centerContinuous" vertical="center"/>
      <protection hidden="1"/>
    </xf>
    <xf numFmtId="0" fontId="15" fillId="5" borderId="22" xfId="0" applyFont="1" applyFill="1" applyBorder="1" applyAlignment="1" applyProtection="1">
      <alignment horizontal="center" vertical="center"/>
      <protection hidden="1"/>
    </xf>
    <xf numFmtId="0" fontId="6" fillId="5" borderId="22" xfId="0" applyFont="1" applyFill="1" applyBorder="1" applyAlignment="1" applyProtection="1">
      <alignment horizontal="center" vertical="center"/>
      <protection hidden="1"/>
    </xf>
    <xf numFmtId="168" fontId="6" fillId="5" borderId="22" xfId="4" applyNumberFormat="1" applyFont="1" applyFill="1" applyBorder="1" applyAlignment="1" applyProtection="1">
      <alignment vertical="center"/>
      <protection hidden="1"/>
    </xf>
    <xf numFmtId="0" fontId="7" fillId="5" borderId="22" xfId="4" applyFont="1" applyFill="1" applyBorder="1" applyProtection="1">
      <protection hidden="1"/>
    </xf>
    <xf numFmtId="168" fontId="6" fillId="5" borderId="31" xfId="4" applyNumberFormat="1" applyFont="1" applyFill="1" applyBorder="1" applyAlignment="1" applyProtection="1">
      <alignment vertical="center"/>
      <protection hidden="1"/>
    </xf>
    <xf numFmtId="0" fontId="7" fillId="0" borderId="24" xfId="0" applyFont="1" applyBorder="1"/>
    <xf numFmtId="176" fontId="6" fillId="0" borderId="0" xfId="0" quotePrefix="1" applyNumberFormat="1" applyFont="1" applyBorder="1" applyAlignment="1">
      <alignment horizontal="center" vertical="center"/>
    </xf>
    <xf numFmtId="176" fontId="6" fillId="0" borderId="44" xfId="9" quotePrefix="1" applyNumberFormat="1" applyFont="1" applyBorder="1" applyAlignment="1">
      <alignment horizontal="center" vertical="center"/>
    </xf>
    <xf numFmtId="176" fontId="6" fillId="0" borderId="45" xfId="9" quotePrefix="1" applyNumberFormat="1" applyFont="1" applyBorder="1" applyAlignment="1">
      <alignment horizontal="center" vertical="center"/>
    </xf>
    <xf numFmtId="176" fontId="6" fillId="0" borderId="4" xfId="9" quotePrefix="1" applyNumberFormat="1" applyFont="1" applyBorder="1" applyAlignment="1">
      <alignment horizontal="center" vertical="center"/>
    </xf>
    <xf numFmtId="176" fontId="6" fillId="0" borderId="76" xfId="9" quotePrefix="1" applyNumberFormat="1" applyFont="1" applyBorder="1" applyAlignment="1">
      <alignment horizontal="center" vertical="center"/>
    </xf>
    <xf numFmtId="0" fontId="7" fillId="0" borderId="25" xfId="0" applyFont="1" applyBorder="1"/>
    <xf numFmtId="176" fontId="6" fillId="0" borderId="4" xfId="0" quotePrefix="1" applyNumberFormat="1" applyFont="1" applyBorder="1" applyAlignment="1">
      <alignment horizontal="center" vertical="center"/>
    </xf>
    <xf numFmtId="176" fontId="6" fillId="0" borderId="26" xfId="9" quotePrefix="1" applyNumberFormat="1" applyFont="1" applyBorder="1" applyAlignment="1">
      <alignment horizontal="center" vertical="center"/>
    </xf>
    <xf numFmtId="0" fontId="7" fillId="0" borderId="52" xfId="0" applyFont="1" applyBorder="1"/>
    <xf numFmtId="175" fontId="7" fillId="0" borderId="25" xfId="4" applyNumberFormat="1" applyFont="1" applyFill="1" applyBorder="1" applyAlignment="1" applyProtection="1">
      <alignment vertical="center"/>
      <protection hidden="1"/>
    </xf>
    <xf numFmtId="168" fontId="6" fillId="0" borderId="39" xfId="4" applyNumberFormat="1" applyFont="1" applyFill="1" applyBorder="1" applyAlignment="1" applyProtection="1">
      <alignment horizontal="right" vertical="center"/>
      <protection hidden="1"/>
    </xf>
    <xf numFmtId="0" fontId="6" fillId="0" borderId="22" xfId="0" applyFont="1" applyBorder="1" applyAlignment="1">
      <alignment horizontal="center" vertical="center"/>
    </xf>
    <xf numFmtId="176" fontId="6" fillId="0" borderId="23" xfId="9" quotePrefix="1" applyNumberFormat="1" applyFont="1" applyBorder="1" applyAlignment="1">
      <alignment horizontal="center" vertical="center"/>
    </xf>
    <xf numFmtId="0" fontId="7" fillId="0" borderId="22" xfId="0" applyFont="1" applyBorder="1"/>
    <xf numFmtId="0" fontId="7" fillId="0" borderId="79" xfId="0" applyFont="1" applyBorder="1"/>
    <xf numFmtId="176" fontId="6" fillId="0" borderId="45" xfId="0" quotePrefix="1" applyNumberFormat="1" applyFont="1" applyBorder="1" applyAlignment="1">
      <alignment horizontal="center" vertical="center"/>
    </xf>
    <xf numFmtId="0" fontId="7" fillId="0" borderId="80" xfId="0" applyFont="1" applyBorder="1"/>
    <xf numFmtId="0" fontId="7" fillId="0" borderId="83" xfId="0" applyFont="1" applyBorder="1"/>
    <xf numFmtId="175" fontId="6" fillId="0" borderId="22" xfId="0" applyNumberFormat="1" applyFont="1" applyBorder="1" applyAlignment="1">
      <alignment vertical="center"/>
    </xf>
    <xf numFmtId="0" fontId="6" fillId="0" borderId="47" xfId="0" applyNumberFormat="1" applyFont="1" applyFill="1" applyBorder="1" applyAlignment="1" applyProtection="1">
      <alignment horizontal="center" vertical="center" wrapText="1"/>
      <protection hidden="1"/>
    </xf>
    <xf numFmtId="172" fontId="7" fillId="0" borderId="79" xfId="0" applyNumberFormat="1" applyFont="1" applyFill="1" applyBorder="1" applyAlignment="1" applyProtection="1">
      <alignment vertical="center"/>
      <protection hidden="1"/>
    </xf>
    <xf numFmtId="172" fontId="7" fillId="0" borderId="50" xfId="0" applyNumberFormat="1" applyFont="1" applyFill="1" applyBorder="1" applyAlignment="1" applyProtection="1">
      <alignment vertical="center"/>
      <protection hidden="1"/>
    </xf>
    <xf numFmtId="0" fontId="6" fillId="0" borderId="27" xfId="0" applyNumberFormat="1" applyFont="1" applyFill="1" applyBorder="1" applyAlignment="1" applyProtection="1">
      <alignment horizontal="center" vertical="top" wrapText="1"/>
      <protection hidden="1"/>
    </xf>
    <xf numFmtId="0" fontId="7" fillId="0" borderId="26" xfId="0" applyNumberFormat="1" applyFont="1" applyFill="1" applyBorder="1" applyAlignment="1" applyProtection="1">
      <protection hidden="1"/>
    </xf>
    <xf numFmtId="175" fontId="7" fillId="0" borderId="22" xfId="4" applyNumberFormat="1" applyFont="1" applyFill="1" applyBorder="1" applyAlignment="1" applyProtection="1">
      <alignment vertical="center"/>
      <protection hidden="1"/>
    </xf>
    <xf numFmtId="168" fontId="6" fillId="0" borderId="31" xfId="4" applyNumberFormat="1" applyFont="1" applyFill="1" applyBorder="1" applyAlignment="1" applyProtection="1">
      <alignment horizontal="right" vertical="center"/>
      <protection hidden="1"/>
    </xf>
    <xf numFmtId="0" fontId="7" fillId="0" borderId="1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168" fontId="6" fillId="5" borderId="38" xfId="4" applyNumberFormat="1" applyFont="1" applyFill="1" applyBorder="1" applyAlignment="1" applyProtection="1">
      <alignment vertical="center"/>
      <protection hidden="1"/>
    </xf>
    <xf numFmtId="168" fontId="6" fillId="5" borderId="36" xfId="4" applyNumberFormat="1" applyFont="1" applyFill="1" applyBorder="1" applyAlignment="1" applyProtection="1">
      <alignment vertical="center"/>
      <protection hidden="1"/>
    </xf>
    <xf numFmtId="168" fontId="7" fillId="5" borderId="49" xfId="4" applyNumberFormat="1" applyFont="1" applyFill="1" applyBorder="1" applyAlignment="1" applyProtection="1">
      <alignment vertical="center"/>
      <protection hidden="1"/>
    </xf>
    <xf numFmtId="168" fontId="7" fillId="5" borderId="12" xfId="4" applyNumberFormat="1" applyFont="1" applyFill="1" applyBorder="1" applyAlignment="1" applyProtection="1">
      <alignment vertical="center"/>
      <protection hidden="1"/>
    </xf>
    <xf numFmtId="168" fontId="7" fillId="5" borderId="8" xfId="4" applyNumberFormat="1" applyFont="1" applyFill="1" applyBorder="1" applyAlignment="1" applyProtection="1">
      <alignment vertical="center"/>
      <protection hidden="1"/>
    </xf>
    <xf numFmtId="168" fontId="7" fillId="5" borderId="22" xfId="4" applyNumberFormat="1" applyFont="1" applyFill="1" applyBorder="1" applyAlignment="1" applyProtection="1">
      <alignment vertical="center"/>
      <protection hidden="1"/>
    </xf>
    <xf numFmtId="168" fontId="7" fillId="5" borderId="31" xfId="4" applyNumberFormat="1" applyFont="1" applyFill="1" applyBorder="1" applyAlignment="1" applyProtection="1">
      <alignment vertical="center"/>
      <protection hidden="1"/>
    </xf>
    <xf numFmtId="0" fontId="15" fillId="6" borderId="11" xfId="0" applyFont="1" applyFill="1" applyBorder="1" applyAlignment="1" applyProtection="1">
      <alignment horizontal="center"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7" fillId="6" borderId="11" xfId="4" applyFont="1" applyFill="1" applyBorder="1" applyProtection="1">
      <protection hidden="1"/>
    </xf>
    <xf numFmtId="0" fontId="7" fillId="6" borderId="12" xfId="4" applyNumberFormat="1" applyFont="1" applyFill="1" applyBorder="1" applyAlignment="1" applyProtection="1">
      <protection hidden="1"/>
    </xf>
    <xf numFmtId="165" fontId="7" fillId="8" borderId="49" xfId="7" quotePrefix="1" applyNumberFormat="1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left" vertical="center" indent="1"/>
    </xf>
    <xf numFmtId="168" fontId="6" fillId="5" borderId="12" xfId="4" applyNumberFormat="1" applyFont="1" applyFill="1" applyBorder="1" applyAlignment="1" applyProtection="1">
      <alignment vertical="center"/>
      <protection hidden="1"/>
    </xf>
    <xf numFmtId="165" fontId="7" fillId="17" borderId="12" xfId="7" quotePrefix="1" applyNumberFormat="1" applyFont="1" applyFill="1" applyBorder="1" applyAlignment="1" applyProtection="1">
      <alignment vertical="center"/>
      <protection hidden="1"/>
    </xf>
    <xf numFmtId="165" fontId="7" fillId="18" borderId="11" xfId="7" quotePrefix="1" applyNumberFormat="1" applyFont="1" applyFill="1" applyBorder="1" applyAlignment="1" applyProtection="1">
      <alignment vertical="center"/>
      <protection hidden="1"/>
    </xf>
    <xf numFmtId="0" fontId="7" fillId="3" borderId="48" xfId="4" applyNumberFormat="1" applyFont="1" applyFill="1" applyBorder="1" applyAlignment="1" applyProtection="1">
      <alignment vertical="center"/>
      <protection hidden="1"/>
    </xf>
    <xf numFmtId="168" fontId="7" fillId="11" borderId="29" xfId="4" applyNumberFormat="1" applyFont="1" applyFill="1" applyBorder="1" applyAlignment="1" applyProtection="1">
      <alignment vertical="center"/>
      <protection hidden="1"/>
    </xf>
    <xf numFmtId="168" fontId="7" fillId="11" borderId="30" xfId="4" applyNumberFormat="1" applyFont="1" applyFill="1" applyBorder="1" applyAlignment="1" applyProtection="1">
      <alignment vertical="center"/>
      <protection hidden="1"/>
    </xf>
    <xf numFmtId="165" fontId="7" fillId="18" borderId="55" xfId="7" quotePrefix="1" applyNumberFormat="1" applyFont="1" applyFill="1" applyBorder="1" applyAlignment="1" applyProtection="1">
      <alignment vertical="center"/>
      <protection hidden="1"/>
    </xf>
    <xf numFmtId="165" fontId="7" fillId="18" borderId="6" xfId="7" quotePrefix="1" applyNumberFormat="1" applyFont="1" applyFill="1" applyBorder="1" applyAlignment="1" applyProtection="1">
      <alignment vertical="center"/>
      <protection hidden="1"/>
    </xf>
    <xf numFmtId="0" fontId="7" fillId="6" borderId="8" xfId="4" applyFont="1" applyFill="1" applyBorder="1" applyProtection="1">
      <protection hidden="1"/>
    </xf>
    <xf numFmtId="0" fontId="7" fillId="6" borderId="22" xfId="4" applyFont="1" applyFill="1" applyBorder="1" applyProtection="1">
      <protection hidden="1"/>
    </xf>
    <xf numFmtId="165" fontId="7" fillId="18" borderId="22" xfId="7" quotePrefix="1" applyNumberFormat="1" applyFont="1" applyFill="1" applyBorder="1" applyAlignment="1" applyProtection="1">
      <alignment vertical="center"/>
      <protection hidden="1"/>
    </xf>
    <xf numFmtId="0" fontId="7" fillId="6" borderId="31" xfId="4" applyNumberFormat="1" applyFont="1" applyFill="1" applyBorder="1" applyAlignment="1" applyProtection="1">
      <protection hidden="1"/>
    </xf>
    <xf numFmtId="0" fontId="22" fillId="11" borderId="9" xfId="0" applyNumberFormat="1" applyFont="1" applyFill="1" applyBorder="1" applyAlignment="1" applyProtection="1">
      <protection hidden="1"/>
    </xf>
    <xf numFmtId="0" fontId="7" fillId="11" borderId="9" xfId="0" applyNumberFormat="1" applyFont="1" applyFill="1" applyBorder="1" applyAlignment="1" applyProtection="1">
      <protection hidden="1"/>
    </xf>
    <xf numFmtId="0" fontId="7" fillId="11" borderId="9" xfId="4" applyNumberFormat="1" applyFont="1" applyFill="1" applyBorder="1" applyAlignment="1" applyProtection="1">
      <protection hidden="1"/>
    </xf>
    <xf numFmtId="0" fontId="7" fillId="11" borderId="9" xfId="0" quotePrefix="1" applyNumberFormat="1" applyFont="1" applyFill="1" applyBorder="1" applyAlignment="1" applyProtection="1">
      <protection hidden="1"/>
    </xf>
    <xf numFmtId="168" fontId="17" fillId="3" borderId="9" xfId="4" applyNumberFormat="1" applyFont="1" applyFill="1" applyBorder="1" applyAlignment="1" applyProtection="1">
      <alignment horizontal="center" vertical="center"/>
      <protection hidden="1"/>
    </xf>
    <xf numFmtId="0" fontId="17" fillId="3" borderId="9" xfId="4" applyNumberFormat="1" applyFont="1" applyFill="1" applyBorder="1" applyAlignment="1" applyProtection="1">
      <alignment horizontal="center" vertical="center"/>
      <protection hidden="1"/>
    </xf>
    <xf numFmtId="0" fontId="17" fillId="3" borderId="15" xfId="4" applyNumberFormat="1" applyFont="1" applyFill="1" applyBorder="1" applyAlignment="1" applyProtection="1">
      <alignment horizontal="center" vertical="center"/>
      <protection hidden="1"/>
    </xf>
    <xf numFmtId="0" fontId="6" fillId="3" borderId="25" xfId="4" applyNumberFormat="1" applyFont="1" applyFill="1" applyBorder="1" applyAlignment="1" applyProtection="1">
      <alignment horizontal="center" vertical="center"/>
      <protection hidden="1"/>
    </xf>
    <xf numFmtId="0" fontId="17" fillId="3" borderId="25" xfId="4" applyNumberFormat="1" applyFont="1" applyFill="1" applyBorder="1" applyAlignment="1" applyProtection="1">
      <alignment horizontal="center" vertical="center"/>
      <protection hidden="1"/>
    </xf>
    <xf numFmtId="0" fontId="6" fillId="3" borderId="20" xfId="4" applyNumberFormat="1" applyFont="1" applyFill="1" applyBorder="1" applyAlignment="1" applyProtection="1">
      <alignment horizontal="center" vertical="center"/>
      <protection hidden="1"/>
    </xf>
    <xf numFmtId="0" fontId="6" fillId="3" borderId="39" xfId="4" applyNumberFormat="1" applyFont="1" applyFill="1" applyBorder="1" applyAlignment="1" applyProtection="1">
      <alignment horizontal="center" vertical="center"/>
      <protection hidden="1"/>
    </xf>
    <xf numFmtId="0" fontId="6" fillId="3" borderId="15" xfId="4" applyNumberFormat="1" applyFont="1" applyFill="1" applyBorder="1" applyAlignment="1" applyProtection="1">
      <alignment horizontal="center" vertical="center"/>
      <protection hidden="1"/>
    </xf>
    <xf numFmtId="0" fontId="17" fillId="11" borderId="15" xfId="4" applyNumberFormat="1" applyFont="1" applyFill="1" applyBorder="1" applyAlignment="1" applyProtection="1">
      <alignment horizontal="center" vertical="center"/>
      <protection hidden="1"/>
    </xf>
    <xf numFmtId="0" fontId="18" fillId="11" borderId="25" xfId="4" applyNumberFormat="1" applyFont="1" applyFill="1" applyBorder="1" applyAlignment="1" applyProtection="1">
      <alignment horizontal="center" vertical="center"/>
      <protection hidden="1"/>
    </xf>
    <xf numFmtId="0" fontId="17" fillId="11" borderId="25" xfId="4" applyNumberFormat="1" applyFont="1" applyFill="1" applyBorder="1" applyAlignment="1" applyProtection="1">
      <alignment horizontal="center" vertical="center"/>
      <protection hidden="1"/>
    </xf>
    <xf numFmtId="0" fontId="18" fillId="11" borderId="20" xfId="4" applyNumberFormat="1" applyFont="1" applyFill="1" applyBorder="1" applyAlignment="1" applyProtection="1">
      <alignment horizontal="center" vertical="center"/>
      <protection hidden="1"/>
    </xf>
    <xf numFmtId="0" fontId="18" fillId="11" borderId="39" xfId="4" applyNumberFormat="1" applyFont="1" applyFill="1" applyBorder="1" applyAlignment="1" applyProtection="1">
      <alignment horizontal="center" vertical="center"/>
      <protection hidden="1"/>
    </xf>
    <xf numFmtId="0" fontId="6" fillId="3" borderId="15" xfId="4" applyNumberFormat="1" applyFont="1" applyFill="1" applyBorder="1" applyAlignment="1" applyProtection="1">
      <alignment vertical="center"/>
      <protection hidden="1"/>
    </xf>
    <xf numFmtId="175" fontId="7" fillId="0" borderId="24" xfId="4" applyNumberFormat="1" applyFont="1" applyFill="1" applyBorder="1" applyAlignment="1" applyProtection="1">
      <alignment vertical="center"/>
      <protection hidden="1"/>
    </xf>
    <xf numFmtId="175" fontId="7" fillId="0" borderId="27" xfId="4" applyNumberFormat="1" applyFont="1" applyFill="1" applyBorder="1" applyAlignment="1" applyProtection="1">
      <alignment vertical="center"/>
      <protection hidden="1"/>
    </xf>
    <xf numFmtId="168" fontId="7" fillId="5" borderId="28" xfId="4" applyNumberFormat="1" applyFont="1" applyFill="1" applyBorder="1" applyAlignment="1" applyProtection="1">
      <alignment vertical="center"/>
      <protection hidden="1"/>
    </xf>
    <xf numFmtId="0" fontId="18" fillId="3" borderId="9" xfId="4" applyNumberFormat="1" applyFont="1" applyFill="1" applyBorder="1" applyAlignment="1" applyProtection="1">
      <alignment horizontal="center" vertical="center"/>
      <protection hidden="1"/>
    </xf>
    <xf numFmtId="0" fontId="10" fillId="3" borderId="12" xfId="0" applyFont="1" applyFill="1" applyBorder="1" applyAlignment="1" applyProtection="1">
      <alignment horizontal="left" vertical="center" wrapText="1" indent="1"/>
      <protection hidden="1"/>
    </xf>
    <xf numFmtId="0" fontId="10" fillId="3" borderId="49" xfId="0" applyFont="1" applyFill="1" applyBorder="1" applyAlignment="1" applyProtection="1">
      <alignment horizontal="left" vertical="center" wrapText="1" indent="1"/>
      <protection hidden="1"/>
    </xf>
    <xf numFmtId="0" fontId="7" fillId="3" borderId="31" xfId="4" applyFont="1" applyFill="1" applyBorder="1" applyProtection="1">
      <protection hidden="1"/>
    </xf>
    <xf numFmtId="0" fontId="10" fillId="3" borderId="22" xfId="0" applyFont="1" applyFill="1" applyBorder="1" applyAlignment="1" applyProtection="1">
      <alignment horizontal="left" vertical="center" wrapText="1" indent="1"/>
      <protection hidden="1"/>
    </xf>
    <xf numFmtId="0" fontId="7" fillId="3" borderId="22" xfId="0" applyNumberFormat="1" applyFont="1" applyFill="1" applyBorder="1" applyAlignment="1" applyProtection="1">
      <protection hidden="1"/>
    </xf>
    <xf numFmtId="168" fontId="7" fillId="0" borderId="49" xfId="4" applyNumberFormat="1" applyFont="1" applyFill="1" applyBorder="1" applyAlignment="1" applyProtection="1">
      <alignment vertical="center"/>
      <protection locked="0"/>
    </xf>
    <xf numFmtId="168" fontId="7" fillId="0" borderId="28" xfId="4" applyNumberFormat="1" applyFont="1" applyFill="1" applyBorder="1" applyAlignment="1" applyProtection="1">
      <alignment vertical="center"/>
      <protection locked="0"/>
    </xf>
    <xf numFmtId="176" fontId="6" fillId="6" borderId="9" xfId="0" quotePrefix="1" applyNumberFormat="1" applyFont="1" applyFill="1" applyBorder="1" applyAlignment="1" applyProtection="1">
      <alignment horizontal="center" vertical="center"/>
      <protection hidden="1"/>
    </xf>
    <xf numFmtId="176" fontId="6" fillId="6" borderId="27" xfId="0" quotePrefix="1" applyNumberFormat="1" applyFont="1" applyFill="1" applyBorder="1" applyAlignment="1" applyProtection="1">
      <alignment horizontal="center" vertical="center"/>
      <protection hidden="1"/>
    </xf>
    <xf numFmtId="176" fontId="6" fillId="6" borderId="11" xfId="0" quotePrefix="1" applyNumberFormat="1" applyFont="1" applyFill="1" applyBorder="1" applyAlignment="1" applyProtection="1">
      <alignment horizontal="center" vertical="center"/>
      <protection hidden="1"/>
    </xf>
    <xf numFmtId="0" fontId="10" fillId="10" borderId="66" xfId="0" applyFont="1" applyFill="1" applyBorder="1" applyAlignment="1" applyProtection="1">
      <alignment horizontal="left" vertical="center" wrapText="1" indent="1"/>
      <protection hidden="1"/>
    </xf>
    <xf numFmtId="0" fontId="10" fillId="10" borderId="35" xfId="0" applyFont="1" applyFill="1" applyBorder="1" applyAlignment="1" applyProtection="1">
      <alignment horizontal="left" vertical="center" wrapText="1" indent="1"/>
      <protection hidden="1"/>
    </xf>
    <xf numFmtId="0" fontId="5" fillId="2" borderId="80" xfId="0" applyNumberFormat="1" applyFont="1" applyFill="1" applyBorder="1" applyAlignment="1" applyProtection="1">
      <alignment horizontal="left" vertical="top" wrapText="1"/>
      <protection locked="0"/>
    </xf>
    <xf numFmtId="0" fontId="5" fillId="2" borderId="47" xfId="0" applyNumberFormat="1" applyFont="1" applyFill="1" applyBorder="1" applyAlignment="1" applyProtection="1">
      <alignment horizontal="left" vertical="top" wrapText="1"/>
      <protection locked="0"/>
    </xf>
    <xf numFmtId="0" fontId="5" fillId="2" borderId="99" xfId="0" applyNumberFormat="1" applyFont="1" applyFill="1" applyBorder="1" applyAlignment="1" applyProtection="1">
      <alignment horizontal="left" vertical="top" wrapText="1"/>
      <protection locked="0"/>
    </xf>
    <xf numFmtId="0" fontId="10" fillId="16" borderId="66" xfId="0" applyFont="1" applyFill="1" applyBorder="1" applyAlignment="1" applyProtection="1">
      <alignment horizontal="left" vertical="center" wrapText="1" indent="1"/>
      <protection hidden="1"/>
    </xf>
    <xf numFmtId="0" fontId="10" fillId="16" borderId="30" xfId="0" applyFont="1" applyFill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>
      <alignment vertical="center"/>
    </xf>
    <xf numFmtId="168" fontId="7" fillId="9" borderId="77" xfId="4" applyNumberFormat="1" applyFont="1" applyFill="1" applyBorder="1" applyAlignment="1" applyProtection="1">
      <alignment vertical="center"/>
      <protection locked="0"/>
    </xf>
    <xf numFmtId="168" fontId="7" fillId="0" borderId="48" xfId="4" applyNumberFormat="1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6" fillId="0" borderId="25" xfId="9" applyNumberFormat="1" applyFont="1" applyBorder="1" applyAlignment="1" applyProtection="1">
      <alignment horizontal="center" vertical="top" wrapText="1"/>
    </xf>
    <xf numFmtId="0" fontId="6" fillId="0" borderId="10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/>
    </xf>
    <xf numFmtId="0" fontId="7" fillId="0" borderId="18" xfId="0" applyFont="1" applyBorder="1"/>
    <xf numFmtId="0" fontId="7" fillId="0" borderId="11" xfId="0" applyFont="1" applyBorder="1"/>
    <xf numFmtId="0" fontId="6" fillId="0" borderId="11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top" indent="1"/>
    </xf>
    <xf numFmtId="0" fontId="7" fillId="0" borderId="13" xfId="0" applyFont="1" applyBorder="1"/>
    <xf numFmtId="0" fontId="6" fillId="0" borderId="67" xfId="4" applyFont="1" applyFill="1" applyBorder="1" applyAlignment="1" applyProtection="1">
      <alignment horizontal="left" indent="1"/>
      <protection hidden="1"/>
    </xf>
    <xf numFmtId="0" fontId="6" fillId="0" borderId="11" xfId="4" applyFont="1" applyFill="1" applyBorder="1" applyAlignment="1" applyProtection="1">
      <alignment horizontal="left" vertical="center" indent="1"/>
      <protection hidden="1"/>
    </xf>
    <xf numFmtId="0" fontId="6" fillId="0" borderId="11" xfId="4" applyFont="1" applyFill="1" applyBorder="1" applyAlignment="1" applyProtection="1">
      <alignment horizontal="left" vertical="center" indent="3"/>
      <protection hidden="1"/>
    </xf>
    <xf numFmtId="0" fontId="7" fillId="0" borderId="11" xfId="4" applyFont="1" applyFill="1" applyBorder="1" applyAlignment="1" applyProtection="1">
      <alignment horizontal="left" vertical="center" indent="4"/>
      <protection hidden="1"/>
    </xf>
    <xf numFmtId="0" fontId="7" fillId="0" borderId="11" xfId="4" applyFont="1" applyFill="1" applyBorder="1" applyAlignment="1" applyProtection="1">
      <alignment horizontal="left" vertical="center" indent="5"/>
      <protection hidden="1"/>
    </xf>
    <xf numFmtId="0" fontId="6" fillId="0" borderId="42" xfId="0" applyFont="1" applyBorder="1" applyAlignment="1">
      <alignment horizontal="left" vertical="center" indent="1"/>
    </xf>
    <xf numFmtId="0" fontId="6" fillId="0" borderId="59" xfId="0" applyFont="1" applyBorder="1" applyAlignment="1">
      <alignment horizontal="centerContinuous" vertical="center"/>
    </xf>
    <xf numFmtId="0" fontId="6" fillId="0" borderId="60" xfId="0" applyFont="1" applyBorder="1" applyAlignment="1">
      <alignment horizontal="centerContinuous" vertical="center"/>
    </xf>
    <xf numFmtId="0" fontId="6" fillId="0" borderId="61" xfId="0" applyFont="1" applyBorder="1" applyAlignment="1">
      <alignment horizontal="centerContinuous" vertical="center"/>
    </xf>
    <xf numFmtId="175" fontId="6" fillId="0" borderId="9" xfId="4" applyNumberFormat="1" applyFont="1" applyFill="1" applyBorder="1" applyAlignment="1" applyProtection="1">
      <alignment horizontal="right" vertical="center"/>
      <protection hidden="1"/>
    </xf>
    <xf numFmtId="175" fontId="6" fillId="0" borderId="41" xfId="4" applyNumberFormat="1" applyFont="1" applyFill="1" applyBorder="1" applyAlignment="1" applyProtection="1">
      <alignment horizontal="right" vertical="center"/>
      <protection hidden="1"/>
    </xf>
    <xf numFmtId="175" fontId="7" fillId="0" borderId="100" xfId="4" applyNumberFormat="1" applyFont="1" applyFill="1" applyBorder="1" applyAlignment="1" applyProtection="1">
      <alignment horizontal="center" vertical="center"/>
      <protection hidden="1"/>
    </xf>
    <xf numFmtId="175" fontId="7" fillId="0" borderId="100" xfId="4" applyNumberFormat="1" applyFont="1" applyFill="1" applyBorder="1" applyAlignment="1" applyProtection="1">
      <alignment vertical="center"/>
      <protection hidden="1"/>
    </xf>
    <xf numFmtId="175" fontId="6" fillId="0" borderId="100" xfId="4" applyNumberFormat="1" applyFont="1" applyFill="1" applyBorder="1" applyAlignment="1" applyProtection="1">
      <alignment horizontal="right" vertical="center"/>
      <protection hidden="1"/>
    </xf>
    <xf numFmtId="175" fontId="7" fillId="0" borderId="100" xfId="0" applyNumberFormat="1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175" fontId="6" fillId="0" borderId="72" xfId="4" applyNumberFormat="1" applyFont="1" applyFill="1" applyBorder="1" applyAlignment="1" applyProtection="1">
      <alignment horizontal="right" vertical="center"/>
      <protection hidden="1"/>
    </xf>
    <xf numFmtId="175" fontId="6" fillId="0" borderId="42" xfId="4" applyNumberFormat="1" applyFont="1" applyFill="1" applyBorder="1" applyAlignment="1" applyProtection="1">
      <alignment horizontal="right" vertical="center"/>
      <protection hidden="1"/>
    </xf>
    <xf numFmtId="175" fontId="7" fillId="0" borderId="0" xfId="4" applyNumberFormat="1" applyFont="1" applyFill="1" applyBorder="1" applyAlignme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71" xfId="0" applyFont="1" applyBorder="1" applyProtection="1">
      <protection hidden="1"/>
    </xf>
    <xf numFmtId="0" fontId="25" fillId="0" borderId="18" xfId="0" applyFont="1" applyBorder="1" applyProtection="1">
      <protection hidden="1"/>
    </xf>
    <xf numFmtId="0" fontId="25" fillId="0" borderId="0" xfId="0" applyNumberFormat="1" applyFont="1" applyFill="1" applyBorder="1" applyAlignment="1" applyProtection="1">
      <protection hidden="1"/>
    </xf>
    <xf numFmtId="0" fontId="7" fillId="0" borderId="0" xfId="5" applyNumberFormat="1" applyFont="1" applyFill="1" applyBorder="1" applyAlignment="1" applyProtection="1">
      <alignment wrapText="1"/>
      <protection hidden="1"/>
    </xf>
    <xf numFmtId="0" fontId="7" fillId="0" borderId="0" xfId="5" applyNumberFormat="1" applyFont="1" applyFill="1" applyBorder="1" applyAlignment="1" applyProtection="1">
      <protection hidden="1"/>
    </xf>
    <xf numFmtId="0" fontId="24" fillId="0" borderId="22" xfId="0" applyFont="1" applyBorder="1" applyAlignment="1" applyProtection="1">
      <alignment horizontal="left" vertical="center" indent="1"/>
      <protection hidden="1"/>
    </xf>
    <xf numFmtId="0" fontId="24" fillId="0" borderId="11" xfId="0" applyFont="1" applyBorder="1" applyAlignment="1" applyProtection="1">
      <alignment horizontal="left" vertical="center" indent="1"/>
      <protection hidden="1"/>
    </xf>
    <xf numFmtId="175" fontId="6" fillId="0" borderId="0" xfId="5" applyNumberFormat="1" applyFont="1" applyFill="1" applyBorder="1" applyAlignment="1" applyProtection="1">
      <alignment horizontal="center" vertical="top" wrapText="1"/>
      <protection hidden="1"/>
    </xf>
    <xf numFmtId="175" fontId="6" fillId="0" borderId="100" xfId="5" applyNumberFormat="1" applyFont="1" applyFill="1" applyBorder="1" applyAlignment="1" applyProtection="1">
      <alignment horizontal="center" vertical="top" wrapText="1"/>
      <protection hidden="1"/>
    </xf>
    <xf numFmtId="175" fontId="6" fillId="0" borderId="25" xfId="5" applyNumberFormat="1" applyFont="1" applyFill="1" applyBorder="1" applyAlignment="1" applyProtection="1">
      <alignment horizontal="center" vertical="top" wrapText="1"/>
      <protection hidden="1"/>
    </xf>
    <xf numFmtId="175" fontId="6" fillId="0" borderId="24" xfId="5" applyNumberFormat="1" applyFont="1" applyFill="1" applyBorder="1" applyAlignment="1" applyProtection="1">
      <alignment horizontal="center" vertical="top" wrapText="1"/>
      <protection hidden="1"/>
    </xf>
    <xf numFmtId="175" fontId="6" fillId="0" borderId="10" xfId="5" applyNumberFormat="1" applyFont="1" applyFill="1" applyBorder="1" applyAlignment="1" applyProtection="1">
      <alignment horizontal="center" vertical="top" wrapText="1"/>
      <protection hidden="1"/>
    </xf>
    <xf numFmtId="0" fontId="24" fillId="0" borderId="78" xfId="0" applyNumberFormat="1" applyFont="1" applyFill="1" applyBorder="1" applyAlignment="1" applyProtection="1">
      <alignment horizontal="center" vertical="top" wrapText="1"/>
      <protection hidden="1"/>
    </xf>
    <xf numFmtId="0" fontId="24" fillId="0" borderId="25" xfId="0" applyNumberFormat="1" applyFont="1" applyFill="1" applyBorder="1" applyAlignment="1" applyProtection="1">
      <alignment horizontal="center" vertical="top" wrapText="1"/>
      <protection hidden="1"/>
    </xf>
    <xf numFmtId="0" fontId="24" fillId="0" borderId="52" xfId="0" applyNumberFormat="1" applyFont="1" applyFill="1" applyBorder="1" applyAlignment="1" applyProtection="1">
      <alignment horizontal="center" vertical="top" wrapText="1"/>
      <protection hidden="1"/>
    </xf>
    <xf numFmtId="0" fontId="24" fillId="0" borderId="100" xfId="0" applyNumberFormat="1" applyFont="1" applyFill="1" applyBorder="1" applyAlignment="1" applyProtection="1">
      <alignment horizontal="center" vertical="top" wrapText="1"/>
      <protection hidden="1"/>
    </xf>
    <xf numFmtId="0" fontId="7" fillId="0" borderId="0" xfId="0" applyNumberFormat="1" applyFont="1" applyFill="1" applyBorder="1" applyAlignment="1" applyProtection="1">
      <alignment wrapText="1"/>
      <protection hidden="1"/>
    </xf>
    <xf numFmtId="0" fontId="7" fillId="0" borderId="0" xfId="5" applyNumberFormat="1" applyFont="1" applyFill="1" applyBorder="1" applyAlignment="1"/>
    <xf numFmtId="0" fontId="24" fillId="0" borderId="10" xfId="0" applyFont="1" applyBorder="1" applyAlignment="1" applyProtection="1">
      <alignment horizontal="left" vertical="top" indent="1"/>
      <protection hidden="1"/>
    </xf>
    <xf numFmtId="0" fontId="6" fillId="0" borderId="27" xfId="10" applyFont="1" applyBorder="1" applyAlignment="1" applyProtection="1">
      <alignment horizontal="center" vertical="center"/>
      <protection hidden="1"/>
    </xf>
    <xf numFmtId="0" fontId="6" fillId="0" borderId="0" xfId="11" applyFont="1" applyBorder="1" applyAlignment="1" applyProtection="1">
      <alignment horizontal="center" vertical="center"/>
      <protection hidden="1"/>
    </xf>
    <xf numFmtId="0" fontId="6" fillId="0" borderId="25" xfId="11" applyFont="1" applyBorder="1" applyAlignment="1" applyProtection="1">
      <alignment horizontal="center" vertical="center"/>
      <protection hidden="1"/>
    </xf>
    <xf numFmtId="0" fontId="6" fillId="0" borderId="100" xfId="11" applyFont="1" applyBorder="1" applyAlignment="1" applyProtection="1">
      <alignment horizontal="center" vertical="center"/>
      <protection hidden="1"/>
    </xf>
    <xf numFmtId="0" fontId="6" fillId="0" borderId="78" xfId="11" applyFont="1" applyBorder="1" applyAlignment="1" applyProtection="1">
      <alignment horizontal="center" vertical="center"/>
      <protection hidden="1"/>
    </xf>
    <xf numFmtId="0" fontId="6" fillId="0" borderId="9" xfId="11" applyFont="1" applyBorder="1" applyAlignment="1" applyProtection="1">
      <alignment horizontal="center" vertical="center"/>
      <protection hidden="1"/>
    </xf>
    <xf numFmtId="0" fontId="6" fillId="0" borderId="27" xfId="11" applyFont="1" applyBorder="1" applyAlignment="1" applyProtection="1">
      <alignment horizontal="center" vertical="center"/>
      <protection hidden="1"/>
    </xf>
    <xf numFmtId="0" fontId="24" fillId="0" borderId="78" xfId="0" applyFont="1" applyBorder="1" applyAlignment="1" applyProtection="1">
      <alignment horizontal="center" vertical="center"/>
      <protection hidden="1"/>
    </xf>
    <xf numFmtId="0" fontId="24" fillId="0" borderId="25" xfId="0" applyFont="1" applyBorder="1" applyAlignment="1" applyProtection="1">
      <alignment horizontal="center" vertical="center"/>
      <protection hidden="1"/>
    </xf>
    <xf numFmtId="0" fontId="24" fillId="0" borderId="100" xfId="0" applyFont="1" applyBorder="1" applyAlignment="1" applyProtection="1">
      <alignment horizontal="center" vertical="center"/>
      <protection hidden="1"/>
    </xf>
    <xf numFmtId="0" fontId="24" fillId="0" borderId="27" xfId="0" applyFont="1" applyBorder="1" applyAlignment="1" applyProtection="1">
      <alignment horizontal="center" vertical="center"/>
      <protection hidden="1"/>
    </xf>
    <xf numFmtId="0" fontId="7" fillId="0" borderId="0" xfId="5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wrapText="1"/>
    </xf>
    <xf numFmtId="0" fontId="7" fillId="0" borderId="0" xfId="11" applyNumberFormat="1" applyFont="1" applyFill="1" applyBorder="1" applyAlignment="1"/>
    <xf numFmtId="0" fontId="7" fillId="0" borderId="0" xfId="11" applyNumberFormat="1" applyFont="1" applyBorder="1" applyAlignment="1"/>
    <xf numFmtId="0" fontId="25" fillId="0" borderId="26" xfId="0" applyFont="1" applyBorder="1" applyProtection="1">
      <protection hidden="1"/>
    </xf>
    <xf numFmtId="176" fontId="24" fillId="0" borderId="4" xfId="9" quotePrefix="1" applyNumberFormat="1" applyFont="1" applyBorder="1" applyAlignment="1" applyProtection="1">
      <alignment horizontal="center" vertical="center"/>
      <protection hidden="1"/>
    </xf>
    <xf numFmtId="176" fontId="24" fillId="0" borderId="4" xfId="0" quotePrefix="1" applyNumberFormat="1" applyFont="1" applyBorder="1" applyAlignment="1" applyProtection="1">
      <alignment horizontal="center" vertical="center"/>
      <protection hidden="1"/>
    </xf>
    <xf numFmtId="176" fontId="24" fillId="0" borderId="26" xfId="9" quotePrefix="1" applyNumberFormat="1" applyFont="1" applyBorder="1" applyAlignment="1" applyProtection="1">
      <alignment horizontal="center" vertical="center"/>
      <protection hidden="1"/>
    </xf>
    <xf numFmtId="176" fontId="24" fillId="0" borderId="101" xfId="9" quotePrefix="1" applyNumberFormat="1" applyFont="1" applyBorder="1" applyAlignment="1" applyProtection="1">
      <alignment horizontal="center" vertical="center"/>
      <protection hidden="1"/>
    </xf>
    <xf numFmtId="176" fontId="24" fillId="0" borderId="5" xfId="9" quotePrefix="1" applyNumberFormat="1" applyFont="1" applyBorder="1" applyAlignment="1" applyProtection="1">
      <alignment horizontal="center" vertical="center"/>
      <protection hidden="1"/>
    </xf>
    <xf numFmtId="176" fontId="24" fillId="0" borderId="3" xfId="9" quotePrefix="1" applyNumberFormat="1" applyFont="1" applyBorder="1" applyAlignment="1" applyProtection="1">
      <alignment horizontal="center" vertical="center"/>
      <protection hidden="1"/>
    </xf>
    <xf numFmtId="0" fontId="7" fillId="0" borderId="0" xfId="9" quotePrefix="1" applyNumberFormat="1" applyFont="1" applyFill="1" applyBorder="1" applyAlignment="1"/>
    <xf numFmtId="0" fontId="7" fillId="0" borderId="0" xfId="9" quotePrefix="1" applyNumberFormat="1" applyFont="1" applyBorder="1" applyAlignment="1"/>
    <xf numFmtId="171" fontId="25" fillId="0" borderId="74" xfId="0" applyNumberFormat="1" applyFont="1" applyBorder="1" applyProtection="1">
      <protection hidden="1"/>
    </xf>
    <xf numFmtId="0" fontId="25" fillId="0" borderId="67" xfId="0" applyFont="1" applyFill="1" applyBorder="1" applyAlignment="1" applyProtection="1">
      <alignment horizontal="left" indent="1"/>
      <protection hidden="1"/>
    </xf>
    <xf numFmtId="175" fontId="7" fillId="0" borderId="27" xfId="10" applyNumberFormat="1" applyFont="1" applyFill="1" applyBorder="1" applyAlignment="1"/>
    <xf numFmtId="175" fontId="7" fillId="0" borderId="78" xfId="11" applyNumberFormat="1" applyFont="1" applyBorder="1"/>
    <xf numFmtId="175" fontId="7" fillId="0" borderId="25" xfId="11" applyNumberFormat="1" applyFont="1" applyBorder="1"/>
    <xf numFmtId="175" fontId="6" fillId="0" borderId="100" xfId="11" applyNumberFormat="1" applyFont="1" applyFill="1" applyBorder="1" applyAlignment="1" applyProtection="1">
      <protection hidden="1"/>
    </xf>
    <xf numFmtId="175" fontId="7" fillId="0" borderId="24" xfId="10" applyNumberFormat="1" applyFont="1" applyFill="1" applyBorder="1" applyAlignment="1" applyProtection="1">
      <protection hidden="1"/>
    </xf>
    <xf numFmtId="175" fontId="7" fillId="0" borderId="25" xfId="10" applyNumberFormat="1" applyFont="1" applyFill="1" applyBorder="1" applyAlignment="1" applyProtection="1">
      <protection hidden="1"/>
    </xf>
    <xf numFmtId="175" fontId="7" fillId="0" borderId="25" xfId="11" applyNumberFormat="1" applyFont="1" applyFill="1" applyBorder="1" applyProtection="1">
      <protection hidden="1"/>
    </xf>
    <xf numFmtId="175" fontId="6" fillId="0" borderId="27" xfId="11" applyNumberFormat="1" applyFont="1" applyFill="1" applyBorder="1" applyAlignment="1" applyProtection="1">
      <protection hidden="1"/>
    </xf>
    <xf numFmtId="171" fontId="25" fillId="0" borderId="78" xfId="11" applyNumberFormat="1" applyFont="1" applyFill="1" applyBorder="1" applyProtection="1">
      <protection hidden="1"/>
    </xf>
    <xf numFmtId="171" fontId="25" fillId="0" borderId="25" xfId="11" applyNumberFormat="1" applyFont="1" applyFill="1" applyBorder="1" applyProtection="1">
      <protection hidden="1"/>
    </xf>
    <xf numFmtId="171" fontId="25" fillId="0" borderId="25" xfId="0" applyNumberFormat="1" applyFont="1" applyBorder="1" applyProtection="1">
      <protection hidden="1"/>
    </xf>
    <xf numFmtId="171" fontId="25" fillId="0" borderId="0" xfId="11" applyNumberFormat="1" applyFont="1" applyFill="1" applyBorder="1" applyProtection="1">
      <protection hidden="1"/>
    </xf>
    <xf numFmtId="171" fontId="25" fillId="0" borderId="100" xfId="11" applyNumberFormat="1" applyFont="1" applyFill="1" applyBorder="1" applyProtection="1">
      <protection hidden="1"/>
    </xf>
    <xf numFmtId="171" fontId="25" fillId="0" borderId="27" xfId="0" applyNumberFormat="1" applyFont="1" applyBorder="1" applyProtection="1">
      <protection hidden="1"/>
    </xf>
    <xf numFmtId="171" fontId="25" fillId="0" borderId="9" xfId="0" applyNumberFormat="1" applyFont="1" applyBorder="1" applyProtection="1">
      <protection hidden="1"/>
    </xf>
    <xf numFmtId="0" fontId="25" fillId="0" borderId="11" xfId="0" applyFont="1" applyFill="1" applyBorder="1" applyAlignment="1" applyProtection="1">
      <alignment horizontal="left" indent="1"/>
      <protection hidden="1"/>
    </xf>
    <xf numFmtId="175" fontId="7" fillId="0" borderId="24" xfId="11" applyNumberFormat="1" applyFont="1" applyFill="1" applyBorder="1" applyAlignment="1" applyProtection="1">
      <protection hidden="1"/>
    </xf>
    <xf numFmtId="175" fontId="7" fillId="0" borderId="24" xfId="11" applyNumberFormat="1" applyFont="1" applyFill="1" applyBorder="1" applyProtection="1">
      <protection hidden="1"/>
    </xf>
    <xf numFmtId="0" fontId="25" fillId="0" borderId="11" xfId="9" applyNumberFormat="1" applyFont="1" applyBorder="1" applyAlignment="1" applyProtection="1">
      <alignment horizontal="left" indent="1"/>
      <protection hidden="1"/>
    </xf>
    <xf numFmtId="0" fontId="25" fillId="0" borderId="41" xfId="0" applyFont="1" applyBorder="1" applyProtection="1">
      <protection hidden="1"/>
    </xf>
    <xf numFmtId="0" fontId="24" fillId="0" borderId="42" xfId="0" applyFont="1" applyFill="1" applyBorder="1" applyAlignment="1" applyProtection="1">
      <alignment horizontal="left" vertical="center" indent="1"/>
      <protection hidden="1"/>
    </xf>
    <xf numFmtId="175" fontId="24" fillId="0" borderId="38" xfId="0" applyNumberFormat="1" applyFont="1" applyBorder="1" applyAlignment="1" applyProtection="1">
      <alignment vertical="center"/>
      <protection hidden="1"/>
    </xf>
    <xf numFmtId="175" fontId="24" fillId="0" borderId="39" xfId="0" applyNumberFormat="1" applyFont="1" applyBorder="1" applyAlignment="1" applyProtection="1">
      <alignment vertical="center"/>
      <protection hidden="1"/>
    </xf>
    <xf numFmtId="175" fontId="24" fillId="0" borderId="72" xfId="0" applyNumberFormat="1" applyFont="1" applyBorder="1" applyAlignment="1" applyProtection="1">
      <alignment vertical="center"/>
      <protection hidden="1"/>
    </xf>
    <xf numFmtId="175" fontId="24" fillId="0" borderId="50" xfId="0" applyNumberFormat="1" applyFont="1" applyBorder="1" applyAlignment="1" applyProtection="1">
      <alignment vertical="center"/>
      <protection hidden="1"/>
    </xf>
    <xf numFmtId="175" fontId="24" fillId="0" borderId="56" xfId="0" applyNumberFormat="1" applyFont="1" applyBorder="1" applyAlignment="1" applyProtection="1">
      <alignment vertical="center"/>
      <protection hidden="1"/>
    </xf>
    <xf numFmtId="171" fontId="24" fillId="0" borderId="72" xfId="11" applyNumberFormat="1" applyFont="1" applyFill="1" applyBorder="1" applyAlignment="1" applyProtection="1">
      <alignment vertical="center"/>
      <protection hidden="1"/>
    </xf>
    <xf numFmtId="171" fontId="24" fillId="0" borderId="39" xfId="11" applyNumberFormat="1" applyFont="1" applyFill="1" applyBorder="1" applyAlignment="1" applyProtection="1">
      <alignment vertical="center"/>
      <protection hidden="1"/>
    </xf>
    <xf numFmtId="171" fontId="24" fillId="0" borderId="50" xfId="11" applyNumberFormat="1" applyFont="1" applyFill="1" applyBorder="1" applyAlignment="1" applyProtection="1">
      <alignment vertical="center"/>
      <protection hidden="1"/>
    </xf>
    <xf numFmtId="171" fontId="24" fillId="0" borderId="56" xfId="11" applyNumberFormat="1" applyFont="1" applyFill="1" applyBorder="1" applyAlignment="1" applyProtection="1">
      <alignment vertical="center"/>
      <protection hidden="1"/>
    </xf>
    <xf numFmtId="0" fontId="25" fillId="0" borderId="0" xfId="0" applyNumberFormat="1" applyFont="1" applyBorder="1" applyAlignment="1" applyProtection="1">
      <protection hidden="1"/>
    </xf>
    <xf numFmtId="0" fontId="25" fillId="0" borderId="0" xfId="0" applyFont="1" applyBorder="1" applyProtection="1">
      <protection hidden="1"/>
    </xf>
    <xf numFmtId="0" fontId="25" fillId="0" borderId="0" xfId="0" applyFont="1" applyBorder="1" applyAlignment="1" applyProtection="1">
      <alignment horizontal="left" indent="1"/>
      <protection hidden="1"/>
    </xf>
    <xf numFmtId="175" fontId="7" fillId="0" borderId="0" xfId="10" applyNumberFormat="1" applyFont="1" applyFill="1" applyBorder="1" applyAlignment="1"/>
    <xf numFmtId="175" fontId="7" fillId="0" borderId="17" xfId="10" applyNumberFormat="1" applyFont="1" applyFill="1" applyBorder="1" applyAlignment="1" applyProtection="1">
      <protection hidden="1"/>
    </xf>
    <xf numFmtId="175" fontId="25" fillId="0" borderId="0" xfId="0" applyNumberFormat="1" applyFont="1" applyBorder="1" applyProtection="1">
      <protection hidden="1"/>
    </xf>
    <xf numFmtId="175" fontId="7" fillId="0" borderId="0" xfId="11" applyNumberFormat="1" applyFont="1" applyBorder="1" applyAlignment="1"/>
    <xf numFmtId="175" fontId="7" fillId="0" borderId="17" xfId="11" applyNumberFormat="1" applyFont="1" applyFill="1" applyBorder="1" applyAlignment="1" applyProtection="1">
      <protection hidden="1"/>
    </xf>
    <xf numFmtId="171" fontId="25" fillId="0" borderId="17" xfId="11" applyNumberFormat="1" applyFont="1" applyFill="1" applyBorder="1" applyAlignment="1" applyProtection="1">
      <protection hidden="1"/>
    </xf>
    <xf numFmtId="171" fontId="25" fillId="0" borderId="17" xfId="11" applyNumberFormat="1" applyFont="1" applyBorder="1" applyAlignment="1" applyProtection="1">
      <protection hidden="1"/>
    </xf>
    <xf numFmtId="171" fontId="25" fillId="0" borderId="17" xfId="0" applyNumberFormat="1" applyFont="1" applyBorder="1" applyAlignment="1" applyProtection="1">
      <protection hidden="1"/>
    </xf>
    <xf numFmtId="0" fontId="7" fillId="11" borderId="80" xfId="4" applyFont="1" applyFill="1" applyBorder="1" applyProtection="1">
      <protection hidden="1"/>
    </xf>
    <xf numFmtId="0" fontId="6" fillId="3" borderId="103" xfId="4" applyNumberFormat="1" applyFont="1" applyFill="1" applyBorder="1" applyAlignment="1" applyProtection="1">
      <protection hidden="1"/>
    </xf>
    <xf numFmtId="164" fontId="7" fillId="3" borderId="103" xfId="4" applyNumberFormat="1" applyFont="1" applyFill="1" applyBorder="1" applyProtection="1">
      <protection hidden="1"/>
    </xf>
    <xf numFmtId="0" fontId="7" fillId="3" borderId="103" xfId="4" applyFont="1" applyFill="1" applyBorder="1" applyProtection="1">
      <protection hidden="1"/>
    </xf>
    <xf numFmtId="0" fontId="7" fillId="3" borderId="102" xfId="4" applyFont="1" applyFill="1" applyBorder="1" applyProtection="1">
      <protection hidden="1"/>
    </xf>
    <xf numFmtId="0" fontId="7" fillId="11" borderId="100" xfId="4" applyFont="1" applyFill="1" applyBorder="1" applyProtection="1">
      <protection hidden="1"/>
    </xf>
    <xf numFmtId="0" fontId="6" fillId="3" borderId="0" xfId="4" applyNumberFormat="1" applyFont="1" applyFill="1" applyBorder="1" applyAlignment="1" applyProtection="1">
      <protection hidden="1"/>
    </xf>
    <xf numFmtId="164" fontId="7" fillId="3" borderId="0" xfId="4" applyNumberFormat="1" applyFont="1" applyFill="1" applyBorder="1" applyProtection="1">
      <protection hidden="1"/>
    </xf>
    <xf numFmtId="0" fontId="7" fillId="3" borderId="78" xfId="4" applyFont="1" applyFill="1" applyBorder="1" applyProtection="1">
      <protection hidden="1"/>
    </xf>
    <xf numFmtId="0" fontId="6" fillId="19" borderId="0" xfId="4" applyFont="1" applyFill="1" applyBorder="1" applyAlignment="1" applyProtection="1">
      <alignment horizontal="left" vertical="center"/>
      <protection hidden="1"/>
    </xf>
    <xf numFmtId="0" fontId="6" fillId="11" borderId="9" xfId="4" applyNumberFormat="1" applyFont="1" applyFill="1" applyBorder="1" applyAlignment="1" applyProtection="1">
      <alignment vertical="center"/>
      <protection hidden="1"/>
    </xf>
    <xf numFmtId="164" fontId="6" fillId="3" borderId="0" xfId="4" applyNumberFormat="1" applyFont="1" applyFill="1" applyBorder="1" applyAlignment="1" applyProtection="1">
      <protection hidden="1"/>
    </xf>
    <xf numFmtId="0" fontId="7" fillId="3" borderId="0" xfId="4" applyFont="1" applyFill="1" applyBorder="1" applyAlignment="1" applyProtection="1">
      <alignment horizontal="center" vertical="center" wrapText="1"/>
      <protection hidden="1"/>
    </xf>
    <xf numFmtId="0" fontId="26" fillId="3" borderId="0" xfId="4" applyFont="1" applyFill="1" applyBorder="1" applyAlignment="1" applyProtection="1">
      <protection hidden="1"/>
    </xf>
    <xf numFmtId="0" fontId="26" fillId="3" borderId="78" xfId="4" applyFont="1" applyFill="1" applyBorder="1" applyAlignment="1" applyProtection="1">
      <protection hidden="1"/>
    </xf>
    <xf numFmtId="0" fontId="7" fillId="11" borderId="100" xfId="4" applyFont="1" applyFill="1" applyBorder="1" applyAlignment="1" applyProtection="1">
      <protection hidden="1"/>
    </xf>
    <xf numFmtId="0" fontId="7" fillId="3" borderId="0" xfId="4" applyFont="1" applyFill="1" applyBorder="1" applyAlignment="1" applyProtection="1">
      <alignment vertical="center"/>
      <protection hidden="1"/>
    </xf>
    <xf numFmtId="0" fontId="7" fillId="3" borderId="51" xfId="4" applyFont="1" applyFill="1" applyBorder="1" applyAlignment="1" applyProtection="1">
      <alignment vertical="center"/>
      <protection hidden="1"/>
    </xf>
    <xf numFmtId="164" fontId="6" fillId="3" borderId="20" xfId="4" applyNumberFormat="1" applyFont="1" applyFill="1" applyBorder="1" applyAlignment="1" applyProtection="1">
      <alignment horizontal="center" vertical="top" wrapText="1"/>
      <protection hidden="1"/>
    </xf>
    <xf numFmtId="164" fontId="6" fillId="3" borderId="21" xfId="4" applyNumberFormat="1" applyFont="1" applyFill="1" applyBorder="1" applyAlignment="1" applyProtection="1">
      <alignment horizontal="center" vertical="top" wrapText="1"/>
      <protection hidden="1"/>
    </xf>
    <xf numFmtId="0" fontId="6" fillId="3" borderId="25" xfId="4" applyFont="1" applyFill="1" applyBorder="1" applyAlignment="1" applyProtection="1">
      <alignment horizontal="center" vertical="center"/>
      <protection hidden="1"/>
    </xf>
    <xf numFmtId="0" fontId="6" fillId="3" borderId="25" xfId="4" applyFont="1" applyFill="1" applyBorder="1" applyAlignment="1" applyProtection="1">
      <alignment horizontal="center" vertical="center" wrapText="1"/>
      <protection hidden="1"/>
    </xf>
    <xf numFmtId="0" fontId="7" fillId="3" borderId="27" xfId="4" applyFont="1" applyFill="1" applyBorder="1" applyAlignment="1" applyProtection="1">
      <protection hidden="1"/>
    </xf>
    <xf numFmtId="164" fontId="6" fillId="3" borderId="25" xfId="4" applyNumberFormat="1" applyFont="1" applyFill="1" applyBorder="1" applyAlignment="1" applyProtection="1">
      <alignment horizontal="center" vertical="center"/>
      <protection hidden="1"/>
    </xf>
    <xf numFmtId="164" fontId="6" fillId="3" borderId="78" xfId="4" applyNumberFormat="1" applyFont="1" applyFill="1" applyBorder="1" applyAlignment="1" applyProtection="1">
      <alignment horizontal="center" vertical="center"/>
      <protection hidden="1"/>
    </xf>
    <xf numFmtId="164" fontId="6" fillId="3" borderId="27" xfId="4" applyNumberFormat="1" applyFont="1" applyFill="1" applyBorder="1" applyAlignment="1" applyProtection="1">
      <alignment horizontal="center" vertical="center"/>
      <protection hidden="1"/>
    </xf>
    <xf numFmtId="0" fontId="7" fillId="3" borderId="76" xfId="4" applyFont="1" applyFill="1" applyBorder="1" applyAlignment="1" applyProtection="1">
      <alignment horizontal="left" vertical="center" wrapText="1" indent="2"/>
      <protection hidden="1"/>
    </xf>
    <xf numFmtId="176" fontId="6" fillId="3" borderId="4" xfId="4" quotePrefix="1" applyNumberFormat="1" applyFont="1" applyFill="1" applyBorder="1" applyAlignment="1" applyProtection="1">
      <alignment horizontal="center" vertical="center"/>
      <protection hidden="1"/>
    </xf>
    <xf numFmtId="176" fontId="6" fillId="3" borderId="26" xfId="4" quotePrefix="1" applyNumberFormat="1" applyFont="1" applyFill="1" applyBorder="1" applyAlignment="1" applyProtection="1">
      <alignment horizontal="center" vertical="center"/>
      <protection hidden="1"/>
    </xf>
    <xf numFmtId="177" fontId="9" fillId="3" borderId="9" xfId="4" applyNumberFormat="1" applyFont="1" applyFill="1" applyBorder="1" applyAlignment="1" applyProtection="1">
      <alignment horizontal="left" vertical="center" indent="1"/>
      <protection hidden="1"/>
    </xf>
    <xf numFmtId="164" fontId="7" fillId="3" borderId="104" xfId="4" quotePrefix="1" applyNumberFormat="1" applyFont="1" applyFill="1" applyBorder="1" applyAlignment="1" applyProtection="1">
      <alignment horizontal="center" vertical="center"/>
      <protection hidden="1"/>
    </xf>
    <xf numFmtId="164" fontId="7" fillId="3" borderId="78" xfId="4" quotePrefix="1" applyNumberFormat="1" applyFont="1" applyFill="1" applyBorder="1" applyAlignment="1" applyProtection="1">
      <alignment horizontal="center" vertical="center"/>
      <protection hidden="1"/>
    </xf>
    <xf numFmtId="164" fontId="7" fillId="3" borderId="25" xfId="4" quotePrefix="1" applyNumberFormat="1" applyFont="1" applyFill="1" applyBorder="1" applyAlignment="1" applyProtection="1">
      <alignment horizontal="center" vertical="center"/>
      <protection hidden="1"/>
    </xf>
    <xf numFmtId="0" fontId="26" fillId="3" borderId="11" xfId="4" applyFont="1" applyFill="1" applyBorder="1" applyAlignment="1" applyProtection="1">
      <protection hidden="1"/>
    </xf>
    <xf numFmtId="0" fontId="6" fillId="3" borderId="9" xfId="4" applyFont="1" applyFill="1" applyBorder="1" applyAlignment="1" applyProtection="1">
      <alignment horizontal="left" vertical="center" indent="2"/>
      <protection hidden="1"/>
    </xf>
    <xf numFmtId="175" fontId="6" fillId="3" borderId="105" xfId="4" applyNumberFormat="1" applyFont="1" applyFill="1" applyBorder="1" applyAlignment="1" applyProtection="1">
      <alignment vertical="center"/>
      <protection hidden="1"/>
    </xf>
    <xf numFmtId="175" fontId="6" fillId="3" borderId="106" xfId="4" applyNumberFormat="1" applyFont="1" applyFill="1" applyBorder="1" applyAlignment="1" applyProtection="1">
      <alignment vertical="center"/>
      <protection hidden="1"/>
    </xf>
    <xf numFmtId="175" fontId="27" fillId="3" borderId="105" xfId="4" applyNumberFormat="1" applyFont="1" applyFill="1" applyBorder="1" applyAlignment="1" applyProtection="1">
      <alignment vertical="center"/>
      <protection hidden="1"/>
    </xf>
    <xf numFmtId="165" fontId="27" fillId="3" borderId="30" xfId="4" applyNumberFormat="1" applyFont="1" applyFill="1" applyBorder="1" applyAlignment="1" applyProtection="1">
      <alignment vertical="center"/>
      <protection hidden="1"/>
    </xf>
    <xf numFmtId="0" fontId="6" fillId="3" borderId="28" xfId="4" applyFont="1" applyFill="1" applyBorder="1" applyAlignment="1" applyProtection="1">
      <alignment horizontal="center" vertical="center"/>
      <protection hidden="1"/>
    </xf>
    <xf numFmtId="0" fontId="6" fillId="3" borderId="76" xfId="4" applyFont="1" applyFill="1" applyBorder="1" applyAlignment="1" applyProtection="1">
      <alignment horizontal="left" vertical="center" indent="2"/>
      <protection hidden="1"/>
    </xf>
    <xf numFmtId="175" fontId="6" fillId="3" borderId="107" xfId="4" applyNumberFormat="1" applyFont="1" applyFill="1" applyBorder="1" applyAlignment="1" applyProtection="1">
      <alignment vertical="center"/>
      <protection hidden="1"/>
    </xf>
    <xf numFmtId="175" fontId="27" fillId="3" borderId="107" xfId="4" applyNumberFormat="1" applyFont="1" applyFill="1" applyBorder="1" applyAlignment="1" applyProtection="1">
      <alignment vertical="center"/>
      <protection hidden="1"/>
    </xf>
    <xf numFmtId="164" fontId="7" fillId="3" borderId="104" xfId="4" applyNumberFormat="1" applyFont="1" applyFill="1" applyBorder="1" applyAlignment="1" applyProtection="1">
      <alignment vertical="center"/>
      <protection hidden="1"/>
    </xf>
    <xf numFmtId="164" fontId="7" fillId="3" borderId="108" xfId="4" applyNumberFormat="1" applyFont="1" applyFill="1" applyBorder="1" applyAlignment="1" applyProtection="1">
      <alignment vertical="center"/>
      <protection hidden="1"/>
    </xf>
    <xf numFmtId="164" fontId="7" fillId="3" borderId="25" xfId="4" applyNumberFormat="1" applyFont="1" applyFill="1" applyBorder="1" applyAlignment="1" applyProtection="1">
      <alignment vertical="center"/>
      <protection hidden="1"/>
    </xf>
    <xf numFmtId="164" fontId="5" fillId="3" borderId="104" xfId="4" applyNumberFormat="1" applyFont="1" applyFill="1" applyBorder="1" applyAlignment="1" applyProtection="1">
      <alignment vertical="center"/>
      <protection hidden="1"/>
    </xf>
    <xf numFmtId="165" fontId="5" fillId="3" borderId="25" xfId="4" applyNumberFormat="1" applyFont="1" applyFill="1" applyBorder="1" applyAlignment="1" applyProtection="1">
      <alignment vertical="center"/>
      <protection hidden="1"/>
    </xf>
    <xf numFmtId="164" fontId="7" fillId="3" borderId="78" xfId="4" applyNumberFormat="1" applyFont="1" applyFill="1" applyBorder="1" applyAlignment="1" applyProtection="1">
      <alignment vertical="center"/>
      <protection hidden="1"/>
    </xf>
    <xf numFmtId="164" fontId="5" fillId="3" borderId="25" xfId="4" applyNumberFormat="1" applyFont="1" applyFill="1" applyBorder="1" applyAlignment="1" applyProtection="1">
      <alignment vertical="center"/>
      <protection hidden="1"/>
    </xf>
    <xf numFmtId="175" fontId="6" fillId="3" borderId="52" xfId="4" applyNumberFormat="1" applyFont="1" applyFill="1" applyBorder="1" applyAlignment="1" applyProtection="1">
      <alignment vertical="center"/>
      <protection hidden="1"/>
    </xf>
    <xf numFmtId="175" fontId="27" fillId="3" borderId="52" xfId="4" applyNumberFormat="1" applyFont="1" applyFill="1" applyBorder="1" applyAlignment="1" applyProtection="1">
      <alignment vertical="center"/>
      <protection hidden="1"/>
    </xf>
    <xf numFmtId="165" fontId="27" fillId="3" borderId="52" xfId="4" applyNumberFormat="1" applyFont="1" applyFill="1" applyBorder="1" applyAlignment="1" applyProtection="1">
      <alignment vertical="center"/>
      <protection hidden="1"/>
    </xf>
    <xf numFmtId="0" fontId="6" fillId="3" borderId="10" xfId="4" applyFont="1" applyFill="1" applyBorder="1" applyAlignment="1" applyProtection="1">
      <alignment horizontal="center" vertical="center"/>
      <protection hidden="1"/>
    </xf>
    <xf numFmtId="178" fontId="6" fillId="11" borderId="41" xfId="4" applyNumberFormat="1" applyFont="1" applyFill="1" applyBorder="1" applyAlignment="1" applyProtection="1">
      <alignment horizontal="left" vertical="center" indent="2"/>
      <protection hidden="1"/>
    </xf>
    <xf numFmtId="175" fontId="6" fillId="3" borderId="109" xfId="4" applyNumberFormat="1" applyFont="1" applyFill="1" applyBorder="1" applyAlignment="1" applyProtection="1">
      <alignment vertical="center"/>
      <protection hidden="1"/>
    </xf>
    <xf numFmtId="175" fontId="6" fillId="3" borderId="36" xfId="4" applyNumberFormat="1" applyFont="1" applyFill="1" applyBorder="1" applyAlignment="1" applyProtection="1">
      <alignment vertical="center"/>
      <protection hidden="1"/>
    </xf>
    <xf numFmtId="175" fontId="27" fillId="3" borderId="36" xfId="4" applyNumberFormat="1" applyFont="1" applyFill="1" applyBorder="1" applyAlignment="1" applyProtection="1">
      <alignment vertical="center"/>
      <protection hidden="1"/>
    </xf>
    <xf numFmtId="165" fontId="27" fillId="3" borderId="36" xfId="4" applyNumberFormat="1" applyFont="1" applyFill="1" applyBorder="1" applyAlignment="1" applyProtection="1">
      <alignment vertical="center"/>
      <protection hidden="1"/>
    </xf>
    <xf numFmtId="0" fontId="6" fillId="3" borderId="37" xfId="4" applyFont="1" applyFill="1" applyBorder="1" applyAlignment="1" applyProtection="1">
      <alignment horizontal="center" vertical="center"/>
      <protection hidden="1"/>
    </xf>
    <xf numFmtId="0" fontId="26" fillId="11" borderId="78" xfId="4" applyFont="1" applyFill="1" applyBorder="1" applyAlignment="1" applyProtection="1">
      <protection hidden="1"/>
    </xf>
    <xf numFmtId="0" fontId="7" fillId="11" borderId="17" xfId="4" applyFont="1" applyFill="1" applyBorder="1" applyAlignment="1" applyProtection="1">
      <alignment horizontal="center"/>
      <protection hidden="1"/>
    </xf>
    <xf numFmtId="164" fontId="7" fillId="3" borderId="0" xfId="4" applyNumberFormat="1" applyFont="1" applyFill="1" applyBorder="1" applyAlignment="1" applyProtection="1">
      <alignment horizontal="center"/>
      <protection hidden="1"/>
    </xf>
    <xf numFmtId="0" fontId="7" fillId="3" borderId="19" xfId="4" applyFont="1" applyFill="1" applyBorder="1" applyAlignment="1" applyProtection="1">
      <alignment vertical="center"/>
      <protection hidden="1"/>
    </xf>
    <xf numFmtId="164" fontId="6" fillId="3" borderId="25" xfId="4" applyNumberFormat="1" applyFont="1" applyFill="1" applyBorder="1" applyAlignment="1" applyProtection="1">
      <alignment horizontal="center" vertical="top" wrapText="1"/>
      <protection hidden="1"/>
    </xf>
    <xf numFmtId="164" fontId="6" fillId="3" borderId="27" xfId="4" applyNumberFormat="1" applyFont="1" applyFill="1" applyBorder="1" applyAlignment="1" applyProtection="1">
      <alignment horizontal="center" vertical="top" wrapText="1"/>
      <protection hidden="1"/>
    </xf>
    <xf numFmtId="0" fontId="7" fillId="3" borderId="9" xfId="4" applyFont="1" applyFill="1" applyBorder="1" applyAlignment="1" applyProtection="1">
      <alignment horizontal="left" vertical="center" wrapText="1" indent="2"/>
      <protection hidden="1"/>
    </xf>
    <xf numFmtId="0" fontId="6" fillId="3" borderId="85" xfId="4" applyFont="1" applyFill="1" applyBorder="1" applyAlignment="1" applyProtection="1">
      <alignment horizontal="left" vertical="center" wrapText="1" indent="1"/>
      <protection hidden="1"/>
    </xf>
    <xf numFmtId="179" fontId="6" fillId="11" borderId="36" xfId="4" applyNumberFormat="1" applyFont="1" applyFill="1" applyBorder="1" applyAlignment="1" applyProtection="1">
      <alignment vertical="center"/>
      <protection hidden="1"/>
    </xf>
    <xf numFmtId="165" fontId="6" fillId="3" borderId="36" xfId="4" applyNumberFormat="1" applyFont="1" applyFill="1" applyBorder="1" applyAlignment="1" applyProtection="1">
      <alignment vertical="center"/>
      <protection hidden="1"/>
    </xf>
    <xf numFmtId="0" fontId="7" fillId="3" borderId="51" xfId="4" applyFont="1" applyFill="1" applyBorder="1" applyAlignment="1" applyProtection="1">
      <protection hidden="1"/>
    </xf>
    <xf numFmtId="0" fontId="9" fillId="3" borderId="19" xfId="4" applyFont="1" applyFill="1" applyBorder="1" applyAlignment="1" applyProtection="1">
      <alignment horizontal="left" vertical="center" wrapText="1" indent="2"/>
      <protection hidden="1"/>
    </xf>
    <xf numFmtId="164" fontId="6" fillId="3" borderId="75" xfId="4" applyNumberFormat="1" applyFont="1" applyFill="1" applyBorder="1" applyAlignment="1" applyProtection="1">
      <alignment horizontal="center" vertical="top" wrapText="1"/>
      <protection hidden="1"/>
    </xf>
    <xf numFmtId="0" fontId="7" fillId="3" borderId="24" xfId="4" applyFont="1" applyFill="1" applyBorder="1" applyAlignment="1" applyProtection="1">
      <alignment horizontal="left"/>
      <protection hidden="1"/>
    </xf>
    <xf numFmtId="0" fontId="6" fillId="3" borderId="100" xfId="4" applyFont="1" applyFill="1" applyBorder="1" applyAlignment="1" applyProtection="1">
      <alignment horizontal="center" vertical="center"/>
      <protection hidden="1"/>
    </xf>
    <xf numFmtId="164" fontId="6" fillId="3" borderId="100" xfId="4" applyNumberFormat="1" applyFont="1" applyFill="1" applyBorder="1" applyAlignment="1" applyProtection="1">
      <alignment horizontal="center" vertical="center"/>
      <protection hidden="1"/>
    </xf>
    <xf numFmtId="0" fontId="7" fillId="3" borderId="5" xfId="4" applyFont="1" applyFill="1" applyBorder="1" applyAlignment="1" applyProtection="1">
      <alignment horizontal="left" wrapText="1" indent="2"/>
      <protection hidden="1"/>
    </xf>
    <xf numFmtId="177" fontId="9" fillId="3" borderId="24" xfId="4" applyNumberFormat="1" applyFont="1" applyFill="1" applyBorder="1" applyAlignment="1" applyProtection="1">
      <alignment horizontal="left" vertical="center" indent="1"/>
      <protection hidden="1"/>
    </xf>
    <xf numFmtId="0" fontId="7" fillId="3" borderId="91" xfId="4" applyNumberFormat="1" applyFont="1" applyFill="1" applyBorder="1" applyAlignment="1" applyProtection="1">
      <alignment vertical="center"/>
      <protection hidden="1"/>
    </xf>
    <xf numFmtId="175" fontId="6" fillId="3" borderId="25" xfId="4" applyNumberFormat="1" applyFont="1" applyFill="1" applyBorder="1" applyAlignment="1" applyProtection="1">
      <alignment vertical="center"/>
      <protection hidden="1"/>
    </xf>
    <xf numFmtId="165" fontId="6" fillId="3" borderId="25" xfId="4" applyNumberFormat="1" applyFont="1" applyFill="1" applyBorder="1" applyAlignment="1" applyProtection="1">
      <alignment vertical="center"/>
      <protection hidden="1"/>
    </xf>
    <xf numFmtId="0" fontId="11" fillId="3" borderId="24" xfId="4" applyFont="1" applyFill="1" applyBorder="1" applyAlignment="1" applyProtection="1">
      <alignment horizontal="left" vertical="center" indent="2"/>
      <protection hidden="1"/>
    </xf>
    <xf numFmtId="0" fontId="7" fillId="3" borderId="45" xfId="4" applyFont="1" applyFill="1" applyBorder="1" applyProtection="1">
      <protection hidden="1"/>
    </xf>
    <xf numFmtId="175" fontId="6" fillId="3" borderId="4" xfId="4" applyNumberFormat="1" applyFont="1" applyFill="1" applyBorder="1" applyAlignment="1" applyProtection="1">
      <alignment vertical="center"/>
      <protection hidden="1"/>
    </xf>
    <xf numFmtId="165" fontId="6" fillId="3" borderId="4" xfId="4" applyNumberFormat="1" applyFont="1" applyFill="1" applyBorder="1" applyAlignment="1" applyProtection="1">
      <alignment vertical="center"/>
      <protection hidden="1"/>
    </xf>
    <xf numFmtId="164" fontId="6" fillId="3" borderId="26" xfId="4" applyNumberFormat="1" applyFont="1" applyFill="1" applyBorder="1" applyAlignment="1" applyProtection="1">
      <alignment horizontal="center" vertical="center"/>
      <protection hidden="1"/>
    </xf>
    <xf numFmtId="0" fontId="6" fillId="3" borderId="24" xfId="4" applyFont="1" applyFill="1" applyBorder="1" applyAlignment="1" applyProtection="1">
      <alignment horizontal="left" vertical="center" indent="3"/>
      <protection hidden="1"/>
    </xf>
    <xf numFmtId="175" fontId="6" fillId="3" borderId="30" xfId="4" applyNumberFormat="1" applyFont="1" applyFill="1" applyBorder="1" applyAlignment="1" applyProtection="1">
      <alignment vertical="center"/>
      <protection hidden="1"/>
    </xf>
    <xf numFmtId="165" fontId="6" fillId="3" borderId="30" xfId="4" applyNumberFormat="1" applyFont="1" applyFill="1" applyBorder="1" applyAlignment="1" applyProtection="1">
      <alignment vertical="center"/>
      <protection hidden="1"/>
    </xf>
    <xf numFmtId="164" fontId="6" fillId="3" borderId="6" xfId="4" applyNumberFormat="1" applyFont="1" applyFill="1" applyBorder="1" applyAlignment="1" applyProtection="1">
      <alignment horizontal="center" vertical="center"/>
      <protection hidden="1"/>
    </xf>
    <xf numFmtId="0" fontId="7" fillId="3" borderId="47" xfId="4" applyFont="1" applyFill="1" applyBorder="1" applyProtection="1">
      <protection hidden="1"/>
    </xf>
    <xf numFmtId="0" fontId="26" fillId="3" borderId="30" xfId="4" applyFont="1" applyFill="1" applyBorder="1" applyAlignment="1" applyProtection="1">
      <protection hidden="1"/>
    </xf>
    <xf numFmtId="0" fontId="26" fillId="3" borderId="6" xfId="4" applyFont="1" applyFill="1" applyBorder="1" applyAlignment="1" applyProtection="1">
      <protection hidden="1"/>
    </xf>
    <xf numFmtId="0" fontId="11" fillId="3" borderId="24" xfId="4" applyFont="1" applyFill="1" applyBorder="1" applyAlignment="1" applyProtection="1">
      <alignment horizontal="left" vertical="center" wrapText="1" indent="2"/>
      <protection hidden="1"/>
    </xf>
    <xf numFmtId="0" fontId="7" fillId="3" borderId="30" xfId="4" applyFont="1" applyFill="1" applyBorder="1" applyAlignment="1" applyProtection="1">
      <alignment vertical="center"/>
      <protection hidden="1"/>
    </xf>
    <xf numFmtId="0" fontId="7" fillId="3" borderId="6" xfId="4" applyFont="1" applyFill="1" applyBorder="1" applyAlignment="1" applyProtection="1">
      <alignment vertical="center"/>
      <protection hidden="1"/>
    </xf>
    <xf numFmtId="168" fontId="7" fillId="3" borderId="107" xfId="4" applyNumberFormat="1" applyFont="1" applyFill="1" applyBorder="1" applyAlignment="1" applyProtection="1">
      <alignment vertical="center"/>
      <protection hidden="1"/>
    </xf>
    <xf numFmtId="0" fontId="7" fillId="3" borderId="52" xfId="4" applyFont="1" applyFill="1" applyBorder="1" applyAlignment="1" applyProtection="1">
      <alignment vertical="center"/>
      <protection hidden="1"/>
    </xf>
    <xf numFmtId="0" fontId="7" fillId="3" borderId="10" xfId="4" applyFont="1" applyFill="1" applyBorder="1" applyAlignment="1" applyProtection="1">
      <alignment vertical="center"/>
      <protection hidden="1"/>
    </xf>
    <xf numFmtId="0" fontId="6" fillId="3" borderId="24" xfId="4" applyFont="1" applyFill="1" applyBorder="1" applyAlignment="1" applyProtection="1">
      <alignment horizontal="left" vertical="center" wrapText="1" indent="3"/>
      <protection hidden="1"/>
    </xf>
    <xf numFmtId="177" fontId="9" fillId="3" borderId="66" xfId="4" applyNumberFormat="1" applyFont="1" applyFill="1" applyBorder="1" applyAlignment="1" applyProtection="1">
      <alignment horizontal="left" vertical="center" indent="1"/>
      <protection hidden="1"/>
    </xf>
    <xf numFmtId="0" fontId="6" fillId="3" borderId="38" xfId="4" applyFont="1" applyFill="1" applyBorder="1" applyAlignment="1" applyProtection="1">
      <alignment horizontal="left" vertical="center" indent="2"/>
      <protection hidden="1"/>
    </xf>
    <xf numFmtId="164" fontId="6" fillId="3" borderId="37" xfId="4" applyNumberFormat="1" applyFont="1" applyFill="1" applyBorder="1" applyAlignment="1" applyProtection="1">
      <alignment horizontal="center" vertical="center"/>
      <protection hidden="1"/>
    </xf>
    <xf numFmtId="0" fontId="7" fillId="11" borderId="45" xfId="4" applyFont="1" applyFill="1" applyBorder="1" applyProtection="1">
      <protection hidden="1"/>
    </xf>
    <xf numFmtId="178" fontId="7" fillId="3" borderId="101" xfId="4" applyNumberFormat="1" applyFont="1" applyFill="1" applyBorder="1" applyAlignment="1" applyProtection="1">
      <alignment vertical="center"/>
      <protection hidden="1"/>
    </xf>
    <xf numFmtId="0" fontId="7" fillId="3" borderId="101" xfId="4" applyFont="1" applyFill="1" applyBorder="1" applyAlignment="1" applyProtection="1">
      <alignment vertical="center"/>
      <protection hidden="1"/>
    </xf>
    <xf numFmtId="0" fontId="26" fillId="3" borderId="110" xfId="4" applyFont="1" applyFill="1" applyBorder="1" applyAlignment="1" applyProtection="1">
      <protection hidden="1"/>
    </xf>
    <xf numFmtId="0" fontId="7" fillId="3" borderId="0" xfId="4" quotePrefix="1" applyNumberFormat="1" applyFont="1" applyFill="1" applyBorder="1" applyAlignment="1" applyProtection="1">
      <protection hidden="1"/>
    </xf>
    <xf numFmtId="0" fontId="7" fillId="11" borderId="0" xfId="4" applyNumberFormat="1" applyFont="1" applyFill="1" applyBorder="1" applyAlignment="1" applyProtection="1">
      <protection hidden="1"/>
    </xf>
    <xf numFmtId="165" fontId="6" fillId="3" borderId="37" xfId="4" applyNumberFormat="1" applyFont="1" applyFill="1" applyBorder="1" applyAlignment="1" applyProtection="1">
      <alignment horizontal="center" vertical="center"/>
      <protection hidden="1"/>
    </xf>
    <xf numFmtId="175" fontId="7" fillId="0" borderId="78" xfId="4" applyNumberFormat="1" applyFont="1" applyFill="1" applyBorder="1" applyAlignment="1" applyProtection="1">
      <protection hidden="1"/>
    </xf>
    <xf numFmtId="0" fontId="7" fillId="3" borderId="0" xfId="0" applyFont="1" applyFill="1" applyBorder="1" applyAlignment="1" applyProtection="1">
      <protection hidden="1"/>
    </xf>
    <xf numFmtId="0" fontId="7" fillId="6" borderId="0" xfId="0" applyNumberFormat="1" applyFont="1" applyFill="1" applyBorder="1" applyAlignment="1" applyProtection="1">
      <protection hidden="1"/>
    </xf>
    <xf numFmtId="0" fontId="7" fillId="3" borderId="0" xfId="0" quotePrefix="1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15" borderId="0" xfId="0" applyNumberFormat="1" applyFont="1" applyFill="1" applyBorder="1" applyAlignment="1" applyProtection="1">
      <protection hidden="1"/>
    </xf>
    <xf numFmtId="0" fontId="6" fillId="3" borderId="7" xfId="0" applyFont="1" applyFill="1" applyBorder="1" applyAlignment="1" applyProtection="1">
      <alignment horizontal="center" vertical="top" wrapText="1"/>
      <protection hidden="1"/>
    </xf>
    <xf numFmtId="0" fontId="6" fillId="3" borderId="25" xfId="0" applyFont="1" applyFill="1" applyBorder="1" applyAlignment="1" applyProtection="1">
      <alignment horizontal="center" vertical="top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7" fillId="11" borderId="0" xfId="0" applyFont="1" applyFill="1" applyBorder="1" applyAlignment="1" applyProtection="1">
      <protection hidden="1"/>
    </xf>
    <xf numFmtId="0" fontId="7" fillId="2" borderId="22" xfId="0" applyFont="1" applyFill="1" applyBorder="1" applyAlignment="1" applyProtection="1">
      <protection hidden="1"/>
    </xf>
    <xf numFmtId="0" fontId="7" fillId="2" borderId="11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protection hidden="1"/>
    </xf>
    <xf numFmtId="176" fontId="6" fillId="3" borderId="9" xfId="0" quotePrefix="1" applyNumberFormat="1" applyFont="1" applyFill="1" applyBorder="1" applyAlignment="1" applyProtection="1">
      <alignment horizontal="center" vertical="center"/>
      <protection hidden="1"/>
    </xf>
    <xf numFmtId="176" fontId="6" fillId="3" borderId="25" xfId="0" quotePrefix="1" applyNumberFormat="1" applyFont="1" applyFill="1" applyBorder="1" applyAlignment="1" applyProtection="1">
      <alignment horizontal="center" vertical="center"/>
      <protection hidden="1"/>
    </xf>
    <xf numFmtId="176" fontId="6" fillId="3" borderId="0" xfId="0" quotePrefix="1" applyNumberFormat="1" applyFont="1" applyFill="1" applyBorder="1" applyAlignment="1" applyProtection="1">
      <alignment horizontal="center" vertical="center"/>
      <protection hidden="1"/>
    </xf>
    <xf numFmtId="0" fontId="6" fillId="3" borderId="25" xfId="0" quotePrefix="1" applyFont="1" applyFill="1" applyBorder="1" applyAlignment="1" applyProtection="1">
      <alignment horizontal="center" vertical="center"/>
      <protection hidden="1"/>
    </xf>
    <xf numFmtId="176" fontId="6" fillId="2" borderId="11" xfId="0" quotePrefix="1" applyNumberFormat="1" applyFont="1" applyFill="1" applyBorder="1" applyAlignment="1" applyProtection="1">
      <alignment horizontal="center" vertical="center"/>
      <protection hidden="1"/>
    </xf>
    <xf numFmtId="0" fontId="6" fillId="2" borderId="0" xfId="0" quotePrefix="1" applyFont="1" applyFill="1" applyBorder="1" applyAlignment="1" applyProtection="1">
      <alignment horizontal="center" vertical="center"/>
      <protection hidden="1"/>
    </xf>
    <xf numFmtId="176" fontId="6" fillId="15" borderId="24" xfId="0" quotePrefix="1" applyNumberFormat="1" applyFont="1" applyFill="1" applyBorder="1" applyAlignment="1" applyProtection="1">
      <alignment horizontal="center" vertical="center"/>
      <protection hidden="1"/>
    </xf>
    <xf numFmtId="176" fontId="6" fillId="15" borderId="25" xfId="0" quotePrefix="1" applyNumberFormat="1" applyFont="1" applyFill="1" applyBorder="1" applyAlignment="1" applyProtection="1">
      <alignment horizontal="center" vertical="center"/>
      <protection hidden="1"/>
    </xf>
    <xf numFmtId="176" fontId="6" fillId="15" borderId="27" xfId="0" quotePrefix="1" applyNumberFormat="1" applyFont="1" applyFill="1" applyBorder="1" applyAlignment="1" applyProtection="1">
      <alignment horizontal="center" vertical="center"/>
      <protection hidden="1"/>
    </xf>
    <xf numFmtId="176" fontId="6" fillId="15" borderId="22" xfId="0" quotePrefix="1" applyNumberFormat="1" applyFont="1" applyFill="1" applyBorder="1" applyAlignment="1" applyProtection="1">
      <alignment horizontal="center" vertical="center"/>
      <protection hidden="1"/>
    </xf>
    <xf numFmtId="0" fontId="6" fillId="3" borderId="9" xfId="0" quotePrefix="1" applyFont="1" applyFill="1" applyBorder="1" applyAlignment="1" applyProtection="1">
      <alignment horizontal="center" vertical="center"/>
      <protection hidden="1"/>
    </xf>
    <xf numFmtId="0" fontId="6" fillId="3" borderId="44" xfId="0" quotePrefix="1" applyFont="1" applyFill="1" applyBorder="1" applyAlignment="1" applyProtection="1">
      <alignment horizontal="center" vertical="center"/>
      <protection hidden="1"/>
    </xf>
    <xf numFmtId="0" fontId="6" fillId="3" borderId="0" xfId="0" quotePrefix="1" applyFont="1" applyFill="1" applyBorder="1" applyAlignment="1" applyProtection="1">
      <alignment horizontal="center" vertical="center"/>
      <protection hidden="1"/>
    </xf>
    <xf numFmtId="0" fontId="6" fillId="3" borderId="1" xfId="0" quotePrefix="1" applyFont="1" applyFill="1" applyBorder="1" applyAlignment="1" applyProtection="1">
      <alignment horizontal="center" vertical="center"/>
      <protection hidden="1"/>
    </xf>
    <xf numFmtId="0" fontId="6" fillId="3" borderId="31" xfId="0" quotePrefix="1" applyFont="1" applyFill="1" applyBorder="1" applyAlignment="1" applyProtection="1">
      <alignment horizontal="center" vertical="center"/>
      <protection hidden="1"/>
    </xf>
    <xf numFmtId="0" fontId="7" fillId="2" borderId="42" xfId="0" quotePrefix="1" applyFont="1" applyFill="1" applyBorder="1" applyAlignment="1" applyProtection="1">
      <protection hidden="1"/>
    </xf>
    <xf numFmtId="0" fontId="7" fillId="2" borderId="11" xfId="0" quotePrefix="1" applyFont="1" applyFill="1" applyBorder="1" applyAlignment="1" applyProtection="1">
      <protection hidden="1"/>
    </xf>
    <xf numFmtId="0" fontId="7" fillId="2" borderId="0" xfId="0" quotePrefix="1" applyFont="1" applyFill="1" applyBorder="1" applyAlignment="1" applyProtection="1">
      <protection hidden="1"/>
    </xf>
    <xf numFmtId="175" fontId="7" fillId="0" borderId="103" xfId="4" applyNumberFormat="1" applyFont="1" applyFill="1" applyBorder="1" applyAlignment="1" applyProtection="1">
      <protection hidden="1"/>
    </xf>
    <xf numFmtId="175" fontId="6" fillId="3" borderId="111" xfId="4" applyNumberFormat="1" applyFont="1" applyFill="1" applyBorder="1" applyAlignment="1" applyProtection="1">
      <alignment vertical="center"/>
      <protection hidden="1"/>
    </xf>
    <xf numFmtId="0" fontId="7" fillId="6" borderId="66" xfId="4" applyNumberFormat="1" applyFont="1" applyFill="1" applyBorder="1" applyAlignment="1" applyProtection="1">
      <protection hidden="1"/>
    </xf>
    <xf numFmtId="0" fontId="7" fillId="6" borderId="10" xfId="4" applyNumberFormat="1" applyFont="1" applyFill="1" applyBorder="1" applyAlignment="1" applyProtection="1">
      <protection hidden="1"/>
    </xf>
    <xf numFmtId="168" fontId="6" fillId="0" borderId="72" xfId="4" applyNumberFormat="1" applyFont="1" applyFill="1" applyBorder="1" applyAlignment="1" applyProtection="1">
      <alignment horizontal="right" vertical="center"/>
      <protection hidden="1"/>
    </xf>
    <xf numFmtId="168" fontId="6" fillId="0" borderId="56" xfId="4" applyNumberFormat="1" applyFont="1" applyFill="1" applyBorder="1" applyAlignment="1" applyProtection="1">
      <alignment horizontal="right" vertical="center"/>
      <protection hidden="1"/>
    </xf>
    <xf numFmtId="0" fontId="7" fillId="20" borderId="9" xfId="4" applyFont="1" applyFill="1" applyBorder="1" applyProtection="1">
      <protection hidden="1"/>
    </xf>
    <xf numFmtId="0" fontId="7" fillId="20" borderId="0" xfId="4" applyFont="1" applyFill="1" applyBorder="1" applyProtection="1">
      <protection hidden="1"/>
    </xf>
    <xf numFmtId="169" fontId="7" fillId="20" borderId="0" xfId="4" applyNumberFormat="1" applyFont="1" applyFill="1" applyBorder="1" applyProtection="1">
      <protection hidden="1"/>
    </xf>
    <xf numFmtId="0" fontId="7" fillId="20" borderId="0" xfId="4" applyFont="1" applyFill="1" applyProtection="1">
      <protection hidden="1"/>
    </xf>
    <xf numFmtId="0" fontId="20" fillId="20" borderId="0" xfId="0" applyFont="1" applyFill="1" applyAlignment="1" applyProtection="1">
      <alignment vertical="top"/>
      <protection hidden="1"/>
    </xf>
    <xf numFmtId="0" fontId="20" fillId="20" borderId="0" xfId="0" applyFont="1" applyFill="1" applyBorder="1" applyAlignment="1" applyProtection="1">
      <alignment vertical="top"/>
      <protection hidden="1"/>
    </xf>
    <xf numFmtId="0" fontId="6" fillId="20" borderId="0" xfId="0" applyFont="1" applyFill="1" applyBorder="1" applyAlignment="1" applyProtection="1">
      <alignment vertical="center"/>
      <protection hidden="1"/>
    </xf>
    <xf numFmtId="0" fontId="7" fillId="20" borderId="0" xfId="0" applyFont="1" applyFill="1" applyBorder="1" applyProtection="1">
      <protection hidden="1"/>
    </xf>
    <xf numFmtId="0" fontId="7" fillId="20" borderId="0" xfId="0" applyFont="1" applyFill="1" applyProtection="1">
      <protection hidden="1"/>
    </xf>
    <xf numFmtId="0" fontId="7" fillId="20" borderId="0" xfId="0" applyFont="1" applyFill="1" applyBorder="1" applyAlignment="1" applyProtection="1">
      <protection hidden="1"/>
    </xf>
    <xf numFmtId="0" fontId="7" fillId="20" borderId="59" xfId="0" applyFont="1" applyFill="1" applyBorder="1" applyAlignment="1" applyProtection="1">
      <alignment horizontal="left" vertical="center" indent="1"/>
      <protection hidden="1"/>
    </xf>
    <xf numFmtId="0" fontId="7" fillId="20" borderId="60" xfId="0" applyFont="1" applyFill="1" applyBorder="1" applyProtection="1">
      <protection hidden="1"/>
    </xf>
    <xf numFmtId="168" fontId="7" fillId="20" borderId="61" xfId="0" applyNumberFormat="1" applyFont="1" applyFill="1" applyBorder="1" applyAlignment="1" applyProtection="1">
      <alignment vertical="center"/>
      <protection hidden="1"/>
    </xf>
    <xf numFmtId="0" fontId="7" fillId="20" borderId="62" xfId="0" applyFont="1" applyFill="1" applyBorder="1" applyAlignment="1" applyProtection="1">
      <alignment horizontal="left" vertical="center" indent="1"/>
      <protection hidden="1"/>
    </xf>
    <xf numFmtId="0" fontId="7" fillId="20" borderId="63" xfId="0" applyFont="1" applyFill="1" applyBorder="1" applyProtection="1">
      <protection hidden="1"/>
    </xf>
    <xf numFmtId="0" fontId="7" fillId="20" borderId="64" xfId="0" applyFont="1" applyFill="1" applyBorder="1" applyAlignment="1" applyProtection="1">
      <alignment vertical="center"/>
      <protection hidden="1"/>
    </xf>
    <xf numFmtId="0" fontId="7" fillId="20" borderId="65" xfId="4" applyFont="1" applyFill="1" applyBorder="1" applyProtection="1">
      <protection hidden="1"/>
    </xf>
    <xf numFmtId="0" fontId="7" fillId="20" borderId="17" xfId="0" applyFont="1" applyFill="1" applyBorder="1" applyAlignment="1" applyProtection="1">
      <alignment vertical="center"/>
      <protection hidden="1"/>
    </xf>
    <xf numFmtId="0" fontId="7" fillId="20" borderId="17" xfId="4" applyFont="1" applyFill="1" applyBorder="1" applyProtection="1">
      <protection hidden="1"/>
    </xf>
    <xf numFmtId="0" fontId="7" fillId="20" borderId="18" xfId="4" applyFont="1" applyFill="1" applyBorder="1" applyProtection="1">
      <protection hidden="1"/>
    </xf>
    <xf numFmtId="0" fontId="7" fillId="20" borderId="29" xfId="0" applyFont="1" applyFill="1" applyBorder="1" applyAlignment="1" applyProtection="1">
      <alignment horizontal="left" vertical="center" indent="1"/>
      <protection hidden="1"/>
    </xf>
    <xf numFmtId="0" fontId="7" fillId="20" borderId="48" xfId="0" applyFont="1" applyFill="1" applyBorder="1" applyProtection="1">
      <protection hidden="1"/>
    </xf>
    <xf numFmtId="165" fontId="7" fillId="20" borderId="28" xfId="0" applyNumberFormat="1" applyFont="1" applyFill="1" applyBorder="1" applyAlignment="1" applyProtection="1">
      <alignment vertical="center"/>
      <protection hidden="1"/>
    </xf>
    <xf numFmtId="0" fontId="7" fillId="20" borderId="40" xfId="0" applyFont="1" applyFill="1" applyBorder="1" applyAlignment="1" applyProtection="1">
      <alignment horizontal="left" vertical="center" indent="1"/>
      <protection hidden="1"/>
    </xf>
    <xf numFmtId="0" fontId="7" fillId="20" borderId="47" xfId="0" applyFont="1" applyFill="1" applyBorder="1" applyProtection="1">
      <protection hidden="1"/>
    </xf>
    <xf numFmtId="0" fontId="7" fillId="20" borderId="46" xfId="0" applyFont="1" applyFill="1" applyBorder="1" applyAlignment="1" applyProtection="1">
      <alignment vertical="center"/>
      <protection hidden="1"/>
    </xf>
    <xf numFmtId="0" fontId="7" fillId="20" borderId="30" xfId="4" applyFont="1" applyFill="1" applyBorder="1" applyProtection="1">
      <protection hidden="1"/>
    </xf>
    <xf numFmtId="0" fontId="7" fillId="20" borderId="48" xfId="0" applyFont="1" applyFill="1" applyBorder="1" applyAlignment="1" applyProtection="1">
      <alignment vertical="center"/>
      <protection hidden="1"/>
    </xf>
    <xf numFmtId="0" fontId="7" fillId="20" borderId="48" xfId="4" applyFont="1" applyFill="1" applyBorder="1" applyProtection="1">
      <protection hidden="1"/>
    </xf>
    <xf numFmtId="0" fontId="7" fillId="20" borderId="28" xfId="4" applyFont="1" applyFill="1" applyBorder="1" applyProtection="1">
      <protection hidden="1"/>
    </xf>
    <xf numFmtId="168" fontId="7" fillId="20" borderId="28" xfId="0" applyNumberFormat="1" applyFont="1" applyFill="1" applyBorder="1" applyAlignment="1" applyProtection="1">
      <alignment vertical="center"/>
      <protection hidden="1"/>
    </xf>
    <xf numFmtId="0" fontId="7" fillId="20" borderId="66" xfId="0" applyFont="1" applyFill="1" applyBorder="1" applyAlignment="1" applyProtection="1">
      <alignment horizontal="left" vertical="center" indent="1"/>
      <protection hidden="1"/>
    </xf>
    <xf numFmtId="0" fontId="7" fillId="20" borderId="80" xfId="0" applyFont="1" applyFill="1" applyBorder="1" applyProtection="1">
      <protection hidden="1"/>
    </xf>
    <xf numFmtId="0" fontId="7" fillId="20" borderId="81" xfId="0" applyFont="1" applyFill="1" applyBorder="1" applyProtection="1">
      <protection hidden="1"/>
    </xf>
    <xf numFmtId="0" fontId="7" fillId="20" borderId="82" xfId="0" applyFont="1" applyFill="1" applyBorder="1" applyAlignment="1" applyProtection="1">
      <alignment vertical="center"/>
      <protection hidden="1"/>
    </xf>
    <xf numFmtId="0" fontId="7" fillId="20" borderId="52" xfId="4" applyFont="1" applyFill="1" applyBorder="1" applyProtection="1">
      <protection hidden="1"/>
    </xf>
    <xf numFmtId="0" fontId="7" fillId="20" borderId="0" xfId="0" applyFont="1" applyFill="1" applyBorder="1" applyAlignment="1" applyProtection="1">
      <alignment vertical="center"/>
      <protection hidden="1"/>
    </xf>
    <xf numFmtId="0" fontId="7" fillId="20" borderId="11" xfId="4" applyFont="1" applyFill="1" applyBorder="1" applyProtection="1">
      <protection hidden="1"/>
    </xf>
    <xf numFmtId="0" fontId="7" fillId="20" borderId="35" xfId="0" applyFont="1" applyFill="1" applyBorder="1" applyAlignment="1" applyProtection="1">
      <alignment horizontal="left" vertical="center" indent="1"/>
      <protection hidden="1"/>
    </xf>
    <xf numFmtId="0" fontId="7" fillId="20" borderId="32" xfId="0" applyFont="1" applyFill="1" applyBorder="1" applyProtection="1">
      <protection hidden="1"/>
    </xf>
    <xf numFmtId="0" fontId="7" fillId="20" borderId="32" xfId="0" applyFont="1" applyFill="1" applyBorder="1" applyAlignment="1" applyProtection="1">
      <alignment vertical="center"/>
      <protection hidden="1"/>
    </xf>
    <xf numFmtId="0" fontId="7" fillId="20" borderId="32" xfId="4" applyFont="1" applyFill="1" applyBorder="1" applyProtection="1">
      <protection hidden="1"/>
    </xf>
    <xf numFmtId="0" fontId="7" fillId="20" borderId="34" xfId="4" applyFont="1" applyFill="1" applyBorder="1" applyProtection="1">
      <protection hidden="1"/>
    </xf>
    <xf numFmtId="0" fontId="7" fillId="20" borderId="9" xfId="0" applyFont="1" applyFill="1" applyBorder="1" applyAlignment="1" applyProtection="1">
      <alignment horizontal="left" vertical="center" indent="1"/>
      <protection hidden="1"/>
    </xf>
    <xf numFmtId="165" fontId="7" fillId="20" borderId="67" xfId="0" applyNumberFormat="1" applyFont="1" applyFill="1" applyBorder="1" applyAlignment="1" applyProtection="1">
      <alignment vertical="center"/>
      <protection hidden="1"/>
    </xf>
    <xf numFmtId="0" fontId="7" fillId="20" borderId="85" xfId="0" applyFont="1" applyFill="1" applyBorder="1" applyAlignment="1" applyProtection="1">
      <alignment horizontal="left" vertical="center" indent="1"/>
      <protection hidden="1"/>
    </xf>
    <xf numFmtId="175" fontId="7" fillId="20" borderId="34" xfId="0" applyNumberFormat="1" applyFont="1" applyFill="1" applyBorder="1" applyAlignment="1" applyProtection="1">
      <alignment vertical="center"/>
      <protection hidden="1"/>
    </xf>
    <xf numFmtId="0" fontId="7" fillId="20" borderId="0" xfId="0" applyFont="1" applyFill="1" applyAlignment="1" applyProtection="1">
      <alignment vertical="center"/>
      <protection hidden="1"/>
    </xf>
    <xf numFmtId="0" fontId="7" fillId="20" borderId="0" xfId="4" applyNumberFormat="1" applyFont="1" applyFill="1" applyAlignment="1" applyProtection="1">
      <protection hidden="1"/>
    </xf>
    <xf numFmtId="0" fontId="7" fillId="20" borderId="0" xfId="4" applyFont="1" applyFill="1" applyAlignment="1" applyProtection="1">
      <alignment vertical="top"/>
      <protection hidden="1"/>
    </xf>
    <xf numFmtId="0" fontId="7" fillId="20" borderId="0" xfId="4" applyFont="1" applyFill="1" applyAlignment="1" applyProtection="1">
      <protection hidden="1"/>
    </xf>
    <xf numFmtId="0" fontId="6" fillId="20" borderId="0" xfId="0" applyFont="1" applyFill="1" applyBorder="1" applyAlignment="1" applyProtection="1">
      <alignment wrapText="1"/>
      <protection hidden="1"/>
    </xf>
    <xf numFmtId="0" fontId="7" fillId="20" borderId="22" xfId="0" applyFont="1" applyFill="1" applyBorder="1" applyAlignment="1" applyProtection="1">
      <alignment vertical="center" wrapText="1"/>
      <protection hidden="1"/>
    </xf>
    <xf numFmtId="176" fontId="6" fillId="20" borderId="24" xfId="0" quotePrefix="1" applyNumberFormat="1" applyFont="1" applyFill="1" applyBorder="1" applyAlignment="1" applyProtection="1">
      <alignment horizontal="center" vertical="center" wrapText="1"/>
      <protection hidden="1"/>
    </xf>
    <xf numFmtId="176" fontId="6" fillId="20" borderId="25" xfId="0" quotePrefix="1" applyNumberFormat="1" applyFont="1" applyFill="1" applyBorder="1" applyAlignment="1" applyProtection="1">
      <alignment horizontal="center" vertical="center" wrapText="1"/>
      <protection hidden="1"/>
    </xf>
    <xf numFmtId="176" fontId="6" fillId="20" borderId="27" xfId="0" quotePrefix="1" applyNumberFormat="1" applyFont="1" applyFill="1" applyBorder="1" applyAlignment="1" applyProtection="1">
      <alignment horizontal="center" vertical="center" wrapText="1"/>
      <protection hidden="1"/>
    </xf>
    <xf numFmtId="0" fontId="6" fillId="20" borderId="38" xfId="0" quotePrefix="1" applyFont="1" applyFill="1" applyBorder="1" applyAlignment="1" applyProtection="1">
      <alignment horizontal="center" vertical="center"/>
      <protection hidden="1"/>
    </xf>
    <xf numFmtId="0" fontId="6" fillId="20" borderId="39" xfId="0" quotePrefix="1" applyFont="1" applyFill="1" applyBorder="1" applyAlignment="1" applyProtection="1">
      <alignment horizontal="center" vertical="center"/>
      <protection hidden="1"/>
    </xf>
    <xf numFmtId="0" fontId="6" fillId="20" borderId="56" xfId="0" quotePrefix="1" applyFont="1" applyFill="1" applyBorder="1" applyAlignment="1" applyProtection="1">
      <alignment horizontal="center" vertical="center"/>
      <protection hidden="1"/>
    </xf>
    <xf numFmtId="0" fontId="7" fillId="20" borderId="22" xfId="0" applyFont="1" applyFill="1" applyBorder="1" applyAlignment="1" applyProtection="1">
      <alignment vertical="center"/>
      <protection hidden="1"/>
    </xf>
    <xf numFmtId="1" fontId="7" fillId="20" borderId="0" xfId="0" applyNumberFormat="1" applyFont="1" applyFill="1" applyBorder="1" applyAlignment="1" applyProtection="1">
      <alignment horizontal="center" vertical="center"/>
      <protection hidden="1"/>
    </xf>
    <xf numFmtId="0" fontId="7" fillId="20" borderId="5" xfId="0" quotePrefix="1" applyFont="1" applyFill="1" applyBorder="1" applyAlignment="1" applyProtection="1">
      <alignment horizontal="center" vertical="center"/>
      <protection hidden="1"/>
    </xf>
    <xf numFmtId="0" fontId="7" fillId="20" borderId="4" xfId="0" applyFont="1" applyFill="1" applyBorder="1" applyAlignment="1" applyProtection="1">
      <alignment horizontal="center" vertical="center"/>
      <protection hidden="1"/>
    </xf>
    <xf numFmtId="0" fontId="7" fillId="20" borderId="26" xfId="0" applyFont="1" applyFill="1" applyBorder="1" applyAlignment="1" applyProtection="1">
      <alignment horizontal="center" vertical="center"/>
      <protection hidden="1"/>
    </xf>
    <xf numFmtId="0" fontId="7" fillId="20" borderId="0" xfId="0" applyFont="1" applyFill="1" applyBorder="1" applyAlignment="1" applyProtection="1">
      <alignment horizontal="center"/>
      <protection hidden="1"/>
    </xf>
    <xf numFmtId="0" fontId="7" fillId="20" borderId="5" xfId="0" quotePrefix="1" applyFont="1" applyFill="1" applyBorder="1" applyAlignment="1" applyProtection="1">
      <protection hidden="1"/>
    </xf>
    <xf numFmtId="0" fontId="7" fillId="20" borderId="4" xfId="0" applyFont="1" applyFill="1" applyBorder="1" applyAlignment="1" applyProtection="1">
      <protection hidden="1"/>
    </xf>
    <xf numFmtId="0" fontId="7" fillId="20" borderId="6" xfId="0" applyFont="1" applyFill="1" applyBorder="1" applyAlignment="1" applyProtection="1">
      <protection hidden="1"/>
    </xf>
    <xf numFmtId="0" fontId="7" fillId="20" borderId="5" xfId="0" quotePrefix="1" applyFont="1" applyFill="1" applyBorder="1" applyAlignment="1" applyProtection="1">
      <alignment horizontal="center"/>
      <protection hidden="1"/>
    </xf>
    <xf numFmtId="0" fontId="7" fillId="20" borderId="4" xfId="0" applyFont="1" applyFill="1" applyBorder="1" applyAlignment="1" applyProtection="1">
      <alignment horizontal="center"/>
      <protection hidden="1"/>
    </xf>
    <xf numFmtId="0" fontId="7" fillId="20" borderId="6" xfId="0" applyFont="1" applyFill="1" applyBorder="1" applyAlignment="1" applyProtection="1">
      <alignment horizontal="center"/>
      <protection hidden="1"/>
    </xf>
    <xf numFmtId="174" fontId="7" fillId="20" borderId="0" xfId="0" applyNumberFormat="1" applyFont="1" applyFill="1" applyBorder="1" applyProtection="1">
      <protection hidden="1"/>
    </xf>
    <xf numFmtId="174" fontId="7" fillId="20" borderId="0" xfId="0" applyNumberFormat="1" applyFont="1" applyFill="1" applyBorder="1" applyAlignment="1" applyProtection="1">
      <alignment vertical="center"/>
      <protection hidden="1"/>
    </xf>
    <xf numFmtId="0" fontId="7" fillId="20" borderId="0" xfId="4" applyNumberFormat="1" applyFont="1" applyFill="1" applyAlignment="1" applyProtection="1">
      <alignment horizontal="center" vertical="center"/>
      <protection hidden="1"/>
    </xf>
    <xf numFmtId="0" fontId="7" fillId="20" borderId="35" xfId="0" quotePrefix="1" applyFont="1" applyFill="1" applyBorder="1" applyAlignment="1" applyProtection="1">
      <alignment horizontal="center" vertical="center"/>
      <protection hidden="1"/>
    </xf>
    <xf numFmtId="0" fontId="7" fillId="20" borderId="36" xfId="0" applyFont="1" applyFill="1" applyBorder="1" applyAlignment="1" applyProtection="1">
      <alignment horizontal="center" vertical="center"/>
      <protection hidden="1"/>
    </xf>
    <xf numFmtId="0" fontId="7" fillId="20" borderId="37" xfId="0" applyFont="1" applyFill="1" applyBorder="1" applyAlignment="1" applyProtection="1">
      <alignment horizontal="center" vertical="center"/>
      <protection hidden="1"/>
    </xf>
    <xf numFmtId="0" fontId="7" fillId="20" borderId="38" xfId="0" quotePrefix="1" applyFont="1" applyFill="1" applyBorder="1" applyAlignment="1" applyProtection="1">
      <alignment horizontal="center" vertical="center"/>
      <protection hidden="1"/>
    </xf>
    <xf numFmtId="0" fontId="7" fillId="20" borderId="39" xfId="0" applyFont="1" applyFill="1" applyBorder="1" applyAlignment="1" applyProtection="1">
      <alignment horizontal="center" vertical="center"/>
      <protection hidden="1"/>
    </xf>
    <xf numFmtId="0" fontId="7" fillId="20" borderId="56" xfId="0" applyFont="1" applyFill="1" applyBorder="1" applyAlignment="1" applyProtection="1">
      <alignment horizontal="center" vertical="center"/>
      <protection hidden="1"/>
    </xf>
    <xf numFmtId="0" fontId="7" fillId="20" borderId="0" xfId="4" applyNumberFormat="1" applyFont="1" applyFill="1" applyBorder="1" applyAlignment="1" applyProtection="1">
      <protection hidden="1"/>
    </xf>
    <xf numFmtId="0" fontId="7" fillId="20" borderId="0" xfId="0" quotePrefix="1" applyFont="1" applyFill="1" applyBorder="1" applyAlignment="1" applyProtection="1">
      <protection hidden="1"/>
    </xf>
    <xf numFmtId="0" fontId="7" fillId="20" borderId="1" xfId="0" applyFont="1" applyFill="1" applyBorder="1" applyAlignment="1" applyProtection="1">
      <protection hidden="1"/>
    </xf>
    <xf numFmtId="0" fontId="7" fillId="20" borderId="0" xfId="0" quotePrefix="1" applyFont="1" applyFill="1" applyBorder="1" applyAlignment="1" applyProtection="1">
      <alignment horizontal="center"/>
      <protection hidden="1"/>
    </xf>
    <xf numFmtId="0" fontId="7" fillId="20" borderId="1" xfId="0" applyFont="1" applyFill="1" applyBorder="1" applyAlignment="1" applyProtection="1">
      <alignment horizontal="center"/>
      <protection hidden="1"/>
    </xf>
    <xf numFmtId="0" fontId="7" fillId="20" borderId="2" xfId="4" applyNumberFormat="1" applyFont="1" applyFill="1" applyBorder="1" applyAlignment="1" applyProtection="1">
      <protection hidden="1"/>
    </xf>
    <xf numFmtId="0" fontId="7" fillId="20" borderId="2" xfId="0" applyFont="1" applyFill="1" applyBorder="1" applyAlignment="1" applyProtection="1">
      <alignment horizontal="center"/>
      <protection hidden="1"/>
    </xf>
    <xf numFmtId="0" fontId="7" fillId="20" borderId="2" xfId="4" applyFont="1" applyFill="1" applyBorder="1" applyProtection="1">
      <protection hidden="1"/>
    </xf>
    <xf numFmtId="0" fontId="7" fillId="20" borderId="3" xfId="0" applyFont="1" applyFill="1" applyBorder="1" applyAlignment="1" applyProtection="1">
      <alignment horizontal="center"/>
      <protection hidden="1"/>
    </xf>
    <xf numFmtId="0" fontId="6" fillId="20" borderId="0" xfId="4" applyFont="1" applyFill="1" applyProtection="1">
      <protection hidden="1"/>
    </xf>
    <xf numFmtId="164" fontId="7" fillId="20" borderId="0" xfId="4" applyNumberFormat="1" applyFont="1" applyFill="1" applyProtection="1">
      <protection hidden="1"/>
    </xf>
    <xf numFmtId="180" fontId="7" fillId="20" borderId="0" xfId="4" applyNumberFormat="1" applyFont="1" applyFill="1" applyProtection="1">
      <protection hidden="1"/>
    </xf>
    <xf numFmtId="181" fontId="7" fillId="20" borderId="0" xfId="4" applyNumberFormat="1" applyFont="1" applyFill="1" applyProtection="1">
      <protection hidden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20" borderId="0" xfId="0" applyFont="1" applyFill="1" applyProtection="1">
      <protection locked="0"/>
    </xf>
    <xf numFmtId="0" fontId="6" fillId="3" borderId="9" xfId="4" applyFont="1" applyFill="1" applyBorder="1" applyAlignment="1" applyProtection="1">
      <alignment horizontal="left" vertical="center" indent="1"/>
      <protection locked="0"/>
    </xf>
    <xf numFmtId="0" fontId="6" fillId="3" borderId="71" xfId="4" applyFont="1" applyFill="1" applyBorder="1" applyAlignment="1" applyProtection="1">
      <alignment horizontal="left" vertical="center" indent="1"/>
      <protection locked="0"/>
    </xf>
    <xf numFmtId="0" fontId="9" fillId="3" borderId="9" xfId="4" applyFont="1" applyFill="1" applyBorder="1" applyAlignment="1" applyProtection="1">
      <alignment horizontal="left" vertical="center" indent="3"/>
      <protection locked="0"/>
    </xf>
    <xf numFmtId="0" fontId="9" fillId="3" borderId="9" xfId="4" applyFont="1" applyFill="1" applyBorder="1" applyAlignment="1" applyProtection="1">
      <alignment horizontal="left" vertical="center" indent="4"/>
      <protection locked="0"/>
    </xf>
    <xf numFmtId="0" fontId="11" fillId="3" borderId="9" xfId="4" applyFont="1" applyFill="1" applyBorder="1" applyAlignment="1" applyProtection="1">
      <alignment horizontal="left" vertical="center" indent="5"/>
      <protection locked="0"/>
    </xf>
    <xf numFmtId="0" fontId="11" fillId="3" borderId="9" xfId="4" applyFont="1" applyFill="1" applyBorder="1" applyAlignment="1" applyProtection="1">
      <alignment horizontal="left" vertical="center" indent="4"/>
      <protection locked="0"/>
    </xf>
    <xf numFmtId="0" fontId="6" fillId="3" borderId="70" xfId="0" applyNumberFormat="1" applyFont="1" applyFill="1" applyBorder="1" applyAlignment="1" applyProtection="1">
      <alignment vertical="center"/>
      <protection locked="0"/>
    </xf>
    <xf numFmtId="0" fontId="6" fillId="3" borderId="7" xfId="0" applyNumberFormat="1" applyFont="1" applyFill="1" applyBorder="1" applyAlignment="1" applyProtection="1">
      <alignment vertical="center"/>
      <protection locked="0"/>
    </xf>
    <xf numFmtId="0" fontId="6" fillId="3" borderId="7" xfId="0" applyNumberFormat="1" applyFont="1" applyFill="1" applyBorder="1" applyAlignment="1" applyProtection="1">
      <protection locked="0"/>
    </xf>
    <xf numFmtId="164" fontId="7" fillId="11" borderId="0" xfId="0" applyNumberFormat="1" applyFont="1" applyFill="1" applyProtection="1">
      <protection locked="0"/>
    </xf>
    <xf numFmtId="0" fontId="7" fillId="11" borderId="0" xfId="0" applyFont="1" applyFill="1" applyProtection="1">
      <protection locked="0"/>
    </xf>
    <xf numFmtId="0" fontId="7" fillId="20" borderId="0" xfId="0" applyNumberFormat="1" applyFont="1" applyFill="1" applyAlignment="1" applyProtection="1">
      <alignment horizontal="center"/>
      <protection locked="0"/>
    </xf>
    <xf numFmtId="0" fontId="6" fillId="12" borderId="44" xfId="0" applyFont="1" applyFill="1" applyBorder="1" applyAlignment="1" applyProtection="1">
      <alignment vertical="center" shrinkToFit="1"/>
      <protection locked="0"/>
    </xf>
    <xf numFmtId="0" fontId="6" fillId="13" borderId="12" xfId="0" applyFont="1" applyFill="1" applyBorder="1" applyAlignment="1" applyProtection="1">
      <alignment horizontal="left" vertical="center" indent="1" shrinkToFit="1"/>
      <protection locked="0"/>
    </xf>
    <xf numFmtId="0" fontId="7" fillId="2" borderId="0" xfId="0" applyNumberFormat="1" applyFont="1" applyFill="1" applyBorder="1" applyAlignment="1" applyProtection="1"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7" fillId="20" borderId="0" xfId="0" applyFont="1" applyFill="1" applyAlignment="1" applyProtection="1">
      <alignment vertical="top"/>
      <protection locked="0"/>
    </xf>
    <xf numFmtId="0" fontId="7" fillId="11" borderId="44" xfId="0" applyFont="1" applyFill="1" applyBorder="1" applyAlignment="1" applyProtection="1">
      <alignment vertical="center"/>
      <protection locked="0"/>
    </xf>
    <xf numFmtId="0" fontId="6" fillId="2" borderId="0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protection locked="0"/>
    </xf>
    <xf numFmtId="0" fontId="7" fillId="20" borderId="0" xfId="0" applyFont="1" applyFill="1" applyAlignment="1" applyProtection="1">
      <protection locked="0"/>
    </xf>
    <xf numFmtId="0" fontId="7" fillId="2" borderId="0" xfId="0" applyFont="1" applyFill="1" applyProtection="1">
      <protection locked="0"/>
    </xf>
    <xf numFmtId="164" fontId="6" fillId="1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45" xfId="0" applyNumberFormat="1" applyFont="1" applyFill="1" applyBorder="1" applyAlignment="1" applyProtection="1">
      <alignment horizontal="center" vertical="center" wrapText="1"/>
      <protection locked="0"/>
    </xf>
    <xf numFmtId="164" fontId="6" fillId="1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26" xfId="0" applyNumberFormat="1" applyFont="1" applyFill="1" applyBorder="1" applyAlignment="1" applyProtection="1">
      <alignment horizontal="center" vertical="center" wrapText="1"/>
      <protection locked="0"/>
    </xf>
    <xf numFmtId="164" fontId="6" fillId="10" borderId="40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4" xfId="0" applyNumberFormat="1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Protection="1">
      <protection locked="0"/>
    </xf>
    <xf numFmtId="0" fontId="10" fillId="20" borderId="86" xfId="7" applyNumberFormat="1" applyFont="1" applyFill="1" applyBorder="1" applyAlignment="1" applyProtection="1">
      <alignment horizontal="center" vertical="center"/>
      <protection locked="0"/>
    </xf>
    <xf numFmtId="0" fontId="10" fillId="20" borderId="68" xfId="7" applyNumberFormat="1" applyFont="1" applyFill="1" applyBorder="1" applyAlignment="1" applyProtection="1">
      <alignment horizontal="center" vertical="center"/>
      <protection locked="0"/>
    </xf>
    <xf numFmtId="0" fontId="7" fillId="20" borderId="87" xfId="7" applyNumberFormat="1" applyFont="1" applyFill="1" applyBorder="1" applyAlignment="1" applyProtection="1">
      <protection locked="0"/>
    </xf>
    <xf numFmtId="0" fontId="7" fillId="11" borderId="19" xfId="0" applyFont="1" applyFill="1" applyBorder="1" applyAlignment="1" applyProtection="1">
      <protection locked="0"/>
    </xf>
    <xf numFmtId="0" fontId="5" fillId="11" borderId="84" xfId="0" applyNumberFormat="1" applyFont="1" applyFill="1" applyBorder="1" applyAlignment="1" applyProtection="1">
      <protection locked="0"/>
    </xf>
    <xf numFmtId="0" fontId="10" fillId="11" borderId="19" xfId="0" applyFont="1" applyFill="1" applyBorder="1" applyAlignment="1" applyProtection="1">
      <protection locked="0"/>
    </xf>
    <xf numFmtId="0" fontId="5" fillId="11" borderId="21" xfId="0" applyNumberFormat="1" applyFont="1" applyFill="1" applyBorder="1" applyAlignment="1" applyProtection="1">
      <protection locked="0"/>
    </xf>
    <xf numFmtId="0" fontId="5" fillId="11" borderId="19" xfId="0" applyNumberFormat="1" applyFont="1" applyFill="1" applyBorder="1" applyAlignment="1" applyProtection="1">
      <protection locked="0"/>
    </xf>
    <xf numFmtId="0" fontId="7" fillId="2" borderId="18" xfId="0" applyFont="1" applyFill="1" applyBorder="1" applyProtection="1">
      <protection locked="0"/>
    </xf>
    <xf numFmtId="0" fontId="7" fillId="20" borderId="90" xfId="7" applyNumberFormat="1" applyFont="1" applyFill="1" applyBorder="1" applyAlignment="1" applyProtection="1">
      <alignment horizontal="center" vertical="center"/>
      <protection locked="0"/>
    </xf>
    <xf numFmtId="0" fontId="7" fillId="20" borderId="91" xfId="7" applyNumberFormat="1" applyFont="1" applyFill="1" applyBorder="1" applyAlignment="1" applyProtection="1">
      <alignment horizontal="center" vertical="center"/>
      <protection locked="0"/>
    </xf>
    <xf numFmtId="0" fontId="7" fillId="20" borderId="92" xfId="0" applyFont="1" applyFill="1" applyBorder="1" applyProtection="1">
      <protection locked="0"/>
    </xf>
    <xf numFmtId="0" fontId="7" fillId="11" borderId="5" xfId="0" applyFont="1" applyFill="1" applyBorder="1" applyAlignment="1" applyProtection="1">
      <protection locked="0"/>
    </xf>
    <xf numFmtId="0" fontId="5" fillId="11" borderId="45" xfId="0" applyNumberFormat="1" applyFont="1" applyFill="1" applyBorder="1" applyAlignment="1" applyProtection="1">
      <protection locked="0"/>
    </xf>
    <xf numFmtId="0" fontId="10" fillId="11" borderId="5" xfId="0" applyFont="1" applyFill="1" applyBorder="1" applyAlignment="1" applyProtection="1">
      <protection locked="0"/>
    </xf>
    <xf numFmtId="0" fontId="5" fillId="11" borderId="26" xfId="0" applyNumberFormat="1" applyFont="1" applyFill="1" applyBorder="1" applyAlignment="1" applyProtection="1">
      <protection locked="0"/>
    </xf>
    <xf numFmtId="0" fontId="5" fillId="11" borderId="24" xfId="0" applyNumberFormat="1" applyFont="1" applyFill="1" applyBorder="1" applyAlignment="1" applyProtection="1">
      <protection locked="0"/>
    </xf>
    <xf numFmtId="0" fontId="7" fillId="20" borderId="5" xfId="7" applyNumberFormat="1" applyFont="1" applyFill="1" applyBorder="1" applyAlignment="1" applyProtection="1">
      <alignment horizontal="center" vertical="center"/>
      <protection locked="0"/>
    </xf>
    <xf numFmtId="0" fontId="7" fillId="20" borderId="4" xfId="7" applyNumberFormat="1" applyFont="1" applyFill="1" applyBorder="1" applyAlignment="1" applyProtection="1">
      <alignment horizontal="center" vertical="center"/>
      <protection locked="0"/>
    </xf>
    <xf numFmtId="0" fontId="7" fillId="20" borderId="27" xfId="0" applyFont="1" applyFill="1" applyBorder="1" applyProtection="1">
      <protection locked="0"/>
    </xf>
    <xf numFmtId="0" fontId="10" fillId="10" borderId="40" xfId="0" applyFont="1" applyFill="1" applyBorder="1" applyAlignment="1" applyProtection="1">
      <alignment horizontal="left" vertical="center" wrapText="1" indent="1"/>
      <protection locked="0"/>
    </xf>
    <xf numFmtId="0" fontId="7" fillId="20" borderId="94" xfId="0" applyFont="1" applyFill="1" applyBorder="1" applyProtection="1">
      <protection locked="0"/>
    </xf>
    <xf numFmtId="0" fontId="7" fillId="20" borderId="87" xfId="0" applyFont="1" applyFill="1" applyBorder="1" applyProtection="1">
      <protection locked="0"/>
    </xf>
    <xf numFmtId="0" fontId="7" fillId="11" borderId="66" xfId="0" applyFont="1" applyFill="1" applyBorder="1" applyAlignment="1" applyProtection="1">
      <protection locked="0"/>
    </xf>
    <xf numFmtId="0" fontId="10" fillId="11" borderId="40" xfId="0" applyFont="1" applyFill="1" applyBorder="1" applyAlignment="1" applyProtection="1">
      <protection locked="0"/>
    </xf>
    <xf numFmtId="0" fontId="10" fillId="16" borderId="30" xfId="0" applyFont="1" applyFill="1" applyBorder="1" applyAlignment="1" applyProtection="1">
      <alignment horizontal="left" vertical="center" wrapText="1" indent="1"/>
      <protection locked="0"/>
    </xf>
    <xf numFmtId="0" fontId="10" fillId="20" borderId="93" xfId="7" applyNumberFormat="1" applyFont="1" applyFill="1" applyBorder="1" applyAlignment="1" applyProtection="1">
      <alignment horizontal="center" vertical="center"/>
      <protection locked="0"/>
    </xf>
    <xf numFmtId="0" fontId="7" fillId="3" borderId="41" xfId="4" applyFont="1" applyFill="1" applyBorder="1" applyAlignment="1" applyProtection="1">
      <protection locked="0"/>
    </xf>
    <xf numFmtId="0" fontId="7" fillId="11" borderId="35" xfId="0" applyFont="1" applyFill="1" applyBorder="1" applyAlignment="1" applyProtection="1">
      <protection locked="0"/>
    </xf>
    <xf numFmtId="0" fontId="5" fillId="11" borderId="99" xfId="0" applyNumberFormat="1" applyFont="1" applyFill="1" applyBorder="1" applyAlignment="1" applyProtection="1">
      <protection locked="0"/>
    </xf>
    <xf numFmtId="0" fontId="10" fillId="11" borderId="38" xfId="0" applyFont="1" applyFill="1" applyBorder="1" applyAlignment="1" applyProtection="1">
      <protection locked="0"/>
    </xf>
    <xf numFmtId="0" fontId="5" fillId="11" borderId="37" xfId="0" applyNumberFormat="1" applyFont="1" applyFill="1" applyBorder="1" applyAlignment="1" applyProtection="1">
      <protection locked="0"/>
    </xf>
    <xf numFmtId="0" fontId="5" fillId="11" borderId="38" xfId="0" applyNumberFormat="1" applyFont="1" applyFill="1" applyBorder="1" applyAlignment="1" applyProtection="1">
      <protection locked="0"/>
    </xf>
    <xf numFmtId="0" fontId="7" fillId="2" borderId="42" xfId="0" applyFont="1" applyFill="1" applyBorder="1" applyProtection="1">
      <protection locked="0"/>
    </xf>
    <xf numFmtId="0" fontId="7" fillId="20" borderId="57" xfId="7" applyNumberFormat="1" applyFont="1" applyFill="1" applyBorder="1" applyAlignment="1" applyProtection="1">
      <alignment horizontal="center" vertical="center"/>
      <protection locked="0"/>
    </xf>
    <xf numFmtId="0" fontId="7" fillId="20" borderId="95" xfId="7" applyNumberFormat="1" applyFont="1" applyFill="1" applyBorder="1" applyAlignment="1" applyProtection="1">
      <alignment horizontal="center" vertical="center"/>
      <protection locked="0"/>
    </xf>
    <xf numFmtId="0" fontId="7" fillId="20" borderId="11" xfId="0" applyFont="1" applyFill="1" applyBorder="1" applyProtection="1">
      <protection locked="0"/>
    </xf>
    <xf numFmtId="0" fontId="7" fillId="11" borderId="24" xfId="0" applyFont="1" applyFill="1" applyBorder="1" applyAlignment="1" applyProtection="1">
      <protection locked="0"/>
    </xf>
    <xf numFmtId="0" fontId="5" fillId="11" borderId="100" xfId="0" applyNumberFormat="1" applyFont="1" applyFill="1" applyBorder="1" applyAlignment="1" applyProtection="1">
      <protection locked="0"/>
    </xf>
    <xf numFmtId="0" fontId="10" fillId="11" borderId="24" xfId="0" applyFont="1" applyFill="1" applyBorder="1" applyAlignment="1" applyProtection="1">
      <protection locked="0"/>
    </xf>
    <xf numFmtId="0" fontId="5" fillId="11" borderId="27" xfId="0" applyNumberFormat="1" applyFont="1" applyFill="1" applyBorder="1" applyAlignment="1" applyProtection="1">
      <protection locked="0"/>
    </xf>
    <xf numFmtId="0" fontId="7" fillId="20" borderId="66" xfId="7" applyNumberFormat="1" applyFont="1" applyFill="1" applyBorder="1" applyAlignment="1" applyProtection="1">
      <alignment horizontal="center" vertical="center"/>
      <protection locked="0"/>
    </xf>
    <xf numFmtId="0" fontId="7" fillId="20" borderId="52" xfId="7" applyNumberFormat="1" applyFont="1" applyFill="1" applyBorder="1" applyAlignment="1" applyProtection="1">
      <alignment horizontal="center" vertical="center"/>
      <protection locked="0"/>
    </xf>
    <xf numFmtId="0" fontId="7" fillId="20" borderId="10" xfId="0" applyFont="1" applyFill="1" applyBorder="1" applyProtection="1">
      <protection locked="0"/>
    </xf>
    <xf numFmtId="0" fontId="7" fillId="20" borderId="26" xfId="0" applyFont="1" applyFill="1" applyBorder="1" applyProtection="1">
      <protection locked="0"/>
    </xf>
    <xf numFmtId="0" fontId="7" fillId="2" borderId="28" xfId="0" applyFont="1" applyFill="1" applyBorder="1" applyProtection="1">
      <protection locked="0"/>
    </xf>
    <xf numFmtId="0" fontId="5" fillId="2" borderId="66" xfId="0" applyNumberFormat="1" applyFont="1" applyFill="1" applyBorder="1" applyAlignment="1" applyProtection="1">
      <alignment horizontal="left" vertical="top" wrapText="1"/>
      <protection locked="0"/>
    </xf>
    <xf numFmtId="0" fontId="7" fillId="2" borderId="67" xfId="0" applyFont="1" applyFill="1" applyBorder="1" applyProtection="1">
      <protection locked="0"/>
    </xf>
    <xf numFmtId="0" fontId="10" fillId="11" borderId="35" xfId="0" applyFont="1" applyFill="1" applyBorder="1" applyAlignment="1" applyProtection="1">
      <protection locked="0"/>
    </xf>
    <xf numFmtId="0" fontId="7" fillId="20" borderId="86" xfId="7" applyNumberFormat="1" applyFont="1" applyFill="1" applyBorder="1" applyAlignment="1" applyProtection="1">
      <alignment horizontal="center" vertical="center"/>
      <protection locked="0"/>
    </xf>
    <xf numFmtId="0" fontId="7" fillId="20" borderId="68" xfId="7" applyNumberFormat="1" applyFont="1" applyFill="1" applyBorder="1" applyAlignment="1" applyProtection="1">
      <alignment horizontal="center" vertical="center"/>
      <protection locked="0"/>
    </xf>
    <xf numFmtId="0" fontId="7" fillId="20" borderId="93" xfId="0" applyFont="1" applyFill="1" applyBorder="1" applyProtection="1">
      <protection locked="0"/>
    </xf>
    <xf numFmtId="0" fontId="7" fillId="20" borderId="24" xfId="7" applyNumberFormat="1" applyFont="1" applyFill="1" applyBorder="1" applyAlignment="1" applyProtection="1">
      <alignment horizontal="center" vertical="center"/>
      <protection locked="0"/>
    </xf>
    <xf numFmtId="0" fontId="7" fillId="20" borderId="25" xfId="7" applyNumberFormat="1" applyFont="1" applyFill="1" applyBorder="1" applyAlignment="1" applyProtection="1">
      <alignment horizontal="center" vertical="center"/>
      <protection locked="0"/>
    </xf>
    <xf numFmtId="0" fontId="7" fillId="11" borderId="40" xfId="0" applyFont="1" applyFill="1" applyBorder="1" applyAlignment="1" applyProtection="1">
      <protection locked="0"/>
    </xf>
    <xf numFmtId="0" fontId="5" fillId="11" borderId="47" xfId="0" applyNumberFormat="1" applyFont="1" applyFill="1" applyBorder="1" applyAlignment="1" applyProtection="1">
      <protection locked="0"/>
    </xf>
    <xf numFmtId="0" fontId="5" fillId="11" borderId="6" xfId="0" applyNumberFormat="1" applyFont="1" applyFill="1" applyBorder="1" applyAlignment="1" applyProtection="1">
      <protection locked="0"/>
    </xf>
    <xf numFmtId="0" fontId="5" fillId="11" borderId="40" xfId="0" applyNumberFormat="1" applyFont="1" applyFill="1" applyBorder="1" applyAlignment="1" applyProtection="1">
      <protection locked="0"/>
    </xf>
    <xf numFmtId="0" fontId="5" fillId="2" borderId="47" xfId="0" applyNumberFormat="1" applyFont="1" applyFill="1" applyBorder="1" applyAlignment="1" applyProtection="1">
      <protection locked="0"/>
    </xf>
    <xf numFmtId="0" fontId="5" fillId="2" borderId="6" xfId="0" applyNumberFormat="1" applyFont="1" applyFill="1" applyBorder="1" applyAlignment="1" applyProtection="1">
      <protection locked="0"/>
    </xf>
    <xf numFmtId="0" fontId="5" fillId="2" borderId="40" xfId="0" applyNumberFormat="1" applyFont="1" applyFill="1" applyBorder="1" applyAlignment="1" applyProtection="1">
      <alignment horizontal="left" vertical="top" wrapText="1"/>
      <protection locked="0"/>
    </xf>
    <xf numFmtId="0" fontId="7" fillId="20" borderId="96" xfId="7" applyNumberFormat="1" applyFont="1" applyFill="1" applyBorder="1" applyAlignment="1" applyProtection="1">
      <protection locked="0"/>
    </xf>
    <xf numFmtId="0" fontId="7" fillId="20" borderId="97" xfId="7" applyNumberFormat="1" applyFont="1" applyFill="1" applyBorder="1" applyAlignment="1" applyProtection="1">
      <protection locked="0"/>
    </xf>
    <xf numFmtId="0" fontId="7" fillId="20" borderId="98" xfId="0" applyFont="1" applyFill="1" applyBorder="1" applyAlignment="1" applyProtection="1">
      <protection locked="0"/>
    </xf>
    <xf numFmtId="0" fontId="7" fillId="11" borderId="47" xfId="0" applyNumberFormat="1" applyFont="1" applyFill="1" applyBorder="1" applyAlignment="1" applyProtection="1">
      <protection locked="0"/>
    </xf>
    <xf numFmtId="0" fontId="7" fillId="11" borderId="6" xfId="0" applyNumberFormat="1" applyFont="1" applyFill="1" applyBorder="1" applyAlignment="1" applyProtection="1">
      <protection locked="0"/>
    </xf>
    <xf numFmtId="0" fontId="7" fillId="11" borderId="24" xfId="0" applyNumberFormat="1" applyFont="1" applyFill="1" applyBorder="1" applyAlignment="1" applyProtection="1">
      <protection locked="0"/>
    </xf>
    <xf numFmtId="0" fontId="23" fillId="0" borderId="0" xfId="0" applyFont="1" applyProtection="1">
      <protection locked="0"/>
    </xf>
    <xf numFmtId="0" fontId="11" fillId="3" borderId="41" xfId="4" applyFont="1" applyFill="1" applyBorder="1" applyAlignment="1" applyProtection="1">
      <alignment horizontal="left" vertical="center" indent="4"/>
      <protection locked="0"/>
    </xf>
    <xf numFmtId="0" fontId="5" fillId="2" borderId="38" xfId="0" applyNumberFormat="1" applyFont="1" applyFill="1" applyBorder="1" applyAlignment="1" applyProtection="1">
      <alignment horizontal="left" vertical="top" wrapText="1"/>
      <protection locked="0"/>
    </xf>
    <xf numFmtId="0" fontId="10" fillId="20" borderId="88" xfId="7" applyNumberFormat="1" applyFont="1" applyFill="1" applyBorder="1" applyAlignment="1" applyProtection="1">
      <alignment horizontal="center" vertical="center"/>
      <protection locked="0"/>
    </xf>
    <xf numFmtId="0" fontId="10" fillId="20" borderId="89" xfId="7" applyNumberFormat="1" applyFont="1" applyFill="1" applyBorder="1" applyAlignment="1" applyProtection="1">
      <alignment horizontal="center" vertical="center"/>
      <protection locked="0"/>
    </xf>
    <xf numFmtId="0" fontId="7" fillId="20" borderId="42" xfId="0" applyFont="1" applyFill="1" applyBorder="1" applyProtection="1">
      <protection locked="0"/>
    </xf>
    <xf numFmtId="0" fontId="7" fillId="11" borderId="79" xfId="0" quotePrefix="1" applyFont="1" applyFill="1" applyBorder="1" applyAlignment="1" applyProtection="1">
      <protection locked="0"/>
    </xf>
    <xf numFmtId="0" fontId="7" fillId="11" borderId="17" xfId="0" applyNumberFormat="1" applyFont="1" applyFill="1" applyBorder="1" applyAlignment="1" applyProtection="1">
      <protection locked="0"/>
    </xf>
    <xf numFmtId="0" fontId="6" fillId="11" borderId="17" xfId="0" applyNumberFormat="1" applyFont="1" applyFill="1" applyBorder="1" applyAlignment="1" applyProtection="1">
      <protection locked="0"/>
    </xf>
    <xf numFmtId="167" fontId="6" fillId="11" borderId="17" xfId="0" applyNumberFormat="1" applyFont="1" applyFill="1" applyBorder="1" applyAlignment="1" applyProtection="1">
      <protection locked="0"/>
    </xf>
    <xf numFmtId="0" fontId="10" fillId="20" borderId="0" xfId="7" applyNumberFormat="1" applyFont="1" applyFill="1" applyBorder="1" applyAlignment="1" applyProtection="1">
      <alignment horizontal="center"/>
      <protection locked="0"/>
    </xf>
    <xf numFmtId="0" fontId="7" fillId="11" borderId="100" xfId="0" applyFont="1" applyFill="1" applyBorder="1" applyAlignment="1" applyProtection="1">
      <protection locked="0"/>
    </xf>
    <xf numFmtId="0" fontId="7" fillId="11" borderId="0" xfId="0" applyNumberFormat="1" applyFont="1" applyFill="1" applyBorder="1" applyAlignment="1" applyProtection="1">
      <protection locked="0"/>
    </xf>
    <xf numFmtId="0" fontId="6" fillId="11" borderId="0" xfId="0" applyNumberFormat="1" applyFont="1" applyFill="1" applyBorder="1" applyAlignment="1" applyProtection="1">
      <protection locked="0"/>
    </xf>
    <xf numFmtId="167" fontId="6" fillId="11" borderId="0" xfId="0" applyNumberFormat="1" applyFont="1" applyFill="1" applyBorder="1" applyAlignment="1" applyProtection="1">
      <protection locked="0"/>
    </xf>
    <xf numFmtId="0" fontId="7" fillId="2" borderId="0" xfId="0" applyFont="1" applyFill="1" applyBorder="1" applyProtection="1">
      <protection locked="0"/>
    </xf>
    <xf numFmtId="0" fontId="7" fillId="11" borderId="0" xfId="0" applyFont="1" applyFill="1" applyBorder="1" applyAlignment="1" applyProtection="1">
      <alignment vertical="center"/>
      <protection locked="0"/>
    </xf>
    <xf numFmtId="0" fontId="13" fillId="20" borderId="0" xfId="0" applyNumberFormat="1" applyFont="1" applyFill="1" applyAlignment="1" applyProtection="1">
      <alignment horizontal="center"/>
      <protection locked="0"/>
    </xf>
    <xf numFmtId="167" fontId="7" fillId="20" borderId="0" xfId="0" applyNumberFormat="1" applyFont="1" applyFill="1" applyAlignment="1" applyProtection="1">
      <alignment vertical="center"/>
      <protection locked="0"/>
    </xf>
    <xf numFmtId="0" fontId="7" fillId="20" borderId="0" xfId="0" applyFont="1" applyFill="1" applyAlignment="1" applyProtection="1">
      <alignment horizontal="center" wrapText="1"/>
      <protection locked="0"/>
    </xf>
    <xf numFmtId="164" fontId="7" fillId="20" borderId="0" xfId="0" applyNumberFormat="1" applyFont="1" applyFill="1" applyProtection="1">
      <protection locked="0"/>
    </xf>
    <xf numFmtId="164" fontId="6" fillId="0" borderId="47" xfId="4" applyNumberFormat="1" applyFont="1" applyFill="1" applyBorder="1" applyAlignment="1" applyProtection="1">
      <alignment horizontal="left" vertical="center" indent="1"/>
      <protection hidden="1"/>
    </xf>
    <xf numFmtId="164" fontId="6" fillId="0" borderId="48" xfId="4" applyNumberFormat="1" applyFont="1" applyFill="1" applyBorder="1" applyAlignment="1" applyProtection="1">
      <alignment horizontal="left" vertical="center" indent="1"/>
      <protection hidden="1"/>
    </xf>
    <xf numFmtId="164" fontId="6" fillId="0" borderId="46" xfId="4" applyNumberFormat="1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 applyProtection="1">
      <alignment horizontal="center" vertical="top" wrapText="1"/>
      <protection hidden="1"/>
    </xf>
    <xf numFmtId="0" fontId="6" fillId="2" borderId="0" xfId="0" applyFont="1" applyFill="1" applyBorder="1" applyAlignment="1" applyProtection="1">
      <alignment horizontal="center" vertical="top" wrapText="1"/>
      <protection hidden="1"/>
    </xf>
    <xf numFmtId="0" fontId="6" fillId="3" borderId="74" xfId="4" applyFont="1" applyFill="1" applyBorder="1" applyAlignment="1" applyProtection="1">
      <alignment horizontal="center" vertical="center" wrapText="1"/>
      <protection hidden="1"/>
    </xf>
    <xf numFmtId="0" fontId="6" fillId="3" borderId="7" xfId="4" applyFont="1" applyFill="1" applyBorder="1" applyAlignment="1" applyProtection="1">
      <alignment horizontal="center" vertical="center" wrapText="1"/>
      <protection hidden="1"/>
    </xf>
    <xf numFmtId="0" fontId="6" fillId="20" borderId="66" xfId="0" applyFont="1" applyFill="1" applyBorder="1" applyAlignment="1" applyProtection="1">
      <alignment horizontal="center" vertical="top" wrapText="1"/>
      <protection hidden="1"/>
    </xf>
    <xf numFmtId="0" fontId="6" fillId="20" borderId="24" xfId="0" applyFont="1" applyFill="1" applyBorder="1" applyAlignment="1" applyProtection="1">
      <alignment horizontal="center" vertical="top" wrapText="1"/>
      <protection hidden="1"/>
    </xf>
    <xf numFmtId="0" fontId="9" fillId="3" borderId="59" xfId="4" applyFont="1" applyFill="1" applyBorder="1" applyAlignment="1" applyProtection="1">
      <alignment horizontal="center" vertical="center"/>
      <protection hidden="1"/>
    </xf>
    <xf numFmtId="0" fontId="7" fillId="0" borderId="60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61" xfId="0" applyFont="1" applyBorder="1" applyAlignment="1" applyProtection="1">
      <alignment horizontal="center" vertical="center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60" xfId="0" applyFont="1" applyFill="1" applyBorder="1" applyAlignment="1" applyProtection="1">
      <alignment horizontal="center" vertical="center" wrapText="1"/>
      <protection hidden="1"/>
    </xf>
    <xf numFmtId="0" fontId="6" fillId="20" borderId="61" xfId="0" applyFont="1" applyFill="1" applyBorder="1" applyAlignment="1" applyProtection="1">
      <alignment horizontal="center" vertical="center" wrapText="1"/>
      <protection hidden="1"/>
    </xf>
    <xf numFmtId="164" fontId="15" fillId="4" borderId="29" xfId="0" applyNumberFormat="1" applyFont="1" applyFill="1" applyBorder="1" applyAlignment="1" applyProtection="1">
      <alignment horizontal="center" vertical="center"/>
      <protection hidden="1"/>
    </xf>
    <xf numFmtId="0" fontId="7" fillId="0" borderId="48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21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21" fillId="3" borderId="22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59" xfId="0" applyFont="1" applyFill="1" applyBorder="1" applyAlignment="1" applyProtection="1">
      <alignment horizontal="center" vertical="center"/>
      <protection hidden="1"/>
    </xf>
    <xf numFmtId="0" fontId="6" fillId="3" borderId="60" xfId="0" applyFont="1" applyFill="1" applyBorder="1" applyAlignment="1" applyProtection="1">
      <alignment horizontal="center" vertical="center"/>
      <protection hidden="1"/>
    </xf>
    <xf numFmtId="0" fontId="6" fillId="3" borderId="61" xfId="0" applyFont="1" applyFill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6" fillId="2" borderId="28" xfId="0" applyFont="1" applyFill="1" applyBorder="1" applyAlignment="1" applyProtection="1">
      <alignment horizontal="center" vertical="center" wrapText="1"/>
      <protection hidden="1"/>
    </xf>
    <xf numFmtId="0" fontId="6" fillId="2" borderId="83" xfId="0" applyFont="1" applyFill="1" applyBorder="1" applyAlignment="1" applyProtection="1">
      <alignment horizontal="center" vertical="top" wrapText="1"/>
      <protection hidden="1"/>
    </xf>
    <xf numFmtId="0" fontId="6" fillId="2" borderId="22" xfId="0" applyFont="1" applyFill="1" applyBorder="1" applyAlignment="1" applyProtection="1">
      <alignment horizontal="center" vertical="top" wrapText="1"/>
      <protection hidden="1"/>
    </xf>
    <xf numFmtId="164" fontId="15" fillId="4" borderId="83" xfId="0" applyNumberFormat="1" applyFont="1" applyFill="1" applyBorder="1" applyAlignment="1" applyProtection="1">
      <alignment horizontal="center" vertical="top" wrapText="1"/>
      <protection hidden="1"/>
    </xf>
    <xf numFmtId="164" fontId="15" fillId="4" borderId="22" xfId="0" applyNumberFormat="1" applyFont="1" applyFill="1" applyBorder="1" applyAlignment="1" applyProtection="1">
      <alignment horizontal="center" vertical="top" wrapText="1"/>
      <protection hidden="1"/>
    </xf>
    <xf numFmtId="0" fontId="6" fillId="6" borderId="76" xfId="4" applyNumberFormat="1" applyFont="1" applyFill="1" applyBorder="1" applyAlignment="1" applyProtection="1">
      <alignment horizontal="center" vertical="center" wrapText="1"/>
      <protection hidden="1"/>
    </xf>
    <xf numFmtId="0" fontId="6" fillId="6" borderId="13" xfId="4" applyNumberFormat="1" applyFont="1" applyFill="1" applyBorder="1" applyAlignment="1" applyProtection="1">
      <alignment horizontal="center" vertical="center" wrapText="1"/>
      <protection hidden="1"/>
    </xf>
    <xf numFmtId="0" fontId="6" fillId="6" borderId="59" xfId="4" applyNumberFormat="1" applyFont="1" applyFill="1" applyBorder="1" applyAlignment="1" applyProtection="1">
      <alignment horizontal="center" vertical="center" wrapText="1"/>
      <protection hidden="1"/>
    </xf>
    <xf numFmtId="0" fontId="6" fillId="6" borderId="60" xfId="4" applyNumberFormat="1" applyFont="1" applyFill="1" applyBorder="1" applyAlignment="1" applyProtection="1">
      <alignment horizontal="center" vertical="center" wrapText="1"/>
      <protection hidden="1"/>
    </xf>
    <xf numFmtId="0" fontId="6" fillId="6" borderId="61" xfId="4" applyNumberFormat="1" applyFont="1" applyFill="1" applyBorder="1" applyAlignment="1" applyProtection="1">
      <alignment horizontal="center" vertical="center" wrapText="1"/>
      <protection hidden="1"/>
    </xf>
    <xf numFmtId="0" fontId="6" fillId="6" borderId="22" xfId="4" applyNumberFormat="1" applyFont="1" applyFill="1" applyBorder="1" applyAlignment="1" applyProtection="1">
      <alignment horizontal="center" vertical="center" wrapText="1"/>
      <protection hidden="1"/>
    </xf>
    <xf numFmtId="0" fontId="6" fillId="20" borderId="10" xfId="0" applyFont="1" applyFill="1" applyBorder="1" applyAlignment="1" applyProtection="1">
      <alignment horizontal="center" vertical="top" wrapText="1"/>
      <protection hidden="1"/>
    </xf>
    <xf numFmtId="0" fontId="6" fillId="20" borderId="27" xfId="0" applyFont="1" applyFill="1" applyBorder="1" applyAlignment="1" applyProtection="1">
      <alignment horizontal="center" vertical="top" wrapText="1"/>
      <protection hidden="1"/>
    </xf>
    <xf numFmtId="0" fontId="6" fillId="20" borderId="52" xfId="0" applyFont="1" applyFill="1" applyBorder="1" applyAlignment="1" applyProtection="1">
      <alignment horizontal="center" vertical="top" wrapText="1"/>
      <protection hidden="1"/>
    </xf>
    <xf numFmtId="0" fontId="6" fillId="20" borderId="25" xfId="0" applyFont="1" applyFill="1" applyBorder="1" applyAlignment="1" applyProtection="1">
      <alignment horizontal="center" vertical="top" wrapText="1"/>
      <protection hidden="1"/>
    </xf>
    <xf numFmtId="0" fontId="6" fillId="20" borderId="0" xfId="4" applyFont="1" applyFill="1" applyAlignment="1" applyProtection="1">
      <alignment horizontal="center" wrapText="1"/>
      <protection hidden="1"/>
    </xf>
    <xf numFmtId="0" fontId="8" fillId="21" borderId="71" xfId="0" applyNumberFormat="1" applyFont="1" applyFill="1" applyBorder="1" applyAlignment="1" applyProtection="1">
      <alignment horizontal="center" vertical="center" wrapText="1"/>
      <protection locked="0"/>
    </xf>
    <xf numFmtId="0" fontId="8" fillId="21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21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21" borderId="76" xfId="0" applyNumberFormat="1" applyFont="1" applyFill="1" applyBorder="1" applyAlignment="1" applyProtection="1">
      <alignment horizontal="center" vertical="center" wrapText="1"/>
      <protection locked="0"/>
    </xf>
    <xf numFmtId="0" fontId="8" fillId="21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1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20" borderId="10" xfId="0" applyFont="1" applyFill="1" applyBorder="1" applyAlignment="1" applyProtection="1">
      <alignment horizontal="center" vertical="center"/>
      <protection locked="0"/>
    </xf>
    <xf numFmtId="0" fontId="18" fillId="20" borderId="26" xfId="0" applyFont="1" applyFill="1" applyBorder="1" applyAlignment="1" applyProtection="1">
      <alignment horizontal="center" vertical="center"/>
      <protection locked="0"/>
    </xf>
    <xf numFmtId="167" fontId="9" fillId="2" borderId="71" xfId="0" applyNumberFormat="1" applyFont="1" applyFill="1" applyBorder="1" applyAlignment="1" applyProtection="1">
      <alignment horizontal="left" vertical="center" wrapText="1" indent="1"/>
      <protection locked="0"/>
    </xf>
    <xf numFmtId="167" fontId="9" fillId="2" borderId="76" xfId="0" applyNumberFormat="1" applyFont="1" applyFill="1" applyBorder="1" applyAlignment="1" applyProtection="1">
      <alignment horizontal="left" vertical="center" wrapText="1" indent="1"/>
      <protection locked="0"/>
    </xf>
    <xf numFmtId="164" fontId="6" fillId="2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protection locked="0"/>
    </xf>
    <xf numFmtId="164" fontId="6" fillId="2" borderId="5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protection locked="0"/>
    </xf>
    <xf numFmtId="0" fontId="8" fillId="21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20" borderId="5" xfId="0" applyFont="1" applyFill="1" applyBorder="1" applyAlignment="1" applyProtection="1">
      <alignment horizontal="center" wrapText="1"/>
      <protection locked="0"/>
    </xf>
    <xf numFmtId="0" fontId="8" fillId="21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20" borderId="4" xfId="0" applyFont="1" applyFill="1" applyBorder="1" applyAlignment="1" applyProtection="1">
      <alignment horizontal="center" wrapText="1"/>
      <protection locked="0"/>
    </xf>
    <xf numFmtId="164" fontId="6" fillId="3" borderId="63" xfId="4" applyNumberFormat="1" applyFont="1" applyFill="1" applyBorder="1" applyAlignment="1" applyProtection="1">
      <alignment horizontal="center" vertical="top" wrapText="1"/>
      <protection hidden="1"/>
    </xf>
    <xf numFmtId="0" fontId="7" fillId="3" borderId="64" xfId="4" applyFont="1" applyFill="1" applyBorder="1" applyAlignment="1" applyProtection="1">
      <alignment horizontal="center" vertical="top" wrapText="1"/>
      <protection hidden="1"/>
    </xf>
    <xf numFmtId="0" fontId="6" fillId="3" borderId="63" xfId="4" applyFont="1" applyFill="1" applyBorder="1" applyAlignment="1" applyProtection="1">
      <alignment horizontal="center" vertical="center"/>
      <protection hidden="1"/>
    </xf>
    <xf numFmtId="0" fontId="6" fillId="3" borderId="60" xfId="4" applyFont="1" applyFill="1" applyBorder="1" applyAlignment="1" applyProtection="1">
      <alignment horizontal="center" vertical="center"/>
      <protection hidden="1"/>
    </xf>
    <xf numFmtId="0" fontId="6" fillId="3" borderId="61" xfId="4" applyFont="1" applyFill="1" applyBorder="1" applyAlignment="1" applyProtection="1">
      <alignment horizontal="center" vertical="center"/>
      <protection hidden="1"/>
    </xf>
    <xf numFmtId="0" fontId="6" fillId="0" borderId="14" xfId="4" applyNumberFormat="1" applyFont="1" applyFill="1" applyBorder="1" applyAlignment="1" applyProtection="1">
      <alignment horizontal="left" vertical="center" indent="1"/>
      <protection hidden="1"/>
    </xf>
    <xf numFmtId="0" fontId="6" fillId="0" borderId="77" xfId="4" applyNumberFormat="1" applyFont="1" applyFill="1" applyBorder="1" applyAlignment="1" applyProtection="1">
      <alignment horizontal="left" vertical="center" indent="1"/>
      <protection hidden="1"/>
    </xf>
    <xf numFmtId="0" fontId="6" fillId="0" borderId="73" xfId="4" applyNumberFormat="1" applyFont="1" applyFill="1" applyBorder="1" applyAlignment="1" applyProtection="1">
      <alignment horizontal="left" vertical="center" indent="1"/>
      <protection hidden="1"/>
    </xf>
    <xf numFmtId="0" fontId="9" fillId="3" borderId="71" xfId="4" applyFont="1" applyFill="1" applyBorder="1" applyAlignment="1" applyProtection="1">
      <alignment horizontal="left" vertical="center" wrapText="1" indent="2"/>
      <protection hidden="1"/>
    </xf>
    <xf numFmtId="0" fontId="7" fillId="0" borderId="9" xfId="4" applyFont="1" applyBorder="1" applyAlignment="1" applyProtection="1">
      <alignment horizontal="left" vertical="center" wrapText="1" indent="2"/>
      <protection hidden="1"/>
    </xf>
    <xf numFmtId="0" fontId="7" fillId="0" borderId="64" xfId="4" applyFont="1" applyBorder="1" applyAlignment="1" applyProtection="1">
      <alignment horizontal="center" vertical="top" wrapText="1"/>
      <protection hidden="1"/>
    </xf>
    <xf numFmtId="0" fontId="9" fillId="3" borderId="9" xfId="4" applyFont="1" applyFill="1" applyBorder="1" applyAlignment="1" applyProtection="1">
      <alignment horizontal="left" vertical="center" wrapText="1" indent="2"/>
      <protection hidden="1"/>
    </xf>
    <xf numFmtId="164" fontId="6" fillId="3" borderId="47" xfId="4" applyNumberFormat="1" applyFont="1" applyFill="1" applyBorder="1" applyAlignment="1" applyProtection="1">
      <alignment horizontal="center" vertical="top"/>
      <protection hidden="1"/>
    </xf>
    <xf numFmtId="164" fontId="6" fillId="3" borderId="46" xfId="4" applyNumberFormat="1" applyFont="1" applyFill="1" applyBorder="1" applyAlignment="1" applyProtection="1">
      <alignment horizontal="center" vertical="top"/>
      <protection hidden="1"/>
    </xf>
    <xf numFmtId="0" fontId="6" fillId="0" borderId="6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7" xfId="0" applyNumberFormat="1" applyFont="1" applyFill="1" applyBorder="1" applyAlignment="1" applyProtection="1">
      <alignment horizontal="center" vertical="top" wrapText="1"/>
      <protection hidden="1"/>
    </xf>
    <xf numFmtId="0" fontId="6" fillId="0" borderId="46" xfId="0" applyNumberFormat="1" applyFont="1" applyFill="1" applyBorder="1" applyAlignment="1" applyProtection="1">
      <alignment horizontal="center" vertical="top" wrapText="1"/>
      <protection hidden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 wrapText="1"/>
    </xf>
    <xf numFmtId="0" fontId="6" fillId="0" borderId="45" xfId="9" applyNumberFormat="1" applyFont="1" applyBorder="1" applyAlignment="1" applyProtection="1">
      <alignment horizontal="center" vertical="top" wrapText="1"/>
    </xf>
    <xf numFmtId="0" fontId="6" fillId="0" borderId="3" xfId="9" applyNumberFormat="1" applyFont="1" applyBorder="1" applyAlignment="1" applyProtection="1">
      <alignment horizontal="center" vertical="top" wrapText="1"/>
    </xf>
    <xf numFmtId="0" fontId="6" fillId="0" borderId="13" xfId="0" applyFont="1" applyFill="1" applyBorder="1" applyAlignment="1">
      <alignment horizontal="center" vertical="top"/>
    </xf>
    <xf numFmtId="0" fontId="6" fillId="0" borderId="76" xfId="0" applyFont="1" applyFill="1" applyBorder="1" applyAlignment="1">
      <alignment horizontal="center" vertical="top" wrapText="1"/>
    </xf>
    <xf numFmtId="0" fontId="24" fillId="0" borderId="59" xfId="0" applyFont="1" applyBorder="1" applyAlignment="1" applyProtection="1">
      <alignment horizontal="center" vertical="center"/>
      <protection hidden="1"/>
    </xf>
    <xf numFmtId="0" fontId="24" fillId="0" borderId="60" xfId="0" applyFont="1" applyBorder="1" applyAlignment="1" applyProtection="1">
      <alignment horizontal="center" vertical="center"/>
      <protection hidden="1"/>
    </xf>
    <xf numFmtId="0" fontId="24" fillId="0" borderId="61" xfId="0" applyFont="1" applyBorder="1" applyAlignment="1" applyProtection="1">
      <alignment horizontal="center" vertical="center"/>
      <protection hidden="1"/>
    </xf>
    <xf numFmtId="0" fontId="24" fillId="0" borderId="60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21" xfId="0" applyNumberFormat="1" applyFont="1" applyFill="1" applyBorder="1" applyAlignment="1" applyProtection="1">
      <alignment horizontal="center" vertical="top" wrapText="1"/>
      <protection hidden="1"/>
    </xf>
    <xf numFmtId="0" fontId="24" fillId="0" borderId="27" xfId="0" applyNumberFormat="1" applyFont="1" applyFill="1" applyBorder="1" applyAlignment="1" applyProtection="1">
      <alignment horizontal="center" vertical="top" wrapText="1"/>
      <protection hidden="1"/>
    </xf>
    <xf numFmtId="0" fontId="24" fillId="0" borderId="66" xfId="0" applyFont="1" applyBorder="1" applyAlignment="1" applyProtection="1">
      <alignment horizontal="center" vertical="top" wrapText="1"/>
      <protection hidden="1"/>
    </xf>
    <xf numFmtId="0" fontId="24" fillId="0" borderId="5" xfId="0" applyFont="1" applyBorder="1" applyAlignment="1" applyProtection="1">
      <alignment horizontal="center" vertical="top" wrapText="1"/>
      <protection hidden="1"/>
    </xf>
    <xf numFmtId="0" fontId="24" fillId="0" borderId="21" xfId="0" applyFont="1" applyBorder="1" applyAlignment="1" applyProtection="1">
      <alignment horizontal="center" vertical="top" wrapText="1"/>
      <protection hidden="1"/>
    </xf>
    <xf numFmtId="0" fontId="24" fillId="0" borderId="27" xfId="0" applyFont="1" applyBorder="1" applyAlignment="1" applyProtection="1">
      <alignment horizontal="center" vertical="top" wrapText="1"/>
      <protection hidden="1"/>
    </xf>
  </cellXfs>
  <cellStyles count="14">
    <cellStyle name="Comma 2" xfId="1"/>
    <cellStyle name="Comma 2 2" xfId="2"/>
    <cellStyle name="Comma 3" xfId="3"/>
    <cellStyle name="Comma 3 3" xfId="12"/>
    <cellStyle name="Normal" xfId="0" builtinId="0"/>
    <cellStyle name="Normal 2" xfId="4"/>
    <cellStyle name="Normal 2 2" xfId="5"/>
    <cellStyle name="Normal 2 3" xfId="11"/>
    <cellStyle name="Normal 2_RUK by FSG, 08-09 to 10-11" xfId="10"/>
    <cellStyle name="Normal 3" xfId="6"/>
    <cellStyle name="Normal 4" xfId="13"/>
    <cellStyle name="Normal_ABDN" xfId="7"/>
    <cellStyle name="Normal_GFU and SSI Teaching Grants for 2012-13, Additional Science inc STEM" xfId="9"/>
    <cellStyle name="Normal_Table1 ABER first cut" xfId="8"/>
  </cellStyles>
  <dxfs count="67"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  <condense val="0"/>
        <extend val="0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 tint="-0.24994659260841701"/>
      </font>
    </dxf>
  </dxfs>
  <tableStyles count="0" defaultTableStyle="TableStyleMedium2" defaultPivotStyle="PivotStyleLight16"/>
  <colors>
    <mruColors>
      <color rgb="FFCCFFFF"/>
      <color rgb="FFC0C0C0"/>
      <color rgb="FFFFFFFF"/>
      <color rgb="FFFF9900"/>
      <color rgb="FF000080"/>
      <color rgb="FFFFFFCC"/>
      <color rgb="FF969696"/>
      <color rgb="FF808080"/>
      <color rgb="FF777777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66"/>
  <sheetViews>
    <sheetView tabSelected="1" zoomScale="75" zoomScaleNormal="75" workbookViewId="0"/>
  </sheetViews>
  <sheetFormatPr defaultColWidth="9.140625" defaultRowHeight="15"/>
  <cols>
    <col min="1" max="1" width="72.85546875" style="694" customWidth="1"/>
    <col min="2" max="4" width="15.7109375" style="694" customWidth="1"/>
    <col min="5" max="5" width="5.7109375" style="694" customWidth="1"/>
    <col min="6" max="6" width="15.7109375" style="694" customWidth="1"/>
    <col min="7" max="7" width="5.7109375" style="694" customWidth="1"/>
    <col min="8" max="8" width="16.7109375" style="694" customWidth="1"/>
    <col min="9" max="9" width="5.7109375" style="694" customWidth="1"/>
    <col min="10" max="10" width="16.7109375" style="694" customWidth="1"/>
    <col min="11" max="12" width="5.7109375" style="694" customWidth="1"/>
    <col min="13" max="15" width="35.7109375" style="694" customWidth="1"/>
    <col min="16" max="17" width="3.7109375" style="694" customWidth="1"/>
    <col min="18" max="20" width="13.7109375" style="694" customWidth="1"/>
    <col min="21" max="21" width="15.7109375" style="694" customWidth="1"/>
    <col min="22" max="23" width="4.7109375" style="694" customWidth="1"/>
    <col min="24" max="26" width="13.7109375" style="694" customWidth="1"/>
    <col min="27" max="27" width="4.85546875" style="694" customWidth="1"/>
    <col min="28" max="28" width="17.5703125" style="694" hidden="1" customWidth="1"/>
    <col min="29" max="29" width="12.7109375" style="699" hidden="1" customWidth="1"/>
    <col min="30" max="30" width="14.140625" style="699" hidden="1" customWidth="1"/>
    <col min="31" max="31" width="15.28515625" style="699" hidden="1" customWidth="1"/>
    <col min="32" max="32" width="12.7109375" style="699" hidden="1" customWidth="1"/>
    <col min="33" max="33" width="3.5703125" style="698" hidden="1" customWidth="1"/>
    <col min="34" max="34" width="12.7109375" style="699" hidden="1" customWidth="1"/>
    <col min="35" max="35" width="13.85546875" style="699" hidden="1" customWidth="1"/>
    <col min="36" max="36" width="15.140625" style="699" hidden="1" customWidth="1"/>
    <col min="37" max="37" width="12.7109375" style="699" hidden="1" customWidth="1"/>
    <col min="38" max="38" width="9.140625" style="694" hidden="1" customWidth="1"/>
    <col min="39" max="39" width="12.7109375" style="699" hidden="1" customWidth="1"/>
    <col min="40" max="40" width="15.140625" style="699" hidden="1" customWidth="1"/>
    <col min="41" max="41" width="12.7109375" style="699" hidden="1" customWidth="1"/>
    <col min="42" max="42" width="9.140625" style="694" hidden="1" customWidth="1"/>
    <col min="43" max="16384" width="9.140625" style="694"/>
  </cols>
  <sheetData>
    <row r="1" spans="1:41" s="740" customFormat="1" ht="35.1" customHeight="1">
      <c r="A1" s="53" t="s">
        <v>43</v>
      </c>
      <c r="B1" s="54" t="s">
        <v>140</v>
      </c>
      <c r="C1" s="55"/>
      <c r="D1" s="56"/>
      <c r="E1" s="56"/>
      <c r="F1" s="56"/>
      <c r="G1" s="56"/>
      <c r="H1" s="56"/>
      <c r="I1" s="56"/>
      <c r="J1" s="56"/>
      <c r="K1" s="56"/>
      <c r="L1" s="56"/>
      <c r="M1" s="57"/>
      <c r="N1" s="57"/>
      <c r="O1" s="57"/>
      <c r="P1" s="57"/>
      <c r="Q1" s="58"/>
      <c r="R1" s="58"/>
      <c r="S1" s="58"/>
      <c r="T1" s="58"/>
      <c r="U1" s="58"/>
      <c r="V1" s="58"/>
      <c r="W1" s="59"/>
      <c r="X1" s="59"/>
      <c r="Y1" s="59"/>
      <c r="Z1" s="59"/>
      <c r="AA1" s="60"/>
      <c r="AB1" s="739"/>
      <c r="AC1" s="699"/>
      <c r="AD1" s="699"/>
      <c r="AE1" s="699"/>
      <c r="AF1" s="699"/>
      <c r="AG1" s="698"/>
      <c r="AH1" s="699"/>
      <c r="AI1" s="699"/>
      <c r="AJ1" s="699"/>
      <c r="AK1" s="699"/>
      <c r="AM1" s="699"/>
      <c r="AN1" s="699"/>
      <c r="AO1" s="699"/>
    </row>
    <row r="2" spans="1:41" s="740" customFormat="1" ht="35.1" customHeight="1">
      <c r="A2" s="61" t="s">
        <v>5</v>
      </c>
      <c r="B2" s="904" t="str">
        <f>'Background Data'!$D$2</f>
        <v>Glasgow, University of</v>
      </c>
      <c r="C2" s="905"/>
      <c r="D2" s="906"/>
      <c r="E2" s="62"/>
      <c r="F2" s="63"/>
      <c r="G2" s="63"/>
      <c r="H2" s="63"/>
      <c r="I2" s="63"/>
      <c r="J2" s="63"/>
      <c r="K2" s="63"/>
      <c r="L2" s="63"/>
      <c r="M2" s="654"/>
      <c r="N2" s="654"/>
      <c r="O2" s="654"/>
      <c r="P2" s="654"/>
      <c r="Q2" s="64"/>
      <c r="R2" s="256"/>
      <c r="S2" s="65"/>
      <c r="T2" s="65"/>
      <c r="U2" s="65"/>
      <c r="V2" s="64"/>
      <c r="W2" s="66"/>
      <c r="X2" s="67"/>
      <c r="Y2" s="67"/>
      <c r="Z2" s="67"/>
      <c r="AA2" s="110"/>
      <c r="AB2" s="739"/>
      <c r="AC2" s="699"/>
      <c r="AD2" s="699"/>
      <c r="AE2" s="699"/>
      <c r="AF2" s="699"/>
      <c r="AG2" s="698"/>
      <c r="AH2" s="699"/>
      <c r="AI2" s="699"/>
      <c r="AJ2" s="699"/>
      <c r="AK2" s="699"/>
      <c r="AM2" s="699"/>
      <c r="AN2" s="699"/>
      <c r="AO2" s="699"/>
    </row>
    <row r="3" spans="1:41" s="741" customFormat="1" ht="24.95" customHeight="1">
      <c r="A3" s="68" t="s">
        <v>26</v>
      </c>
      <c r="B3" s="63"/>
      <c r="C3" s="63"/>
      <c r="D3" s="63"/>
      <c r="E3" s="63"/>
      <c r="F3" s="63"/>
      <c r="G3" s="63"/>
      <c r="H3" s="63"/>
      <c r="I3" s="69"/>
      <c r="J3" s="69"/>
      <c r="K3" s="69"/>
      <c r="L3" s="69"/>
      <c r="M3" s="654"/>
      <c r="N3" s="654"/>
      <c r="O3" s="654"/>
      <c r="P3" s="654"/>
      <c r="Q3" s="70"/>
      <c r="R3" s="64"/>
      <c r="S3" s="64"/>
      <c r="T3" s="64"/>
      <c r="U3" s="64"/>
      <c r="V3" s="71"/>
      <c r="W3" s="72"/>
      <c r="X3" s="655"/>
      <c r="Y3" s="655"/>
      <c r="Z3" s="655"/>
      <c r="AA3" s="110"/>
      <c r="AB3" s="739"/>
      <c r="AC3" s="699"/>
      <c r="AD3" s="699"/>
      <c r="AE3" s="699"/>
      <c r="AF3" s="699"/>
      <c r="AG3" s="698"/>
      <c r="AH3" s="699"/>
      <c r="AI3" s="699"/>
      <c r="AJ3" s="699"/>
      <c r="AK3" s="699"/>
      <c r="AM3" s="699"/>
      <c r="AN3" s="699"/>
      <c r="AO3" s="699"/>
    </row>
    <row r="4" spans="1:41" s="741" customFormat="1" ht="15" customHeight="1" thickBot="1">
      <c r="A4" s="73"/>
      <c r="B4" s="74"/>
      <c r="C4" s="74"/>
      <c r="D4" s="74"/>
      <c r="E4" s="74"/>
      <c r="F4" s="74"/>
      <c r="G4" s="74"/>
      <c r="H4" s="74"/>
      <c r="I4" s="69"/>
      <c r="J4" s="69"/>
      <c r="K4" s="69"/>
      <c r="L4" s="69"/>
      <c r="M4" s="656"/>
      <c r="N4" s="656"/>
      <c r="O4" s="656"/>
      <c r="P4" s="656"/>
      <c r="Q4" s="70"/>
      <c r="R4" s="75"/>
      <c r="S4" s="75"/>
      <c r="T4" s="75"/>
      <c r="U4" s="75"/>
      <c r="V4" s="75"/>
      <c r="W4" s="72"/>
      <c r="X4" s="655"/>
      <c r="Y4" s="655"/>
      <c r="Z4" s="655"/>
      <c r="AA4" s="110"/>
      <c r="AB4" s="739"/>
      <c r="AC4" s="699"/>
      <c r="AD4" s="699"/>
      <c r="AE4" s="699"/>
      <c r="AF4" s="699"/>
      <c r="AG4" s="698"/>
      <c r="AH4" s="699"/>
      <c r="AI4" s="699"/>
      <c r="AJ4" s="699"/>
      <c r="AK4" s="699"/>
      <c r="AM4" s="699"/>
      <c r="AN4" s="699"/>
      <c r="AO4" s="699"/>
    </row>
    <row r="5" spans="1:41" s="741" customFormat="1" ht="69.95" customHeight="1">
      <c r="A5" s="77"/>
      <c r="B5" s="913" t="s">
        <v>141</v>
      </c>
      <c r="C5" s="914"/>
      <c r="D5" s="914"/>
      <c r="E5" s="914"/>
      <c r="F5" s="914"/>
      <c r="G5" s="915"/>
      <c r="H5" s="916"/>
      <c r="I5" s="297"/>
      <c r="J5" s="923" t="s">
        <v>142</v>
      </c>
      <c r="K5" s="382"/>
      <c r="L5" s="302"/>
      <c r="M5" s="925" t="s">
        <v>60</v>
      </c>
      <c r="N5" s="926"/>
      <c r="O5" s="927"/>
      <c r="P5" s="104"/>
      <c r="Q5" s="78"/>
      <c r="R5" s="319" t="s">
        <v>143</v>
      </c>
      <c r="S5" s="320"/>
      <c r="T5" s="320"/>
      <c r="U5" s="321"/>
      <c r="V5" s="79"/>
      <c r="W5" s="80"/>
      <c r="X5" s="936" t="s">
        <v>122</v>
      </c>
      <c r="Y5" s="937"/>
      <c r="Z5" s="938"/>
      <c r="AA5" s="81"/>
      <c r="AB5" s="944" t="s">
        <v>216</v>
      </c>
      <c r="AC5" s="917" t="s">
        <v>0</v>
      </c>
      <c r="AD5" s="918"/>
      <c r="AE5" s="918"/>
      <c r="AF5" s="919"/>
      <c r="AG5" s="742"/>
      <c r="AH5" s="917" t="s">
        <v>1</v>
      </c>
      <c r="AI5" s="918"/>
      <c r="AJ5" s="918"/>
      <c r="AK5" s="919"/>
      <c r="AM5" s="917" t="s">
        <v>130</v>
      </c>
      <c r="AN5" s="918"/>
      <c r="AO5" s="919"/>
    </row>
    <row r="6" spans="1:41" ht="39.950000000000003" customHeight="1">
      <c r="A6" s="82"/>
      <c r="B6" s="909" t="s">
        <v>44</v>
      </c>
      <c r="C6" s="910"/>
      <c r="D6" s="910"/>
      <c r="E6" s="83"/>
      <c r="F6" s="907" t="s">
        <v>4</v>
      </c>
      <c r="G6" s="84"/>
      <c r="H6" s="85" t="s">
        <v>3</v>
      </c>
      <c r="I6" s="296"/>
      <c r="J6" s="924"/>
      <c r="K6" s="382"/>
      <c r="L6" s="299"/>
      <c r="M6" s="928" t="s">
        <v>47</v>
      </c>
      <c r="N6" s="929"/>
      <c r="O6" s="930" t="s">
        <v>138</v>
      </c>
      <c r="P6" s="657"/>
      <c r="Q6" s="87"/>
      <c r="R6" s="920" t="s">
        <v>47</v>
      </c>
      <c r="S6" s="921"/>
      <c r="T6" s="922"/>
      <c r="U6" s="932" t="s">
        <v>107</v>
      </c>
      <c r="V6" s="658"/>
      <c r="W6" s="80"/>
      <c r="X6" s="934" t="s">
        <v>47</v>
      </c>
      <c r="Y6" s="935"/>
      <c r="Z6" s="939" t="s">
        <v>107</v>
      </c>
      <c r="AA6" s="81"/>
      <c r="AB6" s="944"/>
      <c r="AC6" s="911" t="s">
        <v>61</v>
      </c>
      <c r="AD6" s="942" t="s">
        <v>123</v>
      </c>
      <c r="AE6" s="942" t="s">
        <v>127</v>
      </c>
      <c r="AF6" s="940" t="s">
        <v>125</v>
      </c>
      <c r="AG6" s="743"/>
      <c r="AH6" s="911" t="s">
        <v>126</v>
      </c>
      <c r="AI6" s="942" t="s">
        <v>124</v>
      </c>
      <c r="AJ6" s="942" t="s">
        <v>127</v>
      </c>
      <c r="AK6" s="940" t="s">
        <v>125</v>
      </c>
      <c r="AM6" s="911" t="s">
        <v>126</v>
      </c>
      <c r="AN6" s="942" t="s">
        <v>217</v>
      </c>
      <c r="AO6" s="940" t="s">
        <v>125</v>
      </c>
    </row>
    <row r="7" spans="1:41" ht="60" customHeight="1">
      <c r="A7" s="88" t="s">
        <v>103</v>
      </c>
      <c r="B7" s="89" t="s">
        <v>45</v>
      </c>
      <c r="C7" s="90" t="s">
        <v>41</v>
      </c>
      <c r="D7" s="659" t="s">
        <v>3</v>
      </c>
      <c r="E7" s="660"/>
      <c r="F7" s="908"/>
      <c r="G7" s="91"/>
      <c r="H7" s="92"/>
      <c r="I7" s="296"/>
      <c r="J7" s="924"/>
      <c r="K7" s="382"/>
      <c r="L7" s="299"/>
      <c r="M7" s="661" t="s">
        <v>108</v>
      </c>
      <c r="N7" s="662" t="s">
        <v>2</v>
      </c>
      <c r="O7" s="931"/>
      <c r="P7" s="663"/>
      <c r="Q7" s="93"/>
      <c r="R7" s="94" t="s">
        <v>46</v>
      </c>
      <c r="S7" s="95" t="s">
        <v>2</v>
      </c>
      <c r="T7" s="96" t="s">
        <v>3</v>
      </c>
      <c r="U7" s="933"/>
      <c r="V7" s="97"/>
      <c r="W7" s="98"/>
      <c r="X7" s="99" t="s">
        <v>46</v>
      </c>
      <c r="Y7" s="100" t="s">
        <v>2</v>
      </c>
      <c r="Z7" s="939"/>
      <c r="AA7" s="101"/>
      <c r="AB7" s="944"/>
      <c r="AC7" s="912"/>
      <c r="AD7" s="943"/>
      <c r="AE7" s="943"/>
      <c r="AF7" s="941"/>
      <c r="AG7" s="743"/>
      <c r="AH7" s="912"/>
      <c r="AI7" s="943"/>
      <c r="AJ7" s="943"/>
      <c r="AK7" s="941"/>
      <c r="AM7" s="912"/>
      <c r="AN7" s="943"/>
      <c r="AO7" s="941"/>
    </row>
    <row r="8" spans="1:41" ht="30">
      <c r="A8" s="102"/>
      <c r="B8" s="314" t="s">
        <v>6</v>
      </c>
      <c r="C8" s="315" t="s">
        <v>6</v>
      </c>
      <c r="D8" s="316" t="s">
        <v>134</v>
      </c>
      <c r="E8" s="103"/>
      <c r="F8" s="317" t="s">
        <v>6</v>
      </c>
      <c r="G8" s="103"/>
      <c r="H8" s="316" t="s">
        <v>134</v>
      </c>
      <c r="I8" s="297"/>
      <c r="J8" s="318" t="s">
        <v>6</v>
      </c>
      <c r="K8" s="383"/>
      <c r="L8" s="300"/>
      <c r="M8" s="664"/>
      <c r="N8" s="665"/>
      <c r="O8" s="665"/>
      <c r="P8" s="666"/>
      <c r="Q8" s="93"/>
      <c r="R8" s="105" t="s">
        <v>7</v>
      </c>
      <c r="S8" s="106" t="s">
        <v>7</v>
      </c>
      <c r="T8" s="107" t="s">
        <v>7</v>
      </c>
      <c r="U8" s="322" t="s">
        <v>7</v>
      </c>
      <c r="V8" s="97"/>
      <c r="W8" s="98"/>
      <c r="X8" s="108" t="s">
        <v>7</v>
      </c>
      <c r="Y8" s="109" t="s">
        <v>7</v>
      </c>
      <c r="Z8" s="364" t="s">
        <v>7</v>
      </c>
      <c r="AA8" s="110"/>
      <c r="AC8" s="912"/>
      <c r="AD8" s="943"/>
      <c r="AE8" s="943"/>
      <c r="AF8" s="941"/>
      <c r="AG8" s="743"/>
      <c r="AH8" s="912"/>
      <c r="AI8" s="943"/>
      <c r="AJ8" s="943"/>
      <c r="AK8" s="941"/>
      <c r="AM8" s="912"/>
      <c r="AN8" s="943"/>
      <c r="AO8" s="941"/>
    </row>
    <row r="9" spans="1:41" ht="39.950000000000003" customHeight="1">
      <c r="A9" s="102"/>
      <c r="B9" s="667">
        <v>1</v>
      </c>
      <c r="C9" s="668">
        <v>2</v>
      </c>
      <c r="D9" s="669">
        <v>3</v>
      </c>
      <c r="E9" s="670"/>
      <c r="F9" s="669">
        <v>4</v>
      </c>
      <c r="G9" s="670"/>
      <c r="H9" s="312">
        <v>5</v>
      </c>
      <c r="I9" s="297"/>
      <c r="J9" s="313">
        <v>6</v>
      </c>
      <c r="K9" s="384"/>
      <c r="L9" s="300"/>
      <c r="M9" s="313">
        <v>7</v>
      </c>
      <c r="N9" s="671">
        <v>8</v>
      </c>
      <c r="O9" s="671">
        <v>9</v>
      </c>
      <c r="P9" s="672"/>
      <c r="Q9" s="93"/>
      <c r="R9" s="673">
        <v>10</v>
      </c>
      <c r="S9" s="674">
        <v>11</v>
      </c>
      <c r="T9" s="675">
        <v>12</v>
      </c>
      <c r="U9" s="676">
        <v>13</v>
      </c>
      <c r="V9" s="111"/>
      <c r="W9" s="98"/>
      <c r="X9" s="411">
        <v>14</v>
      </c>
      <c r="Y9" s="412">
        <v>15</v>
      </c>
      <c r="Z9" s="413">
        <v>16</v>
      </c>
      <c r="AA9" s="110"/>
      <c r="AC9" s="744">
        <v>17</v>
      </c>
      <c r="AD9" s="745">
        <v>18</v>
      </c>
      <c r="AE9" s="745">
        <v>19</v>
      </c>
      <c r="AF9" s="746">
        <v>20</v>
      </c>
      <c r="AG9" s="743"/>
      <c r="AH9" s="744">
        <v>21</v>
      </c>
      <c r="AI9" s="745">
        <v>22</v>
      </c>
      <c r="AJ9" s="745">
        <v>23</v>
      </c>
      <c r="AK9" s="746">
        <v>24</v>
      </c>
      <c r="AM9" s="744">
        <v>25</v>
      </c>
      <c r="AN9" s="745">
        <v>26</v>
      </c>
      <c r="AO9" s="746">
        <v>27</v>
      </c>
    </row>
    <row r="10" spans="1:41" ht="30" customHeight="1" thickBot="1">
      <c r="A10" s="102"/>
      <c r="B10" s="677" t="s">
        <v>27</v>
      </c>
      <c r="C10" s="670" t="s">
        <v>27</v>
      </c>
      <c r="D10" s="678" t="s">
        <v>27</v>
      </c>
      <c r="E10" s="670"/>
      <c r="F10" s="679" t="s">
        <v>27</v>
      </c>
      <c r="G10" s="670"/>
      <c r="H10" s="680" t="s">
        <v>27</v>
      </c>
      <c r="I10" s="298"/>
      <c r="J10" s="681" t="s">
        <v>27</v>
      </c>
      <c r="K10" s="385"/>
      <c r="L10" s="301"/>
      <c r="M10" s="112"/>
      <c r="N10" s="682"/>
      <c r="O10" s="683"/>
      <c r="P10" s="684"/>
      <c r="Q10" s="93"/>
      <c r="R10" s="113" t="s">
        <v>27</v>
      </c>
      <c r="S10" s="114" t="s">
        <v>27</v>
      </c>
      <c r="T10" s="115" t="s">
        <v>27</v>
      </c>
      <c r="U10" s="323" t="s">
        <v>27</v>
      </c>
      <c r="V10" s="116"/>
      <c r="W10" s="98"/>
      <c r="X10" s="117" t="s">
        <v>27</v>
      </c>
      <c r="Y10" s="118" t="s">
        <v>27</v>
      </c>
      <c r="Z10" s="365" t="s">
        <v>27</v>
      </c>
      <c r="AA10" s="119"/>
      <c r="AC10" s="747"/>
      <c r="AD10" s="748"/>
      <c r="AE10" s="748"/>
      <c r="AF10" s="749"/>
      <c r="AG10" s="750"/>
      <c r="AH10" s="747"/>
      <c r="AI10" s="748"/>
      <c r="AJ10" s="748"/>
      <c r="AK10" s="749"/>
      <c r="AM10" s="747"/>
      <c r="AN10" s="748"/>
      <c r="AO10" s="749"/>
    </row>
    <row r="11" spans="1:41" ht="37.5" customHeight="1" thickBot="1">
      <c r="A11" s="120" t="s">
        <v>11</v>
      </c>
      <c r="B11" s="303"/>
      <c r="C11" s="304"/>
      <c r="D11" s="305">
        <v>1184</v>
      </c>
      <c r="E11" s="388" t="str">
        <f>IF(AF11=1,"?","")</f>
        <v/>
      </c>
      <c r="F11" s="422">
        <v>202.2</v>
      </c>
      <c r="G11" s="394" t="str">
        <f>IF(AK11=1,"?","")</f>
        <v/>
      </c>
      <c r="H11" s="122">
        <f>SUM(D11:F11)</f>
        <v>1386.2</v>
      </c>
      <c r="I11" s="296"/>
      <c r="J11" s="307"/>
      <c r="K11" s="296"/>
      <c r="L11" s="299"/>
      <c r="M11" s="123" t="str">
        <f>IF(AD11=1,Warning1,IF(AE11=1,Warning2_for_RPG,""))</f>
        <v/>
      </c>
      <c r="N11" s="124" t="str">
        <f>IF(AI11=1,Warning1,IF(AJ11=1,Warning2_for_RPG,""))</f>
        <v/>
      </c>
      <c r="O11" s="404"/>
      <c r="P11" s="310"/>
      <c r="Q11" s="93"/>
      <c r="R11" s="125">
        <f>VLOOKUP($AB11,Early_Stats,VLOOKUP('Background Data'!$C$2,Inst_Tables,3,FALSE),FALSE)</f>
        <v>1211</v>
      </c>
      <c r="S11" s="126">
        <f>VLOOKUP($AB11,Early_Stats,VLOOKUP('Background Data'!$C$2,Inst_Tables,4,FALSE),FALSE)</f>
        <v>193.47</v>
      </c>
      <c r="T11" s="127">
        <f>SUM(R11:S11)</f>
        <v>1404.47</v>
      </c>
      <c r="U11" s="360"/>
      <c r="V11" s="75"/>
      <c r="W11" s="98"/>
      <c r="X11" s="128">
        <f>IF(R11&gt;0,(D11-R11)/R11,"")</f>
        <v>-2.2295623451692816E-2</v>
      </c>
      <c r="Y11" s="129">
        <f>IF(S11&gt;0,(F11-S11)/S11,"")</f>
        <v>4.5123274926345117E-2</v>
      </c>
      <c r="Z11" s="371"/>
      <c r="AA11" s="130"/>
      <c r="AB11" s="751">
        <v>1</v>
      </c>
      <c r="AC11" s="752">
        <f>IF(AND(MAX(D11,R11)&gt;0,OR(MIN(D11,R11)=0,D11="")),1,0)</f>
        <v>0</v>
      </c>
      <c r="AD11" s="753">
        <f>IF(ABS(D11-R11)&gt;=5,AC11,0)</f>
        <v>0</v>
      </c>
      <c r="AE11" s="753">
        <f>IF(X11&lt;&gt;"",IF(AND(MIN(D11,R11)&gt;0,ABS(D11-R11)&gt;=RPG_FTE_Tol,ABS(X11)&gt;=RPG_Per_Tol),1,0),0)</f>
        <v>0</v>
      </c>
      <c r="AF11" s="754">
        <f>IF(SUM(AD11,AE11)&gt;0,1,0)</f>
        <v>0</v>
      </c>
      <c r="AG11" s="755"/>
      <c r="AH11" s="752">
        <f>IF(AND(MAX(F11,S11)&gt;0,OR(MIN(F11,S11)=0,F11="")),1,0)</f>
        <v>0</v>
      </c>
      <c r="AI11" s="753">
        <f>IF(ABS(F11-S11)&gt;=5,AH11,0)</f>
        <v>0</v>
      </c>
      <c r="AJ11" s="753">
        <f>IF(F11&lt;&gt;"",IF(Y11&lt;&gt;"",IF(AND(MIN(F11,S11)&gt;0,ABS(F11-S11)&gt;=RPG_FTE_Tol,ABS(Y11)&gt;=RPG_Per_Tol),1,0),0),0)</f>
        <v>0</v>
      </c>
      <c r="AK11" s="754">
        <f>IF(SUM(AI11,AJ11)&gt;0,1,0)</f>
        <v>0</v>
      </c>
      <c r="AM11" s="752"/>
      <c r="AN11" s="753"/>
      <c r="AO11" s="754"/>
    </row>
    <row r="12" spans="1:41" ht="35.1" customHeight="1">
      <c r="A12" s="131" t="s">
        <v>13</v>
      </c>
      <c r="B12" s="132"/>
      <c r="C12" s="133"/>
      <c r="D12" s="134"/>
      <c r="E12" s="389"/>
      <c r="F12" s="134"/>
      <c r="G12" s="395"/>
      <c r="H12" s="92"/>
      <c r="I12" s="296"/>
      <c r="J12" s="86"/>
      <c r="K12" s="384"/>
      <c r="L12" s="299"/>
      <c r="M12" s="135"/>
      <c r="N12" s="136"/>
      <c r="O12" s="92"/>
      <c r="P12" s="134"/>
      <c r="Q12" s="93"/>
      <c r="R12" s="137"/>
      <c r="S12" s="138"/>
      <c r="T12" s="139"/>
      <c r="U12" s="325"/>
      <c r="V12" s="75"/>
      <c r="W12" s="98"/>
      <c r="X12" s="140"/>
      <c r="Y12" s="141"/>
      <c r="Z12" s="366"/>
      <c r="AA12" s="81"/>
      <c r="AC12" s="756"/>
      <c r="AD12" s="757"/>
      <c r="AE12" s="757"/>
      <c r="AF12" s="758"/>
      <c r="AG12" s="755"/>
      <c r="AH12" s="756"/>
      <c r="AI12" s="757"/>
      <c r="AJ12" s="757"/>
      <c r="AK12" s="758"/>
      <c r="AM12" s="756"/>
      <c r="AN12" s="757"/>
      <c r="AO12" s="758"/>
    </row>
    <row r="13" spans="1:41" ht="30" customHeight="1" thickBot="1">
      <c r="A13" s="48" t="s">
        <v>28</v>
      </c>
      <c r="B13" s="142"/>
      <c r="C13" s="143"/>
      <c r="D13" s="144"/>
      <c r="E13" s="389"/>
      <c r="F13" s="144"/>
      <c r="G13" s="395"/>
      <c r="H13" s="145"/>
      <c r="I13" s="296"/>
      <c r="J13" s="86"/>
      <c r="K13" s="384"/>
      <c r="L13" s="299"/>
      <c r="M13" s="146"/>
      <c r="N13" s="92"/>
      <c r="O13" s="92"/>
      <c r="P13" s="134"/>
      <c r="Q13" s="93"/>
      <c r="R13" s="147"/>
      <c r="S13" s="148"/>
      <c r="T13" s="149"/>
      <c r="U13" s="325"/>
      <c r="V13" s="75"/>
      <c r="W13" s="98"/>
      <c r="X13" s="150"/>
      <c r="Y13" s="151"/>
      <c r="Z13" s="366"/>
      <c r="AA13" s="81"/>
      <c r="AC13" s="756"/>
      <c r="AD13" s="757"/>
      <c r="AE13" s="757"/>
      <c r="AF13" s="758"/>
      <c r="AG13" s="755"/>
      <c r="AH13" s="756"/>
      <c r="AI13" s="757"/>
      <c r="AJ13" s="757"/>
      <c r="AK13" s="758"/>
      <c r="AM13" s="756"/>
      <c r="AN13" s="757"/>
      <c r="AO13" s="758"/>
    </row>
    <row r="14" spans="1:41" ht="30" customHeight="1">
      <c r="A14" s="49" t="s">
        <v>29</v>
      </c>
      <c r="B14" s="152">
        <v>0</v>
      </c>
      <c r="C14" s="153">
        <v>0</v>
      </c>
      <c r="D14" s="154">
        <f>SUM(B14:C14)</f>
        <v>0</v>
      </c>
      <c r="E14" s="390" t="str">
        <f t="shared" ref="E14:E41" si="0">IF(AF14=1,"?","")</f>
        <v/>
      </c>
      <c r="F14" s="152">
        <v>0</v>
      </c>
      <c r="G14" s="396" t="str">
        <f t="shared" ref="G14:G41" si="1">IF(AK14=1,"?","")</f>
        <v/>
      </c>
      <c r="H14" s="155">
        <f>SUM(D14:F14)</f>
        <v>0</v>
      </c>
      <c r="I14" s="296"/>
      <c r="J14" s="86"/>
      <c r="K14" s="384"/>
      <c r="L14" s="299"/>
      <c r="M14" s="156" t="str">
        <f>IF(AD14=1,Warning1,IF(AE14=1,Warning2_for_Control,""))</f>
        <v/>
      </c>
      <c r="N14" s="157" t="str">
        <f>IF(AI14=1,Warning1,IF(AJ14=1,Warning2_for_Control,""))</f>
        <v/>
      </c>
      <c r="O14" s="311"/>
      <c r="P14" s="310"/>
      <c r="Q14" s="93"/>
      <c r="R14" s="158">
        <f>VLOOKUP($AB14,Early_Stats,VLOOKUP('Background Data'!$C$2,Inst_Tables,3,FALSE),FALSE)</f>
        <v>0</v>
      </c>
      <c r="S14" s="138">
        <f>VLOOKUP($AB14,Early_Stats,VLOOKUP('Background Data'!$C$2,Inst_Tables,4,FALSE),FALSE)</f>
        <v>0</v>
      </c>
      <c r="T14" s="159">
        <f>SUM(R14:S14)</f>
        <v>0</v>
      </c>
      <c r="U14" s="361"/>
      <c r="V14" s="75"/>
      <c r="W14" s="98"/>
      <c r="X14" s="160" t="str">
        <f>IF(R14&gt;0,(D14-R14)/R14,"")</f>
        <v/>
      </c>
      <c r="Y14" s="161" t="str">
        <f>IF(S14&gt;0,(F14-S14)/S14,"")</f>
        <v/>
      </c>
      <c r="Z14" s="372"/>
      <c r="AA14" s="130"/>
      <c r="AB14" s="751">
        <v>2</v>
      </c>
      <c r="AC14" s="752">
        <f>IF(AND(MAX(D14,R14)&gt;0,MIN(D14,R14)=0),1,0)</f>
        <v>0</v>
      </c>
      <c r="AD14" s="753">
        <f>IF(ABS(D14-R14)&gt;=5,AC14,0)</f>
        <v>0</v>
      </c>
      <c r="AE14" s="753">
        <f>IF(X14&lt;&gt;"",IF(AND(MIN(D14,R14)&gt;0,ABS(D14-R14)&gt;=Control_FTE_Tol,ABS(X14)&gt;=Control_Per_Tol),1,0),0)</f>
        <v>0</v>
      </c>
      <c r="AF14" s="754">
        <f>IF(SUM(AD14,AE14)&gt;0,1,0)</f>
        <v>0</v>
      </c>
      <c r="AG14" s="755"/>
      <c r="AH14" s="752">
        <f>IF(AND(MAX(F14,S14)&gt;0,OR(MIN(F14,S14)=0,F14="")),1,0)</f>
        <v>0</v>
      </c>
      <c r="AI14" s="753">
        <f>IF(ABS(F14-S14)&gt;=5,AH14,0)</f>
        <v>0</v>
      </c>
      <c r="AJ14" s="753">
        <f>IF(F14&lt;&gt;"",IF(Y14&lt;&gt;"",IF(AND(MIN(F14,S14)&gt;0,ABS(F14-S14)&gt;=Control_FTE_Tol,ABS(Y14)&gt;=Control_Per_Tol),1,0),0),0)</f>
        <v>0</v>
      </c>
      <c r="AK14" s="754">
        <f>IF(SUM(AI14,AJ14)&gt;0,1,0)</f>
        <v>0</v>
      </c>
      <c r="AM14" s="752"/>
      <c r="AN14" s="753"/>
      <c r="AO14" s="754"/>
    </row>
    <row r="15" spans="1:41" ht="30" customHeight="1">
      <c r="A15" s="48" t="s">
        <v>30</v>
      </c>
      <c r="B15" s="152"/>
      <c r="C15" s="153">
        <v>892</v>
      </c>
      <c r="D15" s="154">
        <f>SUM(B15:C15)</f>
        <v>892</v>
      </c>
      <c r="E15" s="390" t="str">
        <f t="shared" si="0"/>
        <v/>
      </c>
      <c r="F15" s="152">
        <v>279.16000000000003</v>
      </c>
      <c r="G15" s="396" t="str">
        <f t="shared" si="1"/>
        <v>?</v>
      </c>
      <c r="H15" s="155">
        <f>SUM(D15:F15)</f>
        <v>1171.1600000000001</v>
      </c>
      <c r="I15" s="296"/>
      <c r="J15" s="86"/>
      <c r="K15" s="384"/>
      <c r="L15" s="299"/>
      <c r="M15" s="162" t="str">
        <f>IF(AD15=1,Warning1,IF(AE15=1,Warning2_for_Non_Control,""))</f>
        <v/>
      </c>
      <c r="N15" s="311" t="str">
        <f>IF(AI15=1,Warning1,IF(AJ15=1,Warning2_for_Non_Control,""))</f>
        <v>At least 20 FTE and 5% difference between Final Figures and Early Statistics</v>
      </c>
      <c r="O15" s="311"/>
      <c r="P15" s="310"/>
      <c r="Q15" s="93"/>
      <c r="R15" s="163">
        <f>VLOOKUP($AB15,Early_Stats,VLOOKUP('Background Data'!$C$2,Inst_Tables,3,FALSE),FALSE)</f>
        <v>933.6</v>
      </c>
      <c r="S15" s="164">
        <f>VLOOKUP($AB15,Early_Stats,VLOOKUP('Background Data'!$C$2,Inst_Tables,4,FALSE),FALSE)</f>
        <v>241.68</v>
      </c>
      <c r="T15" s="165">
        <f>SUM(R15:S15)</f>
        <v>1175.28</v>
      </c>
      <c r="U15" s="362"/>
      <c r="V15" s="75"/>
      <c r="W15" s="98"/>
      <c r="X15" s="160">
        <f>IF(R15&gt;0,(D15-R15)/R15,"")</f>
        <v>-4.4558697514995742E-2</v>
      </c>
      <c r="Y15" s="161">
        <f>IF(S15&gt;0,(F15-S15)/S15,"")</f>
        <v>0.15508109897384978</v>
      </c>
      <c r="Z15" s="372"/>
      <c r="AA15" s="130"/>
      <c r="AB15" s="751">
        <v>3</v>
      </c>
      <c r="AC15" s="752">
        <f>IF(AND(MAX(D15,R15)&gt;0,MIN(D15,R15)=0),1,0)</f>
        <v>0</v>
      </c>
      <c r="AD15" s="753">
        <f>IF(ABS(D15-R15)&gt;=5,AC15,0)</f>
        <v>0</v>
      </c>
      <c r="AE15" s="753">
        <f>IF(X15&lt;&gt;"",IF(AND(MIN(D15,R15)&gt;0,ABS(D15-R15)&gt;=Non_Control_FTE_Tol,ABS(X15)&gt;=Non_Control_Per_Tol),1,0),0)</f>
        <v>0</v>
      </c>
      <c r="AF15" s="754">
        <f>IF(SUM(AD15,AE15)&gt;0,1,0)</f>
        <v>0</v>
      </c>
      <c r="AG15" s="755"/>
      <c r="AH15" s="752">
        <f>IF(AND(MAX(F15,S15)&gt;0,OR(MIN(F15,S15)=0,F15="")),1,0)</f>
        <v>0</v>
      </c>
      <c r="AI15" s="753">
        <f>IF(ABS(F15-S15)&gt;=5,AH15,0)</f>
        <v>0</v>
      </c>
      <c r="AJ15" s="753">
        <f>IF(F15&lt;&gt;"",IF(Y15&lt;&gt;"",IF(AND(MIN(F15,S15)&gt;0,ABS(F15-S15)&gt;=Non_Control_FTE_Tol,ABS(Y15)&gt;=Non_Control_Per_Tol),1,0),0),0)</f>
        <v>1</v>
      </c>
      <c r="AK15" s="754">
        <f>IF(SUM(AI15,AJ15)&gt;0,1,0)</f>
        <v>1</v>
      </c>
      <c r="AM15" s="752"/>
      <c r="AN15" s="753"/>
      <c r="AO15" s="754"/>
    </row>
    <row r="16" spans="1:41" ht="30" customHeight="1">
      <c r="A16" s="52" t="s">
        <v>106</v>
      </c>
      <c r="B16" s="142"/>
      <c r="C16" s="143"/>
      <c r="D16" s="143"/>
      <c r="E16" s="390"/>
      <c r="F16" s="143"/>
      <c r="G16" s="396"/>
      <c r="H16" s="410">
        <v>44</v>
      </c>
      <c r="I16" s="403" t="str">
        <f>IF(AO16=1,"?","")</f>
        <v>?</v>
      </c>
      <c r="J16" s="86"/>
      <c r="K16" s="384"/>
      <c r="L16" s="299"/>
      <c r="M16" s="258"/>
      <c r="N16" s="405"/>
      <c r="O16" s="156" t="str">
        <f>IF(AM16=1,Warning1,IF(AN16=1,Warning2_for_RUK_Control,""))</f>
        <v>At least 5 FTE difference between Final Figures and Early Statistics</v>
      </c>
      <c r="P16" s="310"/>
      <c r="Q16" s="93"/>
      <c r="R16" s="163"/>
      <c r="S16" s="164"/>
      <c r="T16" s="402">
        <f>VLOOKUP($AB16,Early_Stats,VLOOKUP('Background Data'!$C$2,Inst_Tables,5,FALSE),FALSE)</f>
        <v>33</v>
      </c>
      <c r="U16" s="362"/>
      <c r="V16" s="75"/>
      <c r="W16" s="98"/>
      <c r="X16" s="687"/>
      <c r="Y16" s="688"/>
      <c r="Z16" s="368">
        <f>IF(T16&gt;0,(H16-T16)/T16,"")</f>
        <v>0.33333333333333331</v>
      </c>
      <c r="AA16" s="130"/>
      <c r="AB16" s="751">
        <v>4</v>
      </c>
      <c r="AC16" s="752"/>
      <c r="AD16" s="753"/>
      <c r="AE16" s="753"/>
      <c r="AF16" s="754"/>
      <c r="AG16" s="755"/>
      <c r="AH16" s="752"/>
      <c r="AI16" s="753"/>
      <c r="AJ16" s="753"/>
      <c r="AK16" s="754"/>
      <c r="AM16" s="752">
        <f>IF(AND(MAX(H16,T16)&gt;0,OR(MIN(H16,T16)=0,H16="")),1,0)</f>
        <v>0</v>
      </c>
      <c r="AN16" s="753">
        <f>IF(H16&lt;&gt;"",IF(T16&lt;&gt;"",IF(AND(MIN(H16,T16)&gt;0,ABS(H16-T16)&gt;=RUK_Control_FTE_Tol),1,0),0),0)</f>
        <v>1</v>
      </c>
      <c r="AO16" s="754">
        <f>IF(SUM(AM16,AN16)&gt;0,1,0)</f>
        <v>1</v>
      </c>
    </row>
    <row r="17" spans="1:41" ht="35.1" customHeight="1" thickBot="1">
      <c r="A17" s="166" t="s">
        <v>3</v>
      </c>
      <c r="B17" s="167">
        <f>SUM(B14:B15)</f>
        <v>0</v>
      </c>
      <c r="C17" s="168">
        <f>SUM(C14:C15)</f>
        <v>892</v>
      </c>
      <c r="D17" s="167">
        <f>SUM(D14:D15)</f>
        <v>892</v>
      </c>
      <c r="E17" s="389"/>
      <c r="F17" s="169">
        <f>SUM(F14:F15)</f>
        <v>279.16000000000003</v>
      </c>
      <c r="G17" s="395"/>
      <c r="H17" s="170">
        <f>SUM(H14:H15)</f>
        <v>1171.1600000000001</v>
      </c>
      <c r="I17" s="296"/>
      <c r="J17" s="86"/>
      <c r="K17" s="384"/>
      <c r="L17" s="299"/>
      <c r="M17" s="171"/>
      <c r="N17" s="191"/>
      <c r="O17" s="406"/>
      <c r="P17" s="134"/>
      <c r="Q17" s="93"/>
      <c r="R17" s="173">
        <f>SUM(R14:R15)</f>
        <v>933.6</v>
      </c>
      <c r="S17" s="174">
        <f>SUM(S14:S15)</f>
        <v>241.68</v>
      </c>
      <c r="T17" s="175">
        <f>SUM(T14:T15)</f>
        <v>1175.28</v>
      </c>
      <c r="U17" s="363"/>
      <c r="V17" s="75"/>
      <c r="W17" s="98"/>
      <c r="X17" s="176"/>
      <c r="Y17" s="177"/>
      <c r="Z17" s="81"/>
      <c r="AA17" s="81"/>
      <c r="AC17" s="759"/>
      <c r="AD17" s="760"/>
      <c r="AE17" s="760"/>
      <c r="AF17" s="761"/>
      <c r="AG17" s="755"/>
      <c r="AH17" s="756"/>
      <c r="AI17" s="757"/>
      <c r="AJ17" s="757"/>
      <c r="AK17" s="758"/>
      <c r="AM17" s="756"/>
      <c r="AN17" s="757"/>
      <c r="AO17" s="758"/>
    </row>
    <row r="18" spans="1:41" ht="35.1" customHeight="1">
      <c r="A18" s="46" t="s">
        <v>15</v>
      </c>
      <c r="B18" s="178"/>
      <c r="C18" s="179"/>
      <c r="D18" s="180"/>
      <c r="E18" s="391"/>
      <c r="F18" s="180"/>
      <c r="G18" s="397"/>
      <c r="H18" s="136"/>
      <c r="I18" s="296"/>
      <c r="J18" s="309"/>
      <c r="K18" s="384"/>
      <c r="L18" s="299"/>
      <c r="M18" s="135"/>
      <c r="N18" s="136"/>
      <c r="O18" s="92"/>
      <c r="P18" s="134"/>
      <c r="Q18" s="93"/>
      <c r="R18" s="137"/>
      <c r="S18" s="181"/>
      <c r="T18" s="182"/>
      <c r="U18" s="325"/>
      <c r="V18" s="75"/>
      <c r="W18" s="98"/>
      <c r="X18" s="150"/>
      <c r="Y18" s="151"/>
      <c r="Z18" s="378"/>
      <c r="AA18" s="81"/>
      <c r="AB18" s="762"/>
      <c r="AC18" s="756"/>
      <c r="AD18" s="757"/>
      <c r="AE18" s="757"/>
      <c r="AF18" s="758"/>
      <c r="AG18" s="755"/>
      <c r="AH18" s="756"/>
      <c r="AI18" s="757"/>
      <c r="AJ18" s="757"/>
      <c r="AK18" s="758"/>
      <c r="AM18" s="756"/>
      <c r="AN18" s="757"/>
      <c r="AO18" s="758"/>
    </row>
    <row r="19" spans="1:41" ht="30" customHeight="1">
      <c r="A19" s="48" t="s">
        <v>28</v>
      </c>
      <c r="B19" s="142"/>
      <c r="C19" s="143"/>
      <c r="D19" s="144"/>
      <c r="E19" s="389"/>
      <c r="F19" s="144"/>
      <c r="G19" s="395"/>
      <c r="H19" s="145"/>
      <c r="I19" s="296"/>
      <c r="J19" s="86"/>
      <c r="K19" s="384"/>
      <c r="L19" s="299"/>
      <c r="M19" s="146"/>
      <c r="N19" s="145"/>
      <c r="O19" s="92"/>
      <c r="P19" s="134"/>
      <c r="Q19" s="93"/>
      <c r="R19" s="183"/>
      <c r="S19" s="184"/>
      <c r="T19" s="185"/>
      <c r="U19" s="325"/>
      <c r="V19" s="75"/>
      <c r="W19" s="98"/>
      <c r="X19" s="150"/>
      <c r="Y19" s="151"/>
      <c r="Z19" s="379"/>
      <c r="AA19" s="81"/>
      <c r="AB19" s="762"/>
      <c r="AC19" s="756"/>
      <c r="AD19" s="757"/>
      <c r="AE19" s="757"/>
      <c r="AF19" s="758"/>
      <c r="AG19" s="755"/>
      <c r="AH19" s="756"/>
      <c r="AI19" s="757"/>
      <c r="AJ19" s="757"/>
      <c r="AK19" s="758"/>
      <c r="AM19" s="756"/>
      <c r="AN19" s="757"/>
      <c r="AO19" s="758"/>
    </row>
    <row r="20" spans="1:41" ht="30" customHeight="1">
      <c r="A20" s="49" t="s">
        <v>31</v>
      </c>
      <c r="B20" s="152">
        <v>0</v>
      </c>
      <c r="C20" s="153">
        <v>184</v>
      </c>
      <c r="D20" s="154">
        <f>SUM(B20:C20)</f>
        <v>184</v>
      </c>
      <c r="E20" s="390" t="str">
        <f t="shared" si="0"/>
        <v/>
      </c>
      <c r="F20" s="152">
        <v>2</v>
      </c>
      <c r="G20" s="396" t="str">
        <f t="shared" si="1"/>
        <v/>
      </c>
      <c r="H20" s="155">
        <f>SUM(D20:F20)</f>
        <v>186</v>
      </c>
      <c r="I20" s="296"/>
      <c r="J20" s="409">
        <v>4</v>
      </c>
      <c r="K20" s="387" t="str">
        <f t="shared" ref="K20:K21" si="2">IF(AO20=1,"?","")</f>
        <v/>
      </c>
      <c r="L20" s="299"/>
      <c r="M20" s="156" t="str">
        <f>IF(AD20=1,Warning1,IF(AE20=1,Warning2_for_Control,""))</f>
        <v/>
      </c>
      <c r="N20" s="157" t="str">
        <f>IF(AI20=1,Warning1,IF(AJ20=1,Warning2_for_Control,""))</f>
        <v/>
      </c>
      <c r="O20" s="156" t="str">
        <f>IF(AM20=1,Warning1,IF(AN20=1,Warning2_for_RUK_Control,""))</f>
        <v/>
      </c>
      <c r="P20" s="310"/>
      <c r="Q20" s="93"/>
      <c r="R20" s="254">
        <f>VLOOKUP($AB20,Early_Stats,VLOOKUP('Background Data'!$C$2,Inst_Tables,3,FALSE),FALSE)</f>
        <v>187</v>
      </c>
      <c r="S20" s="186">
        <f>VLOOKUP($AB20,Early_Stats,VLOOKUP('Background Data'!$C$2,Inst_Tables,4,FALSE),FALSE)</f>
        <v>1</v>
      </c>
      <c r="T20" s="159">
        <f>SUM(R20:S20)</f>
        <v>188</v>
      </c>
      <c r="U20" s="359">
        <f>VLOOKUP($AB20,Early_Stats,VLOOKUP('Background Data'!$C$2,Inst_Tables,5,FALSE),FALSE)</f>
        <v>4</v>
      </c>
      <c r="V20" s="75"/>
      <c r="W20" s="98"/>
      <c r="X20" s="187">
        <f>IF(R20&gt;0,(D20-R20)/R20,"")</f>
        <v>-1.6042780748663103E-2</v>
      </c>
      <c r="Y20" s="188">
        <f>IF(S20&gt;0,(F20-S20)/S20,"")</f>
        <v>1</v>
      </c>
      <c r="Z20" s="368">
        <f>IF(U20&gt;0,(J20-U20)/U20,"")</f>
        <v>0</v>
      </c>
      <c r="AA20" s="130"/>
      <c r="AB20" s="751">
        <v>5</v>
      </c>
      <c r="AC20" s="752">
        <f>IF(AND(MAX(D20,R20)&gt;0,MIN(D20,R20)=0),1,0)</f>
        <v>0</v>
      </c>
      <c r="AD20" s="753">
        <f>IF(ABS(D20-R20)&gt;=5,AC20,0)</f>
        <v>0</v>
      </c>
      <c r="AE20" s="753">
        <f>IF(X20&lt;&gt;"",IF(AND(MIN(D20,R20)&gt;0,ABS(D20-R20)&gt;=Control_FTE_Tol,ABS(X20)&gt;=Control_Per_Tol),1,0),0)</f>
        <v>0</v>
      </c>
      <c r="AF20" s="754">
        <f>IF(SUM(AD20,AE20)&gt;0,1,0)</f>
        <v>0</v>
      </c>
      <c r="AG20" s="755"/>
      <c r="AH20" s="752">
        <f>IF(AND(MAX(F20,S20)&gt;0,OR(MIN(F20,S20)=0,F20="")),1,0)</f>
        <v>0</v>
      </c>
      <c r="AI20" s="753">
        <f>IF(ABS(F20-S20)&gt;=5,AH20,0)</f>
        <v>0</v>
      </c>
      <c r="AJ20" s="753">
        <f>IF(F20&lt;&gt;"",IF(Y20&lt;&gt;"",IF(AND(MIN(F20,S20)&gt;0,ABS(F20-S20)&gt;=Control_FTE_Tol,ABS(Y20)&gt;=Control_Per_Tol),1,0),0),0)</f>
        <v>0</v>
      </c>
      <c r="AK20" s="754">
        <f>IF(SUM(AI20,AJ20)&gt;0,1,0)</f>
        <v>0</v>
      </c>
      <c r="AM20" s="752">
        <f>IF(AND(MAX(J20,U20)&gt;0,OR(MIN(J20,U20)=0,J20="")),1,0)</f>
        <v>0</v>
      </c>
      <c r="AN20" s="753">
        <f>IF(J20&lt;&gt;"",IF(U20&lt;&gt;"",IF(AND(MIN(J20,U20)&gt;0,ABS(J20-U20)&gt;=RUK_Control_FTE_Tol),1,0),0),0)</f>
        <v>0</v>
      </c>
      <c r="AO20" s="754">
        <f>IF(SUM(AM20,AN20)&gt;0,1,0)</f>
        <v>0</v>
      </c>
    </row>
    <row r="21" spans="1:41" ht="30" customHeight="1">
      <c r="A21" s="49" t="s">
        <v>32</v>
      </c>
      <c r="B21" s="152">
        <v>0</v>
      </c>
      <c r="C21" s="153">
        <v>160</v>
      </c>
      <c r="D21" s="154">
        <f>SUM(B21:C21)</f>
        <v>160</v>
      </c>
      <c r="E21" s="390" t="str">
        <f t="shared" si="0"/>
        <v/>
      </c>
      <c r="F21" s="152">
        <v>1</v>
      </c>
      <c r="G21" s="396" t="str">
        <f t="shared" si="1"/>
        <v/>
      </c>
      <c r="H21" s="155">
        <f>SUM(D21:F21)</f>
        <v>161</v>
      </c>
      <c r="I21" s="296"/>
      <c r="J21" s="409">
        <v>8</v>
      </c>
      <c r="K21" s="387" t="str">
        <f t="shared" si="2"/>
        <v/>
      </c>
      <c r="L21" s="299"/>
      <c r="M21" s="156" t="str">
        <f>IF(AD21=1,Warning1,IF(AE21=1,Warning2_for_Control,""))</f>
        <v/>
      </c>
      <c r="N21" s="157" t="str">
        <f>IF(AI21=1,Warning1,IF(AJ21=1,Warning2_for_Control,""))</f>
        <v/>
      </c>
      <c r="O21" s="156" t="str">
        <f>IF(AM21=1,Warning1,IF(AN21=1,Warning2_for_RUK_Control,""))</f>
        <v/>
      </c>
      <c r="P21" s="310"/>
      <c r="Q21" s="93"/>
      <c r="R21" s="255">
        <f>VLOOKUP($AB21,Early_Stats,VLOOKUP('Background Data'!$C$2,Inst_Tables,3,FALSE),FALSE)</f>
        <v>161</v>
      </c>
      <c r="S21" s="164">
        <f>VLOOKUP($AB21,Early_Stats,VLOOKUP('Background Data'!$C$2,Inst_Tables,4,FALSE),FALSE)</f>
        <v>1</v>
      </c>
      <c r="T21" s="165">
        <f>SUM(R21:S21)</f>
        <v>162</v>
      </c>
      <c r="U21" s="359">
        <f>VLOOKUP($AB21,Early_Stats,VLOOKUP('Background Data'!$C$2,Inst_Tables,5,FALSE),FALSE)</f>
        <v>8</v>
      </c>
      <c r="V21" s="75"/>
      <c r="W21" s="98"/>
      <c r="X21" s="160">
        <f>IF(R21&gt;0,(D21-R21)/R21,"")</f>
        <v>-6.2111801242236021E-3</v>
      </c>
      <c r="Y21" s="161">
        <f t="shared" ref="Y21:Y22" si="3">IF(S21&gt;0,(F21-S21)/S21,"")</f>
        <v>0</v>
      </c>
      <c r="Z21" s="368">
        <f>IF(U21&gt;0,(J21-U21)/U21,"")</f>
        <v>0</v>
      </c>
      <c r="AA21" s="130"/>
      <c r="AB21" s="751">
        <v>6</v>
      </c>
      <c r="AC21" s="752">
        <f>IF(AND(MAX(D21,R21)&gt;0,MIN(D21,R21)=0),1,0)</f>
        <v>0</v>
      </c>
      <c r="AD21" s="753">
        <f>IF(ABS(D21-R21)&gt;=5,AC21,0)</f>
        <v>0</v>
      </c>
      <c r="AE21" s="753">
        <f>IF(X21&lt;&gt;"",IF(AND(MIN(D21,R21)&gt;0,ABS(D21-R21)&gt;=Control_FTE_Tol,ABS(X21)&gt;=Control_Per_Tol),1,0),0)</f>
        <v>0</v>
      </c>
      <c r="AF21" s="754">
        <f>IF(SUM(AD21,AE21)&gt;0,1,0)</f>
        <v>0</v>
      </c>
      <c r="AG21" s="755"/>
      <c r="AH21" s="752">
        <f>IF(AND(MAX(F21,S21)&gt;0,OR(MIN(F21,S21)=0,F21="")),1,0)</f>
        <v>0</v>
      </c>
      <c r="AI21" s="753">
        <f>IF(ABS(F21-S21)&gt;=5,AH21,0)</f>
        <v>0</v>
      </c>
      <c r="AJ21" s="753">
        <f>IF(F21&lt;&gt;"",IF(Y21&lt;&gt;"",IF(AND(MIN(F21,S21)&gt;0,ABS(F21-S21)&gt;=Control_FTE_Tol,ABS(Y21)&gt;=Control_Per_Tol),1,0),0),0)</f>
        <v>0</v>
      </c>
      <c r="AK21" s="754">
        <f>IF(SUM(AI21,AJ21)&gt;0,1,0)</f>
        <v>0</v>
      </c>
      <c r="AM21" s="752">
        <f>IF(AND(MAX(J21,U21)&gt;0,OR(MIN(J21,U21)=0,J21="")),1,0)</f>
        <v>0</v>
      </c>
      <c r="AN21" s="753">
        <f>IF(J21&lt;&gt;"",IF(U21&lt;&gt;"",IF(AND(MIN(J21,U21)&gt;0,ABS(J21-U21)&gt;=RUK_Control_FTE_Tol),1,0),0),0)</f>
        <v>0</v>
      </c>
      <c r="AO21" s="754">
        <f>IF(SUM(AM21,AN21)&gt;0,1,0)</f>
        <v>0</v>
      </c>
    </row>
    <row r="22" spans="1:41" ht="30" customHeight="1">
      <c r="A22" s="48" t="s">
        <v>30</v>
      </c>
      <c r="B22" s="152">
        <v>0</v>
      </c>
      <c r="C22" s="153">
        <v>19</v>
      </c>
      <c r="D22" s="154">
        <f>SUM(B22:C22)</f>
        <v>19</v>
      </c>
      <c r="E22" s="390" t="str">
        <f t="shared" si="0"/>
        <v/>
      </c>
      <c r="F22" s="152">
        <v>410.18</v>
      </c>
      <c r="G22" s="396" t="str">
        <f t="shared" si="1"/>
        <v/>
      </c>
      <c r="H22" s="155">
        <f>SUM(D22:F22)</f>
        <v>429.18</v>
      </c>
      <c r="I22" s="296"/>
      <c r="J22" s="86"/>
      <c r="K22" s="384"/>
      <c r="L22" s="299"/>
      <c r="M22" s="156" t="str">
        <f>IF(AD22=1,Warning1,IF(AE22=1,Warning2_for_Non_Control,""))</f>
        <v/>
      </c>
      <c r="N22" s="157" t="str">
        <f>IF(AI22=1,Warning1,IF(AJ22=1,Warning2_for_Non_Control,""))</f>
        <v/>
      </c>
      <c r="O22" s="311"/>
      <c r="P22" s="310"/>
      <c r="Q22" s="93"/>
      <c r="R22" s="255">
        <f>VLOOKUP($AB22,Early_Stats,VLOOKUP('Background Data'!$C$2,Inst_Tables,3,FALSE),FALSE)</f>
        <v>16.5</v>
      </c>
      <c r="S22" s="164">
        <f>VLOOKUP($AB22,Early_Stats,VLOOKUP('Background Data'!$C$2,Inst_Tables,4,FALSE),FALSE)</f>
        <v>402.87</v>
      </c>
      <c r="T22" s="165">
        <f>SUM(R22:S22)</f>
        <v>419.37</v>
      </c>
      <c r="U22" s="324"/>
      <c r="V22" s="75"/>
      <c r="W22" s="98"/>
      <c r="X22" s="160">
        <f>IF(R22&gt;0,(D22-R22)/R22,"")</f>
        <v>0.15151515151515152</v>
      </c>
      <c r="Y22" s="161">
        <f t="shared" si="3"/>
        <v>1.8144810981209826E-2</v>
      </c>
      <c r="Z22" s="380"/>
      <c r="AA22" s="130"/>
      <c r="AB22" s="751">
        <v>7</v>
      </c>
      <c r="AC22" s="752">
        <f>IF(AND(MAX(D22,R22)&gt;0,MIN(D22,R22)=0),1,0)</f>
        <v>0</v>
      </c>
      <c r="AD22" s="753">
        <f>IF(ABS(D22-R22)&gt;=5,AC22,0)</f>
        <v>0</v>
      </c>
      <c r="AE22" s="753">
        <f>IF(X22&lt;&gt;"",IF(AND(MIN(D22,R22)&gt;0,ABS(D22-R22)&gt;=Non_Control_FTE_Tol,ABS(X22)&gt;=Non_Control_Per_Tol),1,0),0)</f>
        <v>0</v>
      </c>
      <c r="AF22" s="754">
        <f>IF(SUM(AD22,AE22)&gt;0,1,0)</f>
        <v>0</v>
      </c>
      <c r="AG22" s="755"/>
      <c r="AH22" s="752">
        <f>IF(AND(MAX(F22,S22)&gt;0,OR(MIN(F22,S22)=0,F22="")),1,0)</f>
        <v>0</v>
      </c>
      <c r="AI22" s="753">
        <f>IF(ABS(F22-S22)&gt;=5,AH22,0)</f>
        <v>0</v>
      </c>
      <c r="AJ22" s="753">
        <f>IF(F22&lt;&gt;"",IF(Y22&lt;&gt;"",IF(AND(MIN(F22,S22)&gt;0,ABS(F22-S22)&gt;=Non_Control_FTE_Tol,ABS(Y22)&gt;=Non_Control_Per_Tol),1,0),0),0)</f>
        <v>0</v>
      </c>
      <c r="AK22" s="754">
        <f>IF(SUM(AI22,AJ22)&gt;0,1,0)</f>
        <v>0</v>
      </c>
      <c r="AM22" s="752"/>
      <c r="AN22" s="753"/>
      <c r="AO22" s="754"/>
    </row>
    <row r="23" spans="1:41" ht="35.1" customHeight="1" thickBot="1">
      <c r="A23" s="166" t="s">
        <v>3</v>
      </c>
      <c r="B23" s="167">
        <f>SUM(B20:B22)</f>
        <v>0</v>
      </c>
      <c r="C23" s="168">
        <f>SUM(C20:C22)</f>
        <v>363</v>
      </c>
      <c r="D23" s="167">
        <f>SUM(D20:D22)</f>
        <v>363</v>
      </c>
      <c r="E23" s="392"/>
      <c r="F23" s="167">
        <f>SUM(F20:F22)</f>
        <v>413.18</v>
      </c>
      <c r="G23" s="398"/>
      <c r="H23" s="189">
        <f>SUM(H20:H22)</f>
        <v>776.18000000000006</v>
      </c>
      <c r="I23" s="296"/>
      <c r="J23" s="306"/>
      <c r="K23" s="384"/>
      <c r="L23" s="299"/>
      <c r="M23" s="190"/>
      <c r="N23" s="191"/>
      <c r="O23" s="92"/>
      <c r="P23" s="134"/>
      <c r="Q23" s="93"/>
      <c r="R23" s="357">
        <f>SUM(R20:R22)</f>
        <v>364.5</v>
      </c>
      <c r="S23" s="358">
        <f>SUM(S20:S22)</f>
        <v>404.87</v>
      </c>
      <c r="T23" s="175">
        <f>SUM(T20:T22)</f>
        <v>769.37</v>
      </c>
      <c r="U23" s="326"/>
      <c r="V23" s="75"/>
      <c r="W23" s="98"/>
      <c r="X23" s="193"/>
      <c r="Y23" s="194"/>
      <c r="Z23" s="381"/>
      <c r="AA23" s="81"/>
      <c r="AB23" s="763"/>
      <c r="AC23" s="756"/>
      <c r="AD23" s="757"/>
      <c r="AE23" s="757"/>
      <c r="AF23" s="758"/>
      <c r="AG23" s="755"/>
      <c r="AH23" s="756"/>
      <c r="AI23" s="757"/>
      <c r="AJ23" s="757"/>
      <c r="AK23" s="758"/>
      <c r="AM23" s="756"/>
      <c r="AN23" s="757"/>
      <c r="AO23" s="758"/>
    </row>
    <row r="24" spans="1:41" ht="35.1" customHeight="1">
      <c r="A24" s="195" t="s">
        <v>17</v>
      </c>
      <c r="B24" s="196"/>
      <c r="C24" s="179"/>
      <c r="D24" s="180"/>
      <c r="E24" s="389"/>
      <c r="F24" s="134"/>
      <c r="G24" s="395"/>
      <c r="H24" s="92"/>
      <c r="I24" s="296"/>
      <c r="J24" s="86"/>
      <c r="K24" s="384"/>
      <c r="L24" s="299"/>
      <c r="M24" s="135"/>
      <c r="N24" s="136"/>
      <c r="O24" s="135"/>
      <c r="P24" s="134"/>
      <c r="Q24" s="93"/>
      <c r="R24" s="197"/>
      <c r="S24" s="198"/>
      <c r="T24" s="199"/>
      <c r="U24" s="325"/>
      <c r="V24" s="75"/>
      <c r="W24" s="98"/>
      <c r="X24" s="140"/>
      <c r="Y24" s="141"/>
      <c r="Z24" s="366"/>
      <c r="AA24" s="81"/>
      <c r="AB24" s="762"/>
      <c r="AC24" s="756"/>
      <c r="AD24" s="757"/>
      <c r="AE24" s="757"/>
      <c r="AF24" s="758"/>
      <c r="AG24" s="755"/>
      <c r="AH24" s="756"/>
      <c r="AI24" s="757"/>
      <c r="AJ24" s="757"/>
      <c r="AK24" s="758"/>
      <c r="AM24" s="756"/>
      <c r="AN24" s="757"/>
      <c r="AO24" s="758"/>
    </row>
    <row r="25" spans="1:41" ht="30" customHeight="1">
      <c r="A25" s="200" t="s">
        <v>28</v>
      </c>
      <c r="B25" s="200"/>
      <c r="C25" s="143"/>
      <c r="D25" s="134"/>
      <c r="E25" s="389"/>
      <c r="F25" s="134"/>
      <c r="G25" s="395"/>
      <c r="H25" s="92"/>
      <c r="I25" s="296"/>
      <c r="J25" s="86"/>
      <c r="K25" s="384"/>
      <c r="L25" s="299"/>
      <c r="M25" s="146"/>
      <c r="N25" s="92"/>
      <c r="O25" s="146"/>
      <c r="P25" s="134"/>
      <c r="Q25" s="93"/>
      <c r="R25" s="197"/>
      <c r="S25" s="198"/>
      <c r="T25" s="199"/>
      <c r="U25" s="325"/>
      <c r="V25" s="75"/>
      <c r="W25" s="98"/>
      <c r="X25" s="150"/>
      <c r="Y25" s="151"/>
      <c r="Z25" s="366"/>
      <c r="AA25" s="81"/>
      <c r="AB25" s="762"/>
      <c r="AC25" s="756"/>
      <c r="AD25" s="757"/>
      <c r="AE25" s="757"/>
      <c r="AF25" s="758"/>
      <c r="AG25" s="755"/>
      <c r="AH25" s="756"/>
      <c r="AI25" s="757"/>
      <c r="AJ25" s="757"/>
      <c r="AK25" s="758"/>
      <c r="AM25" s="756"/>
      <c r="AN25" s="757"/>
      <c r="AO25" s="758"/>
    </row>
    <row r="26" spans="1:41" ht="30" customHeight="1">
      <c r="A26" s="201" t="s">
        <v>33</v>
      </c>
      <c r="B26" s="201"/>
      <c r="C26" s="202"/>
      <c r="D26" s="134"/>
      <c r="E26" s="389"/>
      <c r="F26" s="134"/>
      <c r="G26" s="395"/>
      <c r="H26" s="92"/>
      <c r="I26" s="296"/>
      <c r="J26" s="86"/>
      <c r="K26" s="384"/>
      <c r="L26" s="299"/>
      <c r="M26" s="146"/>
      <c r="N26" s="145"/>
      <c r="O26" s="146"/>
      <c r="P26" s="134"/>
      <c r="Q26" s="93"/>
      <c r="R26" s="197"/>
      <c r="S26" s="198"/>
      <c r="T26" s="203"/>
      <c r="U26" s="325"/>
      <c r="V26" s="75"/>
      <c r="W26" s="98"/>
      <c r="X26" s="150"/>
      <c r="Y26" s="151"/>
      <c r="Z26" s="366"/>
      <c r="AA26" s="81"/>
      <c r="AB26" s="762"/>
      <c r="AC26" s="756"/>
      <c r="AD26" s="757"/>
      <c r="AE26" s="757"/>
      <c r="AF26" s="758"/>
      <c r="AG26" s="755"/>
      <c r="AH26" s="756"/>
      <c r="AI26" s="757"/>
      <c r="AJ26" s="757"/>
      <c r="AK26" s="758"/>
      <c r="AM26" s="756"/>
      <c r="AN26" s="757"/>
      <c r="AO26" s="758"/>
    </row>
    <row r="27" spans="1:41" ht="30" customHeight="1">
      <c r="A27" s="204" t="s">
        <v>24</v>
      </c>
      <c r="B27" s="205">
        <v>140</v>
      </c>
      <c r="C27" s="206">
        <v>494.49200000000002</v>
      </c>
      <c r="D27" s="154">
        <f>SUM(B27:C27)</f>
        <v>634.49199999999996</v>
      </c>
      <c r="E27" s="390" t="str">
        <f t="shared" si="0"/>
        <v/>
      </c>
      <c r="F27" s="152">
        <v>0</v>
      </c>
      <c r="G27" s="396" t="str">
        <f t="shared" si="1"/>
        <v/>
      </c>
      <c r="H27" s="155">
        <f>SUM(D27:F27)</f>
        <v>634.49199999999996</v>
      </c>
      <c r="I27" s="296"/>
      <c r="J27" s="409">
        <v>101</v>
      </c>
      <c r="K27" s="387" t="str">
        <f t="shared" ref="K27:K30" si="4">IF(AO27=1,"?","")</f>
        <v/>
      </c>
      <c r="L27" s="299"/>
      <c r="M27" s="156" t="str">
        <f>IF(AD27=1,Warning1,IF(AE27=1,Warning2_for_Control,""))</f>
        <v/>
      </c>
      <c r="N27" s="157" t="str">
        <f>IF(AI27=1,Warning1,IF(AJ27=1,Warning2_for_Control,""))</f>
        <v/>
      </c>
      <c r="O27" s="156" t="str">
        <f>IF(AM27=1,Warning1,IF(AN27=1,Warning2_for_RUK_Control,""))</f>
        <v/>
      </c>
      <c r="P27" s="310"/>
      <c r="Q27" s="93"/>
      <c r="R27" s="163">
        <f>VLOOKUP($AB27,Early_Stats,VLOOKUP('Background Data'!$C$2,Inst_Tables,3,FALSE),FALSE)</f>
        <v>628</v>
      </c>
      <c r="S27" s="164">
        <f>VLOOKUP($AB27,Early_Stats,VLOOKUP('Background Data'!$C$2,Inst_Tables,4,FALSE),FALSE)</f>
        <v>0</v>
      </c>
      <c r="T27" s="165">
        <f>SUM(R27:S27)</f>
        <v>628</v>
      </c>
      <c r="U27" s="359">
        <f>VLOOKUP($AB27,Early_Stats,VLOOKUP('Background Data'!$C$2,Inst_Tables,5,FALSE),FALSE)</f>
        <v>100</v>
      </c>
      <c r="V27" s="75"/>
      <c r="W27" s="98"/>
      <c r="X27" s="187">
        <f>IF(R27&gt;0,(D27-R27)/R27,"")</f>
        <v>1.0337579617834334E-2</v>
      </c>
      <c r="Y27" s="188" t="str">
        <f t="shared" ref="Y27:Y30" si="5">IF(S27&gt;0,(F27-S27)/S27,"")</f>
        <v/>
      </c>
      <c r="Z27" s="368">
        <f t="shared" ref="Z27:Z30" si="6">IF(U27&gt;0,(J27-U27)/U27,"")</f>
        <v>0.01</v>
      </c>
      <c r="AA27" s="130"/>
      <c r="AB27" s="751">
        <v>8</v>
      </c>
      <c r="AC27" s="752">
        <f>IF(AND(MAX(D27,R27)&gt;0,MIN(D27,R27)=0),1,0)</f>
        <v>0</v>
      </c>
      <c r="AD27" s="753">
        <f>IF(ABS(D27-R27)&gt;=5,AC27,0)</f>
        <v>0</v>
      </c>
      <c r="AE27" s="753">
        <f>IF(X27&lt;&gt;"",IF(AND(MIN(D27,R27)&gt;0,ABS(D27-R27)&gt;=Control_FTE_Tol,ABS(X27)&gt;=Control_Per_Tol),1,0),0)</f>
        <v>0</v>
      </c>
      <c r="AF27" s="754">
        <f>IF(SUM(AD27,AE27)&gt;0,1,0)</f>
        <v>0</v>
      </c>
      <c r="AG27" s="755"/>
      <c r="AH27" s="752">
        <f>IF(AND(MAX(F27,S27)&gt;0,OR(MIN(F27,S27)=0,F27="")),1,0)</f>
        <v>0</v>
      </c>
      <c r="AI27" s="753">
        <f>IF(ABS(F27-S27)&gt;=5,AH27,0)</f>
        <v>0</v>
      </c>
      <c r="AJ27" s="753">
        <f>IF(F27&lt;&gt;"",IF(Y27&lt;&gt;"",IF(AND(MIN(F27,S27)&gt;0,ABS(F27-S27)&gt;=Control_FTE_Tol,ABS(Y27)&gt;=Control_Per_Tol),1,0),0),0)</f>
        <v>0</v>
      </c>
      <c r="AK27" s="754">
        <f>IF(SUM(AI27,AJ27)&gt;0,1,0)</f>
        <v>0</v>
      </c>
      <c r="AM27" s="752">
        <f t="shared" ref="AM27:AM30" si="7">IF(AND(MAX(J27,U27)&gt;0,OR(MIN(J27,U27)=0,J27="")),1,0)</f>
        <v>0</v>
      </c>
      <c r="AN27" s="753">
        <f>IF(J27&lt;&gt;"",IF(U27&lt;&gt;"",IF(AND(MIN(J27,U27)&gt;0,ABS(J27-U27)&gt;=RUK_Control_FTE_Tol),1,0),0),0)</f>
        <v>0</v>
      </c>
      <c r="AO27" s="754">
        <f t="shared" ref="AO27:AO30" si="8">IF(SUM(AM27,AN27)&gt;0,1,0)</f>
        <v>0</v>
      </c>
    </row>
    <row r="28" spans="1:41" ht="30" customHeight="1">
      <c r="A28" s="204" t="s">
        <v>25</v>
      </c>
      <c r="B28" s="205">
        <v>28</v>
      </c>
      <c r="C28" s="206">
        <v>253</v>
      </c>
      <c r="D28" s="154">
        <f t="shared" ref="D28:D41" si="9">SUM(B28:C28)</f>
        <v>281</v>
      </c>
      <c r="E28" s="390" t="str">
        <f t="shared" si="0"/>
        <v/>
      </c>
      <c r="F28" s="152">
        <v>0</v>
      </c>
      <c r="G28" s="396" t="str">
        <f t="shared" si="1"/>
        <v/>
      </c>
      <c r="H28" s="155">
        <f>SUM(D28:F28)</f>
        <v>281</v>
      </c>
      <c r="I28" s="296"/>
      <c r="J28" s="409">
        <v>40</v>
      </c>
      <c r="K28" s="387" t="str">
        <f t="shared" si="4"/>
        <v/>
      </c>
      <c r="L28" s="299"/>
      <c r="M28" s="156" t="str">
        <f>IF(AD28=1,Warning1,IF(AE28=1,Warning2_for_Control,""))</f>
        <v/>
      </c>
      <c r="N28" s="157" t="str">
        <f>IF(AI28=1,Warning1,IF(AJ28=1,Warning2_for_Control,""))</f>
        <v/>
      </c>
      <c r="O28" s="156" t="str">
        <f>IF(AM28=1,Warning1,IF(AN28=1,Warning2_for_RUK_Control,""))</f>
        <v/>
      </c>
      <c r="P28" s="310"/>
      <c r="Q28" s="93"/>
      <c r="R28" s="163">
        <f>VLOOKUP($AB28,Early_Stats,VLOOKUP('Background Data'!$C$2,Inst_Tables,3,FALSE),FALSE)</f>
        <v>280</v>
      </c>
      <c r="S28" s="164">
        <f>VLOOKUP($AB28,Early_Stats,VLOOKUP('Background Data'!$C$2,Inst_Tables,4,FALSE),FALSE)</f>
        <v>0</v>
      </c>
      <c r="T28" s="165">
        <f>SUM(R28:S28)</f>
        <v>280</v>
      </c>
      <c r="U28" s="359">
        <f>VLOOKUP($AB28,Early_Stats,VLOOKUP('Background Data'!$C$2,Inst_Tables,5,FALSE),FALSE)</f>
        <v>40</v>
      </c>
      <c r="V28" s="75"/>
      <c r="W28" s="98"/>
      <c r="X28" s="160">
        <f>IF(R28&gt;0,(D28-R28)/R28,"")</f>
        <v>3.5714285714285713E-3</v>
      </c>
      <c r="Y28" s="161" t="str">
        <f t="shared" si="5"/>
        <v/>
      </c>
      <c r="Z28" s="368">
        <f t="shared" si="6"/>
        <v>0</v>
      </c>
      <c r="AA28" s="130"/>
      <c r="AB28" s="751">
        <v>9</v>
      </c>
      <c r="AC28" s="752">
        <f>IF(AND(MAX(D28,R28)&gt;0,MIN(D28,R28)=0),1,0)</f>
        <v>0</v>
      </c>
      <c r="AD28" s="753">
        <f>IF(ABS(D28-R28)&gt;=5,AC28,0)</f>
        <v>0</v>
      </c>
      <c r="AE28" s="753">
        <f>IF(X28&lt;&gt;"",IF(AND(MIN(D28,R28)&gt;0,ABS(D28-R28)&gt;=Control_FTE_Tol,ABS(X28)&gt;=Control_Per_Tol),1,0),0)</f>
        <v>0</v>
      </c>
      <c r="AF28" s="754">
        <f>IF(SUM(AD28,AE28)&gt;0,1,0)</f>
        <v>0</v>
      </c>
      <c r="AG28" s="755"/>
      <c r="AH28" s="752">
        <f>IF(AND(MAX(F28,S28)&gt;0,OR(MIN(F28,S28)=0,F28="")),1,0)</f>
        <v>0</v>
      </c>
      <c r="AI28" s="753">
        <f>IF(ABS(F28-S28)&gt;=5,AH28,0)</f>
        <v>0</v>
      </c>
      <c r="AJ28" s="753">
        <f>IF(F28&lt;&gt;"",IF(Y28&lt;&gt;"",IF(AND(MIN(F28,S28)&gt;0,ABS(F28-S28)&gt;=Control_FTE_Tol,ABS(Y28)&gt;=Control_Per_Tol),1,0),0),0)</f>
        <v>0</v>
      </c>
      <c r="AK28" s="754">
        <f>IF(SUM(AI28,AJ28)&gt;0,1,0)</f>
        <v>0</v>
      </c>
      <c r="AM28" s="752">
        <f t="shared" si="7"/>
        <v>0</v>
      </c>
      <c r="AN28" s="753">
        <f>IF(J28&lt;&gt;"",IF(U28&lt;&gt;"",IF(AND(MIN(J28,U28)&gt;0,ABS(J28-U28)&gt;=RUK_Control_FTE_Tol),1,0),0),0)</f>
        <v>0</v>
      </c>
      <c r="AO28" s="754">
        <f t="shared" si="8"/>
        <v>0</v>
      </c>
    </row>
    <row r="29" spans="1:41" ht="30" customHeight="1">
      <c r="A29" s="204" t="s">
        <v>8</v>
      </c>
      <c r="B29" s="205">
        <v>0</v>
      </c>
      <c r="C29" s="206">
        <v>312</v>
      </c>
      <c r="D29" s="154">
        <f t="shared" si="9"/>
        <v>312</v>
      </c>
      <c r="E29" s="390" t="str">
        <f t="shared" si="0"/>
        <v/>
      </c>
      <c r="F29" s="152">
        <v>0</v>
      </c>
      <c r="G29" s="396" t="str">
        <f t="shared" si="1"/>
        <v/>
      </c>
      <c r="H29" s="155">
        <f>SUM(D29:F29)</f>
        <v>312</v>
      </c>
      <c r="I29" s="296"/>
      <c r="J29" s="409">
        <v>118</v>
      </c>
      <c r="K29" s="387" t="str">
        <f t="shared" si="4"/>
        <v/>
      </c>
      <c r="L29" s="299"/>
      <c r="M29" s="156" t="str">
        <f>IF(AD29=1,Warning1,IF(AE29=1,Warning2_for_Control,""))</f>
        <v/>
      </c>
      <c r="N29" s="157" t="str">
        <f>IF(AI29=1,Warning1,IF(AJ29=1,Warning2_for_Control,""))</f>
        <v/>
      </c>
      <c r="O29" s="156" t="str">
        <f>IF(AM29=1,Warning1,IF(AN29=1,Warning2_for_RUK_Control,""))</f>
        <v/>
      </c>
      <c r="P29" s="310"/>
      <c r="Q29" s="93"/>
      <c r="R29" s="163">
        <f>VLOOKUP($AB29,Early_Stats,VLOOKUP('Background Data'!$C$2,Inst_Tables,3,FALSE),FALSE)</f>
        <v>311</v>
      </c>
      <c r="S29" s="164">
        <f>VLOOKUP($AB29,Early_Stats,VLOOKUP('Background Data'!$C$2,Inst_Tables,4,FALSE),FALSE)</f>
        <v>0</v>
      </c>
      <c r="T29" s="165">
        <f>SUM(R29:S29)</f>
        <v>311</v>
      </c>
      <c r="U29" s="359">
        <f>VLOOKUP($AB29,Early_Stats,VLOOKUP('Background Data'!$C$2,Inst_Tables,5,FALSE),FALSE)</f>
        <v>116</v>
      </c>
      <c r="V29" s="75"/>
      <c r="W29" s="98"/>
      <c r="X29" s="160">
        <f>IF(R29&gt;0,(D29-R29)/R29,"")</f>
        <v>3.2154340836012861E-3</v>
      </c>
      <c r="Y29" s="161" t="str">
        <f t="shared" si="5"/>
        <v/>
      </c>
      <c r="Z29" s="368">
        <f t="shared" si="6"/>
        <v>1.7241379310344827E-2</v>
      </c>
      <c r="AA29" s="130"/>
      <c r="AB29" s="751">
        <v>10</v>
      </c>
      <c r="AC29" s="752">
        <f>IF(AND(MAX(D29,R29)&gt;0,MIN(D29,R29)=0),1,0)</f>
        <v>0</v>
      </c>
      <c r="AD29" s="753">
        <f>IF(ABS(D29-R29)&gt;=5,AC29,0)</f>
        <v>0</v>
      </c>
      <c r="AE29" s="753">
        <f>IF(X29&lt;&gt;"",IF(AND(MIN(D29,R29)&gt;0,ABS(D29-R29)&gt;=Control_FTE_Tol,ABS(X29)&gt;=Control_Per_Tol),1,0),0)</f>
        <v>0</v>
      </c>
      <c r="AF29" s="754">
        <f>IF(SUM(AD29,AE29)&gt;0,1,0)</f>
        <v>0</v>
      </c>
      <c r="AG29" s="755"/>
      <c r="AH29" s="752">
        <f>IF(AND(MAX(F29,S29)&gt;0,OR(MIN(F29,S29)=0,F29="")),1,0)</f>
        <v>0</v>
      </c>
      <c r="AI29" s="753">
        <f>IF(ABS(F29-S29)&gt;=5,AH29,0)</f>
        <v>0</v>
      </c>
      <c r="AJ29" s="753">
        <f>IF(F29&lt;&gt;"",IF(Y29&lt;&gt;"",IF(AND(MIN(F29,S29)&gt;0,ABS(F29-S29)&gt;=Control_FTE_Tol,ABS(Y29)&gt;=Control_Per_Tol),1,0),0),0)</f>
        <v>0</v>
      </c>
      <c r="AK29" s="754">
        <f>IF(SUM(AI29,AJ29)&gt;0,1,0)</f>
        <v>0</v>
      </c>
      <c r="AM29" s="752">
        <f t="shared" si="7"/>
        <v>0</v>
      </c>
      <c r="AN29" s="753">
        <f>IF(J29&lt;&gt;"",IF(U29&lt;&gt;"",IF(AND(MIN(J29,U29)&gt;0,ABS(J29-U29)&gt;=RUK_Control_FTE_Tol),1,0),0),0)</f>
        <v>0</v>
      </c>
      <c r="AO29" s="754">
        <f t="shared" si="8"/>
        <v>0</v>
      </c>
    </row>
    <row r="30" spans="1:41" ht="30" customHeight="1">
      <c r="A30" s="204" t="s">
        <v>9</v>
      </c>
      <c r="B30" s="205">
        <v>0</v>
      </c>
      <c r="C30" s="206">
        <v>53</v>
      </c>
      <c r="D30" s="154">
        <f>SUM(B30:C30)</f>
        <v>53</v>
      </c>
      <c r="E30" s="390" t="str">
        <f t="shared" si="0"/>
        <v/>
      </c>
      <c r="F30" s="152">
        <v>0</v>
      </c>
      <c r="G30" s="396" t="str">
        <f t="shared" si="1"/>
        <v/>
      </c>
      <c r="H30" s="155">
        <f>SUM(D30:F30)</f>
        <v>53</v>
      </c>
      <c r="I30" s="296"/>
      <c r="J30" s="409">
        <v>14</v>
      </c>
      <c r="K30" s="387" t="str">
        <f t="shared" si="4"/>
        <v/>
      </c>
      <c r="L30" s="299"/>
      <c r="M30" s="156" t="str">
        <f>IF(AD30=1,Warning1,IF(AE30=1,Warning2_for_Control,""))</f>
        <v/>
      </c>
      <c r="N30" s="157" t="str">
        <f>IF(AI30=1,Warning1,IF(AJ30=1,Warning2_for_Control,""))</f>
        <v/>
      </c>
      <c r="O30" s="156" t="str">
        <f>IF(AM30=1,Warning1,IF(AN30=1,Warning2_for_RUK_Control,""))</f>
        <v/>
      </c>
      <c r="P30" s="310"/>
      <c r="Q30" s="93"/>
      <c r="R30" s="163">
        <f>VLOOKUP($AB30,Early_Stats,VLOOKUP('Background Data'!$C$2,Inst_Tables,3,FALSE),FALSE)</f>
        <v>53</v>
      </c>
      <c r="S30" s="164">
        <f>VLOOKUP($AB30,Early_Stats,VLOOKUP('Background Data'!$C$2,Inst_Tables,4,FALSE),FALSE)</f>
        <v>0</v>
      </c>
      <c r="T30" s="165">
        <f>SUM(R30:S30)</f>
        <v>53</v>
      </c>
      <c r="U30" s="359">
        <f>VLOOKUP($AB30,Early_Stats,VLOOKUP('Background Data'!$C$2,Inst_Tables,5,FALSE),FALSE)</f>
        <v>14</v>
      </c>
      <c r="V30" s="75"/>
      <c r="W30" s="98"/>
      <c r="X30" s="160">
        <f>IF(R30&gt;0,(D30-R30)/R30,"")</f>
        <v>0</v>
      </c>
      <c r="Y30" s="161" t="str">
        <f t="shared" si="5"/>
        <v/>
      </c>
      <c r="Z30" s="368">
        <f t="shared" si="6"/>
        <v>0</v>
      </c>
      <c r="AA30" s="130"/>
      <c r="AB30" s="751">
        <v>11</v>
      </c>
      <c r="AC30" s="752">
        <f>IF(AND(MAX(D30,R30)&gt;0,MIN(D30,R30)=0),1,0)</f>
        <v>0</v>
      </c>
      <c r="AD30" s="753">
        <f>IF(ABS(D30-R30)&gt;=5,AC30,0)</f>
        <v>0</v>
      </c>
      <c r="AE30" s="753">
        <f>IF(X30&lt;&gt;"",IF(AND(MIN(D30,R30)&gt;0,ABS(D30-R30)&gt;=Control_FTE_Tol,ABS(X30)&gt;=Control_Per_Tol),1,0),0)</f>
        <v>0</v>
      </c>
      <c r="AF30" s="754">
        <f>IF(SUM(AD30,AE30)&gt;0,1,0)</f>
        <v>0</v>
      </c>
      <c r="AG30" s="755"/>
      <c r="AH30" s="752">
        <f>IF(AND(MAX(F30,S30)&gt;0,OR(MIN(F30,S30)=0,F30="")),1,0)</f>
        <v>0</v>
      </c>
      <c r="AI30" s="753">
        <f>IF(ABS(F30-S30)&gt;=5,AH30,0)</f>
        <v>0</v>
      </c>
      <c r="AJ30" s="753">
        <f>IF(F30&lt;&gt;"",IF(Y30&lt;&gt;"",IF(AND(MIN(F30,S30)&gt;0,ABS(F30-S30)&gt;=Control_FTE_Tol,ABS(Y30)&gt;=Control_Per_Tol),1,0),0),0)</f>
        <v>0</v>
      </c>
      <c r="AK30" s="754">
        <f>IF(SUM(AI30,AJ30)&gt;0,1,0)</f>
        <v>0</v>
      </c>
      <c r="AM30" s="752">
        <f t="shared" si="7"/>
        <v>0</v>
      </c>
      <c r="AN30" s="753">
        <f>IF(J30&lt;&gt;"",IF(U30&lt;&gt;"",IF(AND(MIN(J30,U30)&gt;0,ABS(J30-U30)&gt;=RUK_Control_FTE_Tol),1,0),0),0)</f>
        <v>0</v>
      </c>
      <c r="AO30" s="754">
        <f t="shared" si="8"/>
        <v>0</v>
      </c>
    </row>
    <row r="31" spans="1:41" ht="30" customHeight="1">
      <c r="A31" s="201" t="s">
        <v>10</v>
      </c>
      <c r="B31" s="207"/>
      <c r="C31" s="208"/>
      <c r="D31" s="209"/>
      <c r="E31" s="389"/>
      <c r="F31" s="209"/>
      <c r="G31" s="395"/>
      <c r="H31" s="210"/>
      <c r="I31" s="296"/>
      <c r="J31" s="86"/>
      <c r="K31" s="384"/>
      <c r="L31" s="299"/>
      <c r="M31" s="211"/>
      <c r="N31" s="212"/>
      <c r="O31" s="408"/>
      <c r="P31" s="302"/>
      <c r="Q31" s="93"/>
      <c r="R31" s="213"/>
      <c r="S31" s="214"/>
      <c r="T31" s="215"/>
      <c r="U31" s="325"/>
      <c r="V31" s="75"/>
      <c r="W31" s="98"/>
      <c r="X31" s="216"/>
      <c r="Y31" s="217"/>
      <c r="Z31" s="366"/>
      <c r="AA31" s="81"/>
      <c r="AB31" s="763"/>
      <c r="AC31" s="756"/>
      <c r="AD31" s="757"/>
      <c r="AE31" s="757"/>
      <c r="AF31" s="758"/>
      <c r="AG31" s="755"/>
      <c r="AH31" s="756"/>
      <c r="AI31" s="757"/>
      <c r="AJ31" s="757"/>
      <c r="AK31" s="758"/>
      <c r="AM31" s="756"/>
      <c r="AN31" s="757"/>
      <c r="AO31" s="758"/>
    </row>
    <row r="32" spans="1:41" ht="30" customHeight="1">
      <c r="A32" s="204" t="s">
        <v>34</v>
      </c>
      <c r="B32" s="205">
        <v>0</v>
      </c>
      <c r="C32" s="206">
        <v>557.07000000000005</v>
      </c>
      <c r="D32" s="154">
        <f t="shared" si="9"/>
        <v>557.07000000000005</v>
      </c>
      <c r="E32" s="390" t="str">
        <f t="shared" si="0"/>
        <v/>
      </c>
      <c r="F32" s="152">
        <v>9.5500000000000007</v>
      </c>
      <c r="G32" s="396" t="str">
        <f t="shared" si="1"/>
        <v/>
      </c>
      <c r="H32" s="155">
        <f>SUM(D32:F32)</f>
        <v>566.62</v>
      </c>
      <c r="I32" s="296"/>
      <c r="J32" s="409">
        <v>8</v>
      </c>
      <c r="K32" s="387" t="str">
        <f t="shared" ref="K32:K35" si="10">IF(AO32=1,"?","")</f>
        <v/>
      </c>
      <c r="L32" s="299"/>
      <c r="M32" s="156" t="str">
        <f>IF(AD32=1,Warning1,IF(AE32=1,Warning2_for_Control,""))</f>
        <v/>
      </c>
      <c r="N32" s="157" t="str">
        <f>IF(AI32=1,Warning1,IF(AJ32=1,Warning2_for_Control,""))</f>
        <v/>
      </c>
      <c r="O32" s="156" t="str">
        <f>IF(AM32=1,Warning1,IF(AN32=1,Warning2_for_RUK_Control,""))</f>
        <v/>
      </c>
      <c r="P32" s="310"/>
      <c r="Q32" s="93"/>
      <c r="R32" s="163">
        <f>VLOOKUP($AB32,Early_Stats,VLOOKUP('Background Data'!$C$2,Inst_Tables,3,FALSE),FALSE)</f>
        <v>555</v>
      </c>
      <c r="S32" s="164">
        <f>VLOOKUP($AB32,Early_Stats,VLOOKUP('Background Data'!$C$2,Inst_Tables,4,FALSE),FALSE)</f>
        <v>8.8800000000000008</v>
      </c>
      <c r="T32" s="165">
        <f>SUM(R32:S32)</f>
        <v>563.88</v>
      </c>
      <c r="U32" s="359">
        <f>VLOOKUP($AB32,Early_Stats,VLOOKUP('Background Data'!$C$2,Inst_Tables,5,FALSE),FALSE)</f>
        <v>9</v>
      </c>
      <c r="V32" s="75"/>
      <c r="W32" s="98"/>
      <c r="X32" s="218">
        <f>IF(R32&gt;0,(D32-R32)/R32,"")</f>
        <v>3.7297297297298197E-3</v>
      </c>
      <c r="Y32" s="219">
        <f t="shared" ref="Y32:Y35" si="11">IF(S32&gt;0,(F32-S32)/S32,"")</f>
        <v>7.5450450450450429E-2</v>
      </c>
      <c r="Z32" s="368">
        <f t="shared" ref="Z32:Z35" si="12">IF(U32&gt;0,(J32-U32)/U32,"")</f>
        <v>-0.1111111111111111</v>
      </c>
      <c r="AA32" s="130"/>
      <c r="AB32" s="751">
        <v>12</v>
      </c>
      <c r="AC32" s="752">
        <f>IF(AND(MAX(D32,R32)&gt;0,MIN(D32,R32)=0),1,0)</f>
        <v>0</v>
      </c>
      <c r="AD32" s="753">
        <f>IF(ABS(D32-R32)&gt;=5,AC32,0)</f>
        <v>0</v>
      </c>
      <c r="AE32" s="753">
        <f>IF(X32&lt;&gt;"",IF(AND(MIN(D32,R32)&gt;0,ABS(D32-R32)&gt;=Control_FTE_Tol,ABS(X32)&gt;=Control_Per_Tol),1,0),0)</f>
        <v>0</v>
      </c>
      <c r="AF32" s="754">
        <f>IF(SUM(AD32,AE32)&gt;0,1,0)</f>
        <v>0</v>
      </c>
      <c r="AG32" s="755"/>
      <c r="AH32" s="752">
        <f>IF(AND(MAX(F32,S32)&gt;0,OR(MIN(F32,S32)=0,F32="")),1,0)</f>
        <v>0</v>
      </c>
      <c r="AI32" s="753">
        <f>IF(ABS(F32-S32)&gt;=5,AH32,0)</f>
        <v>0</v>
      </c>
      <c r="AJ32" s="753">
        <f>IF(F32&lt;&gt;"",IF(Y32&lt;&gt;"",IF(AND(MIN(F32,S32)&gt;0,ABS(F32-S32)&gt;=Control_FTE_Tol,ABS(Y32)&gt;=Control_Per_Tol),1,0),0),0)</f>
        <v>0</v>
      </c>
      <c r="AK32" s="754">
        <f>IF(SUM(AI32,AJ32)&gt;0,1,0)</f>
        <v>0</v>
      </c>
      <c r="AM32" s="752">
        <f t="shared" ref="AM32:AM35" si="13">IF(AND(MAX(J32,U32)&gt;0,OR(MIN(J32,U32)=0,J32="")),1,0)</f>
        <v>0</v>
      </c>
      <c r="AN32" s="753">
        <f>IF(J32&lt;&gt;"",IF(U32&lt;&gt;"",IF(AND(MIN(J32,U32)&gt;0,ABS(J32-U32)&gt;=RUK_Control_FTE_Tol),1,0),0),0)</f>
        <v>0</v>
      </c>
      <c r="AO32" s="754">
        <f t="shared" ref="AO32:AO35" si="14">IF(SUM(AM32,AN32)&gt;0,1,0)</f>
        <v>0</v>
      </c>
    </row>
    <row r="33" spans="1:41" ht="30" customHeight="1">
      <c r="A33" s="204" t="s">
        <v>35</v>
      </c>
      <c r="B33" s="205">
        <v>0</v>
      </c>
      <c r="C33" s="206">
        <v>0</v>
      </c>
      <c r="D33" s="154">
        <f t="shared" si="9"/>
        <v>0</v>
      </c>
      <c r="E33" s="390" t="str">
        <f t="shared" si="0"/>
        <v/>
      </c>
      <c r="F33" s="152">
        <v>0</v>
      </c>
      <c r="G33" s="396" t="str">
        <f t="shared" si="1"/>
        <v/>
      </c>
      <c r="H33" s="155">
        <f>SUM(D33:F33)</f>
        <v>0</v>
      </c>
      <c r="I33" s="296"/>
      <c r="J33" s="409">
        <v>0</v>
      </c>
      <c r="K33" s="386" t="str">
        <f t="shared" si="10"/>
        <v/>
      </c>
      <c r="L33" s="299"/>
      <c r="M33" s="156" t="str">
        <f>IF(AD33=1,Warning1,IF(AE33=1,Warning2_for_Control,""))</f>
        <v/>
      </c>
      <c r="N33" s="157" t="str">
        <f>IF(AI33=1,Warning1,IF(AJ33=1,Warning2_for_Control,""))</f>
        <v/>
      </c>
      <c r="O33" s="156" t="str">
        <f>IF(AM33=1,Warning1,IF(AN33=1,Warning2_for_RUK_Control,""))</f>
        <v/>
      </c>
      <c r="P33" s="310"/>
      <c r="Q33" s="93"/>
      <c r="R33" s="163">
        <f>VLOOKUP($AB33,Early_Stats,VLOOKUP('Background Data'!$C$2,Inst_Tables,3,FALSE),FALSE)</f>
        <v>0</v>
      </c>
      <c r="S33" s="164">
        <f>VLOOKUP($AB33,Early_Stats,VLOOKUP('Background Data'!$C$2,Inst_Tables,4,FALSE),FALSE)</f>
        <v>0</v>
      </c>
      <c r="T33" s="165">
        <f>SUM(R33:S33)</f>
        <v>0</v>
      </c>
      <c r="U33" s="359">
        <f>VLOOKUP($AB33,Early_Stats,VLOOKUP('Background Data'!$C$2,Inst_Tables,5,FALSE),FALSE)</f>
        <v>0</v>
      </c>
      <c r="V33" s="75"/>
      <c r="W33" s="98"/>
      <c r="X33" s="160" t="str">
        <f>IF(R33&gt;0,(D33-R33)/R33,"")</f>
        <v/>
      </c>
      <c r="Y33" s="161" t="str">
        <f t="shared" si="11"/>
        <v/>
      </c>
      <c r="Z33" s="368" t="str">
        <f t="shared" si="12"/>
        <v/>
      </c>
      <c r="AA33" s="130"/>
      <c r="AB33" s="751">
        <v>13</v>
      </c>
      <c r="AC33" s="752">
        <f>IF(AND(MAX(D33,R33)&gt;0,MIN(D33,R33)=0),1,0)</f>
        <v>0</v>
      </c>
      <c r="AD33" s="753">
        <f>IF(ABS(D33-R33)&gt;=5,AC33,0)</f>
        <v>0</v>
      </c>
      <c r="AE33" s="753">
        <f>IF(X33&lt;&gt;"",IF(AND(MIN(D33,R33)&gt;0,ABS(D33-R33)&gt;=Control_FTE_Tol,ABS(X33)&gt;=Control_Per_Tol),1,0),0)</f>
        <v>0</v>
      </c>
      <c r="AF33" s="754">
        <f>IF(SUM(AD33,AE33)&gt;0,1,0)</f>
        <v>0</v>
      </c>
      <c r="AG33" s="755"/>
      <c r="AH33" s="752">
        <f>IF(AND(MAX(F33,S33)&gt;0,OR(MIN(F33,S33)=0,F33="")),1,0)</f>
        <v>0</v>
      </c>
      <c r="AI33" s="753">
        <f>IF(ABS(F33-S33)&gt;=5,AH33,0)</f>
        <v>0</v>
      </c>
      <c r="AJ33" s="753">
        <f>IF(F33&lt;&gt;"",IF(Y33&lt;&gt;"",IF(AND(MIN(F33,S33)&gt;0,ABS(F33-S33)&gt;=Control_FTE_Tol,ABS(Y33)&gt;=Control_Per_Tol),1,0),0),0)</f>
        <v>0</v>
      </c>
      <c r="AK33" s="754">
        <f>IF(SUM(AI33,AJ33)&gt;0,1,0)</f>
        <v>0</v>
      </c>
      <c r="AM33" s="752">
        <f t="shared" si="13"/>
        <v>0</v>
      </c>
      <c r="AN33" s="753">
        <f>IF(J33&lt;&gt;"",IF(U33&lt;&gt;"",IF(AND(MIN(J33,U33)&gt;0,ABS(J33-U33)&gt;=RUK_Control_FTE_Tol),1,0),0),0)</f>
        <v>0</v>
      </c>
      <c r="AO33" s="754">
        <f t="shared" si="14"/>
        <v>0</v>
      </c>
    </row>
    <row r="34" spans="1:41" ht="30" customHeight="1">
      <c r="A34" s="204" t="s">
        <v>36</v>
      </c>
      <c r="B34" s="205">
        <v>0</v>
      </c>
      <c r="C34" s="206">
        <v>0</v>
      </c>
      <c r="D34" s="154">
        <f t="shared" si="9"/>
        <v>0</v>
      </c>
      <c r="E34" s="390" t="str">
        <f t="shared" si="0"/>
        <v/>
      </c>
      <c r="F34" s="152">
        <v>0</v>
      </c>
      <c r="G34" s="396" t="str">
        <f t="shared" si="1"/>
        <v/>
      </c>
      <c r="H34" s="155">
        <f>SUM(D34:F34)</f>
        <v>0</v>
      </c>
      <c r="I34" s="296"/>
      <c r="J34" s="409">
        <v>0</v>
      </c>
      <c r="K34" s="386" t="str">
        <f t="shared" si="10"/>
        <v/>
      </c>
      <c r="L34" s="299"/>
      <c r="M34" s="156" t="str">
        <f>IF(AD34=1,Warning1,IF(AE34=1,Warning2_for_Control,""))</f>
        <v/>
      </c>
      <c r="N34" s="157" t="str">
        <f>IF(AI34=1,Warning1,IF(AJ34=1,Warning2_for_Control,""))</f>
        <v/>
      </c>
      <c r="O34" s="156" t="str">
        <f>IF(AM34=1,Warning1,IF(AN34=1,Warning2_for_RUK_Control,""))</f>
        <v/>
      </c>
      <c r="P34" s="310"/>
      <c r="Q34" s="93"/>
      <c r="R34" s="163">
        <f>VLOOKUP($AB34,Early_Stats,VLOOKUP('Background Data'!$C$2,Inst_Tables,3,FALSE),FALSE)</f>
        <v>0</v>
      </c>
      <c r="S34" s="164">
        <f>VLOOKUP($AB34,Early_Stats,VLOOKUP('Background Data'!$C$2,Inst_Tables,4,FALSE),FALSE)</f>
        <v>0</v>
      </c>
      <c r="T34" s="165">
        <f>SUM(R34:S34)</f>
        <v>0</v>
      </c>
      <c r="U34" s="359">
        <f>VLOOKUP($AB34,Early_Stats,VLOOKUP('Background Data'!$C$2,Inst_Tables,5,FALSE),FALSE)</f>
        <v>0</v>
      </c>
      <c r="V34" s="75"/>
      <c r="W34" s="98"/>
      <c r="X34" s="160" t="str">
        <f>IF(R34&gt;0,(D34-R34)/R34,"")</f>
        <v/>
      </c>
      <c r="Y34" s="161" t="str">
        <f t="shared" si="11"/>
        <v/>
      </c>
      <c r="Z34" s="368" t="str">
        <f t="shared" si="12"/>
        <v/>
      </c>
      <c r="AA34" s="130"/>
      <c r="AB34" s="751">
        <v>14</v>
      </c>
      <c r="AC34" s="752">
        <f>IF(AND(MAX(D34,R34)&gt;0,MIN(D34,R34)=0),1,0)</f>
        <v>0</v>
      </c>
      <c r="AD34" s="753">
        <f>IF(ABS(D34-R34)&gt;=5,AC34,0)</f>
        <v>0</v>
      </c>
      <c r="AE34" s="753">
        <f>IF(X34&lt;&gt;"",IF(AND(MIN(D34,R34)&gt;0,ABS(D34-R34)&gt;=Control_FTE_Tol,ABS(X34)&gt;=Control_Per_Tol),1,0),0)</f>
        <v>0</v>
      </c>
      <c r="AF34" s="754">
        <f>IF(SUM(AD34,AE34)&gt;0,1,0)</f>
        <v>0</v>
      </c>
      <c r="AG34" s="755"/>
      <c r="AH34" s="752">
        <f>IF(AND(MAX(F34,S34)&gt;0,OR(MIN(F34,S34)=0,F34="")),1,0)</f>
        <v>0</v>
      </c>
      <c r="AI34" s="753">
        <f>IF(ABS(F34-S34)&gt;=5,AH34,0)</f>
        <v>0</v>
      </c>
      <c r="AJ34" s="753">
        <f>IF(F34&lt;&gt;"",IF(Y34&lt;&gt;"",IF(AND(MIN(F34,S34)&gt;0,ABS(F34-S34)&gt;=Control_FTE_Tol,ABS(Y34)&gt;=Control_Per_Tol),1,0),0),0)</f>
        <v>0</v>
      </c>
      <c r="AK34" s="754">
        <f>IF(SUM(AI34,AJ34)&gt;0,1,0)</f>
        <v>0</v>
      </c>
      <c r="AM34" s="752">
        <f t="shared" si="13"/>
        <v>0</v>
      </c>
      <c r="AN34" s="753">
        <f>IF(J34&lt;&gt;"",IF(U34&lt;&gt;"",IF(AND(MIN(J34,U34)&gt;0,ABS(J34-U34)&gt;=RUK_Control_FTE_Tol),1,0),0),0)</f>
        <v>0</v>
      </c>
      <c r="AO34" s="754">
        <f t="shared" si="14"/>
        <v>0</v>
      </c>
    </row>
    <row r="35" spans="1:41" ht="30" customHeight="1">
      <c r="A35" s="204" t="s">
        <v>37</v>
      </c>
      <c r="B35" s="205">
        <v>0</v>
      </c>
      <c r="C35" s="206">
        <v>91</v>
      </c>
      <c r="D35" s="154">
        <f t="shared" si="9"/>
        <v>91</v>
      </c>
      <c r="E35" s="390" t="str">
        <f t="shared" si="0"/>
        <v/>
      </c>
      <c r="F35" s="152">
        <v>0.6</v>
      </c>
      <c r="G35" s="396" t="str">
        <f t="shared" si="1"/>
        <v/>
      </c>
      <c r="H35" s="155">
        <f>SUM(D35:F35)</f>
        <v>91.6</v>
      </c>
      <c r="I35" s="296"/>
      <c r="J35" s="409">
        <v>0</v>
      </c>
      <c r="K35" s="386" t="str">
        <f t="shared" si="10"/>
        <v/>
      </c>
      <c r="L35" s="299"/>
      <c r="M35" s="156" t="str">
        <f>IF(AD35=1,Warning1,IF(AE35=1,Warning2_for_Control,""))</f>
        <v/>
      </c>
      <c r="N35" s="157" t="str">
        <f>IF(AI35=1,Warning1,IF(AJ35=1,Warning2_for_Control,""))</f>
        <v/>
      </c>
      <c r="O35" s="156" t="str">
        <f>IF(AM35=1,Warning1,IF(AN35=1,Warning2_for_RUK_Control,""))</f>
        <v/>
      </c>
      <c r="P35" s="310"/>
      <c r="Q35" s="93"/>
      <c r="R35" s="163">
        <f>VLOOKUP($AB35,Early_Stats,VLOOKUP('Background Data'!$C$2,Inst_Tables,3,FALSE),FALSE)</f>
        <v>91</v>
      </c>
      <c r="S35" s="164">
        <f>VLOOKUP($AB35,Early_Stats,VLOOKUP('Background Data'!$C$2,Inst_Tables,4,FALSE),FALSE)</f>
        <v>0.6</v>
      </c>
      <c r="T35" s="165">
        <f>SUM(R35:S35)</f>
        <v>91.6</v>
      </c>
      <c r="U35" s="359">
        <f>VLOOKUP($AB35,Early_Stats,VLOOKUP('Background Data'!$C$2,Inst_Tables,5,FALSE),FALSE)</f>
        <v>0</v>
      </c>
      <c r="V35" s="75"/>
      <c r="W35" s="98"/>
      <c r="X35" s="160">
        <f>IF(R35&gt;0,(D35-R35)/R35,"")</f>
        <v>0</v>
      </c>
      <c r="Y35" s="161">
        <f t="shared" si="11"/>
        <v>0</v>
      </c>
      <c r="Z35" s="368" t="str">
        <f t="shared" si="12"/>
        <v/>
      </c>
      <c r="AA35" s="130"/>
      <c r="AB35" s="751">
        <v>15</v>
      </c>
      <c r="AC35" s="752">
        <f>IF(AND(MAX(D35,R35)&gt;0,MIN(D35,R35)=0),1,0)</f>
        <v>0</v>
      </c>
      <c r="AD35" s="753">
        <f>IF(ABS(D35-R35)&gt;=5,AC35,0)</f>
        <v>0</v>
      </c>
      <c r="AE35" s="753">
        <f>IF(X35&lt;&gt;"",IF(AND(MIN(D35,R35)&gt;0,ABS(D35-R35)&gt;=Control_FTE_Tol,ABS(X35)&gt;=Control_Per_Tol),1,0),0)</f>
        <v>0</v>
      </c>
      <c r="AF35" s="754">
        <f>IF(SUM(AD35,AE35)&gt;0,1,0)</f>
        <v>0</v>
      </c>
      <c r="AG35" s="755"/>
      <c r="AH35" s="752">
        <f>IF(AND(MAX(F35,S35)&gt;0,OR(MIN(F35,S35)=0,F35="")),1,0)</f>
        <v>0</v>
      </c>
      <c r="AI35" s="753">
        <f>IF(ABS(F35-S35)&gt;=5,AH35,0)</f>
        <v>0</v>
      </c>
      <c r="AJ35" s="753">
        <f>IF(F35&lt;&gt;"",IF(Y35&lt;&gt;"",IF(AND(MIN(F35,S35)&gt;0,ABS(F35-S35)&gt;=Control_FTE_Tol,ABS(Y35)&gt;=Control_Per_Tol),1,0),0),0)</f>
        <v>0</v>
      </c>
      <c r="AK35" s="754">
        <f>IF(SUM(AI35,AJ35)&gt;0,1,0)</f>
        <v>0</v>
      </c>
      <c r="AM35" s="752">
        <f t="shared" si="13"/>
        <v>0</v>
      </c>
      <c r="AN35" s="753">
        <f>IF(J35&lt;&gt;"",IF(U35&lt;&gt;"",IF(AND(MIN(J35,U35)&gt;0,ABS(J35-U35)&gt;=RUK_Control_FTE_Tol),1,0),0),0)</f>
        <v>0</v>
      </c>
      <c r="AO35" s="754">
        <f t="shared" si="14"/>
        <v>0</v>
      </c>
    </row>
    <row r="36" spans="1:41" ht="30" customHeight="1">
      <c r="A36" s="201" t="s">
        <v>29</v>
      </c>
      <c r="B36" s="374"/>
      <c r="C36" s="375"/>
      <c r="D36" s="373"/>
      <c r="E36" s="390"/>
      <c r="F36" s="209"/>
      <c r="G36" s="395"/>
      <c r="H36" s="210"/>
      <c r="I36" s="296"/>
      <c r="J36" s="86"/>
      <c r="K36" s="384"/>
      <c r="L36" s="299"/>
      <c r="M36" s="156"/>
      <c r="N36" s="157"/>
      <c r="O36" s="407"/>
      <c r="P36" s="310"/>
      <c r="Q36" s="93"/>
      <c r="R36" s="163"/>
      <c r="S36" s="164"/>
      <c r="T36" s="165"/>
      <c r="U36" s="324"/>
      <c r="V36" s="75"/>
      <c r="W36" s="98"/>
      <c r="X36" s="376"/>
      <c r="Y36" s="377"/>
      <c r="Z36" s="372"/>
      <c r="AA36" s="130"/>
      <c r="AB36" s="751"/>
      <c r="AC36" s="752"/>
      <c r="AD36" s="753"/>
      <c r="AE36" s="753"/>
      <c r="AF36" s="754"/>
      <c r="AG36" s="755"/>
      <c r="AH36" s="752"/>
      <c r="AI36" s="753"/>
      <c r="AJ36" s="753"/>
      <c r="AK36" s="754"/>
      <c r="AM36" s="752"/>
      <c r="AN36" s="753"/>
      <c r="AO36" s="754"/>
    </row>
    <row r="37" spans="1:41" ht="30" customHeight="1">
      <c r="A37" s="204" t="s">
        <v>104</v>
      </c>
      <c r="B37" s="205">
        <v>0</v>
      </c>
      <c r="C37" s="206">
        <v>0</v>
      </c>
      <c r="D37" s="154">
        <f t="shared" si="9"/>
        <v>0</v>
      </c>
      <c r="E37" s="390" t="str">
        <f t="shared" si="0"/>
        <v/>
      </c>
      <c r="F37" s="152">
        <v>0</v>
      </c>
      <c r="G37" s="396" t="str">
        <f t="shared" si="1"/>
        <v/>
      </c>
      <c r="H37" s="155">
        <f t="shared" ref="H37:H38" si="15">SUM(D37:F37)</f>
        <v>0</v>
      </c>
      <c r="I37" s="296"/>
      <c r="J37" s="86"/>
      <c r="K37" s="384"/>
      <c r="L37" s="299"/>
      <c r="M37" s="156" t="str">
        <f>IF(AD37=1,Warning1,IF(AE37=1,Warning2_for_Control,""))</f>
        <v/>
      </c>
      <c r="N37" s="157" t="str">
        <f>IF(AI37=1,Warning1,IF(AJ37=1,Warning2_for_Control,""))</f>
        <v/>
      </c>
      <c r="O37" s="407"/>
      <c r="P37" s="310"/>
      <c r="Q37" s="93"/>
      <c r="R37" s="163">
        <f>VLOOKUP($AB37,Early_Stats,VLOOKUP('Background Data'!$C$2,Inst_Tables,3,FALSE),FALSE)</f>
        <v>0</v>
      </c>
      <c r="S37" s="164">
        <f>VLOOKUP($AB37,Early_Stats,VLOOKUP('Background Data'!$C$2,Inst_Tables,4,FALSE),FALSE)</f>
        <v>0</v>
      </c>
      <c r="T37" s="165">
        <f t="shared" ref="T37:T38" si="16">SUM(R37:S37)</f>
        <v>0</v>
      </c>
      <c r="U37" s="324"/>
      <c r="V37" s="75"/>
      <c r="W37" s="98"/>
      <c r="X37" s="160" t="str">
        <f t="shared" ref="X37:X38" si="17">IF(R37&gt;0,(D37-R37)/R37,"")</f>
        <v/>
      </c>
      <c r="Y37" s="161" t="str">
        <f t="shared" ref="Y37:Y38" si="18">IF(S37&gt;0,(F37-S37)/S37,"")</f>
        <v/>
      </c>
      <c r="Z37" s="372"/>
      <c r="AA37" s="130"/>
      <c r="AB37" s="751">
        <v>16</v>
      </c>
      <c r="AC37" s="752">
        <f t="shared" ref="AC37:AC38" si="19">IF(AND(MAX(D37,R37)&gt;0,MIN(D37,R37)=0),1,0)</f>
        <v>0</v>
      </c>
      <c r="AD37" s="753">
        <f t="shared" ref="AD37:AD38" si="20">IF(ABS(D37-R37)&gt;=5,AC37,0)</f>
        <v>0</v>
      </c>
      <c r="AE37" s="753">
        <f>IF(X37&lt;&gt;"",IF(AND(MIN(D37,R37)&gt;0,ABS(D37-R37)&gt;=Control_FTE_Tol,ABS(X37)&gt;=Control_Per_Tol),1,0),0)</f>
        <v>0</v>
      </c>
      <c r="AF37" s="754">
        <f t="shared" ref="AF37:AF38" si="21">IF(SUM(AD37,AE37)&gt;0,1,0)</f>
        <v>0</v>
      </c>
      <c r="AG37" s="755"/>
      <c r="AH37" s="752">
        <f t="shared" ref="AH37:AH38" si="22">IF(AND(MAX(F37,S37)&gt;0,OR(MIN(F37,S37)=0,F37="")),1,0)</f>
        <v>0</v>
      </c>
      <c r="AI37" s="753">
        <f t="shared" ref="AI37:AI38" si="23">IF(ABS(F37-S37)&gt;=5,AH37,0)</f>
        <v>0</v>
      </c>
      <c r="AJ37" s="753">
        <f>IF(F37&lt;&gt;"",IF(Y37&lt;&gt;"",IF(AND(MIN(F37,S37)&gt;0,ABS(F37-S37)&gt;=Control_FTE_Tol,ABS(Y37)&gt;=Control_Per_Tol),1,0),0),0)</f>
        <v>0</v>
      </c>
      <c r="AK37" s="754">
        <f t="shared" ref="AK37:AK38" si="24">IF(SUM(AI37,AJ37)&gt;0,1,0)</f>
        <v>0</v>
      </c>
      <c r="AM37" s="752"/>
      <c r="AN37" s="753"/>
      <c r="AO37" s="754"/>
    </row>
    <row r="38" spans="1:41" ht="30" customHeight="1">
      <c r="A38" s="204" t="s">
        <v>105</v>
      </c>
      <c r="B38" s="205">
        <v>0</v>
      </c>
      <c r="C38" s="206">
        <v>87</v>
      </c>
      <c r="D38" s="154">
        <f t="shared" si="9"/>
        <v>87</v>
      </c>
      <c r="E38" s="390" t="str">
        <f t="shared" si="0"/>
        <v/>
      </c>
      <c r="F38" s="152"/>
      <c r="G38" s="396" t="str">
        <f t="shared" si="1"/>
        <v/>
      </c>
      <c r="H38" s="155">
        <f t="shared" si="15"/>
        <v>87</v>
      </c>
      <c r="I38" s="296"/>
      <c r="J38" s="86"/>
      <c r="K38" s="384"/>
      <c r="L38" s="299"/>
      <c r="M38" s="156" t="str">
        <f>IF(AD38=1,Warning1,IF(AE38=1,Warning2_for_Control,""))</f>
        <v/>
      </c>
      <c r="N38" s="157" t="str">
        <f>IF(AI38=1,Warning1,IF(AJ38=1,Warning2_for_Control,""))</f>
        <v/>
      </c>
      <c r="O38" s="407"/>
      <c r="P38" s="310"/>
      <c r="Q38" s="93"/>
      <c r="R38" s="163">
        <f>VLOOKUP($AB38,Early_Stats,VLOOKUP('Background Data'!$C$2,Inst_Tables,3,FALSE),FALSE)</f>
        <v>87</v>
      </c>
      <c r="S38" s="164">
        <f>VLOOKUP($AB38,Early_Stats,VLOOKUP('Background Data'!$C$2,Inst_Tables,4,FALSE),FALSE)</f>
        <v>0</v>
      </c>
      <c r="T38" s="165">
        <f t="shared" si="16"/>
        <v>87</v>
      </c>
      <c r="U38" s="324"/>
      <c r="V38" s="75"/>
      <c r="W38" s="98"/>
      <c r="X38" s="160">
        <f t="shared" si="17"/>
        <v>0</v>
      </c>
      <c r="Y38" s="161" t="str">
        <f t="shared" si="18"/>
        <v/>
      </c>
      <c r="Z38" s="372"/>
      <c r="AA38" s="130"/>
      <c r="AB38" s="751">
        <v>17</v>
      </c>
      <c r="AC38" s="752">
        <f t="shared" si="19"/>
        <v>0</v>
      </c>
      <c r="AD38" s="753">
        <f t="shared" si="20"/>
        <v>0</v>
      </c>
      <c r="AE38" s="753">
        <f>IF(X38&lt;&gt;"",IF(AND(MIN(D38,R38)&gt;0,ABS(D38-R38)&gt;=Control_FTE_Tol,ABS(X38)&gt;=Control_Per_Tol),1,0),0)</f>
        <v>0</v>
      </c>
      <c r="AF38" s="754">
        <f t="shared" si="21"/>
        <v>0</v>
      </c>
      <c r="AG38" s="755"/>
      <c r="AH38" s="752">
        <f t="shared" si="22"/>
        <v>0</v>
      </c>
      <c r="AI38" s="753">
        <f t="shared" si="23"/>
        <v>0</v>
      </c>
      <c r="AJ38" s="753">
        <f>IF(F38&lt;&gt;"",IF(Y38&lt;&gt;"",IF(AND(MIN(F38,S38)&gt;0,ABS(F38-S38)&gt;=Control_FTE_Tol,ABS(Y38)&gt;=Control_Per_Tol),1,0),0),0)</f>
        <v>0</v>
      </c>
      <c r="AK38" s="754">
        <f t="shared" si="24"/>
        <v>0</v>
      </c>
      <c r="AM38" s="752"/>
      <c r="AN38" s="753"/>
      <c r="AO38" s="754"/>
    </row>
    <row r="39" spans="1:41" ht="30" customHeight="1">
      <c r="A39" s="200" t="s">
        <v>30</v>
      </c>
      <c r="B39" s="220"/>
      <c r="C39" s="221"/>
      <c r="D39" s="222"/>
      <c r="E39" s="389"/>
      <c r="F39" s="222"/>
      <c r="G39" s="395"/>
      <c r="H39" s="223"/>
      <c r="I39" s="296"/>
      <c r="J39" s="86"/>
      <c r="K39" s="384"/>
      <c r="L39" s="299"/>
      <c r="M39" s="211"/>
      <c r="N39" s="212"/>
      <c r="O39" s="408"/>
      <c r="P39" s="302"/>
      <c r="Q39" s="93"/>
      <c r="R39" s="163"/>
      <c r="S39" s="164"/>
      <c r="T39" s="165"/>
      <c r="U39" s="324"/>
      <c r="V39" s="75"/>
      <c r="W39" s="98"/>
      <c r="X39" s="216"/>
      <c r="Y39" s="217"/>
      <c r="Z39" s="366"/>
      <c r="AA39" s="81"/>
      <c r="AB39" s="763"/>
      <c r="AC39" s="752"/>
      <c r="AD39" s="753"/>
      <c r="AE39" s="753"/>
      <c r="AF39" s="754"/>
      <c r="AG39" s="755"/>
      <c r="AH39" s="752"/>
      <c r="AI39" s="753"/>
      <c r="AJ39" s="753"/>
      <c r="AK39" s="754"/>
      <c r="AM39" s="752"/>
      <c r="AN39" s="753"/>
      <c r="AO39" s="754"/>
    </row>
    <row r="40" spans="1:41" ht="30" customHeight="1">
      <c r="A40" s="224" t="s">
        <v>38</v>
      </c>
      <c r="B40" s="225">
        <v>44.6</v>
      </c>
      <c r="C40" s="153">
        <v>4723.8469999999998</v>
      </c>
      <c r="D40" s="154">
        <f t="shared" si="9"/>
        <v>4768.4470000000001</v>
      </c>
      <c r="E40" s="390" t="str">
        <f t="shared" si="0"/>
        <v/>
      </c>
      <c r="F40" s="423">
        <v>18.88</v>
      </c>
      <c r="G40" s="396" t="str">
        <f t="shared" si="1"/>
        <v/>
      </c>
      <c r="H40" s="155">
        <f>SUM(D40:F40)</f>
        <v>4787.3270000000002</v>
      </c>
      <c r="I40" s="296"/>
      <c r="J40" s="86"/>
      <c r="K40" s="384"/>
      <c r="L40" s="299"/>
      <c r="M40" s="156" t="str">
        <f>IF(AD40=1,Warning1,IF(AE40=1,Warning2_for_Non_Control,""))</f>
        <v/>
      </c>
      <c r="N40" s="157" t="str">
        <f>IF(AI40=1,Warning1,IF(AJ40=1,Warning2_for_Non_Control,""))</f>
        <v/>
      </c>
      <c r="O40" s="407"/>
      <c r="P40" s="310"/>
      <c r="Q40" s="93"/>
      <c r="R40" s="163">
        <f>VLOOKUP($AB40,Early_Stats,VLOOKUP('Background Data'!$C$2,Inst_Tables,3,FALSE),FALSE)</f>
        <v>4782.97</v>
      </c>
      <c r="S40" s="164">
        <f>VLOOKUP($AB40,Early_Stats,VLOOKUP('Background Data'!$C$2,Inst_Tables,4,FALSE),FALSE)</f>
        <v>26.46</v>
      </c>
      <c r="T40" s="165">
        <f>SUM(R40:S40)</f>
        <v>4809.43</v>
      </c>
      <c r="U40" s="324"/>
      <c r="V40" s="75"/>
      <c r="W40" s="98"/>
      <c r="X40" s="160">
        <f>IF(R40&gt;0,(D40-R40)/R40,"")</f>
        <v>-3.0363978866687724E-3</v>
      </c>
      <c r="Y40" s="161">
        <f>IF(S40&gt;0,(F40-S40)/S40,"")</f>
        <v>-0.28647014361300083</v>
      </c>
      <c r="Z40" s="372"/>
      <c r="AA40" s="130"/>
      <c r="AB40" s="751">
        <v>18</v>
      </c>
      <c r="AC40" s="752">
        <f>IF(AND(MAX(D40,R40)&gt;0,MIN(D40,R40)=0),1,0)</f>
        <v>0</v>
      </c>
      <c r="AD40" s="753">
        <f>IF(ABS(D40-R40)&gt;=5,AC40,0)</f>
        <v>0</v>
      </c>
      <c r="AE40" s="753">
        <f>IF(X40&lt;&gt;"",IF(AND(MIN(D40,R40)&gt;0,ABS(D40-R40)&gt;=Non_Control_FTE_Tol,ABS(X40)&gt;=Non_Control_Per_Tol),1,0),0)</f>
        <v>0</v>
      </c>
      <c r="AF40" s="754">
        <f>IF(SUM(AD40,AE40)&gt;0,1,0)</f>
        <v>0</v>
      </c>
      <c r="AG40" s="755"/>
      <c r="AH40" s="752">
        <f>IF(AND(MAX(F40,S40)&gt;0,OR(MIN(F40,S40)=0,F40="")),1,0)</f>
        <v>0</v>
      </c>
      <c r="AI40" s="753">
        <f>IF(ABS(F40-S40)&gt;=5,AH40,0)</f>
        <v>0</v>
      </c>
      <c r="AJ40" s="753">
        <f>IF(F40&lt;&gt;"",IF(Y40&lt;&gt;"",IF(AND(MIN(F40,S40)&gt;0,ABS(F40-S40)&gt;=Non_Control_FTE_Tol,ABS(Y40)&gt;=Non_Control_Per_Tol),1,0),0),0)</f>
        <v>0</v>
      </c>
      <c r="AK40" s="754">
        <f>IF(SUM(AI40,AJ40)&gt;0,1,0)</f>
        <v>0</v>
      </c>
      <c r="AM40" s="752"/>
      <c r="AN40" s="753"/>
      <c r="AO40" s="754"/>
    </row>
    <row r="41" spans="1:41" ht="30" customHeight="1">
      <c r="A41" s="224" t="s">
        <v>39</v>
      </c>
      <c r="B41" s="225">
        <v>63</v>
      </c>
      <c r="C41" s="153">
        <v>6237.0010000000002</v>
      </c>
      <c r="D41" s="154">
        <f t="shared" si="9"/>
        <v>6300.0010000000002</v>
      </c>
      <c r="E41" s="390" t="str">
        <f t="shared" si="0"/>
        <v/>
      </c>
      <c r="F41" s="423">
        <v>79.662000000000006</v>
      </c>
      <c r="G41" s="396" t="str">
        <f t="shared" si="1"/>
        <v/>
      </c>
      <c r="H41" s="155">
        <f>SUM(D41:F41)</f>
        <v>6379.6630000000005</v>
      </c>
      <c r="I41" s="296"/>
      <c r="J41" s="86"/>
      <c r="K41" s="384"/>
      <c r="L41" s="299"/>
      <c r="M41" s="156" t="str">
        <f>IF(AD41=1,Warning1,IF(AE41=1,Warning2_for_Non_Control,""))</f>
        <v/>
      </c>
      <c r="N41" s="157" t="str">
        <f>IF(AI41=1,Warning1,IF(AJ41=1,Warning2_for_Non_Control,""))</f>
        <v/>
      </c>
      <c r="O41" s="407"/>
      <c r="P41" s="310"/>
      <c r="Q41" s="93"/>
      <c r="R41" s="163">
        <f>VLOOKUP($AB41,Early_Stats,VLOOKUP('Background Data'!$C$2,Inst_Tables,3,FALSE),FALSE)</f>
        <v>6239.9</v>
      </c>
      <c r="S41" s="164">
        <f>VLOOKUP($AB41,Early_Stats,VLOOKUP('Background Data'!$C$2,Inst_Tables,4,FALSE),FALSE)</f>
        <v>70.27</v>
      </c>
      <c r="T41" s="165">
        <f>SUM(R41:S41)</f>
        <v>6310.17</v>
      </c>
      <c r="U41" s="324"/>
      <c r="V41" s="75"/>
      <c r="W41" s="98"/>
      <c r="X41" s="160">
        <f>IF(R41&gt;0,(D41-R41)/R41,"")</f>
        <v>9.631724867385786E-3</v>
      </c>
      <c r="Y41" s="161">
        <f>IF(S41&gt;0,(F41-S41)/S41,"")</f>
        <v>0.13365589867653352</v>
      </c>
      <c r="Z41" s="372"/>
      <c r="AA41" s="130"/>
      <c r="AB41" s="751">
        <v>19</v>
      </c>
      <c r="AC41" s="752">
        <f>IF(AND(MAX(D41,R41)&gt;0,MIN(D41,R41)=0),1,0)</f>
        <v>0</v>
      </c>
      <c r="AD41" s="753">
        <f>IF(ABS(D41-R41)&gt;=5,AC41,0)</f>
        <v>0</v>
      </c>
      <c r="AE41" s="753">
        <f>IF(X41&lt;&gt;"",IF(AND(MIN(D41,R41)&gt;0,ABS(D41-R41)&gt;=Non_Control_FTE_Tol,ABS(X41)&gt;=Non_Control_Per_Tol),1,0),0)</f>
        <v>0</v>
      </c>
      <c r="AF41" s="754">
        <f>IF(SUM(AD41,AE41)&gt;0,1,0)</f>
        <v>0</v>
      </c>
      <c r="AG41" s="755"/>
      <c r="AH41" s="752">
        <f>IF(AND(MAX(F41,S41)&gt;0,OR(MIN(F41,S41)=0,F41="")),1,0)</f>
        <v>0</v>
      </c>
      <c r="AI41" s="753">
        <f>IF(ABS(F41-S41)&gt;=5,AH41,0)</f>
        <v>0</v>
      </c>
      <c r="AJ41" s="753">
        <f>IF(F41&lt;&gt;"",IF(Y41&lt;&gt;"",IF(AND(MIN(F41,S41)&gt;0,ABS(F41-S41)&gt;=Non_Control_FTE_Tol,ABS(Y41)&gt;=Non_Control_Per_Tol),1,0),0),0)</f>
        <v>0</v>
      </c>
      <c r="AK41" s="754">
        <f>IF(SUM(AI41,AJ41)&gt;0,1,0)</f>
        <v>0</v>
      </c>
      <c r="AM41" s="752"/>
      <c r="AN41" s="753"/>
      <c r="AO41" s="754"/>
    </row>
    <row r="42" spans="1:41" ht="35.1" customHeight="1" thickBot="1">
      <c r="A42" s="226" t="s">
        <v>3</v>
      </c>
      <c r="B42" s="227">
        <f>SUM(B27:B30,B32:B38,B40:B41)</f>
        <v>275.60000000000002</v>
      </c>
      <c r="C42" s="228">
        <f>SUM(C27:C30,C32:C38,C40:C41)</f>
        <v>12808.41</v>
      </c>
      <c r="D42" s="169">
        <f>SUM(D27:D30,D32:D38,D40:D41)</f>
        <v>13084.01</v>
      </c>
      <c r="E42" s="389"/>
      <c r="F42" s="169">
        <f>SUM(F27:F30,F32:F38,F40:F41)</f>
        <v>108.69200000000001</v>
      </c>
      <c r="G42" s="389"/>
      <c r="H42" s="170">
        <f>SUM(H27:H30,H32:H38,H40:H41)</f>
        <v>13192.702000000001</v>
      </c>
      <c r="I42" s="296"/>
      <c r="J42" s="86"/>
      <c r="K42" s="384"/>
      <c r="L42" s="299"/>
      <c r="M42" s="190"/>
      <c r="N42" s="172"/>
      <c r="O42" s="406"/>
      <c r="P42" s="134"/>
      <c r="Q42" s="93"/>
      <c r="R42" s="192">
        <f>SUM(R27:R30,R32:R38,R40:R41)</f>
        <v>13027.869999999999</v>
      </c>
      <c r="S42" s="174">
        <f>SUM(S27:S30,S32:S38,S40:S41)</f>
        <v>106.21</v>
      </c>
      <c r="T42" s="175">
        <f>SUM(T27:T30,T32:T38,T40:T41)</f>
        <v>13134.08</v>
      </c>
      <c r="U42" s="324"/>
      <c r="V42" s="75"/>
      <c r="W42" s="98"/>
      <c r="X42" s="229"/>
      <c r="Y42" s="194"/>
      <c r="Z42" s="81"/>
      <c r="AA42" s="81"/>
      <c r="AB42" s="739"/>
      <c r="AC42" s="752"/>
      <c r="AD42" s="753"/>
      <c r="AE42" s="753"/>
      <c r="AF42" s="754"/>
      <c r="AG42" s="755"/>
      <c r="AH42" s="752"/>
      <c r="AI42" s="753"/>
      <c r="AJ42" s="753"/>
      <c r="AK42" s="754"/>
      <c r="AM42" s="752"/>
      <c r="AN42" s="753"/>
      <c r="AO42" s="754"/>
    </row>
    <row r="43" spans="1:41" ht="35.1" customHeight="1" thickBot="1">
      <c r="A43" s="230" t="s">
        <v>40</v>
      </c>
      <c r="B43" s="231">
        <f>SUM(B11,B17,B23,B42)</f>
        <v>275.60000000000002</v>
      </c>
      <c r="C43" s="121">
        <f>SUM(C11,C17,C23,C42)</f>
        <v>14063.41</v>
      </c>
      <c r="D43" s="232">
        <f>SUM(D11,D17,D23,D42)</f>
        <v>15523.01</v>
      </c>
      <c r="E43" s="393"/>
      <c r="F43" s="232">
        <f>SUM(F11,F17,F23,F42)</f>
        <v>1003.232</v>
      </c>
      <c r="G43" s="399"/>
      <c r="H43" s="233">
        <f>SUM(H11,H17,H23,H42)</f>
        <v>16526.242000000002</v>
      </c>
      <c r="I43" s="296"/>
      <c r="J43" s="308">
        <f>SUM(J20:J21,J27:J30,J32:J35)</f>
        <v>293</v>
      </c>
      <c r="K43" s="384"/>
      <c r="L43" s="299"/>
      <c r="M43" s="190"/>
      <c r="N43" s="191"/>
      <c r="O43" s="191"/>
      <c r="P43" s="134"/>
      <c r="Q43" s="93"/>
      <c r="R43" s="234">
        <f>SUM(R11,R17,R23,R42)</f>
        <v>15536.97</v>
      </c>
      <c r="S43" s="235">
        <f>SUM(S11,S17,S23,S42)</f>
        <v>946.23</v>
      </c>
      <c r="T43" s="127">
        <f>SUM(T11,T17,T23,T42)</f>
        <v>16483.2</v>
      </c>
      <c r="U43" s="370"/>
      <c r="V43" s="75"/>
      <c r="W43" s="98"/>
      <c r="X43" s="236"/>
      <c r="Y43" s="237"/>
      <c r="Z43" s="367"/>
      <c r="AA43" s="81"/>
      <c r="AB43" s="764">
        <v>20</v>
      </c>
      <c r="AC43" s="765">
        <f t="shared" ref="AC43" si="25">IF(AND(MAX(D43,R43)&gt;0,MIN(D43,R43)=0),1,0)</f>
        <v>0</v>
      </c>
      <c r="AD43" s="766">
        <f t="shared" ref="AD43" si="26">IF(ABS(D43-R43)&gt;=5,AC43,0)</f>
        <v>0</v>
      </c>
      <c r="AE43" s="766">
        <f>IF(X43&lt;&gt;"",IF(AND(MIN(D43,R43)&gt;0,ABS(D43-R43)&gt;=Non_Control_FTE_Tol,ABS(X43)&gt;=Non_Control_Per_Tol),1,0),0)</f>
        <v>0</v>
      </c>
      <c r="AF43" s="767">
        <f t="shared" ref="AF43" si="27">IF(SUM(AD43,AE43)&gt;0,1,0)</f>
        <v>0</v>
      </c>
      <c r="AG43" s="755"/>
      <c r="AH43" s="765">
        <f t="shared" ref="AH43" si="28">IF(AND(MAX(F43,S43)&gt;0,OR(MIN(F43,S43)=0,F43="")),1,0)</f>
        <v>0</v>
      </c>
      <c r="AI43" s="766">
        <f t="shared" ref="AI43" si="29">IF(ABS(F43-S43)&gt;=5,AH43,0)</f>
        <v>0</v>
      </c>
      <c r="AJ43" s="766">
        <f>IF(F43&lt;&gt;"",IF(Y43&lt;&gt;"",IF(AND(MIN(F43,S43)&gt;0,ABS(F43-S43)&gt;=Non_Control_FTE_Tol,ABS(Y43)&gt;=Non_Control_Per_Tol),1,0),0),0)</f>
        <v>0</v>
      </c>
      <c r="AK43" s="767">
        <f t="shared" ref="AK43" si="30">IF(SUM(AI43,AJ43)&gt;0,1,0)</f>
        <v>0</v>
      </c>
      <c r="AM43" s="768"/>
      <c r="AN43" s="769"/>
      <c r="AO43" s="770"/>
    </row>
    <row r="44" spans="1:41">
      <c r="A44" s="238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93"/>
      <c r="R44" s="93"/>
      <c r="S44" s="93"/>
      <c r="T44" s="93"/>
      <c r="U44" s="93"/>
      <c r="V44" s="75"/>
      <c r="W44" s="98"/>
      <c r="X44" s="239"/>
      <c r="Y44" s="239"/>
      <c r="Z44" s="239"/>
      <c r="AA44" s="81"/>
      <c r="AB44" s="771"/>
      <c r="AC44" s="772"/>
      <c r="AD44" s="700"/>
      <c r="AE44" s="700"/>
      <c r="AF44" s="700"/>
      <c r="AG44" s="700"/>
      <c r="AH44" s="772"/>
      <c r="AI44" s="700"/>
      <c r="AJ44" s="700"/>
      <c r="AK44" s="700"/>
      <c r="AL44" s="692"/>
      <c r="AM44" s="772"/>
      <c r="AN44" s="700"/>
      <c r="AO44" s="773"/>
    </row>
    <row r="45" spans="1:41" ht="18.75" customHeight="1">
      <c r="A45" s="240" t="s">
        <v>136</v>
      </c>
      <c r="B45" s="241"/>
      <c r="C45" s="241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93"/>
      <c r="R45" s="242"/>
      <c r="S45" s="242"/>
      <c r="T45" s="242"/>
      <c r="U45" s="242"/>
      <c r="V45" s="243"/>
      <c r="W45" s="98"/>
      <c r="X45" s="244"/>
      <c r="Y45" s="244"/>
      <c r="Z45" s="244"/>
      <c r="AA45" s="81"/>
      <c r="AB45" s="771"/>
      <c r="AC45" s="774"/>
      <c r="AD45" s="755"/>
      <c r="AE45" s="755"/>
      <c r="AF45" s="755"/>
      <c r="AG45" s="755"/>
      <c r="AH45" s="774"/>
      <c r="AI45" s="755"/>
      <c r="AJ45" s="755"/>
      <c r="AK45" s="755"/>
      <c r="AL45" s="692"/>
      <c r="AM45" s="774"/>
      <c r="AN45" s="755"/>
      <c r="AO45" s="775"/>
    </row>
    <row r="46" spans="1:41" ht="18.75" customHeight="1">
      <c r="A46" s="238" t="s">
        <v>214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93"/>
      <c r="R46" s="93"/>
      <c r="S46" s="93"/>
      <c r="T46" s="93"/>
      <c r="U46" s="93"/>
      <c r="V46" s="75"/>
      <c r="W46" s="98"/>
      <c r="X46" s="239"/>
      <c r="Y46" s="239"/>
      <c r="Z46" s="239"/>
      <c r="AA46" s="81"/>
      <c r="AB46" s="771"/>
      <c r="AC46" s="755"/>
      <c r="AD46" s="755"/>
      <c r="AE46" s="755"/>
      <c r="AF46" s="755"/>
      <c r="AG46" s="755"/>
      <c r="AH46" s="755"/>
      <c r="AI46" s="755"/>
      <c r="AJ46" s="755"/>
      <c r="AK46" s="755"/>
      <c r="AL46" s="692"/>
      <c r="AM46" s="755"/>
      <c r="AN46" s="755"/>
      <c r="AO46" s="775"/>
    </row>
    <row r="47" spans="1:41" ht="24.95" customHeight="1">
      <c r="A47" s="238" t="s">
        <v>215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93"/>
      <c r="R47" s="245"/>
      <c r="S47" s="245"/>
      <c r="T47" s="245"/>
      <c r="U47" s="245"/>
      <c r="V47" s="75"/>
      <c r="W47" s="98"/>
      <c r="X47" s="246"/>
      <c r="Y47" s="246"/>
      <c r="Z47" s="246"/>
      <c r="AA47" s="81"/>
      <c r="AB47" s="771"/>
      <c r="AC47" s="774"/>
      <c r="AD47" s="755"/>
      <c r="AE47" s="755"/>
      <c r="AF47" s="755"/>
      <c r="AG47" s="755"/>
      <c r="AH47" s="774"/>
      <c r="AI47" s="755"/>
      <c r="AJ47" s="755"/>
      <c r="AK47" s="755"/>
      <c r="AL47" s="692"/>
      <c r="AM47" s="774"/>
      <c r="AN47" s="755"/>
      <c r="AO47" s="775"/>
    </row>
    <row r="48" spans="1:41" ht="18.75" customHeight="1" thickBot="1">
      <c r="A48" s="247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9"/>
      <c r="R48" s="249"/>
      <c r="S48" s="249"/>
      <c r="T48" s="249"/>
      <c r="U48" s="249"/>
      <c r="V48" s="76"/>
      <c r="W48" s="250"/>
      <c r="X48" s="251"/>
      <c r="Y48" s="251"/>
      <c r="Z48" s="251"/>
      <c r="AA48" s="252"/>
      <c r="AB48" s="776"/>
      <c r="AC48" s="777"/>
      <c r="AD48" s="777"/>
      <c r="AE48" s="777"/>
      <c r="AF48" s="777"/>
      <c r="AG48" s="777"/>
      <c r="AH48" s="777"/>
      <c r="AI48" s="777"/>
      <c r="AJ48" s="777"/>
      <c r="AK48" s="777"/>
      <c r="AL48" s="778"/>
      <c r="AM48" s="777"/>
      <c r="AN48" s="777"/>
      <c r="AO48" s="779"/>
    </row>
    <row r="49" spans="1:43" ht="18.75" customHeight="1">
      <c r="A49" s="691"/>
      <c r="B49" s="692"/>
      <c r="C49" s="692"/>
      <c r="D49" s="692"/>
      <c r="E49" s="692"/>
      <c r="F49" s="692"/>
      <c r="G49" s="692"/>
      <c r="H49" s="692"/>
      <c r="I49" s="692"/>
      <c r="J49" s="692"/>
      <c r="K49" s="692"/>
      <c r="L49" s="692"/>
      <c r="M49" s="692"/>
      <c r="N49" s="692"/>
      <c r="O49" s="692"/>
      <c r="P49" s="692"/>
      <c r="Q49" s="692"/>
      <c r="R49" s="693"/>
      <c r="S49" s="693"/>
      <c r="T49" s="693"/>
      <c r="U49" s="693"/>
      <c r="V49" s="693"/>
      <c r="W49" s="692"/>
      <c r="X49" s="693"/>
      <c r="Y49" s="693"/>
      <c r="Z49" s="693"/>
      <c r="AA49" s="693"/>
      <c r="AC49" s="695"/>
      <c r="AD49" s="695"/>
      <c r="AE49" s="695"/>
      <c r="AF49" s="695"/>
      <c r="AG49" s="696"/>
      <c r="AH49" s="695"/>
      <c r="AI49" s="695"/>
      <c r="AJ49" s="695"/>
      <c r="AK49" s="695"/>
      <c r="AM49" s="695"/>
      <c r="AN49" s="695"/>
      <c r="AO49" s="695"/>
    </row>
    <row r="50" spans="1:43" ht="24.95" hidden="1" customHeight="1" thickBot="1">
      <c r="A50" s="691"/>
      <c r="B50" s="692"/>
      <c r="C50" s="692"/>
      <c r="D50" s="692"/>
      <c r="E50" s="692"/>
      <c r="F50" s="692"/>
      <c r="G50" s="692"/>
      <c r="H50" s="692"/>
      <c r="I50" s="692"/>
      <c r="J50" s="692"/>
      <c r="K50" s="692"/>
      <c r="L50" s="692"/>
      <c r="M50" s="692"/>
      <c r="N50" s="692"/>
      <c r="O50" s="692"/>
      <c r="P50" s="692"/>
      <c r="Q50" s="692"/>
      <c r="R50" s="692"/>
      <c r="S50" s="692"/>
      <c r="T50" s="692"/>
      <c r="U50" s="692"/>
      <c r="V50" s="692"/>
      <c r="W50" s="692"/>
      <c r="X50" s="692"/>
      <c r="Y50" s="692"/>
      <c r="Z50" s="692"/>
      <c r="AA50" s="692"/>
      <c r="AC50" s="697" t="s">
        <v>12</v>
      </c>
      <c r="AD50" s="698"/>
      <c r="AE50" s="698"/>
      <c r="AH50" s="697" t="s">
        <v>19</v>
      </c>
      <c r="AI50" s="700"/>
      <c r="AJ50" s="700"/>
      <c r="AK50" s="700"/>
      <c r="AM50" s="697"/>
      <c r="AN50" s="700"/>
      <c r="AO50" s="700"/>
    </row>
    <row r="51" spans="1:43" ht="24.95" hidden="1" customHeight="1">
      <c r="AC51" s="701" t="s">
        <v>14</v>
      </c>
      <c r="AD51" s="702"/>
      <c r="AE51" s="703">
        <v>10</v>
      </c>
      <c r="AH51" s="704" t="s">
        <v>52</v>
      </c>
      <c r="AI51" s="705"/>
      <c r="AJ51" s="702"/>
      <c r="AK51" s="706" t="s">
        <v>20</v>
      </c>
      <c r="AL51" s="707"/>
      <c r="AM51" s="704"/>
      <c r="AN51" s="702"/>
      <c r="AO51" s="708"/>
      <c r="AP51" s="709"/>
      <c r="AQ51" s="710"/>
    </row>
    <row r="52" spans="1:43" ht="24.95" hidden="1" customHeight="1">
      <c r="AC52" s="711" t="s">
        <v>16</v>
      </c>
      <c r="AD52" s="712"/>
      <c r="AE52" s="713">
        <v>0.1</v>
      </c>
      <c r="AH52" s="714" t="s">
        <v>21</v>
      </c>
      <c r="AI52" s="715"/>
      <c r="AJ52" s="712"/>
      <c r="AK52" s="716" t="s">
        <v>53</v>
      </c>
      <c r="AL52" s="717"/>
      <c r="AM52" s="714"/>
      <c r="AN52" s="712"/>
      <c r="AO52" s="718"/>
      <c r="AP52" s="719"/>
      <c r="AQ52" s="720"/>
    </row>
    <row r="53" spans="1:43" ht="24.75" hidden="1" customHeight="1">
      <c r="AC53" s="711" t="s">
        <v>48</v>
      </c>
      <c r="AD53" s="712"/>
      <c r="AE53" s="721">
        <v>10</v>
      </c>
      <c r="AH53" s="714" t="s">
        <v>55</v>
      </c>
      <c r="AI53" s="715"/>
      <c r="AJ53" s="712"/>
      <c r="AK53" s="716" t="s">
        <v>22</v>
      </c>
      <c r="AL53" s="717"/>
      <c r="AM53" s="714"/>
      <c r="AN53" s="712"/>
      <c r="AO53" s="718"/>
      <c r="AP53" s="719"/>
      <c r="AQ53" s="720"/>
    </row>
    <row r="54" spans="1:43" ht="24.75" hidden="1" customHeight="1">
      <c r="AC54" s="711" t="s">
        <v>49</v>
      </c>
      <c r="AD54" s="712"/>
      <c r="AE54" s="713">
        <v>0.05</v>
      </c>
      <c r="AH54" s="722" t="s">
        <v>56</v>
      </c>
      <c r="AI54" s="723"/>
      <c r="AJ54" s="724"/>
      <c r="AK54" s="725" t="s">
        <v>54</v>
      </c>
      <c r="AL54" s="726"/>
      <c r="AM54" s="722"/>
      <c r="AN54" s="724"/>
      <c r="AO54" s="727"/>
      <c r="AP54" s="692"/>
      <c r="AQ54" s="728"/>
    </row>
    <row r="55" spans="1:43" ht="24.95" hidden="1" customHeight="1" thickBot="1">
      <c r="AC55" s="711" t="s">
        <v>50</v>
      </c>
      <c r="AD55" s="712"/>
      <c r="AE55" s="721">
        <v>20</v>
      </c>
      <c r="AH55" s="729" t="s">
        <v>131</v>
      </c>
      <c r="AI55" s="730"/>
      <c r="AJ55" s="730"/>
      <c r="AK55" s="731" t="s">
        <v>129</v>
      </c>
      <c r="AL55" s="732"/>
      <c r="AM55" s="730"/>
      <c r="AN55" s="730"/>
      <c r="AO55" s="730"/>
      <c r="AP55" s="732"/>
      <c r="AQ55" s="733"/>
    </row>
    <row r="56" spans="1:43" ht="24.95" hidden="1" customHeight="1">
      <c r="AC56" s="734" t="s">
        <v>51</v>
      </c>
      <c r="AD56" s="724"/>
      <c r="AE56" s="735">
        <v>0.05</v>
      </c>
    </row>
    <row r="57" spans="1:43" ht="24.95" customHeight="1" thickBot="1">
      <c r="AC57" s="736" t="s">
        <v>128</v>
      </c>
      <c r="AD57" s="730"/>
      <c r="AE57" s="737">
        <v>5</v>
      </c>
    </row>
    <row r="59" spans="1:43" ht="18.75" customHeight="1"/>
    <row r="62" spans="1:43">
      <c r="AC62" s="738"/>
      <c r="AD62" s="738"/>
      <c r="AE62" s="738"/>
      <c r="AF62" s="738"/>
      <c r="AG62" s="727"/>
      <c r="AH62" s="738"/>
      <c r="AI62" s="738"/>
      <c r="AJ62" s="738"/>
      <c r="AK62" s="738"/>
      <c r="AM62" s="738"/>
      <c r="AN62" s="738"/>
      <c r="AO62" s="738"/>
    </row>
    <row r="63" spans="1:43">
      <c r="AC63" s="738"/>
      <c r="AD63" s="738"/>
      <c r="AE63" s="738"/>
      <c r="AF63" s="738"/>
      <c r="AG63" s="727"/>
      <c r="AH63" s="738"/>
      <c r="AI63" s="738"/>
      <c r="AJ63" s="738"/>
      <c r="AK63" s="738"/>
      <c r="AM63" s="738"/>
      <c r="AN63" s="738"/>
      <c r="AO63" s="738"/>
    </row>
    <row r="64" spans="1:43">
      <c r="AC64" s="738"/>
      <c r="AD64" s="738"/>
      <c r="AE64" s="738"/>
      <c r="AF64" s="738"/>
      <c r="AG64" s="727"/>
      <c r="AH64" s="738"/>
      <c r="AI64" s="738"/>
      <c r="AJ64" s="738"/>
      <c r="AK64" s="738"/>
      <c r="AM64" s="738"/>
      <c r="AN64" s="738"/>
      <c r="AO64" s="738"/>
    </row>
    <row r="65" spans="29:41">
      <c r="AC65" s="738"/>
      <c r="AD65" s="738"/>
      <c r="AE65" s="738"/>
      <c r="AF65" s="738"/>
      <c r="AG65" s="727"/>
      <c r="AH65" s="738"/>
      <c r="AI65" s="738"/>
      <c r="AJ65" s="738"/>
      <c r="AK65" s="738"/>
      <c r="AM65" s="738"/>
      <c r="AN65" s="738"/>
      <c r="AO65" s="738"/>
    </row>
    <row r="66" spans="29:41">
      <c r="AC66" s="738"/>
      <c r="AD66" s="738"/>
      <c r="AE66" s="738"/>
      <c r="AF66" s="738"/>
      <c r="AG66" s="727"/>
      <c r="AH66" s="738"/>
      <c r="AI66" s="738"/>
      <c r="AJ66" s="738"/>
      <c r="AK66" s="738"/>
      <c r="AM66" s="738"/>
      <c r="AN66" s="738"/>
      <c r="AO66" s="738"/>
    </row>
  </sheetData>
  <sheetProtection password="DF8A" sheet="1" objects="1" scenarios="1"/>
  <mergeCells count="28">
    <mergeCell ref="AE6:AE8"/>
    <mergeCell ref="AB5:AB7"/>
    <mergeCell ref="AH6:AH8"/>
    <mergeCell ref="AH5:AK5"/>
    <mergeCell ref="AI6:AI8"/>
    <mergeCell ref="AJ6:AJ8"/>
    <mergeCell ref="AD6:AD8"/>
    <mergeCell ref="AM5:AO5"/>
    <mergeCell ref="AM6:AM8"/>
    <mergeCell ref="AN6:AN8"/>
    <mergeCell ref="AO6:AO8"/>
    <mergeCell ref="AK6:AK8"/>
    <mergeCell ref="B2:D2"/>
    <mergeCell ref="F6:F7"/>
    <mergeCell ref="B6:D6"/>
    <mergeCell ref="AC6:AC8"/>
    <mergeCell ref="B5:H5"/>
    <mergeCell ref="AC5:AF5"/>
    <mergeCell ref="R6:T6"/>
    <mergeCell ref="J5:J7"/>
    <mergeCell ref="M5:O5"/>
    <mergeCell ref="M6:N6"/>
    <mergeCell ref="O6:O7"/>
    <mergeCell ref="U6:U7"/>
    <mergeCell ref="X6:Y6"/>
    <mergeCell ref="X5:Z5"/>
    <mergeCell ref="Z6:Z7"/>
    <mergeCell ref="AF6:AF8"/>
  </mergeCells>
  <conditionalFormatting sqref="AC11:AF43 AH11:AK43 AM11:AO43">
    <cfRule type="cellIs" dxfId="66" priority="94" stopIfTrue="1" operator="equal">
      <formula>0</formula>
    </cfRule>
  </conditionalFormatting>
  <conditionalFormatting sqref="M11">
    <cfRule type="expression" dxfId="65" priority="74" stopIfTrue="1">
      <formula>$AF$11=1</formula>
    </cfRule>
  </conditionalFormatting>
  <conditionalFormatting sqref="M14">
    <cfRule type="expression" dxfId="64" priority="68" stopIfTrue="1">
      <formula>$AF$14=1</formula>
    </cfRule>
  </conditionalFormatting>
  <conditionalFormatting sqref="M15">
    <cfRule type="expression" dxfId="63" priority="67" stopIfTrue="1">
      <formula>$AF$15=1</formula>
    </cfRule>
  </conditionalFormatting>
  <conditionalFormatting sqref="M20">
    <cfRule type="expression" dxfId="62" priority="66" stopIfTrue="1">
      <formula>$AF$20=1</formula>
    </cfRule>
  </conditionalFormatting>
  <conditionalFormatting sqref="M21">
    <cfRule type="expression" dxfId="61" priority="65" stopIfTrue="1">
      <formula>$AF$21=1</formula>
    </cfRule>
  </conditionalFormatting>
  <conditionalFormatting sqref="M22 M27:M30 M32:M35 M40:M41 M37:M38">
    <cfRule type="expression" dxfId="60" priority="64" stopIfTrue="1">
      <formula>$AF22=1</formula>
    </cfRule>
  </conditionalFormatting>
  <conditionalFormatting sqref="N11 N14:N15 N20:N22 N27:N30 N32:N35 N37:N38 N40:N41">
    <cfRule type="expression" dxfId="59" priority="62" stopIfTrue="1">
      <formula>$AK11=1</formula>
    </cfRule>
  </conditionalFormatting>
  <conditionalFormatting sqref="D14">
    <cfRule type="expression" dxfId="58" priority="45">
      <formula>AF14=1</formula>
    </cfRule>
  </conditionalFormatting>
  <conditionalFormatting sqref="D15">
    <cfRule type="expression" dxfId="57" priority="44">
      <formula>AF15=1</formula>
    </cfRule>
  </conditionalFormatting>
  <conditionalFormatting sqref="D20">
    <cfRule type="expression" dxfId="56" priority="43">
      <formula>AF20=1</formula>
    </cfRule>
  </conditionalFormatting>
  <conditionalFormatting sqref="D21">
    <cfRule type="expression" dxfId="55" priority="42">
      <formula>AF21=1</formula>
    </cfRule>
  </conditionalFormatting>
  <conditionalFormatting sqref="D22">
    <cfRule type="expression" dxfId="54" priority="41">
      <formula>AF22=1</formula>
    </cfRule>
  </conditionalFormatting>
  <conditionalFormatting sqref="D27">
    <cfRule type="expression" dxfId="53" priority="40">
      <formula>AF27=1</formula>
    </cfRule>
  </conditionalFormatting>
  <conditionalFormatting sqref="D28">
    <cfRule type="expression" dxfId="52" priority="39">
      <formula>AF28=1</formula>
    </cfRule>
  </conditionalFormatting>
  <conditionalFormatting sqref="D29">
    <cfRule type="expression" dxfId="51" priority="38">
      <formula>AF29=1</formula>
    </cfRule>
  </conditionalFormatting>
  <conditionalFormatting sqref="D30">
    <cfRule type="expression" dxfId="50" priority="37">
      <formula>AF30=1</formula>
    </cfRule>
  </conditionalFormatting>
  <conditionalFormatting sqref="D32">
    <cfRule type="expression" dxfId="49" priority="36">
      <formula>AF32=1</formula>
    </cfRule>
  </conditionalFormatting>
  <conditionalFormatting sqref="D33">
    <cfRule type="expression" dxfId="48" priority="35">
      <formula>AF33=1</formula>
    </cfRule>
  </conditionalFormatting>
  <conditionalFormatting sqref="D34">
    <cfRule type="expression" dxfId="47" priority="34">
      <formula>AF34=1</formula>
    </cfRule>
  </conditionalFormatting>
  <conditionalFormatting sqref="D35">
    <cfRule type="expression" dxfId="46" priority="33">
      <formula>AF35=1</formula>
    </cfRule>
  </conditionalFormatting>
  <conditionalFormatting sqref="D36">
    <cfRule type="expression" dxfId="45" priority="32">
      <formula>AF36=1</formula>
    </cfRule>
  </conditionalFormatting>
  <conditionalFormatting sqref="D40">
    <cfRule type="expression" dxfId="44" priority="31">
      <formula>AF40=1</formula>
    </cfRule>
  </conditionalFormatting>
  <conditionalFormatting sqref="D41">
    <cfRule type="expression" dxfId="43" priority="30">
      <formula>AF41=1</formula>
    </cfRule>
  </conditionalFormatting>
  <conditionalFormatting sqref="F11">
    <cfRule type="expression" dxfId="42" priority="29">
      <formula>AK11=1</formula>
    </cfRule>
  </conditionalFormatting>
  <conditionalFormatting sqref="F14">
    <cfRule type="expression" dxfId="41" priority="28">
      <formula>AK14=1</formula>
    </cfRule>
  </conditionalFormatting>
  <conditionalFormatting sqref="F15">
    <cfRule type="expression" dxfId="40" priority="27">
      <formula>AK15=1</formula>
    </cfRule>
  </conditionalFormatting>
  <conditionalFormatting sqref="F20">
    <cfRule type="expression" dxfId="39" priority="26">
      <formula>AK20=1</formula>
    </cfRule>
  </conditionalFormatting>
  <conditionalFormatting sqref="F21">
    <cfRule type="expression" dxfId="38" priority="25">
      <formula>AK21=1</formula>
    </cfRule>
  </conditionalFormatting>
  <conditionalFormatting sqref="F22">
    <cfRule type="expression" dxfId="37" priority="24">
      <formula>AK22=1</formula>
    </cfRule>
  </conditionalFormatting>
  <conditionalFormatting sqref="F27">
    <cfRule type="expression" dxfId="36" priority="23">
      <formula>AK27=1</formula>
    </cfRule>
  </conditionalFormatting>
  <conditionalFormatting sqref="F28">
    <cfRule type="expression" dxfId="35" priority="22">
      <formula>AK28=1</formula>
    </cfRule>
  </conditionalFormatting>
  <conditionalFormatting sqref="F29">
    <cfRule type="expression" dxfId="34" priority="21">
      <formula>AK29=1</formula>
    </cfRule>
  </conditionalFormatting>
  <conditionalFormatting sqref="F30">
    <cfRule type="expression" dxfId="33" priority="20">
      <formula>AK30</formula>
    </cfRule>
  </conditionalFormatting>
  <conditionalFormatting sqref="F32">
    <cfRule type="expression" dxfId="32" priority="19">
      <formula>AK32=1</formula>
    </cfRule>
  </conditionalFormatting>
  <conditionalFormatting sqref="F33">
    <cfRule type="expression" dxfId="31" priority="18">
      <formula>AK33=1</formula>
    </cfRule>
  </conditionalFormatting>
  <conditionalFormatting sqref="F34">
    <cfRule type="expression" dxfId="30" priority="17">
      <formula>AK34=1</formula>
    </cfRule>
  </conditionalFormatting>
  <conditionalFormatting sqref="F35">
    <cfRule type="expression" dxfId="29" priority="16">
      <formula>AK35=1</formula>
    </cfRule>
  </conditionalFormatting>
  <conditionalFormatting sqref="F37:F38">
    <cfRule type="expression" dxfId="28" priority="15">
      <formula>AK37=1</formula>
    </cfRule>
  </conditionalFormatting>
  <conditionalFormatting sqref="F40">
    <cfRule type="expression" dxfId="27" priority="14">
      <formula>AK40=1</formula>
    </cfRule>
  </conditionalFormatting>
  <conditionalFormatting sqref="F41">
    <cfRule type="expression" dxfId="26" priority="13">
      <formula>AK41=1</formula>
    </cfRule>
  </conditionalFormatting>
  <conditionalFormatting sqref="D11">
    <cfRule type="expression" dxfId="25" priority="12">
      <formula>AF11=1</formula>
    </cfRule>
  </conditionalFormatting>
  <conditionalFormatting sqref="D37">
    <cfRule type="expression" dxfId="24" priority="9">
      <formula>AF37=1</formula>
    </cfRule>
  </conditionalFormatting>
  <conditionalFormatting sqref="D38">
    <cfRule type="expression" dxfId="23" priority="8">
      <formula>AF38=1</formula>
    </cfRule>
  </conditionalFormatting>
  <conditionalFormatting sqref="O16 O20:O21 O27:O30 O32:O35">
    <cfRule type="expression" dxfId="22" priority="6" stopIfTrue="1">
      <formula>$AO16=1</formula>
    </cfRule>
  </conditionalFormatting>
  <conditionalFormatting sqref="H16">
    <cfRule type="expression" dxfId="21" priority="5">
      <formula>$AO$16=1</formula>
    </cfRule>
  </conditionalFormatting>
  <conditionalFormatting sqref="J20">
    <cfRule type="expression" dxfId="20" priority="4">
      <formula>$AO20=1</formula>
    </cfRule>
  </conditionalFormatting>
  <conditionalFormatting sqref="J21">
    <cfRule type="expression" dxfId="19" priority="3">
      <formula>$AO21=1</formula>
    </cfRule>
  </conditionalFormatting>
  <conditionalFormatting sqref="J27:J30">
    <cfRule type="expression" dxfId="18" priority="2">
      <formula>$AO27=1</formula>
    </cfRule>
  </conditionalFormatting>
  <conditionalFormatting sqref="J32:J35">
    <cfRule type="expression" dxfId="17" priority="1">
      <formula>$AO32=1</formula>
    </cfRule>
  </conditionalFormatting>
  <dataValidations count="1">
    <dataValidation allowBlank="1" sqref="AP1:DU2 A5:B5 B6 R45:S45 A7:C7 AH9:AK10 M42:P43 D1:G1 D3:G3 D4:L4 R2:U2 X45:AA45 X1 AC50:AE54 R10:U43 AC6:AE6 AC9:AF10 B8:G8 M12:P13 M17:P19 M23:P26 X2:Z2 X12:AA13 X17:AA19 X23:AA26 X31:AA31 X39:AA39 J8:K8 L10 X5 AC55:AC56 AH6:AJ6 R8:U8 AM9:AO10 Q1:Q43 X42:AB43 R5:R7 W3:W43 R1 V8:V43 S7:T7 AP3:DR5 Z8:AB10 AB1:AB5 I10 A11:L43 L6:L8 X7:Y10 AL1:AL43 AP6:DS43 AM6:AN6 I6:I8 H6:H9 X16:Y16"/>
  </dataValidations>
  <pageMargins left="0.19685039370078741" right="0.19685039370078741" top="0.19685039370078741" bottom="0.3937007874015748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39"/>
  <sheetViews>
    <sheetView zoomScale="60" zoomScaleNormal="60" workbookViewId="0"/>
  </sheetViews>
  <sheetFormatPr defaultColWidth="9.140625" defaultRowHeight="15"/>
  <cols>
    <col min="1" max="1" width="47.42578125" style="901" customWidth="1"/>
    <col min="2" max="2" width="50.7109375" style="902" customWidth="1"/>
    <col min="3" max="3" width="90.7109375" style="903" customWidth="1"/>
    <col min="4" max="4" width="50.7109375" style="903" customWidth="1"/>
    <col min="5" max="5" width="90.7109375" style="903" customWidth="1"/>
    <col min="6" max="6" width="50.7109375" style="903" customWidth="1"/>
    <col min="7" max="7" width="90.7109375" style="785" customWidth="1"/>
    <col min="8" max="8" width="5.7109375" style="785" customWidth="1"/>
    <col min="9" max="9" width="2.5703125" style="785" customWidth="1"/>
    <col min="10" max="11" width="11.7109375" style="797" hidden="1" customWidth="1"/>
    <col min="12" max="12" width="11.7109375" style="785" hidden="1" customWidth="1"/>
    <col min="13" max="13" width="9.140625" style="785" hidden="1" customWidth="1"/>
    <col min="14" max="16384" width="9.140625" style="785"/>
  </cols>
  <sheetData>
    <row r="1" spans="1:12" ht="30" customHeight="1" thickBot="1">
      <c r="A1" s="792" t="s">
        <v>43</v>
      </c>
      <c r="B1" s="793" t="s">
        <v>140</v>
      </c>
      <c r="C1" s="794"/>
      <c r="D1" s="793" t="s">
        <v>140</v>
      </c>
      <c r="E1" s="795"/>
      <c r="F1" s="793" t="s">
        <v>140</v>
      </c>
      <c r="G1" s="796"/>
      <c r="H1" s="796"/>
    </row>
    <row r="2" spans="1:12" s="802" customFormat="1" ht="30" customHeight="1" thickBot="1">
      <c r="A2" s="798" t="s">
        <v>5</v>
      </c>
      <c r="B2" s="799" t="str">
        <f>'Final Figures 2015-16'!$B$2</f>
        <v>Glasgow, University of</v>
      </c>
      <c r="C2" s="800"/>
      <c r="D2" s="799" t="str">
        <f>'Final Figures 2015-16'!$B$2</f>
        <v>Glasgow, University of</v>
      </c>
      <c r="E2" s="800"/>
      <c r="F2" s="799" t="str">
        <f>'Final Figures 2015-16'!$B$2</f>
        <v>Glasgow, University of</v>
      </c>
      <c r="G2" s="801"/>
      <c r="H2" s="801"/>
      <c r="J2" s="945" t="s">
        <v>132</v>
      </c>
      <c r="K2" s="946"/>
      <c r="L2" s="947"/>
    </row>
    <row r="3" spans="1:12" s="806" customFormat="1" ht="30" customHeight="1" thickBot="1">
      <c r="A3" s="803"/>
      <c r="B3" s="804" t="s">
        <v>57</v>
      </c>
      <c r="C3" s="800"/>
      <c r="D3" s="800"/>
      <c r="E3" s="800"/>
      <c r="F3" s="800"/>
      <c r="G3" s="805"/>
      <c r="H3" s="805"/>
      <c r="J3" s="948"/>
      <c r="K3" s="949"/>
      <c r="L3" s="950"/>
    </row>
    <row r="4" spans="1:12" ht="37.5" customHeight="1">
      <c r="A4" s="953" t="s">
        <v>42</v>
      </c>
      <c r="B4" s="955" t="s">
        <v>108</v>
      </c>
      <c r="C4" s="956"/>
      <c r="D4" s="957" t="s">
        <v>2</v>
      </c>
      <c r="E4" s="958"/>
      <c r="F4" s="955" t="s">
        <v>135</v>
      </c>
      <c r="G4" s="958"/>
      <c r="H4" s="807"/>
      <c r="J4" s="959" t="s">
        <v>23</v>
      </c>
      <c r="K4" s="961" t="s">
        <v>2</v>
      </c>
      <c r="L4" s="951" t="s">
        <v>133</v>
      </c>
    </row>
    <row r="5" spans="1:12" ht="35.25" customHeight="1" thickBot="1">
      <c r="A5" s="954"/>
      <c r="B5" s="808" t="s">
        <v>58</v>
      </c>
      <c r="C5" s="809" t="s">
        <v>59</v>
      </c>
      <c r="D5" s="810" t="s">
        <v>58</v>
      </c>
      <c r="E5" s="811" t="s">
        <v>59</v>
      </c>
      <c r="F5" s="812" t="s">
        <v>58</v>
      </c>
      <c r="G5" s="813" t="s">
        <v>59</v>
      </c>
      <c r="H5" s="807"/>
      <c r="J5" s="960"/>
      <c r="K5" s="962"/>
      <c r="L5" s="952"/>
    </row>
    <row r="6" spans="1:12" ht="72" customHeight="1" thickBot="1">
      <c r="A6" s="787" t="s">
        <v>11</v>
      </c>
      <c r="B6" s="419" t="str">
        <f>'Final Figures 2015-16'!M11</f>
        <v/>
      </c>
      <c r="C6" s="416"/>
      <c r="D6" s="414" t="str">
        <f>'Final Figures 2015-16'!N11</f>
        <v/>
      </c>
      <c r="E6" s="47"/>
      <c r="F6" s="814"/>
      <c r="G6" s="815"/>
      <c r="H6" s="807"/>
      <c r="J6" s="816">
        <f>'Final Figures 2015-16'!AF11</f>
        <v>0</v>
      </c>
      <c r="K6" s="817">
        <f>'Final Figures 2015-16'!AK11</f>
        <v>0</v>
      </c>
      <c r="L6" s="818"/>
    </row>
    <row r="7" spans="1:12" ht="39.950000000000003" customHeight="1">
      <c r="A7" s="787" t="s">
        <v>13</v>
      </c>
      <c r="B7" s="819"/>
      <c r="C7" s="820"/>
      <c r="D7" s="821"/>
      <c r="E7" s="822"/>
      <c r="F7" s="823"/>
      <c r="G7" s="824"/>
      <c r="H7" s="807"/>
      <c r="J7" s="825"/>
      <c r="K7" s="826"/>
      <c r="L7" s="827"/>
    </row>
    <row r="8" spans="1:12" ht="39.950000000000003" customHeight="1">
      <c r="A8" s="788" t="s">
        <v>28</v>
      </c>
      <c r="B8" s="828"/>
      <c r="C8" s="829"/>
      <c r="D8" s="830"/>
      <c r="E8" s="831"/>
      <c r="F8" s="832"/>
      <c r="G8" s="815"/>
      <c r="H8" s="807"/>
      <c r="J8" s="833"/>
      <c r="K8" s="834"/>
      <c r="L8" s="835"/>
    </row>
    <row r="9" spans="1:12" ht="72" customHeight="1">
      <c r="A9" s="791" t="s">
        <v>29</v>
      </c>
      <c r="B9" s="836" t="str">
        <f>'Final Figures 2015-16'!M14</f>
        <v/>
      </c>
      <c r="C9" s="417"/>
      <c r="D9" s="836" t="str">
        <f>'Final Figures 2015-16'!N14</f>
        <v/>
      </c>
      <c r="E9" s="50"/>
      <c r="F9" s="814"/>
      <c r="G9" s="815"/>
      <c r="H9" s="807"/>
      <c r="J9" s="816">
        <f>'Final Figures 2015-16'!AF14</f>
        <v>0</v>
      </c>
      <c r="K9" s="817">
        <f>'Final Figures 2015-16'!AK14</f>
        <v>0</v>
      </c>
      <c r="L9" s="837"/>
    </row>
    <row r="10" spans="1:12" ht="72" customHeight="1">
      <c r="A10" s="788" t="s">
        <v>30</v>
      </c>
      <c r="B10" s="51" t="str">
        <f>'Final Figures 2015-16'!M15</f>
        <v/>
      </c>
      <c r="C10" s="417"/>
      <c r="D10" s="51" t="str">
        <f>'Final Figures 2015-16'!N15</f>
        <v>At least 20 FTE and 5% difference between Final Figures and Early Statistics</v>
      </c>
      <c r="E10" s="50" t="s">
        <v>219</v>
      </c>
      <c r="F10" s="814"/>
      <c r="G10" s="815"/>
      <c r="H10" s="807"/>
      <c r="J10" s="816">
        <f>'Final Figures 2015-16'!AF15</f>
        <v>0</v>
      </c>
      <c r="K10" s="817">
        <f>'Final Figures 2015-16'!AK15</f>
        <v>1</v>
      </c>
      <c r="L10" s="838"/>
    </row>
    <row r="11" spans="1:12" ht="72" customHeight="1">
      <c r="A11" s="788" t="s">
        <v>106</v>
      </c>
      <c r="B11" s="839"/>
      <c r="C11" s="416"/>
      <c r="D11" s="840"/>
      <c r="E11" s="47"/>
      <c r="F11" s="420" t="str">
        <f>'Final Figures 2015-16'!O16</f>
        <v>At least 5 FTE difference between Final Figures and Early Statistics</v>
      </c>
      <c r="G11" s="50" t="s">
        <v>220</v>
      </c>
      <c r="H11" s="807"/>
      <c r="J11" s="816"/>
      <c r="K11" s="817"/>
      <c r="L11" s="842">
        <f>'Final Figures 2015-16'!AO16</f>
        <v>1</v>
      </c>
    </row>
    <row r="12" spans="1:12" ht="20.100000000000001" customHeight="1" thickBot="1">
      <c r="A12" s="843"/>
      <c r="B12" s="844"/>
      <c r="C12" s="845"/>
      <c r="D12" s="846"/>
      <c r="E12" s="847"/>
      <c r="F12" s="848"/>
      <c r="G12" s="849"/>
      <c r="H12" s="807"/>
      <c r="J12" s="850"/>
      <c r="K12" s="851"/>
      <c r="L12" s="852"/>
    </row>
    <row r="13" spans="1:12" ht="39.950000000000003" customHeight="1">
      <c r="A13" s="786" t="s">
        <v>15</v>
      </c>
      <c r="B13" s="853"/>
      <c r="C13" s="854"/>
      <c r="D13" s="855"/>
      <c r="E13" s="856"/>
      <c r="F13" s="832"/>
      <c r="G13" s="815"/>
      <c r="H13" s="807"/>
      <c r="J13" s="857"/>
      <c r="K13" s="858"/>
      <c r="L13" s="859"/>
    </row>
    <row r="14" spans="1:12" ht="39.950000000000003" customHeight="1">
      <c r="A14" s="788" t="s">
        <v>28</v>
      </c>
      <c r="B14" s="828"/>
      <c r="C14" s="829"/>
      <c r="D14" s="830"/>
      <c r="E14" s="831"/>
      <c r="F14" s="832"/>
      <c r="G14" s="815"/>
      <c r="H14" s="807"/>
      <c r="J14" s="833"/>
      <c r="K14" s="834"/>
      <c r="L14" s="860"/>
    </row>
    <row r="15" spans="1:12" ht="72" customHeight="1">
      <c r="A15" s="791" t="s">
        <v>31</v>
      </c>
      <c r="B15" s="51" t="str">
        <f>'Final Figures 2015-16'!M20</f>
        <v/>
      </c>
      <c r="C15" s="417"/>
      <c r="D15" s="836" t="str">
        <f>'Final Figures 2015-16'!N20</f>
        <v/>
      </c>
      <c r="E15" s="50"/>
      <c r="F15" s="420" t="str">
        <f>'Final Figures 2015-16'!O20</f>
        <v/>
      </c>
      <c r="G15" s="861"/>
      <c r="H15" s="807"/>
      <c r="J15" s="816">
        <f>'Final Figures 2015-16'!AF20</f>
        <v>0</v>
      </c>
      <c r="K15" s="817">
        <f>'Final Figures 2015-16'!AK20</f>
        <v>0</v>
      </c>
      <c r="L15" s="842">
        <f>'Final Figures 2015-16'!AO20</f>
        <v>0</v>
      </c>
    </row>
    <row r="16" spans="1:12" ht="72" customHeight="1">
      <c r="A16" s="791" t="s">
        <v>32</v>
      </c>
      <c r="B16" s="51" t="str">
        <f>'Final Figures 2015-16'!M21</f>
        <v/>
      </c>
      <c r="C16" s="417"/>
      <c r="D16" s="836" t="str">
        <f>'Final Figures 2015-16'!N21</f>
        <v/>
      </c>
      <c r="E16" s="50"/>
      <c r="F16" s="420" t="str">
        <f>'Final Figures 2015-16'!O21</f>
        <v/>
      </c>
      <c r="G16" s="861"/>
      <c r="H16" s="807"/>
      <c r="J16" s="816">
        <f>'Final Figures 2015-16'!AF21</f>
        <v>0</v>
      </c>
      <c r="K16" s="817">
        <f>'Final Figures 2015-16'!AK21</f>
        <v>0</v>
      </c>
      <c r="L16" s="842">
        <f>'Final Figures 2015-16'!AO21</f>
        <v>0</v>
      </c>
    </row>
    <row r="17" spans="1:12" ht="72" customHeight="1">
      <c r="A17" s="788" t="s">
        <v>30</v>
      </c>
      <c r="B17" s="51" t="str">
        <f>'Final Figures 2015-16'!M22</f>
        <v/>
      </c>
      <c r="C17" s="417"/>
      <c r="D17" s="51" t="str">
        <f>'Final Figures 2015-16'!N22</f>
        <v/>
      </c>
      <c r="E17" s="50"/>
      <c r="F17" s="862"/>
      <c r="G17" s="863"/>
      <c r="H17" s="807"/>
      <c r="J17" s="816">
        <f>'Final Figures 2015-16'!AF22</f>
        <v>0</v>
      </c>
      <c r="K17" s="817">
        <f>'Final Figures 2015-16'!AK22</f>
        <v>0</v>
      </c>
      <c r="L17" s="852"/>
    </row>
    <row r="18" spans="1:12" ht="20.100000000000001" customHeight="1" thickBot="1">
      <c r="A18" s="843"/>
      <c r="B18" s="844"/>
      <c r="C18" s="845"/>
      <c r="D18" s="864"/>
      <c r="E18" s="847"/>
      <c r="F18" s="848"/>
      <c r="G18" s="849"/>
      <c r="H18" s="807"/>
      <c r="J18" s="865"/>
      <c r="K18" s="866"/>
      <c r="L18" s="867"/>
    </row>
    <row r="19" spans="1:12" ht="39.950000000000003" customHeight="1">
      <c r="A19" s="787" t="s">
        <v>17</v>
      </c>
      <c r="B19" s="819"/>
      <c r="C19" s="820"/>
      <c r="D19" s="821"/>
      <c r="E19" s="822"/>
      <c r="F19" s="832"/>
      <c r="G19" s="815"/>
      <c r="H19" s="807"/>
      <c r="J19" s="825"/>
      <c r="K19" s="826"/>
      <c r="L19" s="827"/>
    </row>
    <row r="20" spans="1:12" ht="39.950000000000003" customHeight="1">
      <c r="A20" s="788" t="s">
        <v>28</v>
      </c>
      <c r="B20" s="853"/>
      <c r="C20" s="854"/>
      <c r="D20" s="855"/>
      <c r="E20" s="856"/>
      <c r="F20" s="832"/>
      <c r="G20" s="815"/>
      <c r="H20" s="807"/>
      <c r="J20" s="868"/>
      <c r="K20" s="869"/>
      <c r="L20" s="835"/>
    </row>
    <row r="21" spans="1:12" ht="39.950000000000003" customHeight="1">
      <c r="A21" s="789" t="s">
        <v>33</v>
      </c>
      <c r="B21" s="828"/>
      <c r="C21" s="829"/>
      <c r="D21" s="830"/>
      <c r="E21" s="831"/>
      <c r="F21" s="832"/>
      <c r="G21" s="815"/>
      <c r="H21" s="807"/>
      <c r="J21" s="833"/>
      <c r="K21" s="834"/>
      <c r="L21" s="860"/>
    </row>
    <row r="22" spans="1:12" ht="72" customHeight="1">
      <c r="A22" s="790" t="s">
        <v>24</v>
      </c>
      <c r="B22" s="51" t="str">
        <f>'Final Figures 2015-16'!M27</f>
        <v/>
      </c>
      <c r="C22" s="417"/>
      <c r="D22" s="836" t="str">
        <f>'Final Figures 2015-16'!N27</f>
        <v/>
      </c>
      <c r="E22" s="50"/>
      <c r="F22" s="420" t="str">
        <f>'Final Figures 2015-16'!O27</f>
        <v/>
      </c>
      <c r="G22" s="861"/>
      <c r="H22" s="807"/>
      <c r="J22" s="816">
        <f>'Final Figures 2015-16'!AF27</f>
        <v>0</v>
      </c>
      <c r="K22" s="817">
        <f>'Final Figures 2015-16'!AK27</f>
        <v>0</v>
      </c>
      <c r="L22" s="842">
        <f>'Final Figures 2015-16'!AO27</f>
        <v>0</v>
      </c>
    </row>
    <row r="23" spans="1:12" ht="72" customHeight="1">
      <c r="A23" s="790" t="s">
        <v>25</v>
      </c>
      <c r="B23" s="51" t="str">
        <f>'Final Figures 2015-16'!M28</f>
        <v/>
      </c>
      <c r="C23" s="417"/>
      <c r="D23" s="836" t="str">
        <f>'Final Figures 2015-16'!N28</f>
        <v/>
      </c>
      <c r="E23" s="50"/>
      <c r="F23" s="420" t="str">
        <f>'Final Figures 2015-16'!O28</f>
        <v/>
      </c>
      <c r="G23" s="861"/>
      <c r="H23" s="807"/>
      <c r="J23" s="816">
        <f>'Final Figures 2015-16'!AF28</f>
        <v>0</v>
      </c>
      <c r="K23" s="817">
        <f>'Final Figures 2015-16'!AK28</f>
        <v>0</v>
      </c>
      <c r="L23" s="842">
        <f>'Final Figures 2015-16'!AO28</f>
        <v>0</v>
      </c>
    </row>
    <row r="24" spans="1:12" ht="72" customHeight="1">
      <c r="A24" s="790" t="s">
        <v>8</v>
      </c>
      <c r="B24" s="51" t="str">
        <f>'Final Figures 2015-16'!M29</f>
        <v/>
      </c>
      <c r="C24" s="417"/>
      <c r="D24" s="836" t="str">
        <f>'Final Figures 2015-16'!N29</f>
        <v/>
      </c>
      <c r="E24" s="50"/>
      <c r="F24" s="420" t="str">
        <f>'Final Figures 2015-16'!O29</f>
        <v/>
      </c>
      <c r="G24" s="861"/>
      <c r="H24" s="807"/>
      <c r="J24" s="816">
        <f>'Final Figures 2015-16'!AF29</f>
        <v>0</v>
      </c>
      <c r="K24" s="817">
        <f>'Final Figures 2015-16'!AK29</f>
        <v>0</v>
      </c>
      <c r="L24" s="842">
        <f>'Final Figures 2015-16'!AO29</f>
        <v>0</v>
      </c>
    </row>
    <row r="25" spans="1:12" ht="72" customHeight="1">
      <c r="A25" s="790" t="s">
        <v>9</v>
      </c>
      <c r="B25" s="51" t="str">
        <f>'Final Figures 2015-16'!M30</f>
        <v/>
      </c>
      <c r="C25" s="417"/>
      <c r="D25" s="836" t="str">
        <f>'Final Figures 2015-16'!N30</f>
        <v/>
      </c>
      <c r="E25" s="50"/>
      <c r="F25" s="420" t="str">
        <f>'Final Figures 2015-16'!O30</f>
        <v/>
      </c>
      <c r="G25" s="861"/>
      <c r="H25" s="807"/>
      <c r="J25" s="816">
        <f>'Final Figures 2015-16'!AF30</f>
        <v>0</v>
      </c>
      <c r="K25" s="817">
        <f>'Final Figures 2015-16'!AK30</f>
        <v>0</v>
      </c>
      <c r="L25" s="842">
        <f>'Final Figures 2015-16'!AO30</f>
        <v>0</v>
      </c>
    </row>
    <row r="26" spans="1:12" ht="39.950000000000003" customHeight="1">
      <c r="A26" s="789" t="s">
        <v>10</v>
      </c>
      <c r="B26" s="870"/>
      <c r="C26" s="871"/>
      <c r="D26" s="840"/>
      <c r="E26" s="872"/>
      <c r="F26" s="873"/>
      <c r="G26" s="861"/>
      <c r="H26" s="807"/>
      <c r="J26" s="865"/>
      <c r="K26" s="866"/>
      <c r="L26" s="852"/>
    </row>
    <row r="27" spans="1:12" ht="72" customHeight="1">
      <c r="A27" s="790" t="s">
        <v>34</v>
      </c>
      <c r="B27" s="51" t="str">
        <f>'Final Figures 2015-16'!M32</f>
        <v/>
      </c>
      <c r="C27" s="417"/>
      <c r="D27" s="51" t="str">
        <f>'Final Figures 2015-16'!N32</f>
        <v/>
      </c>
      <c r="E27" s="50"/>
      <c r="F27" s="420" t="str">
        <f>'Final Figures 2015-16'!O32</f>
        <v/>
      </c>
      <c r="G27" s="861"/>
      <c r="H27" s="807"/>
      <c r="J27" s="816">
        <f>'Final Figures 2015-16'!AF32</f>
        <v>0</v>
      </c>
      <c r="K27" s="817">
        <f>'Final Figures 2015-16'!AK32</f>
        <v>0</v>
      </c>
      <c r="L27" s="842">
        <f>'Final Figures 2015-16'!AO32</f>
        <v>0</v>
      </c>
    </row>
    <row r="28" spans="1:12" ht="72" customHeight="1">
      <c r="A28" s="790" t="s">
        <v>35</v>
      </c>
      <c r="B28" s="836" t="str">
        <f>'Final Figures 2015-16'!M33</f>
        <v/>
      </c>
      <c r="C28" s="417"/>
      <c r="D28" s="836" t="str">
        <f>'Final Figures 2015-16'!N33</f>
        <v/>
      </c>
      <c r="E28" s="50"/>
      <c r="F28" s="841" t="str">
        <f>'Final Figures 2015-16'!O33</f>
        <v/>
      </c>
      <c r="G28" s="861"/>
      <c r="H28" s="807"/>
      <c r="J28" s="816">
        <f>'Final Figures 2015-16'!AF33</f>
        <v>0</v>
      </c>
      <c r="K28" s="817">
        <f>'Final Figures 2015-16'!AK33</f>
        <v>0</v>
      </c>
      <c r="L28" s="842">
        <f>'Final Figures 2015-16'!AO33</f>
        <v>0</v>
      </c>
    </row>
    <row r="29" spans="1:12" ht="72" customHeight="1">
      <c r="A29" s="790" t="s">
        <v>36</v>
      </c>
      <c r="B29" s="836" t="str">
        <f>'Final Figures 2015-16'!M34</f>
        <v/>
      </c>
      <c r="C29" s="417"/>
      <c r="D29" s="836" t="str">
        <f>'Final Figures 2015-16'!N34</f>
        <v/>
      </c>
      <c r="E29" s="50"/>
      <c r="F29" s="841" t="str">
        <f>'Final Figures 2015-16'!O34</f>
        <v/>
      </c>
      <c r="G29" s="861"/>
      <c r="H29" s="807"/>
      <c r="J29" s="816">
        <f>'Final Figures 2015-16'!AF34</f>
        <v>0</v>
      </c>
      <c r="K29" s="817">
        <f>'Final Figures 2015-16'!AK34</f>
        <v>0</v>
      </c>
      <c r="L29" s="842">
        <f>'Final Figures 2015-16'!AO34</f>
        <v>0</v>
      </c>
    </row>
    <row r="30" spans="1:12" ht="72" customHeight="1">
      <c r="A30" s="790" t="s">
        <v>37</v>
      </c>
      <c r="B30" s="51" t="str">
        <f>'Final Figures 2015-16'!M35</f>
        <v/>
      </c>
      <c r="C30" s="417"/>
      <c r="D30" s="836" t="str">
        <f>'Final Figures 2015-16'!N35</f>
        <v/>
      </c>
      <c r="E30" s="50"/>
      <c r="F30" s="841" t="str">
        <f>'Final Figures 2015-16'!O35</f>
        <v/>
      </c>
      <c r="G30" s="861"/>
      <c r="H30" s="807"/>
      <c r="J30" s="816">
        <f>'Final Figures 2015-16'!AF35</f>
        <v>0</v>
      </c>
      <c r="K30" s="817">
        <f>'Final Figures 2015-16'!AK35</f>
        <v>0</v>
      </c>
      <c r="L30" s="842">
        <f>'Final Figures 2015-16'!AO35</f>
        <v>0</v>
      </c>
    </row>
    <row r="31" spans="1:12" ht="72" customHeight="1">
      <c r="A31" s="789" t="s">
        <v>29</v>
      </c>
      <c r="B31" s="840"/>
      <c r="C31" s="874"/>
      <c r="D31" s="870"/>
      <c r="E31" s="875"/>
      <c r="F31" s="876"/>
      <c r="G31" s="861"/>
      <c r="H31" s="807"/>
      <c r="J31" s="877"/>
      <c r="K31" s="878"/>
      <c r="L31" s="879"/>
    </row>
    <row r="32" spans="1:12" ht="72" customHeight="1">
      <c r="A32" s="790" t="s">
        <v>104</v>
      </c>
      <c r="B32" s="836" t="str">
        <f>'Final Figures 2015-16'!M37</f>
        <v/>
      </c>
      <c r="C32" s="417"/>
      <c r="D32" s="836" t="str">
        <f>'Final Figures 2015-16'!N37</f>
        <v/>
      </c>
      <c r="E32" s="50"/>
      <c r="F32" s="876"/>
      <c r="G32" s="861"/>
      <c r="H32" s="807"/>
      <c r="J32" s="816">
        <f>'Final Figures 2015-16'!AF37</f>
        <v>0</v>
      </c>
      <c r="K32" s="817">
        <f>'Final Figures 2015-16'!AK37</f>
        <v>0</v>
      </c>
      <c r="L32" s="852"/>
    </row>
    <row r="33" spans="1:12" ht="72" customHeight="1">
      <c r="A33" s="790" t="s">
        <v>105</v>
      </c>
      <c r="B33" s="51" t="str">
        <f>'Final Figures 2015-16'!M38</f>
        <v/>
      </c>
      <c r="C33" s="417"/>
      <c r="D33" s="836" t="str">
        <f>'Final Figures 2015-16'!N38</f>
        <v/>
      </c>
      <c r="E33" s="50"/>
      <c r="F33" s="876"/>
      <c r="G33" s="861"/>
      <c r="H33" s="807"/>
      <c r="J33" s="816">
        <f>'Final Figures 2015-16'!AF38</f>
        <v>0</v>
      </c>
      <c r="K33" s="817">
        <f>'Final Figures 2015-16'!AK38</f>
        <v>0</v>
      </c>
      <c r="L33" s="852"/>
    </row>
    <row r="34" spans="1:12" ht="39.950000000000003" customHeight="1">
      <c r="A34" s="788" t="s">
        <v>30</v>
      </c>
      <c r="B34" s="870"/>
      <c r="C34" s="880"/>
      <c r="D34" s="870"/>
      <c r="E34" s="881"/>
      <c r="F34" s="882"/>
      <c r="G34" s="815"/>
      <c r="H34" s="807"/>
      <c r="J34" s="865"/>
      <c r="K34" s="866"/>
      <c r="L34" s="852"/>
    </row>
    <row r="35" spans="1:12" ht="72" customHeight="1">
      <c r="A35" s="791" t="s">
        <v>38</v>
      </c>
      <c r="B35" s="51" t="str">
        <f>'Final Figures 2015-16'!M40</f>
        <v/>
      </c>
      <c r="C35" s="417"/>
      <c r="D35" s="51" t="str">
        <f>'Final Figures 2015-16'!N40</f>
        <v/>
      </c>
      <c r="E35" s="883"/>
      <c r="F35" s="814"/>
      <c r="G35" s="815"/>
      <c r="H35" s="807"/>
      <c r="J35" s="816">
        <f>'Final Figures 2015-16'!AF40</f>
        <v>0</v>
      </c>
      <c r="K35" s="817">
        <f>'Final Figures 2015-16'!AK40</f>
        <v>0</v>
      </c>
      <c r="L35" s="852"/>
    </row>
    <row r="36" spans="1:12" ht="72" customHeight="1" thickBot="1">
      <c r="A36" s="884" t="s">
        <v>39</v>
      </c>
      <c r="B36" s="415" t="str">
        <f>'Final Figures 2015-16'!M41</f>
        <v/>
      </c>
      <c r="C36" s="418"/>
      <c r="D36" s="415" t="str">
        <f>'Final Figures 2015-16'!N41</f>
        <v/>
      </c>
      <c r="E36" s="883"/>
      <c r="F36" s="885"/>
      <c r="G36" s="849"/>
      <c r="H36" s="807"/>
      <c r="J36" s="886">
        <f>'Final Figures 2015-16'!AF41</f>
        <v>0</v>
      </c>
      <c r="K36" s="887">
        <f>'Final Figures 2015-16'!AK41</f>
        <v>0</v>
      </c>
      <c r="L36" s="888"/>
    </row>
    <row r="37" spans="1:12" ht="24.95" customHeight="1">
      <c r="A37" s="889"/>
      <c r="B37" s="890"/>
      <c r="C37" s="890"/>
      <c r="D37" s="891"/>
      <c r="E37" s="890"/>
      <c r="F37" s="892" t="s">
        <v>139</v>
      </c>
      <c r="G37" s="807"/>
      <c r="H37" s="807"/>
      <c r="J37" s="893"/>
      <c r="K37" s="893"/>
    </row>
    <row r="38" spans="1:12" ht="24.95" customHeight="1">
      <c r="A38" s="894"/>
      <c r="B38" s="895"/>
      <c r="C38" s="895"/>
      <c r="D38" s="896"/>
      <c r="E38" s="895"/>
      <c r="F38" s="897" t="s">
        <v>218</v>
      </c>
      <c r="G38" s="898"/>
      <c r="H38" s="898"/>
      <c r="J38" s="893"/>
      <c r="K38" s="893"/>
    </row>
    <row r="39" spans="1:12" ht="18" customHeight="1">
      <c r="A39" s="894"/>
      <c r="B39" s="899"/>
      <c r="C39" s="899"/>
      <c r="D39" s="895"/>
      <c r="E39" s="895"/>
      <c r="F39" s="899"/>
      <c r="G39" s="898"/>
      <c r="H39" s="898"/>
      <c r="J39" s="900"/>
      <c r="K39" s="900"/>
    </row>
  </sheetData>
  <sheetProtection password="DF8A" sheet="1" objects="1" scenarios="1"/>
  <mergeCells count="8">
    <mergeCell ref="J2:L3"/>
    <mergeCell ref="L4:L5"/>
    <mergeCell ref="A4:A5"/>
    <mergeCell ref="B4:C4"/>
    <mergeCell ref="D4:E4"/>
    <mergeCell ref="J4:J5"/>
    <mergeCell ref="K4:K5"/>
    <mergeCell ref="F4:G4"/>
  </mergeCells>
  <conditionalFormatting sqref="E6 E9:E10 E32:E33 E22:E25 E15:E17 E27:E30">
    <cfRule type="expression" dxfId="16" priority="17" stopIfTrue="1">
      <formula>K6=1</formula>
    </cfRule>
  </conditionalFormatting>
  <conditionalFormatting sqref="D6 D9:D10 D15:D17 D22:D25 D35:D36 D27:D30 D32:D33">
    <cfRule type="expression" dxfId="15" priority="18" stopIfTrue="1">
      <formula>K6=0</formula>
    </cfRule>
  </conditionalFormatting>
  <conditionalFormatting sqref="B6 B9:B10 B15:B17 B22:B25 B35:B36 B27:B30 B32:B33">
    <cfRule type="expression" dxfId="14" priority="19" stopIfTrue="1">
      <formula>J6=0</formula>
    </cfRule>
  </conditionalFormatting>
  <conditionalFormatting sqref="C6 C9:C10 C15:C17 C22:C25 C27:C30 C35:C36 C32:C33">
    <cfRule type="expression" dxfId="13" priority="7" stopIfTrue="1">
      <formula>J6=1</formula>
    </cfRule>
  </conditionalFormatting>
  <conditionalFormatting sqref="F11">
    <cfRule type="expression" dxfId="12" priority="5" stopIfTrue="1">
      <formula>L11=0</formula>
    </cfRule>
  </conditionalFormatting>
  <conditionalFormatting sqref="F15:F16">
    <cfRule type="expression" dxfId="11" priority="4" stopIfTrue="1">
      <formula>L15=0</formula>
    </cfRule>
  </conditionalFormatting>
  <conditionalFormatting sqref="F22:F25">
    <cfRule type="expression" dxfId="10" priority="3" stopIfTrue="1">
      <formula>L22=0</formula>
    </cfRule>
  </conditionalFormatting>
  <conditionalFormatting sqref="F27:F30">
    <cfRule type="expression" dxfId="9" priority="2" stopIfTrue="1">
      <formula>L27=0</formula>
    </cfRule>
  </conditionalFormatting>
  <conditionalFormatting sqref="G11 G15:G16 G22:G25 G27:G30">
    <cfRule type="expression" dxfId="8" priority="1" stopIfTrue="1">
      <formula>L11=1</formula>
    </cfRule>
  </conditionalFormatting>
  <dataValidations count="1">
    <dataValidation allowBlank="1" sqref="A6:A37"/>
  </dataValidations>
  <pageMargins left="0.19685039370078741" right="0.19685039370078741" top="0.19685039370078741" bottom="0.39370078740157483" header="0" footer="0"/>
  <pageSetup paperSize="9" scale="38" fitToWidth="3" orientation="landscape" r:id="rId1"/>
  <colBreaks count="2" manualBreakCount="2">
    <brk id="3" max="38" man="1"/>
    <brk id="5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zoomScale="80" zoomScaleNormal="80" workbookViewId="0"/>
  </sheetViews>
  <sheetFormatPr defaultColWidth="10.7109375" defaultRowHeight="18.95" customHeight="1"/>
  <cols>
    <col min="1" max="1" width="2.7109375" style="694" customWidth="1"/>
    <col min="2" max="2" width="50.7109375" style="694" customWidth="1"/>
    <col min="3" max="7" width="12.7109375" style="781" customWidth="1"/>
    <col min="8" max="9" width="12.7109375" style="694" customWidth="1"/>
    <col min="10" max="10" width="6.7109375" style="694" customWidth="1"/>
    <col min="11" max="16384" width="10.7109375" style="694"/>
  </cols>
  <sheetData>
    <row r="1" spans="1:10" ht="30" customHeight="1">
      <c r="A1" s="543"/>
      <c r="B1" s="544" t="s">
        <v>213</v>
      </c>
      <c r="C1" s="545"/>
      <c r="D1" s="545"/>
      <c r="E1" s="545"/>
      <c r="F1" s="545"/>
      <c r="G1" s="545"/>
      <c r="H1" s="546"/>
      <c r="I1" s="546"/>
      <c r="J1" s="547"/>
    </row>
    <row r="2" spans="1:10" ht="9.9499999999999993" customHeight="1" thickBot="1">
      <c r="A2" s="548"/>
      <c r="B2" s="549"/>
      <c r="C2" s="550"/>
      <c r="D2" s="550"/>
      <c r="E2" s="550"/>
      <c r="F2" s="550"/>
      <c r="G2" s="550"/>
      <c r="H2" s="134"/>
      <c r="I2" s="134"/>
      <c r="J2" s="551"/>
    </row>
    <row r="3" spans="1:10" ht="35.1" customHeight="1" thickBot="1">
      <c r="A3" s="548"/>
      <c r="B3" s="552" t="s">
        <v>5</v>
      </c>
      <c r="C3" s="968" t="str">
        <f>'Background Data'!$D$2</f>
        <v>Glasgow, University of</v>
      </c>
      <c r="D3" s="969"/>
      <c r="E3" s="970"/>
      <c r="F3" s="553"/>
      <c r="G3" s="550"/>
      <c r="H3" s="134"/>
      <c r="I3" s="134"/>
      <c r="J3" s="551"/>
    </row>
    <row r="4" spans="1:10" ht="35.1" customHeight="1">
      <c r="A4" s="548"/>
      <c r="B4" s="554" t="s">
        <v>170</v>
      </c>
      <c r="C4" s="555"/>
      <c r="D4" s="555"/>
      <c r="E4" s="555"/>
      <c r="F4" s="555"/>
      <c r="G4" s="555"/>
      <c r="H4" s="556"/>
      <c r="I4" s="556"/>
      <c r="J4" s="557"/>
    </row>
    <row r="5" spans="1:10" s="741" customFormat="1" ht="30" customHeight="1">
      <c r="A5" s="558"/>
      <c r="B5" s="554" t="s">
        <v>171</v>
      </c>
      <c r="C5" s="559"/>
      <c r="D5" s="559"/>
      <c r="E5" s="559"/>
      <c r="F5" s="559"/>
      <c r="G5" s="559"/>
      <c r="H5" s="559"/>
      <c r="I5" s="559"/>
      <c r="J5" s="557"/>
    </row>
    <row r="6" spans="1:10" s="741" customFormat="1" ht="30" customHeight="1">
      <c r="A6" s="558"/>
      <c r="B6" s="554" t="s">
        <v>172</v>
      </c>
      <c r="C6" s="559"/>
      <c r="D6" s="559"/>
      <c r="E6" s="559"/>
      <c r="F6" s="559"/>
      <c r="G6" s="559"/>
      <c r="H6" s="559"/>
      <c r="I6" s="559"/>
      <c r="J6" s="557"/>
    </row>
    <row r="7" spans="1:10" s="741" customFormat="1" ht="15" customHeight="1" thickBot="1">
      <c r="A7" s="558"/>
      <c r="B7" s="560"/>
      <c r="C7" s="560"/>
      <c r="D7" s="560"/>
      <c r="E7" s="560"/>
      <c r="F7" s="560"/>
      <c r="G7" s="560"/>
      <c r="H7" s="560"/>
      <c r="I7" s="560"/>
      <c r="J7" s="557"/>
    </row>
    <row r="8" spans="1:10" ht="120" customHeight="1">
      <c r="A8" s="548"/>
      <c r="B8" s="971" t="s">
        <v>173</v>
      </c>
      <c r="C8" s="561" t="s">
        <v>174</v>
      </c>
      <c r="D8" s="561" t="s">
        <v>175</v>
      </c>
      <c r="E8" s="561" t="s">
        <v>176</v>
      </c>
      <c r="F8" s="561" t="s">
        <v>212</v>
      </c>
      <c r="G8" s="963" t="s">
        <v>177</v>
      </c>
      <c r="H8" s="973"/>
      <c r="I8" s="562" t="s">
        <v>178</v>
      </c>
      <c r="J8" s="557"/>
    </row>
    <row r="9" spans="1:10" ht="30" customHeight="1">
      <c r="A9" s="548"/>
      <c r="B9" s="972"/>
      <c r="C9" s="563" t="s">
        <v>27</v>
      </c>
      <c r="D9" s="563" t="s">
        <v>27</v>
      </c>
      <c r="E9" s="563" t="s">
        <v>27</v>
      </c>
      <c r="F9" s="563" t="s">
        <v>27</v>
      </c>
      <c r="G9" s="563" t="s">
        <v>27</v>
      </c>
      <c r="H9" s="564" t="s">
        <v>179</v>
      </c>
      <c r="I9" s="565"/>
      <c r="J9" s="557"/>
    </row>
    <row r="10" spans="1:10" ht="30" customHeight="1">
      <c r="A10" s="548"/>
      <c r="B10" s="972"/>
      <c r="C10" s="566" t="s">
        <v>7</v>
      </c>
      <c r="D10" s="567" t="s">
        <v>7</v>
      </c>
      <c r="E10" s="567" t="s">
        <v>7</v>
      </c>
      <c r="F10" s="567" t="s">
        <v>7</v>
      </c>
      <c r="G10" s="567" t="s">
        <v>180</v>
      </c>
      <c r="H10" s="567" t="s">
        <v>180</v>
      </c>
      <c r="I10" s="568" t="s">
        <v>180</v>
      </c>
      <c r="J10" s="557"/>
    </row>
    <row r="11" spans="1:10" ht="30" customHeight="1">
      <c r="A11" s="548"/>
      <c r="B11" s="569"/>
      <c r="C11" s="570">
        <v>1</v>
      </c>
      <c r="D11" s="570">
        <v>2</v>
      </c>
      <c r="E11" s="570">
        <v>3</v>
      </c>
      <c r="F11" s="570">
        <v>4</v>
      </c>
      <c r="G11" s="570">
        <v>5</v>
      </c>
      <c r="H11" s="570">
        <v>6</v>
      </c>
      <c r="I11" s="571">
        <v>7</v>
      </c>
      <c r="J11" s="557"/>
    </row>
    <row r="12" spans="1:10" ht="35.1" customHeight="1">
      <c r="A12" s="548"/>
      <c r="B12" s="572" t="s">
        <v>33</v>
      </c>
      <c r="C12" s="573"/>
      <c r="D12" s="574"/>
      <c r="E12" s="575"/>
      <c r="F12" s="575"/>
      <c r="G12" s="573"/>
      <c r="H12" s="575"/>
      <c r="I12" s="576"/>
      <c r="J12" s="557"/>
    </row>
    <row r="13" spans="1:10" ht="24.95" customHeight="1">
      <c r="A13" s="548"/>
      <c r="B13" s="577" t="s">
        <v>24</v>
      </c>
      <c r="C13" s="578">
        <f>VLOOKUP('Background Data'!$C$2,FPs_Ind_Nos_1516,4,FALSE)</f>
        <v>537.4</v>
      </c>
      <c r="D13" s="578">
        <f>VLOOKUP('Background Data'!$C$2,FPs_Ind_Nos_1516,16,FALSE)</f>
        <v>81</v>
      </c>
      <c r="E13" s="578">
        <f>SUM(C13:D13)</f>
        <v>618.4</v>
      </c>
      <c r="F13" s="578">
        <f>'Final Figures 2015-16'!$H$27</f>
        <v>634.49199999999996</v>
      </c>
      <c r="G13" s="580">
        <f>F13-E13</f>
        <v>16.091999999999985</v>
      </c>
      <c r="H13" s="581">
        <f>IF(E13&gt;0,G13/E13,"")</f>
        <v>2.6021992238033611E-2</v>
      </c>
      <c r="I13" s="582" t="str">
        <f>IF(H13&lt;-Controlled_Tol,"YES","NO")</f>
        <v>NO</v>
      </c>
      <c r="J13" s="557"/>
    </row>
    <row r="14" spans="1:10" ht="24.95" customHeight="1">
      <c r="A14" s="548"/>
      <c r="B14" s="577" t="s">
        <v>25</v>
      </c>
      <c r="C14" s="578">
        <f>VLOOKUP('Background Data'!$C$2,FPs_Ind_Nos_1516,5,FALSE)</f>
        <v>261.60000000000002</v>
      </c>
      <c r="D14" s="578">
        <f>VLOOKUP('Background Data'!$C$2,FPs_Ind_Nos_1516,17,FALSE)</f>
        <v>8.5999999999999659</v>
      </c>
      <c r="E14" s="578">
        <f>SUM(C14:D14)</f>
        <v>270.2</v>
      </c>
      <c r="F14" s="578">
        <f>'Final Figures 2015-16'!$H$28</f>
        <v>281</v>
      </c>
      <c r="G14" s="580">
        <f>F14-E14</f>
        <v>10.800000000000011</v>
      </c>
      <c r="H14" s="581">
        <f>IF(E14&gt;0,G14/E14,"")</f>
        <v>3.9970392301998565E-2</v>
      </c>
      <c r="I14" s="582" t="str">
        <f>IF(H14&lt;-Controlled_Tol,"YES","NO")</f>
        <v>NO</v>
      </c>
      <c r="J14" s="557"/>
    </row>
    <row r="15" spans="1:10" ht="24.95" customHeight="1">
      <c r="A15" s="548"/>
      <c r="B15" s="577" t="s">
        <v>8</v>
      </c>
      <c r="C15" s="578">
        <f>VLOOKUP('Background Data'!$C$2,FPs_Ind_Nos_1516,6,FALSE)</f>
        <v>288</v>
      </c>
      <c r="D15" s="579"/>
      <c r="E15" s="578">
        <f>SUM(C15:D15)</f>
        <v>288</v>
      </c>
      <c r="F15" s="578">
        <f>'Final Figures 2015-16'!$H$29</f>
        <v>312</v>
      </c>
      <c r="G15" s="580">
        <f>F15-E15</f>
        <v>24</v>
      </c>
      <c r="H15" s="581">
        <f>IF(E15&gt;0,G15/E15,"")</f>
        <v>8.3333333333333329E-2</v>
      </c>
      <c r="I15" s="582" t="str">
        <f>IF(H15&lt;-Controlled_Tol,"YES","NO")</f>
        <v>NO</v>
      </c>
      <c r="J15" s="557"/>
    </row>
    <row r="16" spans="1:10" ht="24.95" customHeight="1">
      <c r="A16" s="548"/>
      <c r="B16" s="583" t="s">
        <v>9</v>
      </c>
      <c r="C16" s="578">
        <f>VLOOKUP('Background Data'!$C$2,FPs_Ind_Nos_1516,7,FALSE)</f>
        <v>53.1</v>
      </c>
      <c r="D16" s="579"/>
      <c r="E16" s="584">
        <f>SUM(C16:D16)</f>
        <v>53.1</v>
      </c>
      <c r="F16" s="578">
        <f>'Final Figures 2015-16'!$H$30</f>
        <v>53</v>
      </c>
      <c r="G16" s="585">
        <f>F16-E16</f>
        <v>-0.10000000000000142</v>
      </c>
      <c r="H16" s="581">
        <f>IF(E16&gt;0,G16/E16,"")</f>
        <v>-1.8832391713747914E-3</v>
      </c>
      <c r="I16" s="582" t="str">
        <f>IF(H16&lt;-Controlled_Tol,"YES","NO")</f>
        <v>NO</v>
      </c>
      <c r="J16" s="557"/>
    </row>
    <row r="17" spans="1:10" ht="35.1" customHeight="1">
      <c r="A17" s="548"/>
      <c r="B17" s="88" t="s">
        <v>10</v>
      </c>
      <c r="C17" s="586"/>
      <c r="D17" s="587"/>
      <c r="E17" s="588"/>
      <c r="F17" s="588"/>
      <c r="G17" s="589"/>
      <c r="H17" s="590"/>
      <c r="I17" s="576"/>
      <c r="J17" s="557"/>
    </row>
    <row r="18" spans="1:10" ht="24.95" customHeight="1">
      <c r="A18" s="548"/>
      <c r="B18" s="577" t="s">
        <v>34</v>
      </c>
      <c r="C18" s="578">
        <f>VLOOKUP('Background Data'!$C$2,FPs_Ind_Nos_1516,8,FALSE)</f>
        <v>481.1</v>
      </c>
      <c r="D18" s="578">
        <f>VLOOKUP('Background Data'!$C$2,FPs_Ind_Nos_1516,18,FALSE)</f>
        <v>0</v>
      </c>
      <c r="E18" s="578">
        <f t="shared" ref="E18:E23" si="0">SUM(C18:D18)</f>
        <v>481.1</v>
      </c>
      <c r="F18" s="578">
        <f>'Final Figures 2015-16'!$H$32</f>
        <v>566.62</v>
      </c>
      <c r="G18" s="580">
        <f t="shared" ref="G18:G23" si="1">F18-E18</f>
        <v>85.519999999999982</v>
      </c>
      <c r="H18" s="581">
        <f t="shared" ref="H18:H23" si="2">IF(E18&gt;0,G18/E18,"")</f>
        <v>0.1777593016004988</v>
      </c>
      <c r="I18" s="582" t="str">
        <f t="shared" ref="I18:I23" si="3">IF(H18&lt;-Controlled_Tol,"YES","NO")</f>
        <v>NO</v>
      </c>
      <c r="J18" s="557"/>
    </row>
    <row r="19" spans="1:10" ht="24.95" customHeight="1">
      <c r="A19" s="548"/>
      <c r="B19" s="577" t="s">
        <v>35</v>
      </c>
      <c r="C19" s="578">
        <f>VLOOKUP('Background Data'!$C$2,FPs_Ind_Nos_1516,9,FALSE)</f>
        <v>0</v>
      </c>
      <c r="D19" s="579"/>
      <c r="E19" s="578">
        <f t="shared" si="0"/>
        <v>0</v>
      </c>
      <c r="F19" s="578">
        <f>'Final Figures 2015-16'!$H$33</f>
        <v>0</v>
      </c>
      <c r="G19" s="580">
        <f t="shared" si="1"/>
        <v>0</v>
      </c>
      <c r="H19" s="581" t="str">
        <f t="shared" si="2"/>
        <v/>
      </c>
      <c r="I19" s="582" t="str">
        <f t="shared" si="3"/>
        <v>NO</v>
      </c>
      <c r="J19" s="557"/>
    </row>
    <row r="20" spans="1:10" ht="24.95" customHeight="1">
      <c r="A20" s="548"/>
      <c r="B20" s="577" t="s">
        <v>181</v>
      </c>
      <c r="C20" s="578">
        <f>VLOOKUP('Background Data'!$C$2,FPs_Ind_Nos_1516,10,FALSE)</f>
        <v>0</v>
      </c>
      <c r="D20" s="579"/>
      <c r="E20" s="578">
        <f t="shared" si="0"/>
        <v>0</v>
      </c>
      <c r="F20" s="578">
        <f>'Final Figures 2015-16'!$H$34</f>
        <v>0</v>
      </c>
      <c r="G20" s="580">
        <f t="shared" si="1"/>
        <v>0</v>
      </c>
      <c r="H20" s="581" t="str">
        <f t="shared" si="2"/>
        <v/>
      </c>
      <c r="I20" s="582" t="str">
        <f t="shared" si="3"/>
        <v>NO</v>
      </c>
      <c r="J20" s="557"/>
    </row>
    <row r="21" spans="1:10" ht="24.95" customHeight="1">
      <c r="A21" s="548"/>
      <c r="B21" s="577" t="s">
        <v>37</v>
      </c>
      <c r="C21" s="578">
        <f>VLOOKUP('Background Data'!$C$2,FPs_Ind_Nos_1516,11,FALSE)</f>
        <v>94.6</v>
      </c>
      <c r="D21" s="579"/>
      <c r="E21" s="578">
        <f t="shared" si="0"/>
        <v>94.6</v>
      </c>
      <c r="F21" s="578">
        <f>'Final Figures 2015-16'!$H$35</f>
        <v>91.6</v>
      </c>
      <c r="G21" s="580">
        <f t="shared" si="1"/>
        <v>-3</v>
      </c>
      <c r="H21" s="581">
        <f t="shared" si="2"/>
        <v>-3.1712473572938694E-2</v>
      </c>
      <c r="I21" s="582" t="str">
        <f t="shared" si="3"/>
        <v>YES</v>
      </c>
      <c r="J21" s="557"/>
    </row>
    <row r="22" spans="1:10" ht="24.95" customHeight="1">
      <c r="A22" s="548"/>
      <c r="B22" s="577" t="s">
        <v>182</v>
      </c>
      <c r="C22" s="578">
        <f>VLOOKUP('Background Data'!$C$2,FPs_Ind_Nos_1516,12,FALSE)</f>
        <v>69.099999999999994</v>
      </c>
      <c r="D22" s="578">
        <f>VLOOKUP('Background Data'!$C$2,FPs_Ind_Nos_1516,19,FALSE)</f>
        <v>104</v>
      </c>
      <c r="E22" s="578">
        <f t="shared" si="0"/>
        <v>173.1</v>
      </c>
      <c r="F22" s="578">
        <f>'Final Figures 2015-16'!$H$20</f>
        <v>186</v>
      </c>
      <c r="G22" s="580">
        <f t="shared" si="1"/>
        <v>12.900000000000006</v>
      </c>
      <c r="H22" s="581">
        <f t="shared" si="2"/>
        <v>7.4523396880415982E-2</v>
      </c>
      <c r="I22" s="582" t="str">
        <f t="shared" si="3"/>
        <v>NO</v>
      </c>
      <c r="J22" s="557"/>
    </row>
    <row r="23" spans="1:10" ht="24.95" customHeight="1">
      <c r="A23" s="548"/>
      <c r="B23" s="583" t="s">
        <v>183</v>
      </c>
      <c r="C23" s="578">
        <f>VLOOKUP('Background Data'!$C$2,FPs_Ind_Nos_1516,13,FALSE)</f>
        <v>120.8</v>
      </c>
      <c r="D23" s="578">
        <f>VLOOKUP('Background Data'!$C$2,FPs_Ind_Nos_1516,20,FALSE)</f>
        <v>63</v>
      </c>
      <c r="E23" s="584">
        <f t="shared" si="0"/>
        <v>183.8</v>
      </c>
      <c r="F23" s="578">
        <f>'Final Figures 2015-16'!$H$21</f>
        <v>161</v>
      </c>
      <c r="G23" s="585">
        <f t="shared" si="1"/>
        <v>-22.800000000000011</v>
      </c>
      <c r="H23" s="581">
        <f t="shared" si="2"/>
        <v>-0.12404787812840048</v>
      </c>
      <c r="I23" s="582" t="str">
        <f t="shared" si="3"/>
        <v>YES</v>
      </c>
      <c r="J23" s="557"/>
    </row>
    <row r="24" spans="1:10" ht="35.1" customHeight="1">
      <c r="A24" s="548"/>
      <c r="B24" s="88" t="s">
        <v>29</v>
      </c>
      <c r="C24" s="588"/>
      <c r="D24" s="591"/>
      <c r="E24" s="588"/>
      <c r="F24" s="588"/>
      <c r="G24" s="592"/>
      <c r="H24" s="590"/>
      <c r="I24" s="576"/>
      <c r="J24" s="557"/>
    </row>
    <row r="25" spans="1:10" ht="24.95" customHeight="1">
      <c r="A25" s="548"/>
      <c r="B25" s="577" t="s">
        <v>184</v>
      </c>
      <c r="C25" s="593"/>
      <c r="D25" s="578">
        <f>VLOOKUP('Background Data'!$C$2,FPs_Ind_Nos_1516,21,FALSE)</f>
        <v>0</v>
      </c>
      <c r="E25" s="593">
        <f>SUM(C25:D25)</f>
        <v>0</v>
      </c>
      <c r="F25" s="578">
        <f>'Final Figures 2015-16'!$H$14+'Final Figures 2015-16'!$H$37</f>
        <v>0</v>
      </c>
      <c r="G25" s="594">
        <f>F25-E25</f>
        <v>0</v>
      </c>
      <c r="H25" s="595" t="str">
        <f>IF(E25&gt;0,G25/E25,"")</f>
        <v/>
      </c>
      <c r="I25" s="596" t="str">
        <f>IF(H25&lt;-Controlled_Tol,"YES","NO")</f>
        <v>NO</v>
      </c>
      <c r="J25" s="557"/>
    </row>
    <row r="26" spans="1:10" ht="24.95" customHeight="1" thickBot="1">
      <c r="A26" s="548"/>
      <c r="B26" s="597" t="s">
        <v>185</v>
      </c>
      <c r="C26" s="686">
        <f>VLOOKUP('Background Data'!$C$2,FPs_Ind_Nos_1516,14,FALSE)</f>
        <v>76</v>
      </c>
      <c r="D26" s="598"/>
      <c r="E26" s="598">
        <f t="shared" ref="E26" si="4">SUM(C26:D26)</f>
        <v>76</v>
      </c>
      <c r="F26" s="599">
        <f>'Final Figures 2015-16'!$H$38</f>
        <v>87</v>
      </c>
      <c r="G26" s="600">
        <f>F26-E26</f>
        <v>11</v>
      </c>
      <c r="H26" s="601">
        <f>IF(E26&gt;0,G26/E26,"")</f>
        <v>0.14473684210526316</v>
      </c>
      <c r="I26" s="602" t="str">
        <f>IF(H26&lt;-Controlled_Tol,"YES","NO")</f>
        <v>NO</v>
      </c>
      <c r="J26" s="603"/>
    </row>
    <row r="27" spans="1:10" ht="24" customHeight="1">
      <c r="A27" s="548"/>
      <c r="B27" s="604"/>
      <c r="C27" s="134"/>
      <c r="D27" s="605"/>
      <c r="E27" s="605"/>
      <c r="F27" s="605"/>
      <c r="G27" s="605"/>
      <c r="H27" s="134"/>
      <c r="I27" s="556"/>
      <c r="J27" s="557"/>
    </row>
    <row r="28" spans="1:10" ht="24.95" customHeight="1">
      <c r="A28" s="548"/>
      <c r="B28" s="554" t="s">
        <v>186</v>
      </c>
      <c r="C28" s="559"/>
      <c r="D28" s="559"/>
      <c r="E28" s="559"/>
      <c r="F28" s="559"/>
      <c r="G28" s="559"/>
      <c r="H28" s="559"/>
      <c r="I28" s="556"/>
      <c r="J28" s="557"/>
    </row>
    <row r="29" spans="1:10" ht="24.95" customHeight="1">
      <c r="A29" s="548"/>
      <c r="B29" s="554" t="s">
        <v>172</v>
      </c>
      <c r="C29" s="559"/>
      <c r="D29" s="559"/>
      <c r="E29" s="559"/>
      <c r="F29" s="559"/>
      <c r="G29" s="559"/>
      <c r="H29" s="559"/>
      <c r="I29" s="556"/>
      <c r="J29" s="557"/>
    </row>
    <row r="30" spans="1:10" ht="9.9499999999999993" customHeight="1" thickBot="1">
      <c r="A30" s="548"/>
      <c r="B30" s="560"/>
      <c r="C30" s="560"/>
      <c r="D30" s="560"/>
      <c r="E30" s="560"/>
      <c r="F30" s="560"/>
      <c r="G30" s="560"/>
      <c r="H30" s="559"/>
      <c r="I30" s="556"/>
      <c r="J30" s="557"/>
    </row>
    <row r="31" spans="1:10" ht="45" customHeight="1">
      <c r="A31" s="548"/>
      <c r="B31" s="606"/>
      <c r="C31" s="965" t="s">
        <v>187</v>
      </c>
      <c r="D31" s="966"/>
      <c r="E31" s="966"/>
      <c r="F31" s="966"/>
      <c r="G31" s="967"/>
      <c r="H31" s="651"/>
      <c r="I31" s="63"/>
      <c r="J31" s="557"/>
    </row>
    <row r="32" spans="1:10" ht="120" customHeight="1">
      <c r="A32" s="548"/>
      <c r="B32" s="974" t="s">
        <v>187</v>
      </c>
      <c r="C32" s="607" t="s">
        <v>176</v>
      </c>
      <c r="D32" s="607" t="s">
        <v>211</v>
      </c>
      <c r="E32" s="975" t="s">
        <v>177</v>
      </c>
      <c r="F32" s="976"/>
      <c r="G32" s="608" t="s">
        <v>178</v>
      </c>
      <c r="H32" s="651"/>
      <c r="I32" s="63"/>
      <c r="J32" s="557"/>
    </row>
    <row r="33" spans="1:10" ht="30" customHeight="1">
      <c r="A33" s="548"/>
      <c r="B33" s="972"/>
      <c r="C33" s="563" t="s">
        <v>27</v>
      </c>
      <c r="D33" s="563" t="s">
        <v>27</v>
      </c>
      <c r="E33" s="563" t="s">
        <v>27</v>
      </c>
      <c r="F33" s="564" t="s">
        <v>179</v>
      </c>
      <c r="G33" s="565"/>
      <c r="H33" s="651"/>
      <c r="I33" s="63"/>
      <c r="J33" s="557"/>
    </row>
    <row r="34" spans="1:10" ht="30" customHeight="1">
      <c r="A34" s="548"/>
      <c r="B34" s="609"/>
      <c r="C34" s="566" t="s">
        <v>7</v>
      </c>
      <c r="D34" s="567" t="s">
        <v>7</v>
      </c>
      <c r="E34" s="567" t="s">
        <v>180</v>
      </c>
      <c r="F34" s="567" t="s">
        <v>180</v>
      </c>
      <c r="G34" s="568" t="s">
        <v>180</v>
      </c>
      <c r="H34" s="651"/>
      <c r="I34" s="63"/>
      <c r="J34" s="557"/>
    </row>
    <row r="35" spans="1:10" ht="30" customHeight="1">
      <c r="A35" s="548"/>
      <c r="B35" s="609"/>
      <c r="C35" s="570">
        <v>1</v>
      </c>
      <c r="D35" s="570">
        <v>2</v>
      </c>
      <c r="E35" s="570">
        <v>4</v>
      </c>
      <c r="F35" s="570">
        <v>5</v>
      </c>
      <c r="G35" s="571">
        <v>6</v>
      </c>
      <c r="H35" s="651"/>
      <c r="I35" s="650"/>
      <c r="J35" s="557"/>
    </row>
    <row r="36" spans="1:10" ht="50.1" customHeight="1" thickBot="1">
      <c r="A36" s="548"/>
      <c r="B36" s="610" t="s">
        <v>188</v>
      </c>
      <c r="C36" s="598">
        <f>VLOOKUP('Background Data'!$C$2,FPs_Ind_Nos_1516,3,FALSE)</f>
        <v>12121.199999999999</v>
      </c>
      <c r="D36" s="598">
        <f>'Final Figures 2015-16'!$H$15+'Final Figures 2015-16'!$H$22+'Final Figures 2015-16'!$H$40+'Final Figures 2015-16'!$H$41</f>
        <v>12767.330000000002</v>
      </c>
      <c r="E36" s="611">
        <f>D36-C36</f>
        <v>646.13000000000284</v>
      </c>
      <c r="F36" s="612">
        <f>IF(C36&gt;0,E36/C36,"")</f>
        <v>5.3305778305778546E-2</v>
      </c>
      <c r="G36" s="652" t="str">
        <f>IF(F36&lt;-Non_controlled_Tol,"YES","NO")</f>
        <v>NO</v>
      </c>
      <c r="H36" s="651"/>
      <c r="I36" s="63"/>
      <c r="J36" s="557"/>
    </row>
    <row r="37" spans="1:10" ht="15">
      <c r="A37" s="548"/>
      <c r="B37" s="605"/>
      <c r="C37" s="605"/>
      <c r="D37" s="605"/>
      <c r="E37" s="605"/>
      <c r="F37" s="605"/>
      <c r="G37" s="605"/>
      <c r="H37" s="605"/>
      <c r="I37" s="556"/>
      <c r="J37" s="557"/>
    </row>
    <row r="38" spans="1:10" ht="24.95" customHeight="1">
      <c r="A38" s="548"/>
      <c r="B38" s="554" t="s">
        <v>189</v>
      </c>
      <c r="C38" s="605"/>
      <c r="D38" s="605"/>
      <c r="E38" s="605"/>
      <c r="F38" s="605"/>
      <c r="G38" s="605"/>
      <c r="H38" s="605"/>
      <c r="I38" s="556"/>
      <c r="J38" s="557"/>
    </row>
    <row r="39" spans="1:10" ht="24.95" customHeight="1">
      <c r="A39" s="548"/>
      <c r="B39" s="554" t="s">
        <v>190</v>
      </c>
      <c r="C39" s="559"/>
      <c r="D39" s="559"/>
      <c r="E39" s="559"/>
      <c r="F39" s="69"/>
      <c r="G39" s="69"/>
      <c r="H39" s="69"/>
      <c r="I39" s="556"/>
      <c r="J39" s="557"/>
    </row>
    <row r="40" spans="1:10" ht="24.95" customHeight="1">
      <c r="A40" s="548"/>
      <c r="B40" s="554" t="s">
        <v>191</v>
      </c>
      <c r="C40" s="559"/>
      <c r="D40" s="559"/>
      <c r="E40" s="559"/>
      <c r="F40" s="69"/>
      <c r="G40" s="69"/>
      <c r="H40" s="69"/>
      <c r="I40" s="556"/>
      <c r="J40" s="557"/>
    </row>
    <row r="41" spans="1:10" ht="9.9499999999999993" customHeight="1" thickBot="1">
      <c r="A41" s="548"/>
      <c r="B41" s="560"/>
      <c r="C41" s="560"/>
      <c r="D41" s="560"/>
      <c r="E41" s="560"/>
      <c r="F41" s="613"/>
      <c r="G41" s="613"/>
      <c r="H41" s="69"/>
      <c r="I41" s="556"/>
      <c r="J41" s="557"/>
    </row>
    <row r="42" spans="1:10" ht="99.95" customHeight="1">
      <c r="A42" s="548"/>
      <c r="B42" s="614" t="s">
        <v>192</v>
      </c>
      <c r="C42" s="615" t="s">
        <v>193</v>
      </c>
      <c r="D42" s="561" t="s">
        <v>194</v>
      </c>
      <c r="E42" s="963" t="s">
        <v>195</v>
      </c>
      <c r="F42" s="964"/>
      <c r="G42" s="562" t="s">
        <v>196</v>
      </c>
      <c r="H42" s="238"/>
      <c r="I42" s="556"/>
      <c r="J42" s="557"/>
    </row>
    <row r="43" spans="1:10" ht="30" customHeight="1">
      <c r="A43" s="548"/>
      <c r="B43" s="616"/>
      <c r="C43" s="617" t="s">
        <v>27</v>
      </c>
      <c r="D43" s="563" t="s">
        <v>27</v>
      </c>
      <c r="E43" s="563" t="s">
        <v>27</v>
      </c>
      <c r="F43" s="563" t="s">
        <v>179</v>
      </c>
      <c r="G43" s="565"/>
      <c r="H43" s="134"/>
      <c r="I43" s="556"/>
      <c r="J43" s="557"/>
    </row>
    <row r="44" spans="1:10" ht="30" customHeight="1">
      <c r="A44" s="548"/>
      <c r="B44" s="616"/>
      <c r="C44" s="618" t="s">
        <v>7</v>
      </c>
      <c r="D44" s="566" t="s">
        <v>7</v>
      </c>
      <c r="E44" s="566" t="s">
        <v>180</v>
      </c>
      <c r="F44" s="566" t="s">
        <v>180</v>
      </c>
      <c r="G44" s="568" t="s">
        <v>180</v>
      </c>
      <c r="H44" s="134"/>
      <c r="I44" s="556"/>
      <c r="J44" s="557"/>
    </row>
    <row r="45" spans="1:10" ht="30" customHeight="1">
      <c r="A45" s="548"/>
      <c r="B45" s="619"/>
      <c r="C45" s="570">
        <v>1</v>
      </c>
      <c r="D45" s="570">
        <v>2</v>
      </c>
      <c r="E45" s="570">
        <v>3</v>
      </c>
      <c r="F45" s="570">
        <v>4</v>
      </c>
      <c r="G45" s="571">
        <v>5</v>
      </c>
      <c r="H45" s="134"/>
      <c r="I45" s="556"/>
      <c r="J45" s="557"/>
    </row>
    <row r="46" spans="1:10" ht="35.1" customHeight="1">
      <c r="A46" s="548"/>
      <c r="B46" s="620" t="s">
        <v>28</v>
      </c>
      <c r="C46" s="621"/>
      <c r="D46" s="622"/>
      <c r="E46" s="622"/>
      <c r="F46" s="623"/>
      <c r="G46" s="568"/>
      <c r="H46" s="134"/>
      <c r="I46" s="556"/>
      <c r="J46" s="557"/>
    </row>
    <row r="47" spans="1:10" ht="35.1" customHeight="1">
      <c r="A47" s="548"/>
      <c r="B47" s="624" t="s">
        <v>197</v>
      </c>
      <c r="C47" s="625"/>
      <c r="D47" s="626"/>
      <c r="E47" s="626"/>
      <c r="F47" s="627"/>
      <c r="G47" s="628"/>
      <c r="H47" s="134"/>
      <c r="I47" s="556"/>
      <c r="J47" s="557"/>
    </row>
    <row r="48" spans="1:10" ht="30" customHeight="1">
      <c r="A48" s="548"/>
      <c r="B48" s="629" t="s">
        <v>198</v>
      </c>
      <c r="C48" s="578">
        <f>VLOOKUP('Background Data'!$C$2,FPs_Ind_Nos_1516,23,FALSE)</f>
        <v>1147</v>
      </c>
      <c r="D48" s="630">
        <f>'Final Figures 2015-16'!$H$27+'Final Figures 2015-16'!$J$27+'Final Figures 2015-16'!$H$29+'Final Figures 2015-16'!$J$29</f>
        <v>1165.492</v>
      </c>
      <c r="E48" s="630">
        <f>D48-C48</f>
        <v>18.491999999999962</v>
      </c>
      <c r="F48" s="631">
        <f>IF(C48&gt;0,E48/C48,"")</f>
        <v>1.6122057541412348E-2</v>
      </c>
      <c r="G48" s="632" t="str">
        <f>IF(C48&gt;=100,IF(F48&gt;Consol_Tol_Per,"Yes","No"),IF(C48&gt;0,IF(E48&gt;Consol_Tol_FTE,"Yes","No"),"No"))</f>
        <v>No</v>
      </c>
      <c r="H48" s="134"/>
      <c r="I48" s="556"/>
      <c r="J48" s="557"/>
    </row>
    <row r="49" spans="1:10" ht="35.1" customHeight="1">
      <c r="A49" s="548"/>
      <c r="B49" s="624" t="s">
        <v>199</v>
      </c>
      <c r="C49" s="633"/>
      <c r="D49" s="634"/>
      <c r="E49" s="634"/>
      <c r="F49" s="634"/>
      <c r="G49" s="635"/>
      <c r="H49" s="134"/>
      <c r="I49" s="556"/>
      <c r="J49" s="557"/>
    </row>
    <row r="50" spans="1:10" ht="30" customHeight="1">
      <c r="A50" s="548"/>
      <c r="B50" s="629" t="s">
        <v>198</v>
      </c>
      <c r="C50" s="578">
        <f>VLOOKUP('Background Data'!$C$2,FPs_Ind_Nos_1516,24,FALSE)</f>
        <v>372</v>
      </c>
      <c r="D50" s="630">
        <f>'Final Figures 2015-16'!$H$28+'Final Figures 2015-16'!$J$28+'Final Figures 2015-16'!$H$30+'Final Figures 2015-16'!$J$30</f>
        <v>388</v>
      </c>
      <c r="E50" s="630">
        <f>D50-C50</f>
        <v>16</v>
      </c>
      <c r="F50" s="631">
        <f>IF(C50&gt;0,E50/C50,"")</f>
        <v>4.3010752688172046E-2</v>
      </c>
      <c r="G50" s="632" t="str">
        <f>IF(C50&gt;=100,IF(F50&gt;Consol_Tol_Per,"Yes","No"),IF(C50&gt;0,IF(E50&gt;Consol_Tol_FTE,"Yes","No"),"No"))</f>
        <v>No</v>
      </c>
      <c r="H50" s="134"/>
      <c r="I50" s="556"/>
      <c r="J50" s="557"/>
    </row>
    <row r="51" spans="1:10" ht="50.1" customHeight="1">
      <c r="A51" s="548"/>
      <c r="B51" s="636" t="s">
        <v>200</v>
      </c>
      <c r="C51" s="134"/>
      <c r="D51" s="637"/>
      <c r="E51" s="637"/>
      <c r="F51" s="637"/>
      <c r="G51" s="638"/>
      <c r="H51" s="134"/>
      <c r="I51" s="559"/>
      <c r="J51" s="557"/>
    </row>
    <row r="52" spans="1:10" ht="30" customHeight="1">
      <c r="A52" s="548"/>
      <c r="B52" s="629" t="s">
        <v>201</v>
      </c>
      <c r="C52" s="578">
        <f>VLOOKUP('Background Data'!$C$2,FPs_Ind_Nos_1516,25,FALSE)</f>
        <v>660</v>
      </c>
      <c r="D52" s="630">
        <f>'Final Figures 2015-16'!$H$32+'Final Figures 2015-16'!$J$32+'Final Figures 2015-16'!$H$20+'Final Figures 2015-16'!$J$20</f>
        <v>764.62</v>
      </c>
      <c r="E52" s="630">
        <f>D52-C52</f>
        <v>104.62</v>
      </c>
      <c r="F52" s="631">
        <f>IF(C52&gt;0,E52/C52,"")</f>
        <v>0.15851515151515153</v>
      </c>
      <c r="G52" s="632" t="str">
        <f>IF(C52&gt;=100,IF(F52&gt;Consol_Tol_Per,"Yes","No"),IF(C52&gt;0,IF(E52&gt;Consol_Tol_FTE,"Yes","No"),"No"))</f>
        <v>Yes</v>
      </c>
      <c r="H52" s="134"/>
      <c r="I52" s="559"/>
      <c r="J52" s="557"/>
    </row>
    <row r="53" spans="1:10" ht="30" customHeight="1">
      <c r="A53" s="548"/>
      <c r="B53" s="629" t="s">
        <v>202</v>
      </c>
      <c r="C53" s="578">
        <f>VLOOKUP('Background Data'!$C$2,FPs_Ind_Nos_1516,26,FALSE)</f>
        <v>284</v>
      </c>
      <c r="D53" s="630">
        <f>'Final Figures 2015-16'!$H$33+'Final Figures 2015-16'!$J$33+'Final Figures 2015-16'!$H$34+'Final Figures 2015-16'!$J$34+'Final Figures 2015-16'!$H$35+'Final Figures 2015-16'!$J$35+'Final Figures 2015-16'!$H$21+'Final Figures 2015-16'!$J$21</f>
        <v>260.60000000000002</v>
      </c>
      <c r="E53" s="630">
        <f>D53-C53</f>
        <v>-23.399999999999977</v>
      </c>
      <c r="F53" s="631">
        <f>IF(C53&gt;0,E53/C53,"")</f>
        <v>-8.2394366197183017E-2</v>
      </c>
      <c r="G53" s="632" t="str">
        <f>IF(C53&gt;=100,IF(F53&gt;Consol_Tol_Per,"Yes","No"),IF(C53&gt;0,IF(E53&gt;Consol_Tol_FTE,"Yes","No"),"No"))</f>
        <v>No</v>
      </c>
      <c r="H53" s="134"/>
      <c r="I53" s="559"/>
      <c r="J53" s="557"/>
    </row>
    <row r="54" spans="1:10" ht="35.1" customHeight="1">
      <c r="A54" s="548"/>
      <c r="B54" s="636" t="s">
        <v>203</v>
      </c>
      <c r="C54" s="639"/>
      <c r="D54" s="640"/>
      <c r="E54" s="640"/>
      <c r="F54" s="640"/>
      <c r="G54" s="641"/>
      <c r="H54" s="134"/>
      <c r="I54" s="559"/>
      <c r="J54" s="557"/>
    </row>
    <row r="55" spans="1:10" ht="30" customHeight="1">
      <c r="A55" s="548"/>
      <c r="B55" s="642" t="s">
        <v>198</v>
      </c>
      <c r="C55" s="578">
        <f>VLOOKUP('Background Data'!$C$2,FPs_Ind_Nos_1516,27,FALSE)</f>
        <v>76</v>
      </c>
      <c r="D55" s="630">
        <f>'Final Figures 2015-16'!$H$14+'Final Figures 2015-16'!$H$37+'Final Figures 2015-16'!$H$38</f>
        <v>87</v>
      </c>
      <c r="E55" s="630">
        <f>D55-C55</f>
        <v>11</v>
      </c>
      <c r="F55" s="631">
        <f>IF(C55&gt;0,E55/C55,"")</f>
        <v>0.14473684210526316</v>
      </c>
      <c r="G55" s="632" t="str">
        <f>IF(C55&gt;=100,IF(F55&gt;Consol_Tol_Per,"Yes","No"),IF(C55&gt;0,IF(E55&gt;Consol_Tol_FTE,"Yes","No"),"No"))</f>
        <v>Yes</v>
      </c>
      <c r="H55" s="134"/>
      <c r="I55" s="559"/>
      <c r="J55" s="557"/>
    </row>
    <row r="56" spans="1:10" ht="35.1" customHeight="1">
      <c r="A56" s="548"/>
      <c r="B56" s="643" t="s">
        <v>204</v>
      </c>
      <c r="C56" s="637"/>
      <c r="D56" s="637"/>
      <c r="E56" s="637"/>
      <c r="F56" s="637"/>
      <c r="G56" s="638"/>
      <c r="H56" s="134"/>
      <c r="I56" s="559"/>
      <c r="J56" s="557"/>
    </row>
    <row r="57" spans="1:10" ht="30" customHeight="1" thickBot="1">
      <c r="A57" s="548"/>
      <c r="B57" s="644" t="s">
        <v>205</v>
      </c>
      <c r="C57" s="599">
        <f>VLOOKUP('Background Data'!$C$2,FPs_Ind_Nos_1516,28,FALSE)</f>
        <v>10984</v>
      </c>
      <c r="D57" s="599">
        <f>'Final Figures 2015-16'!$D$40+'Final Figures 2015-16'!$D$41</f>
        <v>11068.448</v>
      </c>
      <c r="E57" s="599">
        <f>D57-C57</f>
        <v>84.44800000000032</v>
      </c>
      <c r="F57" s="612">
        <f>IF(C57&gt;0,E57/C57,"")</f>
        <v>7.6882738528769408E-3</v>
      </c>
      <c r="G57" s="645" t="str">
        <f>IF(C57&gt;=100,IF(F57&gt;Consol_Tol_Per,"Yes","No"),IF(C57&gt;0,IF(E57&gt;Consol_Tol_FTE,"Yes","No"),"No"))</f>
        <v>No</v>
      </c>
      <c r="H57" s="134"/>
      <c r="I57" s="559"/>
      <c r="J57" s="557"/>
    </row>
    <row r="58" spans="1:10" ht="18.95" customHeight="1">
      <c r="A58" s="646"/>
      <c r="B58" s="647"/>
      <c r="C58" s="648"/>
      <c r="D58" s="648"/>
      <c r="E58" s="648"/>
      <c r="F58" s="648"/>
      <c r="G58" s="648"/>
      <c r="H58" s="648"/>
      <c r="I58" s="648"/>
      <c r="J58" s="649"/>
    </row>
    <row r="59" spans="1:10" ht="24.95" hidden="1" customHeight="1">
      <c r="B59" s="780" t="s">
        <v>206</v>
      </c>
    </row>
    <row r="60" spans="1:10" ht="24.95" hidden="1" customHeight="1">
      <c r="B60" s="694" t="s">
        <v>207</v>
      </c>
      <c r="C60" s="782">
        <v>0.03</v>
      </c>
    </row>
    <row r="61" spans="1:10" ht="24.95" hidden="1" customHeight="1">
      <c r="B61" s="694" t="s">
        <v>208</v>
      </c>
      <c r="C61" s="782">
        <v>0.02</v>
      </c>
    </row>
    <row r="62" spans="1:10" ht="24.95" hidden="1" customHeight="1">
      <c r="B62" s="694" t="s">
        <v>209</v>
      </c>
      <c r="C62" s="782">
        <v>0.1</v>
      </c>
    </row>
    <row r="63" spans="1:10" ht="24.95" hidden="1" customHeight="1">
      <c r="B63" s="694" t="s">
        <v>210</v>
      </c>
      <c r="C63" s="783">
        <v>10</v>
      </c>
    </row>
    <row r="64" spans="1:10" ht="18.95" hidden="1" customHeight="1"/>
  </sheetData>
  <sheetProtection password="DF8A" sheet="1" objects="1" scenarios="1"/>
  <mergeCells count="7">
    <mergeCell ref="E42:F42"/>
    <mergeCell ref="C31:G31"/>
    <mergeCell ref="C3:E3"/>
    <mergeCell ref="B8:B10"/>
    <mergeCell ref="G8:H8"/>
    <mergeCell ref="B32:B33"/>
    <mergeCell ref="E32:F32"/>
  </mergeCells>
  <conditionalFormatting sqref="G46:G48">
    <cfRule type="cellIs" dxfId="7" priority="8" operator="equal">
      <formula>"YES"</formula>
    </cfRule>
  </conditionalFormatting>
  <conditionalFormatting sqref="G46:G48 I13:I16 I18:I23 I25">
    <cfRule type="cellIs" dxfId="6" priority="7" operator="equal">
      <formula>"YES"</formula>
    </cfRule>
  </conditionalFormatting>
  <conditionalFormatting sqref="I36">
    <cfRule type="cellIs" dxfId="5" priority="6" operator="equal">
      <formula>"YES"</formula>
    </cfRule>
  </conditionalFormatting>
  <conditionalFormatting sqref="G57 G55 G52:G53 G50">
    <cfRule type="cellIs" dxfId="4" priority="5" operator="equal">
      <formula>"YES"</formula>
    </cfRule>
  </conditionalFormatting>
  <conditionalFormatting sqref="G57 G55 G52:G53 G50">
    <cfRule type="cellIs" dxfId="3" priority="4" operator="equal">
      <formula>"YES"</formula>
    </cfRule>
  </conditionalFormatting>
  <conditionalFormatting sqref="B1:B2">
    <cfRule type="expression" dxfId="2" priority="3" stopIfTrue="1">
      <formula>#REF!=0</formula>
    </cfRule>
  </conditionalFormatting>
  <conditionalFormatting sqref="I26">
    <cfRule type="cellIs" dxfId="1" priority="2" operator="equal">
      <formula>"YES"</formula>
    </cfRule>
  </conditionalFormatting>
  <conditionalFormatting sqref="G36">
    <cfRule type="expression" dxfId="0" priority="1">
      <formula>"YES"</formula>
    </cfRule>
  </conditionalFormatting>
  <dataValidations count="1">
    <dataValidation allowBlank="1" sqref="G44:G45 C42:E44 B42 I8 B8 J27:J58 H4:I4 C33:C35 B36:C36 G42 D45:F45 D55:G55 F43:F44 B46:B47 C45:C46 F34:G36 G32:I32 C57:G57 C8:G27 C50 C3 K27:FL27 K4:FL4 K5:FI7 J8:FJ26 B12:B27 H9:H27 I10:I30 D33:D36 C52:C55 E34:E35 I34:I50 C37:H38 B37 B49:B58 E33:F33 B48:C48 B32:E32 D46:G50 D52:G53 J4:J7"/>
  </dataValidations>
  <printOptions horizontalCentered="1"/>
  <pageMargins left="0.15748031496062992" right="0.15748031496062992" top="0.15748031496062992" bottom="0.15748031496062992" header="0.15748031496062992" footer="0.15748031496062992"/>
  <pageSetup paperSize="9" scale="65" fitToHeight="2" orientation="portrait" r:id="rId1"/>
  <headerFooter alignWithMargins="0"/>
  <rowBreaks count="1" manualBreakCount="1">
    <brk id="36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P109"/>
  <sheetViews>
    <sheetView zoomScale="80" zoomScaleNormal="80" workbookViewId="0"/>
  </sheetViews>
  <sheetFormatPr defaultColWidth="9.140625" defaultRowHeight="15"/>
  <cols>
    <col min="1" max="1" width="9.140625" style="1"/>
    <col min="2" max="2" width="48.5703125" style="1" customWidth="1"/>
    <col min="3" max="4" width="12.7109375" style="1" customWidth="1"/>
    <col min="5" max="5" width="14.28515625" style="1" customWidth="1"/>
    <col min="6" max="44" width="12.7109375" style="1" customWidth="1"/>
    <col min="45" max="64" width="13.7109375" style="1" customWidth="1"/>
    <col min="65" max="65" width="14.7109375" style="1" customWidth="1"/>
    <col min="66" max="16384" width="9.140625" style="1"/>
  </cols>
  <sheetData>
    <row r="1" spans="1:32" ht="15.75" thickBot="1"/>
    <row r="2" spans="1:32" ht="24.95" customHeight="1" thickBot="1">
      <c r="A2" s="2" t="s">
        <v>62</v>
      </c>
      <c r="C2" s="784">
        <v>8</v>
      </c>
      <c r="D2" s="369" t="str">
        <f>VLOOKUP(C2,Inst_Tables,2,FALSE)</f>
        <v>Glasgow, University of</v>
      </c>
      <c r="E2" s="421"/>
      <c r="F2" s="421"/>
      <c r="G2" s="421"/>
    </row>
    <row r="4" spans="1:32" ht="20.100000000000001" customHeight="1">
      <c r="A4" s="3" t="s">
        <v>101</v>
      </c>
      <c r="C4" s="4"/>
      <c r="D4" s="5"/>
      <c r="E4" s="5"/>
      <c r="F4" s="5"/>
      <c r="G4" s="4"/>
      <c r="H4" s="4"/>
      <c r="I4" s="5"/>
      <c r="J4" s="6"/>
    </row>
    <row r="5" spans="1:32">
      <c r="B5" s="7"/>
      <c r="C5" s="4"/>
      <c r="D5" s="8"/>
      <c r="E5" s="8"/>
      <c r="F5" s="8"/>
      <c r="G5" s="4"/>
      <c r="H5" s="4"/>
      <c r="I5" s="8"/>
      <c r="J5" s="8"/>
    </row>
    <row r="6" spans="1:32" ht="20.100000000000001" customHeight="1">
      <c r="A6" s="9" t="s">
        <v>63</v>
      </c>
      <c r="B6" s="7"/>
      <c r="C6" s="4"/>
      <c r="D6" s="8"/>
      <c r="E6" s="8"/>
      <c r="F6" s="8"/>
      <c r="G6" s="4"/>
      <c r="H6" s="4"/>
      <c r="I6" s="8"/>
      <c r="J6" s="8"/>
    </row>
    <row r="7" spans="1:32" ht="20.100000000000001" customHeight="1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3"/>
      <c r="G7" s="12"/>
      <c r="H7" s="13"/>
      <c r="I7" s="12"/>
      <c r="J7" s="13"/>
    </row>
    <row r="8" spans="1:32" ht="9.9499999999999993" customHeight="1" thickBot="1">
      <c r="B8" s="7"/>
      <c r="C8" s="4"/>
      <c r="D8" s="8"/>
      <c r="E8" s="14"/>
      <c r="F8" s="14"/>
      <c r="G8" s="14"/>
      <c r="H8" s="14"/>
      <c r="I8" s="14"/>
      <c r="J8" s="14"/>
    </row>
    <row r="9" spans="1:32" ht="50.1" customHeight="1">
      <c r="A9" s="15"/>
      <c r="B9" s="16"/>
      <c r="C9" s="977" t="s">
        <v>64</v>
      </c>
      <c r="D9" s="978"/>
      <c r="E9" s="979"/>
      <c r="F9" s="14"/>
      <c r="G9" s="14"/>
      <c r="H9" s="14"/>
      <c r="I9" s="14"/>
      <c r="J9" s="14"/>
    </row>
    <row r="10" spans="1:32" ht="99.95" customHeight="1">
      <c r="A10" s="29"/>
      <c r="B10" s="257"/>
      <c r="C10" s="980" t="s">
        <v>120</v>
      </c>
      <c r="D10" s="981"/>
      <c r="E10" s="350" t="s">
        <v>121</v>
      </c>
      <c r="F10" s="14"/>
      <c r="G10" s="14"/>
      <c r="H10" s="14"/>
      <c r="I10" s="14"/>
      <c r="J10" s="14"/>
    </row>
    <row r="11" spans="1:32" ht="24.95" customHeight="1">
      <c r="A11" s="17"/>
      <c r="B11" s="18"/>
      <c r="C11" s="19" t="s">
        <v>23</v>
      </c>
      <c r="D11" s="347" t="s">
        <v>2</v>
      </c>
      <c r="E11" s="351"/>
      <c r="F11" s="14"/>
      <c r="G11" s="14"/>
      <c r="H11" s="14"/>
      <c r="I11" s="14"/>
      <c r="J11" s="14"/>
    </row>
    <row r="12" spans="1:32" ht="24.95" customHeight="1">
      <c r="A12" s="20">
        <v>1</v>
      </c>
      <c r="B12" s="21" t="s">
        <v>18</v>
      </c>
      <c r="C12" s="22">
        <v>3</v>
      </c>
      <c r="D12" s="348">
        <v>4</v>
      </c>
      <c r="E12" s="354">
        <v>45</v>
      </c>
      <c r="F12" s="14"/>
      <c r="G12" s="10"/>
      <c r="H12" s="10"/>
      <c r="I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24.95" customHeight="1">
      <c r="A13" s="20">
        <v>2</v>
      </c>
      <c r="B13" s="23" t="s">
        <v>65</v>
      </c>
      <c r="C13" s="22">
        <v>5</v>
      </c>
      <c r="D13" s="348">
        <v>6</v>
      </c>
      <c r="E13" s="355">
        <v>46</v>
      </c>
      <c r="F13" s="14"/>
      <c r="G13" s="10"/>
      <c r="H13" s="10"/>
      <c r="I13" s="10"/>
      <c r="J13" s="14"/>
    </row>
    <row r="14" spans="1:32" ht="24.95" customHeight="1">
      <c r="A14" s="20">
        <v>3</v>
      </c>
      <c r="B14" s="23" t="s">
        <v>66</v>
      </c>
      <c r="C14" s="22">
        <v>7</v>
      </c>
      <c r="D14" s="348">
        <v>8</v>
      </c>
      <c r="E14" s="355">
        <v>47</v>
      </c>
      <c r="F14" s="14"/>
      <c r="G14" s="10"/>
      <c r="H14" s="10"/>
      <c r="I14" s="10"/>
      <c r="J14" s="14"/>
    </row>
    <row r="15" spans="1:32" ht="24.95" customHeight="1">
      <c r="A15" s="20">
        <v>4</v>
      </c>
      <c r="B15" s="23" t="s">
        <v>67</v>
      </c>
      <c r="C15" s="22">
        <v>9</v>
      </c>
      <c r="D15" s="348">
        <v>10</v>
      </c>
      <c r="E15" s="355">
        <v>48</v>
      </c>
      <c r="F15" s="14"/>
      <c r="G15" s="10"/>
      <c r="H15" s="10"/>
      <c r="I15" s="10"/>
      <c r="J15" s="14"/>
    </row>
    <row r="16" spans="1:32" ht="24.95" customHeight="1">
      <c r="A16" s="20">
        <v>5</v>
      </c>
      <c r="B16" s="23" t="s">
        <v>68</v>
      </c>
      <c r="C16" s="22">
        <v>11</v>
      </c>
      <c r="D16" s="348">
        <v>12</v>
      </c>
      <c r="E16" s="355">
        <v>49</v>
      </c>
      <c r="F16" s="14"/>
      <c r="G16" s="10"/>
      <c r="H16" s="10"/>
      <c r="I16" s="10"/>
      <c r="J16" s="14"/>
    </row>
    <row r="17" spans="1:10" ht="24.95" customHeight="1">
      <c r="A17" s="20">
        <v>6</v>
      </c>
      <c r="B17" s="23" t="s">
        <v>69</v>
      </c>
      <c r="C17" s="22">
        <v>13</v>
      </c>
      <c r="D17" s="348">
        <v>14</v>
      </c>
      <c r="E17" s="355">
        <v>50</v>
      </c>
      <c r="F17" s="14"/>
      <c r="G17" s="10"/>
      <c r="H17" s="10"/>
      <c r="I17" s="10"/>
      <c r="J17" s="14"/>
    </row>
    <row r="18" spans="1:10" ht="24.95" customHeight="1">
      <c r="A18" s="20">
        <v>7</v>
      </c>
      <c r="B18" s="23" t="s">
        <v>70</v>
      </c>
      <c r="C18" s="22">
        <v>15</v>
      </c>
      <c r="D18" s="348">
        <v>16</v>
      </c>
      <c r="E18" s="355">
        <v>51</v>
      </c>
      <c r="F18" s="14"/>
      <c r="G18" s="10"/>
      <c r="H18" s="10"/>
      <c r="I18" s="10"/>
      <c r="J18" s="14"/>
    </row>
    <row r="19" spans="1:10" ht="24.95" customHeight="1">
      <c r="A19" s="20">
        <v>8</v>
      </c>
      <c r="B19" s="23" t="s">
        <v>71</v>
      </c>
      <c r="C19" s="22">
        <v>17</v>
      </c>
      <c r="D19" s="348">
        <v>18</v>
      </c>
      <c r="E19" s="355">
        <v>52</v>
      </c>
      <c r="F19" s="14"/>
      <c r="G19" s="10"/>
      <c r="H19" s="10"/>
      <c r="I19" s="10"/>
      <c r="J19" s="14"/>
    </row>
    <row r="20" spans="1:10" ht="24.95" customHeight="1">
      <c r="A20" s="20">
        <v>9</v>
      </c>
      <c r="B20" s="23" t="s">
        <v>72</v>
      </c>
      <c r="C20" s="22">
        <v>19</v>
      </c>
      <c r="D20" s="348">
        <v>20</v>
      </c>
      <c r="E20" s="355">
        <v>53</v>
      </c>
      <c r="F20" s="14"/>
      <c r="G20" s="10"/>
      <c r="H20" s="10"/>
      <c r="I20" s="10"/>
      <c r="J20" s="14"/>
    </row>
    <row r="21" spans="1:10" ht="24.95" customHeight="1">
      <c r="A21" s="20">
        <v>10</v>
      </c>
      <c r="B21" s="23" t="s">
        <v>73</v>
      </c>
      <c r="C21" s="22">
        <v>21</v>
      </c>
      <c r="D21" s="348">
        <v>22</v>
      </c>
      <c r="E21" s="355">
        <v>54</v>
      </c>
      <c r="F21" s="14"/>
      <c r="G21" s="10"/>
      <c r="H21" s="10"/>
      <c r="I21" s="10"/>
      <c r="J21" s="14"/>
    </row>
    <row r="22" spans="1:10" ht="24.95" customHeight="1">
      <c r="A22" s="20">
        <v>11</v>
      </c>
      <c r="B22" s="23" t="s">
        <v>74</v>
      </c>
      <c r="C22" s="22">
        <v>23</v>
      </c>
      <c r="D22" s="348">
        <v>24</v>
      </c>
      <c r="E22" s="355">
        <v>55</v>
      </c>
      <c r="F22" s="14"/>
      <c r="G22" s="10"/>
      <c r="H22" s="10"/>
      <c r="I22" s="10"/>
      <c r="J22" s="14"/>
    </row>
    <row r="23" spans="1:10" ht="24.95" customHeight="1">
      <c r="A23" s="20">
        <v>12</v>
      </c>
      <c r="B23" s="23" t="s">
        <v>75</v>
      </c>
      <c r="C23" s="22">
        <v>25</v>
      </c>
      <c r="D23" s="348">
        <v>26</v>
      </c>
      <c r="E23" s="355">
        <v>56</v>
      </c>
      <c r="F23" s="14"/>
      <c r="G23" s="10"/>
      <c r="H23" s="10"/>
      <c r="I23" s="10"/>
      <c r="J23" s="14"/>
    </row>
    <row r="24" spans="1:10" ht="24.95" customHeight="1">
      <c r="A24" s="20">
        <v>13</v>
      </c>
      <c r="B24" s="23" t="s">
        <v>76</v>
      </c>
      <c r="C24" s="22">
        <v>27</v>
      </c>
      <c r="D24" s="348">
        <v>28</v>
      </c>
      <c r="E24" s="355">
        <v>57</v>
      </c>
      <c r="F24" s="14"/>
      <c r="G24" s="10"/>
      <c r="H24" s="10"/>
      <c r="I24" s="10"/>
      <c r="J24" s="14"/>
    </row>
    <row r="25" spans="1:10" ht="24.95" customHeight="1">
      <c r="A25" s="20">
        <v>14</v>
      </c>
      <c r="B25" s="24" t="s">
        <v>77</v>
      </c>
      <c r="C25" s="22">
        <v>29</v>
      </c>
      <c r="D25" s="348">
        <v>30</v>
      </c>
      <c r="E25" s="355">
        <v>58</v>
      </c>
      <c r="F25" s="14"/>
      <c r="G25" s="10"/>
      <c r="H25" s="10"/>
      <c r="I25" s="10"/>
      <c r="J25" s="14"/>
    </row>
    <row r="26" spans="1:10" ht="24.95" customHeight="1">
      <c r="A26" s="20">
        <v>15</v>
      </c>
      <c r="B26" s="23" t="s">
        <v>102</v>
      </c>
      <c r="C26" s="22">
        <v>31</v>
      </c>
      <c r="D26" s="348">
        <v>32</v>
      </c>
      <c r="E26" s="355">
        <v>59</v>
      </c>
      <c r="F26" s="14"/>
      <c r="G26" s="10"/>
      <c r="H26" s="10"/>
      <c r="I26" s="10"/>
      <c r="J26" s="14"/>
    </row>
    <row r="27" spans="1:10" ht="24.95" customHeight="1">
      <c r="A27" s="20">
        <v>16</v>
      </c>
      <c r="B27" s="23" t="s">
        <v>78</v>
      </c>
      <c r="C27" s="22">
        <v>33</v>
      </c>
      <c r="D27" s="348">
        <v>34</v>
      </c>
      <c r="E27" s="355">
        <v>60</v>
      </c>
      <c r="F27" s="14"/>
      <c r="G27" s="10"/>
      <c r="H27" s="10"/>
      <c r="I27" s="10"/>
      <c r="J27" s="14"/>
    </row>
    <row r="28" spans="1:10" ht="24.95" customHeight="1">
      <c r="A28" s="20">
        <v>17</v>
      </c>
      <c r="B28" s="23" t="s">
        <v>79</v>
      </c>
      <c r="C28" s="22">
        <v>35</v>
      </c>
      <c r="D28" s="348">
        <v>36</v>
      </c>
      <c r="E28" s="355">
        <v>61</v>
      </c>
      <c r="F28" s="14"/>
      <c r="G28" s="10"/>
      <c r="H28" s="10"/>
      <c r="I28" s="10"/>
      <c r="J28" s="14"/>
    </row>
    <row r="29" spans="1:10" ht="24.95" customHeight="1">
      <c r="A29" s="20">
        <v>18</v>
      </c>
      <c r="B29" s="23" t="s">
        <v>80</v>
      </c>
      <c r="C29" s="22">
        <v>37</v>
      </c>
      <c r="D29" s="348">
        <v>38</v>
      </c>
      <c r="E29" s="355">
        <v>62</v>
      </c>
      <c r="F29" s="14"/>
      <c r="G29" s="10"/>
      <c r="H29" s="10"/>
      <c r="I29" s="10"/>
      <c r="J29" s="14"/>
    </row>
    <row r="30" spans="1:10" ht="24.95" customHeight="1">
      <c r="A30" s="20">
        <v>19</v>
      </c>
      <c r="B30" s="23" t="s">
        <v>81</v>
      </c>
      <c r="C30" s="22">
        <v>39</v>
      </c>
      <c r="D30" s="348">
        <v>40</v>
      </c>
      <c r="E30" s="355">
        <v>63</v>
      </c>
      <c r="F30" s="14"/>
      <c r="G30" s="10"/>
      <c r="H30" s="10"/>
      <c r="I30" s="10"/>
      <c r="J30" s="14"/>
    </row>
    <row r="31" spans="1:10" ht="24.95" customHeight="1" thickBot="1">
      <c r="A31" s="25">
        <v>20</v>
      </c>
      <c r="B31" s="26" t="s">
        <v>82</v>
      </c>
      <c r="C31" s="27">
        <v>43</v>
      </c>
      <c r="D31" s="349">
        <v>44</v>
      </c>
      <c r="E31" s="356">
        <v>65</v>
      </c>
      <c r="F31" s="14"/>
      <c r="G31" s="10"/>
      <c r="H31" s="10"/>
      <c r="I31" s="10"/>
      <c r="J31" s="14"/>
    </row>
    <row r="33" spans="1:65">
      <c r="G33" s="10"/>
      <c r="H33" s="10"/>
      <c r="I33" s="10"/>
    </row>
    <row r="34" spans="1:65" ht="20.100000000000001" customHeight="1">
      <c r="A34" s="28" t="s">
        <v>143</v>
      </c>
    </row>
    <row r="36" spans="1:65" ht="20.100000000000001" customHeight="1">
      <c r="A36" s="9" t="s">
        <v>63</v>
      </c>
    </row>
    <row r="37" spans="1:65" ht="20.100000000000001" customHeight="1">
      <c r="A37" s="10">
        <v>1</v>
      </c>
      <c r="B37" s="10">
        <v>2</v>
      </c>
      <c r="C37" s="10">
        <v>3</v>
      </c>
      <c r="D37" s="10">
        <v>4</v>
      </c>
      <c r="E37" s="10">
        <v>5</v>
      </c>
      <c r="F37" s="10">
        <v>6</v>
      </c>
      <c r="G37" s="10">
        <v>7</v>
      </c>
      <c r="H37" s="10">
        <v>8</v>
      </c>
      <c r="I37" s="10">
        <v>9</v>
      </c>
      <c r="J37" s="10">
        <v>10</v>
      </c>
      <c r="K37" s="10">
        <v>11</v>
      </c>
      <c r="L37" s="10">
        <v>12</v>
      </c>
      <c r="M37" s="10">
        <v>13</v>
      </c>
      <c r="N37" s="10">
        <v>14</v>
      </c>
      <c r="O37" s="10">
        <v>15</v>
      </c>
      <c r="P37" s="10">
        <v>16</v>
      </c>
      <c r="Q37" s="10">
        <v>17</v>
      </c>
      <c r="R37" s="10">
        <v>18</v>
      </c>
      <c r="S37" s="10">
        <v>19</v>
      </c>
      <c r="T37" s="10">
        <v>20</v>
      </c>
      <c r="U37" s="10">
        <v>21</v>
      </c>
      <c r="V37" s="10">
        <v>22</v>
      </c>
      <c r="W37" s="10">
        <v>23</v>
      </c>
      <c r="X37" s="10">
        <v>24</v>
      </c>
      <c r="Y37" s="10">
        <v>25</v>
      </c>
      <c r="Z37" s="10">
        <v>26</v>
      </c>
      <c r="AA37" s="10">
        <v>27</v>
      </c>
      <c r="AB37" s="10">
        <v>28</v>
      </c>
      <c r="AC37" s="10">
        <v>29</v>
      </c>
      <c r="AD37" s="10">
        <v>30</v>
      </c>
      <c r="AE37" s="10">
        <v>31</v>
      </c>
      <c r="AF37" s="10">
        <v>32</v>
      </c>
      <c r="AG37" s="10">
        <v>33</v>
      </c>
      <c r="AH37" s="10">
        <v>34</v>
      </c>
      <c r="AI37" s="10">
        <v>35</v>
      </c>
      <c r="AJ37" s="10">
        <v>36</v>
      </c>
      <c r="AK37" s="10">
        <v>37</v>
      </c>
      <c r="AL37" s="10">
        <v>38</v>
      </c>
      <c r="AM37" s="10">
        <v>39</v>
      </c>
      <c r="AN37" s="10">
        <v>40</v>
      </c>
      <c r="AO37" s="10">
        <v>41</v>
      </c>
      <c r="AP37" s="10">
        <v>42</v>
      </c>
      <c r="AQ37" s="10">
        <v>43</v>
      </c>
      <c r="AR37" s="10">
        <v>44</v>
      </c>
      <c r="AS37" s="10">
        <v>45</v>
      </c>
      <c r="AT37" s="10">
        <v>46</v>
      </c>
      <c r="AU37" s="10">
        <v>47</v>
      </c>
      <c r="AV37" s="10">
        <v>48</v>
      </c>
      <c r="AW37" s="10">
        <v>49</v>
      </c>
      <c r="AX37" s="10">
        <v>50</v>
      </c>
      <c r="AY37" s="10">
        <v>51</v>
      </c>
      <c r="AZ37" s="10">
        <v>52</v>
      </c>
      <c r="BA37" s="10">
        <v>53</v>
      </c>
      <c r="BB37" s="10">
        <v>54</v>
      </c>
      <c r="BC37" s="10">
        <v>55</v>
      </c>
      <c r="BD37" s="10">
        <v>56</v>
      </c>
      <c r="BE37" s="10">
        <v>57</v>
      </c>
      <c r="BF37" s="10">
        <v>58</v>
      </c>
      <c r="BG37" s="10">
        <v>59</v>
      </c>
      <c r="BH37" s="10">
        <v>60</v>
      </c>
      <c r="BI37" s="10">
        <v>61</v>
      </c>
      <c r="BJ37" s="10">
        <v>62</v>
      </c>
      <c r="BK37" s="10">
        <v>63</v>
      </c>
      <c r="BL37" s="10">
        <v>64</v>
      </c>
      <c r="BM37" s="10">
        <v>65</v>
      </c>
    </row>
    <row r="38" spans="1:65" ht="15.75" thickBot="1"/>
    <row r="39" spans="1:65" ht="30" customHeight="1">
      <c r="A39" s="15"/>
      <c r="B39" s="429"/>
      <c r="C39" s="986" t="s">
        <v>47</v>
      </c>
      <c r="D39" s="987"/>
      <c r="E39" s="987"/>
      <c r="F39" s="987"/>
      <c r="G39" s="987"/>
      <c r="H39" s="987"/>
      <c r="I39" s="987"/>
      <c r="J39" s="987"/>
      <c r="K39" s="987"/>
      <c r="L39" s="987"/>
      <c r="M39" s="987"/>
      <c r="N39" s="987"/>
      <c r="O39" s="987"/>
      <c r="P39" s="987"/>
      <c r="Q39" s="987"/>
      <c r="R39" s="987"/>
      <c r="S39" s="987"/>
      <c r="T39" s="987"/>
      <c r="U39" s="987"/>
      <c r="V39" s="987"/>
      <c r="W39" s="987"/>
      <c r="X39" s="987"/>
      <c r="Y39" s="987"/>
      <c r="Z39" s="987"/>
      <c r="AA39" s="987"/>
      <c r="AB39" s="987"/>
      <c r="AC39" s="987"/>
      <c r="AD39" s="987"/>
      <c r="AE39" s="987"/>
      <c r="AF39" s="987"/>
      <c r="AG39" s="987"/>
      <c r="AH39" s="987"/>
      <c r="AI39" s="987"/>
      <c r="AJ39" s="987"/>
      <c r="AK39" s="987"/>
      <c r="AL39" s="987"/>
      <c r="AM39" s="987"/>
      <c r="AN39" s="987"/>
      <c r="AO39" s="987"/>
      <c r="AP39" s="987"/>
      <c r="AQ39" s="987"/>
      <c r="AR39" s="988"/>
      <c r="AS39" s="440" t="s">
        <v>137</v>
      </c>
      <c r="AT39" s="441"/>
      <c r="AU39" s="441"/>
      <c r="AV39" s="441"/>
      <c r="AW39" s="441"/>
      <c r="AX39" s="441"/>
      <c r="AY39" s="441"/>
      <c r="AZ39" s="441"/>
      <c r="BA39" s="441"/>
      <c r="BB39" s="441"/>
      <c r="BC39" s="441"/>
      <c r="BD39" s="441"/>
      <c r="BE39" s="441"/>
      <c r="BF39" s="441"/>
      <c r="BG39" s="441"/>
      <c r="BH39" s="441"/>
      <c r="BI39" s="441"/>
      <c r="BJ39" s="441"/>
      <c r="BK39" s="441"/>
      <c r="BL39" s="441"/>
      <c r="BM39" s="442"/>
    </row>
    <row r="40" spans="1:65" ht="60" customHeight="1">
      <c r="A40" s="29"/>
      <c r="B40" s="430"/>
      <c r="C40" s="982" t="s">
        <v>83</v>
      </c>
      <c r="D40" s="983"/>
      <c r="E40" s="984" t="s">
        <v>84</v>
      </c>
      <c r="F40" s="985"/>
      <c r="G40" s="982" t="s">
        <v>85</v>
      </c>
      <c r="H40" s="983"/>
      <c r="I40" s="989" t="s">
        <v>86</v>
      </c>
      <c r="J40" s="985"/>
      <c r="K40" s="982" t="s">
        <v>87</v>
      </c>
      <c r="L40" s="983"/>
      <c r="M40" s="984" t="s">
        <v>88</v>
      </c>
      <c r="N40" s="983"/>
      <c r="O40" s="991" t="s">
        <v>70</v>
      </c>
      <c r="P40" s="985"/>
      <c r="Q40" s="995" t="s">
        <v>71</v>
      </c>
      <c r="R40" s="985"/>
      <c r="S40" s="982" t="s">
        <v>89</v>
      </c>
      <c r="T40" s="983"/>
      <c r="U40" s="984" t="s">
        <v>90</v>
      </c>
      <c r="V40" s="982"/>
      <c r="W40" s="984" t="s">
        <v>91</v>
      </c>
      <c r="X40" s="983"/>
      <c r="Y40" s="984" t="s">
        <v>92</v>
      </c>
      <c r="Z40" s="990"/>
      <c r="AA40" s="984" t="s">
        <v>93</v>
      </c>
      <c r="AB40" s="990"/>
      <c r="AC40" s="993" t="s">
        <v>94</v>
      </c>
      <c r="AD40" s="994"/>
      <c r="AE40" s="984" t="s">
        <v>102</v>
      </c>
      <c r="AF40" s="990"/>
      <c r="AG40" s="984" t="s">
        <v>95</v>
      </c>
      <c r="AH40" s="990"/>
      <c r="AI40" s="984" t="s">
        <v>96</v>
      </c>
      <c r="AJ40" s="990"/>
      <c r="AK40" s="984" t="s">
        <v>97</v>
      </c>
      <c r="AL40" s="990"/>
      <c r="AM40" s="984" t="s">
        <v>98</v>
      </c>
      <c r="AN40" s="990"/>
      <c r="AO40" s="991" t="s">
        <v>3</v>
      </c>
      <c r="AP40" s="983"/>
      <c r="AQ40" s="996" t="s">
        <v>99</v>
      </c>
      <c r="AR40" s="995"/>
      <c r="AS40" s="424" t="s">
        <v>83</v>
      </c>
      <c r="AT40" s="425" t="s">
        <v>110</v>
      </c>
      <c r="AU40" s="425" t="s">
        <v>85</v>
      </c>
      <c r="AV40" s="425" t="s">
        <v>111</v>
      </c>
      <c r="AW40" s="425" t="s">
        <v>87</v>
      </c>
      <c r="AX40" s="425" t="s">
        <v>109</v>
      </c>
      <c r="AY40" s="425" t="s">
        <v>112</v>
      </c>
      <c r="AZ40" s="425" t="s">
        <v>113</v>
      </c>
      <c r="BA40" s="425" t="s">
        <v>89</v>
      </c>
      <c r="BB40" s="425" t="s">
        <v>114</v>
      </c>
      <c r="BC40" s="425" t="s">
        <v>115</v>
      </c>
      <c r="BD40" s="425" t="s">
        <v>116</v>
      </c>
      <c r="BE40" s="425" t="s">
        <v>117</v>
      </c>
      <c r="BF40" s="426" t="s">
        <v>118</v>
      </c>
      <c r="BG40" s="425" t="s">
        <v>102</v>
      </c>
      <c r="BH40" s="425" t="s">
        <v>95</v>
      </c>
      <c r="BI40" s="425" t="s">
        <v>96</v>
      </c>
      <c r="BJ40" s="425" t="s">
        <v>97</v>
      </c>
      <c r="BK40" s="427" t="s">
        <v>119</v>
      </c>
      <c r="BL40" s="428" t="s">
        <v>3</v>
      </c>
      <c r="BM40" s="992" t="s">
        <v>99</v>
      </c>
    </row>
    <row r="41" spans="1:65" ht="24.95" customHeight="1">
      <c r="A41" s="29"/>
      <c r="B41" s="431" t="s">
        <v>42</v>
      </c>
      <c r="C41" s="30" t="s">
        <v>23</v>
      </c>
      <c r="D41" s="31" t="s">
        <v>2</v>
      </c>
      <c r="E41" s="31" t="s">
        <v>23</v>
      </c>
      <c r="F41" s="31" t="s">
        <v>2</v>
      </c>
      <c r="G41" s="31" t="s">
        <v>23</v>
      </c>
      <c r="H41" s="31" t="s">
        <v>2</v>
      </c>
      <c r="I41" s="31" t="s">
        <v>23</v>
      </c>
      <c r="J41" s="31" t="s">
        <v>2</v>
      </c>
      <c r="K41" s="31" t="s">
        <v>23</v>
      </c>
      <c r="L41" s="31" t="s">
        <v>2</v>
      </c>
      <c r="M41" s="31" t="s">
        <v>23</v>
      </c>
      <c r="N41" s="31" t="s">
        <v>2</v>
      </c>
      <c r="O41" s="31" t="s">
        <v>23</v>
      </c>
      <c r="P41" s="31" t="s">
        <v>2</v>
      </c>
      <c r="Q41" s="31" t="s">
        <v>23</v>
      </c>
      <c r="R41" s="31" t="s">
        <v>2</v>
      </c>
      <c r="S41" s="31" t="s">
        <v>23</v>
      </c>
      <c r="T41" s="31" t="s">
        <v>2</v>
      </c>
      <c r="U41" s="31" t="s">
        <v>23</v>
      </c>
      <c r="V41" s="31" t="s">
        <v>2</v>
      </c>
      <c r="W41" s="31" t="s">
        <v>23</v>
      </c>
      <c r="X41" s="31" t="s">
        <v>2</v>
      </c>
      <c r="Y41" s="31" t="s">
        <v>23</v>
      </c>
      <c r="Z41" s="31" t="s">
        <v>2</v>
      </c>
      <c r="AA41" s="31" t="s">
        <v>23</v>
      </c>
      <c r="AB41" s="31" t="s">
        <v>2</v>
      </c>
      <c r="AC41" s="31" t="s">
        <v>23</v>
      </c>
      <c r="AD41" s="31" t="s">
        <v>2</v>
      </c>
      <c r="AE41" s="31" t="s">
        <v>23</v>
      </c>
      <c r="AF41" s="31" t="s">
        <v>2</v>
      </c>
      <c r="AG41" s="31" t="s">
        <v>23</v>
      </c>
      <c r="AH41" s="31" t="s">
        <v>2</v>
      </c>
      <c r="AI41" s="31" t="s">
        <v>23</v>
      </c>
      <c r="AJ41" s="31" t="s">
        <v>2</v>
      </c>
      <c r="AK41" s="31" t="s">
        <v>23</v>
      </c>
      <c r="AL41" s="31" t="s">
        <v>2</v>
      </c>
      <c r="AM41" s="31" t="s">
        <v>23</v>
      </c>
      <c r="AN41" s="31" t="s">
        <v>2</v>
      </c>
      <c r="AO41" s="31" t="s">
        <v>23</v>
      </c>
      <c r="AP41" s="270" t="s">
        <v>2</v>
      </c>
      <c r="AQ41" s="32" t="s">
        <v>23</v>
      </c>
      <c r="AR41" s="33" t="s">
        <v>2</v>
      </c>
      <c r="AS41" s="327"/>
      <c r="AT41" s="333"/>
      <c r="AU41" s="333"/>
      <c r="AV41" s="333"/>
      <c r="AW41" s="333"/>
      <c r="AX41" s="333"/>
      <c r="AY41" s="333"/>
      <c r="AZ41" s="333"/>
      <c r="BA41" s="333"/>
      <c r="BB41" s="333"/>
      <c r="BC41" s="333"/>
      <c r="BD41" s="333"/>
      <c r="BE41" s="333"/>
      <c r="BF41" s="333"/>
      <c r="BG41" s="333"/>
      <c r="BH41" s="333"/>
      <c r="BI41" s="333"/>
      <c r="BJ41" s="333"/>
      <c r="BK41" s="342"/>
      <c r="BL41" s="341"/>
      <c r="BM41" s="992"/>
    </row>
    <row r="42" spans="1:65" ht="24.95" customHeight="1">
      <c r="A42" s="34"/>
      <c r="B42" s="432"/>
      <c r="C42" s="30" t="s">
        <v>27</v>
      </c>
      <c r="D42" s="35" t="s">
        <v>27</v>
      </c>
      <c r="E42" s="36" t="s">
        <v>27</v>
      </c>
      <c r="F42" s="35" t="s">
        <v>27</v>
      </c>
      <c r="G42" s="36" t="s">
        <v>27</v>
      </c>
      <c r="H42" s="37" t="s">
        <v>27</v>
      </c>
      <c r="I42" s="37" t="s">
        <v>27</v>
      </c>
      <c r="J42" s="37" t="s">
        <v>27</v>
      </c>
      <c r="K42" s="37" t="s">
        <v>27</v>
      </c>
      <c r="L42" s="37" t="s">
        <v>27</v>
      </c>
      <c r="M42" s="37" t="s">
        <v>27</v>
      </c>
      <c r="N42" s="37" t="s">
        <v>27</v>
      </c>
      <c r="O42" s="37" t="s">
        <v>27</v>
      </c>
      <c r="P42" s="36" t="s">
        <v>27</v>
      </c>
      <c r="Q42" s="37" t="s">
        <v>27</v>
      </c>
      <c r="R42" s="37" t="s">
        <v>27</v>
      </c>
      <c r="S42" s="37" t="s">
        <v>27</v>
      </c>
      <c r="T42" s="37" t="s">
        <v>27</v>
      </c>
      <c r="U42" s="37" t="s">
        <v>27</v>
      </c>
      <c r="V42" s="37" t="s">
        <v>27</v>
      </c>
      <c r="W42" s="36" t="s">
        <v>27</v>
      </c>
      <c r="X42" s="35" t="s">
        <v>27</v>
      </c>
      <c r="Y42" s="36" t="s">
        <v>27</v>
      </c>
      <c r="Z42" s="36" t="s">
        <v>27</v>
      </c>
      <c r="AA42" s="36" t="s">
        <v>27</v>
      </c>
      <c r="AB42" s="36" t="s">
        <v>27</v>
      </c>
      <c r="AC42" s="36" t="s">
        <v>27</v>
      </c>
      <c r="AD42" s="36" t="s">
        <v>27</v>
      </c>
      <c r="AE42" s="36" t="s">
        <v>27</v>
      </c>
      <c r="AF42" s="36" t="s">
        <v>27</v>
      </c>
      <c r="AG42" s="37" t="s">
        <v>27</v>
      </c>
      <c r="AH42" s="36" t="s">
        <v>27</v>
      </c>
      <c r="AI42" s="36" t="s">
        <v>27</v>
      </c>
      <c r="AJ42" s="36" t="s">
        <v>27</v>
      </c>
      <c r="AK42" s="36" t="s">
        <v>27</v>
      </c>
      <c r="AL42" s="36" t="s">
        <v>27</v>
      </c>
      <c r="AM42" s="30" t="s">
        <v>27</v>
      </c>
      <c r="AN42" s="36" t="s">
        <v>27</v>
      </c>
      <c r="AO42" s="30" t="s">
        <v>27</v>
      </c>
      <c r="AP42" s="271" t="s">
        <v>27</v>
      </c>
      <c r="AQ42" s="38" t="s">
        <v>27</v>
      </c>
      <c r="AR42" s="39" t="s">
        <v>27</v>
      </c>
      <c r="AS42" s="38" t="s">
        <v>27</v>
      </c>
      <c r="AT42" s="36" t="s">
        <v>27</v>
      </c>
      <c r="AU42" s="36" t="s">
        <v>27</v>
      </c>
      <c r="AV42" s="36" t="s">
        <v>27</v>
      </c>
      <c r="AW42" s="36" t="s">
        <v>27</v>
      </c>
      <c r="AX42" s="36" t="s">
        <v>27</v>
      </c>
      <c r="AY42" s="36" t="s">
        <v>27</v>
      </c>
      <c r="AZ42" s="36" t="s">
        <v>27</v>
      </c>
      <c r="BA42" s="36" t="s">
        <v>27</v>
      </c>
      <c r="BB42" s="36" t="s">
        <v>27</v>
      </c>
      <c r="BC42" s="36" t="s">
        <v>27</v>
      </c>
      <c r="BD42" s="36" t="s">
        <v>27</v>
      </c>
      <c r="BE42" s="36" t="s">
        <v>27</v>
      </c>
      <c r="BF42" s="36" t="s">
        <v>27</v>
      </c>
      <c r="BG42" s="36" t="s">
        <v>27</v>
      </c>
      <c r="BH42" s="36" t="s">
        <v>27</v>
      </c>
      <c r="BI42" s="36" t="s">
        <v>27</v>
      </c>
      <c r="BJ42" s="36" t="s">
        <v>27</v>
      </c>
      <c r="BK42" s="271" t="s">
        <v>27</v>
      </c>
      <c r="BL42" s="339" t="s">
        <v>27</v>
      </c>
      <c r="BM42" s="339" t="s">
        <v>27</v>
      </c>
    </row>
    <row r="43" spans="1:65" ht="24.95" customHeight="1">
      <c r="A43" s="40"/>
      <c r="B43" s="433"/>
      <c r="C43" s="328">
        <v>1</v>
      </c>
      <c r="D43" s="329">
        <v>2</v>
      </c>
      <c r="E43" s="330">
        <v>3</v>
      </c>
      <c r="F43" s="331">
        <v>4</v>
      </c>
      <c r="G43" s="328">
        <v>5</v>
      </c>
      <c r="H43" s="329">
        <v>6</v>
      </c>
      <c r="I43" s="330">
        <v>7</v>
      </c>
      <c r="J43" s="331">
        <v>8</v>
      </c>
      <c r="K43" s="328">
        <v>9</v>
      </c>
      <c r="L43" s="329">
        <v>10</v>
      </c>
      <c r="M43" s="330">
        <v>11</v>
      </c>
      <c r="N43" s="331">
        <v>12</v>
      </c>
      <c r="O43" s="328">
        <v>13</v>
      </c>
      <c r="P43" s="329">
        <v>14</v>
      </c>
      <c r="Q43" s="330">
        <v>15</v>
      </c>
      <c r="R43" s="331">
        <v>16</v>
      </c>
      <c r="S43" s="328">
        <v>17</v>
      </c>
      <c r="T43" s="329">
        <v>18</v>
      </c>
      <c r="U43" s="330">
        <v>19</v>
      </c>
      <c r="V43" s="331">
        <v>20</v>
      </c>
      <c r="W43" s="328">
        <v>21</v>
      </c>
      <c r="X43" s="329">
        <v>22</v>
      </c>
      <c r="Y43" s="330">
        <v>23</v>
      </c>
      <c r="Z43" s="331">
        <v>24</v>
      </c>
      <c r="AA43" s="328">
        <v>25</v>
      </c>
      <c r="AB43" s="329">
        <v>26</v>
      </c>
      <c r="AC43" s="330">
        <v>27</v>
      </c>
      <c r="AD43" s="331">
        <v>28</v>
      </c>
      <c r="AE43" s="328">
        <v>29</v>
      </c>
      <c r="AF43" s="329">
        <v>30</v>
      </c>
      <c r="AG43" s="330">
        <v>31</v>
      </c>
      <c r="AH43" s="331">
        <v>32</v>
      </c>
      <c r="AI43" s="328">
        <v>33</v>
      </c>
      <c r="AJ43" s="329">
        <v>34</v>
      </c>
      <c r="AK43" s="330">
        <v>35</v>
      </c>
      <c r="AL43" s="331">
        <v>36</v>
      </c>
      <c r="AM43" s="328">
        <v>37</v>
      </c>
      <c r="AN43" s="329">
        <v>38</v>
      </c>
      <c r="AO43" s="330">
        <v>39</v>
      </c>
      <c r="AP43" s="335">
        <v>40</v>
      </c>
      <c r="AQ43" s="328">
        <v>41</v>
      </c>
      <c r="AR43" s="329">
        <v>42</v>
      </c>
      <c r="AS43" s="332">
        <v>43</v>
      </c>
      <c r="AT43" s="331">
        <v>44</v>
      </c>
      <c r="AU43" s="334">
        <v>45</v>
      </c>
      <c r="AV43" s="331">
        <v>46</v>
      </c>
      <c r="AW43" s="331">
        <v>47</v>
      </c>
      <c r="AX43" s="331">
        <v>48</v>
      </c>
      <c r="AY43" s="334">
        <v>49</v>
      </c>
      <c r="AZ43" s="331">
        <v>50</v>
      </c>
      <c r="BA43" s="331">
        <v>51</v>
      </c>
      <c r="BB43" s="331">
        <v>52</v>
      </c>
      <c r="BC43" s="334">
        <v>53</v>
      </c>
      <c r="BD43" s="331">
        <v>54</v>
      </c>
      <c r="BE43" s="331">
        <v>55</v>
      </c>
      <c r="BF43" s="331">
        <v>56</v>
      </c>
      <c r="BG43" s="334">
        <v>57</v>
      </c>
      <c r="BH43" s="331">
        <v>58</v>
      </c>
      <c r="BI43" s="331">
        <v>59</v>
      </c>
      <c r="BJ43" s="331">
        <v>60</v>
      </c>
      <c r="BK43" s="343">
        <v>61</v>
      </c>
      <c r="BL43" s="340">
        <v>62</v>
      </c>
      <c r="BM43" s="340">
        <v>63</v>
      </c>
    </row>
    <row r="44" spans="1:65" ht="24.95" customHeight="1">
      <c r="A44" s="41">
        <v>1</v>
      </c>
      <c r="B44" s="434" t="s">
        <v>11</v>
      </c>
      <c r="C44" s="275">
        <v>471.1</v>
      </c>
      <c r="D44" s="272">
        <v>91.2</v>
      </c>
      <c r="E44" s="289">
        <v>38</v>
      </c>
      <c r="F44" s="272">
        <v>18</v>
      </c>
      <c r="G44" s="289">
        <v>289.39999999999998</v>
      </c>
      <c r="H44" s="290">
        <v>72.599999999999994</v>
      </c>
      <c r="I44" s="289">
        <v>93</v>
      </c>
      <c r="J44" s="290">
        <v>42</v>
      </c>
      <c r="K44" s="272">
        <v>1563</v>
      </c>
      <c r="L44" s="272">
        <v>237.3</v>
      </c>
      <c r="M44" s="289">
        <v>116</v>
      </c>
      <c r="N44" s="290">
        <v>79.5</v>
      </c>
      <c r="O44" s="272">
        <v>15</v>
      </c>
      <c r="P44" s="272">
        <v>6</v>
      </c>
      <c r="Q44" s="289">
        <v>1211</v>
      </c>
      <c r="R44" s="290">
        <v>193.47</v>
      </c>
      <c r="S44" s="272">
        <v>420.45</v>
      </c>
      <c r="T44" s="272">
        <v>23.8</v>
      </c>
      <c r="U44" s="289">
        <v>29</v>
      </c>
      <c r="V44" s="290">
        <v>7</v>
      </c>
      <c r="W44" s="272">
        <v>0</v>
      </c>
      <c r="X44" s="272">
        <v>0</v>
      </c>
      <c r="Y44" s="289">
        <v>33</v>
      </c>
      <c r="Z44" s="290">
        <v>31</v>
      </c>
      <c r="AA44" s="272">
        <v>39</v>
      </c>
      <c r="AB44" s="272">
        <v>41.4</v>
      </c>
      <c r="AC44" s="289">
        <v>6</v>
      </c>
      <c r="AD44" s="290">
        <v>11</v>
      </c>
      <c r="AE44" s="272">
        <v>0</v>
      </c>
      <c r="AF44" s="272">
        <v>0</v>
      </c>
      <c r="AG44" s="289">
        <v>590</v>
      </c>
      <c r="AH44" s="290">
        <v>34.5</v>
      </c>
      <c r="AI44" s="272">
        <v>181.43</v>
      </c>
      <c r="AJ44" s="272">
        <v>92.24</v>
      </c>
      <c r="AK44" s="289">
        <v>812.17</v>
      </c>
      <c r="AL44" s="290">
        <v>70.900000000000006</v>
      </c>
      <c r="AM44" s="272">
        <v>145</v>
      </c>
      <c r="AN44" s="272">
        <v>78.75</v>
      </c>
      <c r="AO44" s="280">
        <f>SUM(C44,E44,G44,I44,K44,M44,O44,Q44,S44,U44,W44,Y44,AA44,AC44,AE44,AG44,AI44,AK44,AM44)</f>
        <v>6052.55</v>
      </c>
      <c r="AP44" s="281">
        <f>SUM(D44,F44,H44,J44,L44,N44,P44,R44,T44,V44,X44,Z44,AB44,AD44,AF44,AH44,AJ44,AL44,AN44)</f>
        <v>1130.6600000000001</v>
      </c>
      <c r="AQ44" s="275">
        <v>0</v>
      </c>
      <c r="AR44" s="685">
        <v>0</v>
      </c>
      <c r="AS44" s="29"/>
      <c r="AT44" s="336"/>
      <c r="AU44" s="336"/>
      <c r="AV44" s="336"/>
      <c r="AW44" s="336"/>
      <c r="AX44" s="336"/>
      <c r="AY44" s="336"/>
      <c r="AZ44" s="336"/>
      <c r="BA44" s="336"/>
      <c r="BB44" s="336"/>
      <c r="BC44" s="336"/>
      <c r="BD44" s="336"/>
      <c r="BE44" s="336"/>
      <c r="BF44" s="336"/>
      <c r="BG44" s="336"/>
      <c r="BH44" s="336"/>
      <c r="BI44" s="336"/>
      <c r="BJ44" s="336"/>
      <c r="BK44" s="344"/>
      <c r="BL44" s="345"/>
      <c r="BM44" s="345"/>
    </row>
    <row r="45" spans="1:65" ht="30" customHeight="1">
      <c r="A45" s="41"/>
      <c r="B45" s="435" t="s">
        <v>13</v>
      </c>
      <c r="C45" s="276"/>
      <c r="D45" s="259"/>
      <c r="E45" s="445"/>
      <c r="F45" s="259"/>
      <c r="G45" s="445"/>
      <c r="H45" s="260"/>
      <c r="I45" s="445"/>
      <c r="J45" s="260"/>
      <c r="K45" s="259"/>
      <c r="L45" s="259"/>
      <c r="M45" s="445"/>
      <c r="N45" s="260"/>
      <c r="O45" s="259"/>
      <c r="P45" s="259"/>
      <c r="Q45" s="445"/>
      <c r="R45" s="260"/>
      <c r="S45" s="259"/>
      <c r="T45" s="259"/>
      <c r="U45" s="445"/>
      <c r="V45" s="260"/>
      <c r="W45" s="259"/>
      <c r="X45" s="259"/>
      <c r="Y45" s="445"/>
      <c r="Z45" s="260"/>
      <c r="AA45" s="259"/>
      <c r="AB45" s="259"/>
      <c r="AC45" s="445"/>
      <c r="AD45" s="260"/>
      <c r="AE45" s="259"/>
      <c r="AF45" s="259"/>
      <c r="AG45" s="445"/>
      <c r="AH45" s="260"/>
      <c r="AI45" s="259"/>
      <c r="AJ45" s="259"/>
      <c r="AK45" s="445"/>
      <c r="AL45" s="260"/>
      <c r="AM45" s="259"/>
      <c r="AN45" s="259"/>
      <c r="AO45" s="268"/>
      <c r="AP45" s="269"/>
      <c r="AQ45" s="276"/>
      <c r="AR45" s="259"/>
      <c r="AS45" s="29"/>
      <c r="AT45" s="333"/>
      <c r="AU45" s="333"/>
      <c r="AV45" s="333"/>
      <c r="AW45" s="333"/>
      <c r="AX45" s="333"/>
      <c r="AY45" s="333"/>
      <c r="AZ45" s="333"/>
      <c r="BA45" s="333"/>
      <c r="BB45" s="333"/>
      <c r="BC45" s="333"/>
      <c r="BD45" s="333"/>
      <c r="BE45" s="333"/>
      <c r="BF45" s="333"/>
      <c r="BG45" s="333"/>
      <c r="BH45" s="333"/>
      <c r="BI45" s="333"/>
      <c r="BJ45" s="333"/>
      <c r="BK45" s="342"/>
      <c r="BL45" s="341"/>
      <c r="BM45" s="341"/>
    </row>
    <row r="46" spans="1:65" ht="24.95" customHeight="1">
      <c r="A46" s="41"/>
      <c r="B46" s="436" t="s">
        <v>28</v>
      </c>
      <c r="C46" s="276"/>
      <c r="D46" s="259"/>
      <c r="E46" s="445"/>
      <c r="F46" s="259"/>
      <c r="G46" s="445"/>
      <c r="H46" s="260"/>
      <c r="I46" s="445"/>
      <c r="J46" s="260"/>
      <c r="K46" s="259"/>
      <c r="L46" s="259"/>
      <c r="M46" s="445"/>
      <c r="N46" s="260"/>
      <c r="O46" s="259"/>
      <c r="P46" s="259"/>
      <c r="Q46" s="445"/>
      <c r="R46" s="260"/>
      <c r="S46" s="259"/>
      <c r="T46" s="259"/>
      <c r="U46" s="445"/>
      <c r="V46" s="260"/>
      <c r="W46" s="259"/>
      <c r="X46" s="259"/>
      <c r="Y46" s="445"/>
      <c r="Z46" s="260"/>
      <c r="AA46" s="259"/>
      <c r="AB46" s="259"/>
      <c r="AC46" s="445"/>
      <c r="AD46" s="260"/>
      <c r="AE46" s="259"/>
      <c r="AF46" s="259"/>
      <c r="AG46" s="445"/>
      <c r="AH46" s="260"/>
      <c r="AI46" s="259"/>
      <c r="AJ46" s="259"/>
      <c r="AK46" s="445"/>
      <c r="AL46" s="260"/>
      <c r="AM46" s="259"/>
      <c r="AN46" s="259"/>
      <c r="AO46" s="268"/>
      <c r="AP46" s="269"/>
      <c r="AQ46" s="276"/>
      <c r="AR46" s="259"/>
      <c r="AS46" s="29"/>
      <c r="AT46" s="333"/>
      <c r="AU46" s="333"/>
      <c r="AV46" s="333"/>
      <c r="AW46" s="333"/>
      <c r="AX46" s="333"/>
      <c r="AY46" s="333"/>
      <c r="AZ46" s="333"/>
      <c r="BA46" s="333"/>
      <c r="BB46" s="333"/>
      <c r="BC46" s="333"/>
      <c r="BD46" s="333"/>
      <c r="BE46" s="333"/>
      <c r="BF46" s="333"/>
      <c r="BG46" s="333"/>
      <c r="BH46" s="333"/>
      <c r="BI46" s="333"/>
      <c r="BJ46" s="333"/>
      <c r="BK46" s="342"/>
      <c r="BL46" s="341"/>
      <c r="BM46" s="341"/>
    </row>
    <row r="47" spans="1:65" ht="24.95" customHeight="1">
      <c r="A47" s="43">
        <v>2</v>
      </c>
      <c r="B47" s="437" t="s">
        <v>29</v>
      </c>
      <c r="C47" s="277">
        <v>0</v>
      </c>
      <c r="D47" s="267">
        <v>0</v>
      </c>
      <c r="E47" s="446">
        <v>0</v>
      </c>
      <c r="F47" s="267">
        <v>0</v>
      </c>
      <c r="G47" s="446">
        <v>0</v>
      </c>
      <c r="H47" s="266">
        <v>0</v>
      </c>
      <c r="I47" s="446">
        <v>0</v>
      </c>
      <c r="J47" s="266">
        <v>0</v>
      </c>
      <c r="K47" s="267">
        <v>0</v>
      </c>
      <c r="L47" s="267">
        <v>0</v>
      </c>
      <c r="M47" s="446">
        <v>0</v>
      </c>
      <c r="N47" s="266">
        <v>0</v>
      </c>
      <c r="O47" s="267">
        <v>0</v>
      </c>
      <c r="P47" s="267">
        <v>0</v>
      </c>
      <c r="Q47" s="446">
        <v>0</v>
      </c>
      <c r="R47" s="266">
        <v>0</v>
      </c>
      <c r="S47" s="267">
        <v>0</v>
      </c>
      <c r="T47" s="267">
        <v>0</v>
      </c>
      <c r="U47" s="446">
        <v>0</v>
      </c>
      <c r="V47" s="266">
        <v>0</v>
      </c>
      <c r="W47" s="267">
        <v>0</v>
      </c>
      <c r="X47" s="267">
        <v>0</v>
      </c>
      <c r="Y47" s="446">
        <v>0</v>
      </c>
      <c r="Z47" s="266">
        <v>0</v>
      </c>
      <c r="AA47" s="267">
        <v>0</v>
      </c>
      <c r="AB47" s="267">
        <v>0</v>
      </c>
      <c r="AC47" s="446">
        <v>0</v>
      </c>
      <c r="AD47" s="266">
        <v>0</v>
      </c>
      <c r="AE47" s="267">
        <v>0</v>
      </c>
      <c r="AF47" s="267">
        <v>0</v>
      </c>
      <c r="AG47" s="446">
        <v>0</v>
      </c>
      <c r="AH47" s="266">
        <v>0</v>
      </c>
      <c r="AI47" s="267">
        <v>0</v>
      </c>
      <c r="AJ47" s="267">
        <v>0</v>
      </c>
      <c r="AK47" s="446">
        <v>0</v>
      </c>
      <c r="AL47" s="266">
        <v>0</v>
      </c>
      <c r="AM47" s="267">
        <v>98</v>
      </c>
      <c r="AN47" s="267">
        <v>0</v>
      </c>
      <c r="AO47" s="285">
        <f t="shared" ref="AO47:AO76" si="0">SUM(C47,E47,G47,I47,K47,M47,O47,Q47,S47,U47,W47,Y47,AA47,AC47,AE47,AG47,AI47,AK47,AM47)</f>
        <v>98</v>
      </c>
      <c r="AP47" s="286">
        <f t="shared" ref="AP47:AP76" si="1">SUM(D47,F47,H47,J47,L47,N47,P47,R47,T47,V47,X47,Z47,AB47,AD47,AF47,AH47,AJ47,AL47,AN47)</f>
        <v>0</v>
      </c>
      <c r="AQ47" s="277">
        <v>0</v>
      </c>
      <c r="AR47" s="267">
        <v>0</v>
      </c>
      <c r="AS47" s="29"/>
      <c r="AT47" s="333"/>
      <c r="AU47" s="333"/>
      <c r="AV47" s="333"/>
      <c r="AW47" s="333"/>
      <c r="AX47" s="333"/>
      <c r="AY47" s="333"/>
      <c r="AZ47" s="333"/>
      <c r="BA47" s="333"/>
      <c r="BB47" s="333"/>
      <c r="BC47" s="333"/>
      <c r="BD47" s="333"/>
      <c r="BE47" s="333"/>
      <c r="BF47" s="333"/>
      <c r="BG47" s="333"/>
      <c r="BH47" s="333"/>
      <c r="BI47" s="333"/>
      <c r="BJ47" s="333"/>
      <c r="BK47" s="342"/>
      <c r="BL47" s="341"/>
      <c r="BM47" s="341"/>
    </row>
    <row r="48" spans="1:65" ht="24.95" customHeight="1">
      <c r="A48" s="43">
        <v>3</v>
      </c>
      <c r="B48" s="436" t="s">
        <v>30</v>
      </c>
      <c r="C48" s="277">
        <v>495.9</v>
      </c>
      <c r="D48" s="267">
        <v>59.5</v>
      </c>
      <c r="E48" s="446">
        <v>67.5</v>
      </c>
      <c r="F48" s="267">
        <v>39.835000000000001</v>
      </c>
      <c r="G48" s="446">
        <v>381.63</v>
      </c>
      <c r="H48" s="266">
        <v>481.11</v>
      </c>
      <c r="I48" s="446">
        <v>525</v>
      </c>
      <c r="J48" s="266">
        <v>204.84800000000001</v>
      </c>
      <c r="K48" s="267">
        <v>162</v>
      </c>
      <c r="L48" s="267">
        <v>30.1</v>
      </c>
      <c r="M48" s="446">
        <v>317.5</v>
      </c>
      <c r="N48" s="266">
        <v>140.94</v>
      </c>
      <c r="O48" s="267">
        <v>185.5</v>
      </c>
      <c r="P48" s="267">
        <v>3.5</v>
      </c>
      <c r="Q48" s="446">
        <v>933.6</v>
      </c>
      <c r="R48" s="266">
        <v>241.68</v>
      </c>
      <c r="S48" s="267">
        <v>446.45</v>
      </c>
      <c r="T48" s="267">
        <v>63.68</v>
      </c>
      <c r="U48" s="446">
        <v>13</v>
      </c>
      <c r="V48" s="266">
        <v>75.400000000000006</v>
      </c>
      <c r="W48" s="267">
        <v>0</v>
      </c>
      <c r="X48" s="267">
        <v>127.3338</v>
      </c>
      <c r="Y48" s="446">
        <v>177</v>
      </c>
      <c r="Z48" s="266">
        <v>138.19</v>
      </c>
      <c r="AA48" s="267">
        <v>148.83000000000001</v>
      </c>
      <c r="AB48" s="267">
        <v>142.49</v>
      </c>
      <c r="AC48" s="446">
        <v>77</v>
      </c>
      <c r="AD48" s="266">
        <v>4</v>
      </c>
      <c r="AE48" s="267">
        <v>0</v>
      </c>
      <c r="AF48" s="267">
        <v>14.5</v>
      </c>
      <c r="AG48" s="446">
        <v>345</v>
      </c>
      <c r="AH48" s="266">
        <v>29.78</v>
      </c>
      <c r="AI48" s="267">
        <v>315.39</v>
      </c>
      <c r="AJ48" s="267">
        <v>173.21</v>
      </c>
      <c r="AK48" s="446">
        <v>421.78</v>
      </c>
      <c r="AL48" s="266">
        <v>222.01</v>
      </c>
      <c r="AM48" s="267">
        <v>272</v>
      </c>
      <c r="AN48" s="267">
        <v>207.91666666666666</v>
      </c>
      <c r="AO48" s="263">
        <f t="shared" si="0"/>
        <v>5285.08</v>
      </c>
      <c r="AP48" s="264">
        <f t="shared" si="1"/>
        <v>2400.023466666667</v>
      </c>
      <c r="AQ48" s="277">
        <v>0</v>
      </c>
      <c r="AR48" s="267">
        <v>97.88</v>
      </c>
      <c r="AS48" s="29"/>
      <c r="AT48" s="333"/>
      <c r="AU48" s="333"/>
      <c r="AV48" s="333"/>
      <c r="AW48" s="333"/>
      <c r="AX48" s="333"/>
      <c r="AY48" s="333"/>
      <c r="AZ48" s="333"/>
      <c r="BA48" s="333"/>
      <c r="BB48" s="333"/>
      <c r="BC48" s="333"/>
      <c r="BD48" s="333"/>
      <c r="BE48" s="333"/>
      <c r="BF48" s="333"/>
      <c r="BG48" s="333"/>
      <c r="BH48" s="333"/>
      <c r="BI48" s="333"/>
      <c r="BJ48" s="333"/>
      <c r="BK48" s="342"/>
      <c r="BL48" s="341"/>
      <c r="BM48" s="341"/>
    </row>
    <row r="49" spans="1:65" ht="24.95" customHeight="1">
      <c r="A49" s="43">
        <v>4</v>
      </c>
      <c r="B49" s="436" t="s">
        <v>106</v>
      </c>
      <c r="C49" s="276"/>
      <c r="D49" s="452"/>
      <c r="E49" s="445"/>
      <c r="F49" s="452"/>
      <c r="G49" s="445"/>
      <c r="H49" s="653"/>
      <c r="I49" s="445"/>
      <c r="J49" s="260"/>
      <c r="K49" s="259"/>
      <c r="L49" s="259"/>
      <c r="M49" s="445"/>
      <c r="N49" s="260"/>
      <c r="O49" s="259"/>
      <c r="P49" s="259"/>
      <c r="Q49" s="445"/>
      <c r="R49" s="260"/>
      <c r="S49" s="259"/>
      <c r="T49" s="259"/>
      <c r="U49" s="445"/>
      <c r="V49" s="260"/>
      <c r="W49" s="259"/>
      <c r="X49" s="259"/>
      <c r="Y49" s="445"/>
      <c r="Z49" s="260"/>
      <c r="AA49" s="259"/>
      <c r="AB49" s="259"/>
      <c r="AC49" s="445"/>
      <c r="AD49" s="260"/>
      <c r="AE49" s="259"/>
      <c r="AF49" s="259"/>
      <c r="AG49" s="445"/>
      <c r="AH49" s="260"/>
      <c r="AI49" s="259"/>
      <c r="AJ49" s="259"/>
      <c r="AK49" s="445"/>
      <c r="AL49" s="260"/>
      <c r="AM49" s="259"/>
      <c r="AN49" s="259"/>
      <c r="AO49" s="268"/>
      <c r="AP49" s="269"/>
      <c r="AQ49" s="276"/>
      <c r="AR49" s="259"/>
      <c r="AS49" s="400">
        <v>0</v>
      </c>
      <c r="AT49" s="337">
        <v>0</v>
      </c>
      <c r="AU49" s="337">
        <v>0</v>
      </c>
      <c r="AV49" s="337">
        <v>15</v>
      </c>
      <c r="AW49" s="337">
        <v>51</v>
      </c>
      <c r="AX49" s="337">
        <v>0</v>
      </c>
      <c r="AY49" s="337">
        <v>0</v>
      </c>
      <c r="AZ49" s="337">
        <v>33</v>
      </c>
      <c r="BA49" s="337">
        <v>0</v>
      </c>
      <c r="BB49" s="337">
        <v>0</v>
      </c>
      <c r="BC49" s="337">
        <v>0</v>
      </c>
      <c r="BD49" s="337">
        <v>0</v>
      </c>
      <c r="BE49" s="337">
        <v>0</v>
      </c>
      <c r="BF49" s="337">
        <v>0</v>
      </c>
      <c r="BG49" s="337">
        <v>0</v>
      </c>
      <c r="BH49" s="337">
        <v>0</v>
      </c>
      <c r="BI49" s="337">
        <v>31</v>
      </c>
      <c r="BJ49" s="337">
        <v>24</v>
      </c>
      <c r="BK49" s="401">
        <v>0</v>
      </c>
      <c r="BL49" s="346">
        <f>SUM(AS49:BK49)</f>
        <v>154</v>
      </c>
      <c r="BM49" s="352">
        <v>0</v>
      </c>
    </row>
    <row r="50" spans="1:65" ht="24.95" customHeight="1">
      <c r="A50" s="41"/>
      <c r="B50" s="436" t="s">
        <v>3</v>
      </c>
      <c r="C50" s="443">
        <f t="shared" ref="C50:D50" si="2">SUM(C47:C48)</f>
        <v>495.9</v>
      </c>
      <c r="D50" s="264">
        <f t="shared" si="2"/>
        <v>59.5</v>
      </c>
      <c r="E50" s="447">
        <f t="shared" ref="E50:H50" si="3">SUM(E47:E48)</f>
        <v>67.5</v>
      </c>
      <c r="F50" s="264">
        <f t="shared" si="3"/>
        <v>39.835000000000001</v>
      </c>
      <c r="G50" s="447">
        <f t="shared" si="3"/>
        <v>381.63</v>
      </c>
      <c r="H50" s="292">
        <f t="shared" si="3"/>
        <v>481.11</v>
      </c>
      <c r="I50" s="447">
        <f t="shared" ref="I50:J50" si="4">SUM(I47:I48)</f>
        <v>525</v>
      </c>
      <c r="J50" s="292">
        <f t="shared" si="4"/>
        <v>204.84800000000001</v>
      </c>
      <c r="K50" s="264">
        <f t="shared" ref="K50:T50" si="5">SUM(K47:K48)</f>
        <v>162</v>
      </c>
      <c r="L50" s="264">
        <f t="shared" si="5"/>
        <v>30.1</v>
      </c>
      <c r="M50" s="447">
        <f t="shared" si="5"/>
        <v>317.5</v>
      </c>
      <c r="N50" s="292">
        <f t="shared" si="5"/>
        <v>140.94</v>
      </c>
      <c r="O50" s="264">
        <f t="shared" si="5"/>
        <v>185.5</v>
      </c>
      <c r="P50" s="264">
        <f t="shared" si="5"/>
        <v>3.5</v>
      </c>
      <c r="Q50" s="447">
        <f t="shared" si="5"/>
        <v>933.6</v>
      </c>
      <c r="R50" s="292">
        <f t="shared" si="5"/>
        <v>241.68</v>
      </c>
      <c r="S50" s="264">
        <f t="shared" si="5"/>
        <v>446.45</v>
      </c>
      <c r="T50" s="264">
        <f t="shared" si="5"/>
        <v>63.68</v>
      </c>
      <c r="U50" s="447">
        <f t="shared" ref="U50:Z50" si="6">SUM(U47:U48)</f>
        <v>13</v>
      </c>
      <c r="V50" s="292">
        <f t="shared" si="6"/>
        <v>75.400000000000006</v>
      </c>
      <c r="W50" s="264">
        <f t="shared" si="6"/>
        <v>0</v>
      </c>
      <c r="X50" s="264">
        <f t="shared" si="6"/>
        <v>127.3338</v>
      </c>
      <c r="Y50" s="447">
        <f t="shared" si="6"/>
        <v>177</v>
      </c>
      <c r="Z50" s="292">
        <f t="shared" si="6"/>
        <v>138.19</v>
      </c>
      <c r="AA50" s="264">
        <f t="shared" ref="AA50:AF50" si="7">SUM(AA47:AA48)</f>
        <v>148.83000000000001</v>
      </c>
      <c r="AB50" s="264">
        <f t="shared" si="7"/>
        <v>142.49</v>
      </c>
      <c r="AC50" s="447">
        <f t="shared" si="7"/>
        <v>77</v>
      </c>
      <c r="AD50" s="292">
        <f t="shared" si="7"/>
        <v>4</v>
      </c>
      <c r="AE50" s="264">
        <f t="shared" si="7"/>
        <v>0</v>
      </c>
      <c r="AF50" s="264">
        <f t="shared" si="7"/>
        <v>14.5</v>
      </c>
      <c r="AG50" s="447">
        <f t="shared" ref="AG50:AH50" si="8">SUM(AG47:AG48)</f>
        <v>345</v>
      </c>
      <c r="AH50" s="292">
        <f t="shared" si="8"/>
        <v>29.78</v>
      </c>
      <c r="AI50" s="264">
        <f t="shared" ref="AI50:AJ50" si="9">SUM(AI47:AI48)</f>
        <v>315.39</v>
      </c>
      <c r="AJ50" s="264">
        <f t="shared" si="9"/>
        <v>173.21</v>
      </c>
      <c r="AK50" s="447">
        <f t="shared" ref="AK50:AL50" si="10">SUM(AK47:AK48)</f>
        <v>421.78</v>
      </c>
      <c r="AL50" s="292">
        <f t="shared" si="10"/>
        <v>222.01</v>
      </c>
      <c r="AM50" s="264">
        <f t="shared" ref="AM50:AN50" si="11">SUM(AM47:AM48)</f>
        <v>370</v>
      </c>
      <c r="AN50" s="264">
        <f t="shared" si="11"/>
        <v>207.91666666666666</v>
      </c>
      <c r="AO50" s="263">
        <f t="shared" si="0"/>
        <v>5383.08</v>
      </c>
      <c r="AP50" s="264">
        <f t="shared" si="1"/>
        <v>2400.023466666667</v>
      </c>
      <c r="AQ50" s="443">
        <f t="shared" ref="AQ50:AR50" si="12">SUM(AQ47:AQ48)</f>
        <v>0</v>
      </c>
      <c r="AR50" s="264">
        <f t="shared" si="12"/>
        <v>97.88</v>
      </c>
      <c r="AS50" s="29"/>
      <c r="AT50" s="333"/>
      <c r="AU50" s="333"/>
      <c r="AV50" s="333"/>
      <c r="AW50" s="333"/>
      <c r="AX50" s="333"/>
      <c r="AY50" s="333"/>
      <c r="AZ50" s="333"/>
      <c r="BA50" s="333"/>
      <c r="BB50" s="333"/>
      <c r="BC50" s="333"/>
      <c r="BD50" s="333"/>
      <c r="BE50" s="333"/>
      <c r="BF50" s="333"/>
      <c r="BG50" s="333"/>
      <c r="BH50" s="333"/>
      <c r="BI50" s="333"/>
      <c r="BJ50" s="333"/>
      <c r="BK50" s="342"/>
      <c r="BL50" s="341"/>
      <c r="BM50" s="341"/>
    </row>
    <row r="51" spans="1:65" ht="24.95" customHeight="1">
      <c r="A51" s="41"/>
      <c r="B51" s="435" t="s">
        <v>15</v>
      </c>
      <c r="C51" s="276"/>
      <c r="D51" s="259"/>
      <c r="E51" s="445"/>
      <c r="F51" s="259"/>
      <c r="G51" s="445"/>
      <c r="H51" s="260"/>
      <c r="I51" s="445"/>
      <c r="J51" s="260"/>
      <c r="K51" s="259"/>
      <c r="L51" s="259"/>
      <c r="M51" s="445"/>
      <c r="N51" s="260"/>
      <c r="O51" s="259"/>
      <c r="P51" s="259"/>
      <c r="Q51" s="445"/>
      <c r="R51" s="260"/>
      <c r="S51" s="259"/>
      <c r="T51" s="259"/>
      <c r="U51" s="445"/>
      <c r="V51" s="260"/>
      <c r="W51" s="259"/>
      <c r="X51" s="259"/>
      <c r="Y51" s="445"/>
      <c r="Z51" s="260"/>
      <c r="AA51" s="259"/>
      <c r="AB51" s="259"/>
      <c r="AC51" s="445"/>
      <c r="AD51" s="260"/>
      <c r="AE51" s="259"/>
      <c r="AF51" s="259"/>
      <c r="AG51" s="445"/>
      <c r="AH51" s="260"/>
      <c r="AI51" s="259"/>
      <c r="AJ51" s="259"/>
      <c r="AK51" s="445"/>
      <c r="AL51" s="260"/>
      <c r="AM51" s="259"/>
      <c r="AN51" s="259"/>
      <c r="AO51" s="268"/>
      <c r="AP51" s="282"/>
      <c r="AQ51" s="276"/>
      <c r="AR51" s="259"/>
      <c r="AS51" s="29"/>
      <c r="AT51" s="333"/>
      <c r="AU51" s="333"/>
      <c r="AV51" s="333"/>
      <c r="AW51" s="333"/>
      <c r="AX51" s="333"/>
      <c r="AY51" s="333"/>
      <c r="AZ51" s="333"/>
      <c r="BA51" s="333"/>
      <c r="BB51" s="333"/>
      <c r="BC51" s="333"/>
      <c r="BD51" s="333"/>
      <c r="BE51" s="333"/>
      <c r="BF51" s="333"/>
      <c r="BG51" s="333"/>
      <c r="BH51" s="333"/>
      <c r="BI51" s="333"/>
      <c r="BJ51" s="333"/>
      <c r="BK51" s="342"/>
      <c r="BL51" s="341"/>
      <c r="BM51" s="341"/>
    </row>
    <row r="52" spans="1:65" ht="24.95" customHeight="1">
      <c r="A52" s="41"/>
      <c r="B52" s="436" t="s">
        <v>28</v>
      </c>
      <c r="C52" s="276"/>
      <c r="D52" s="259"/>
      <c r="E52" s="445"/>
      <c r="F52" s="259"/>
      <c r="G52" s="445"/>
      <c r="H52" s="260"/>
      <c r="I52" s="445"/>
      <c r="J52" s="260"/>
      <c r="K52" s="259"/>
      <c r="L52" s="259"/>
      <c r="M52" s="445"/>
      <c r="N52" s="260"/>
      <c r="O52" s="259"/>
      <c r="P52" s="259"/>
      <c r="Q52" s="445"/>
      <c r="R52" s="260"/>
      <c r="S52" s="259"/>
      <c r="T52" s="259"/>
      <c r="U52" s="445"/>
      <c r="V52" s="260"/>
      <c r="W52" s="259"/>
      <c r="X52" s="259"/>
      <c r="Y52" s="445"/>
      <c r="Z52" s="260"/>
      <c r="AA52" s="259"/>
      <c r="AB52" s="259"/>
      <c r="AC52" s="445"/>
      <c r="AD52" s="260"/>
      <c r="AE52" s="259"/>
      <c r="AF52" s="259"/>
      <c r="AG52" s="445"/>
      <c r="AH52" s="260"/>
      <c r="AI52" s="259"/>
      <c r="AJ52" s="259"/>
      <c r="AK52" s="445"/>
      <c r="AL52" s="260"/>
      <c r="AM52" s="259"/>
      <c r="AN52" s="259"/>
      <c r="AO52" s="268"/>
      <c r="AP52" s="269"/>
      <c r="AQ52" s="276"/>
      <c r="AR52" s="259"/>
      <c r="AS52" s="29"/>
      <c r="AT52" s="333"/>
      <c r="AU52" s="333"/>
      <c r="AV52" s="333"/>
      <c r="AW52" s="333"/>
      <c r="AX52" s="333"/>
      <c r="AY52" s="333"/>
      <c r="AZ52" s="333"/>
      <c r="BA52" s="333"/>
      <c r="BB52" s="333"/>
      <c r="BC52" s="333"/>
      <c r="BD52" s="333"/>
      <c r="BE52" s="333"/>
      <c r="BF52" s="333"/>
      <c r="BG52" s="333"/>
      <c r="BH52" s="333"/>
      <c r="BI52" s="333"/>
      <c r="BJ52" s="333"/>
      <c r="BK52" s="342"/>
      <c r="BL52" s="341"/>
      <c r="BM52" s="341"/>
    </row>
    <row r="53" spans="1:65" ht="24.95" customHeight="1">
      <c r="A53" s="43">
        <v>5</v>
      </c>
      <c r="B53" s="437" t="s">
        <v>31</v>
      </c>
      <c r="C53" s="277">
        <v>176.7</v>
      </c>
      <c r="D53" s="267">
        <v>48.900000000000006</v>
      </c>
      <c r="E53" s="446">
        <v>0</v>
      </c>
      <c r="F53" s="267">
        <v>0</v>
      </c>
      <c r="G53" s="446">
        <v>173</v>
      </c>
      <c r="H53" s="266">
        <v>7</v>
      </c>
      <c r="I53" s="446">
        <v>0</v>
      </c>
      <c r="J53" s="266">
        <v>0</v>
      </c>
      <c r="K53" s="267">
        <v>113</v>
      </c>
      <c r="L53" s="267">
        <v>0</v>
      </c>
      <c r="M53" s="446">
        <v>0</v>
      </c>
      <c r="N53" s="266">
        <v>0</v>
      </c>
      <c r="O53" s="267">
        <v>0</v>
      </c>
      <c r="P53" s="267">
        <v>0</v>
      </c>
      <c r="Q53" s="446">
        <v>187</v>
      </c>
      <c r="R53" s="266">
        <v>1</v>
      </c>
      <c r="S53" s="267">
        <v>0</v>
      </c>
      <c r="T53" s="267">
        <v>0</v>
      </c>
      <c r="U53" s="446">
        <v>61</v>
      </c>
      <c r="V53" s="266">
        <v>0</v>
      </c>
      <c r="W53" s="267">
        <v>0</v>
      </c>
      <c r="X53" s="267">
        <v>0</v>
      </c>
      <c r="Y53" s="446">
        <v>0</v>
      </c>
      <c r="Z53" s="266">
        <v>0</v>
      </c>
      <c r="AA53" s="267">
        <v>0</v>
      </c>
      <c r="AB53" s="267">
        <v>0</v>
      </c>
      <c r="AC53" s="446">
        <v>0</v>
      </c>
      <c r="AD53" s="266">
        <v>0</v>
      </c>
      <c r="AE53" s="267">
        <v>0</v>
      </c>
      <c r="AF53" s="267">
        <v>0</v>
      </c>
      <c r="AG53" s="446">
        <v>0</v>
      </c>
      <c r="AH53" s="266">
        <v>0</v>
      </c>
      <c r="AI53" s="267">
        <v>0</v>
      </c>
      <c r="AJ53" s="267">
        <v>0</v>
      </c>
      <c r="AK53" s="446">
        <v>317</v>
      </c>
      <c r="AL53" s="266">
        <v>0</v>
      </c>
      <c r="AM53" s="267">
        <v>138</v>
      </c>
      <c r="AN53" s="267">
        <v>4</v>
      </c>
      <c r="AO53" s="285">
        <f t="shared" si="0"/>
        <v>1165.7</v>
      </c>
      <c r="AP53" s="286">
        <f>SUM(D53,F53,H53,J53,L53,N53,P53,R53,T53,V53,X53,Z53,AB53,AD53,AF53,AH53,AJ53,AL53,AN53)</f>
        <v>60.900000000000006</v>
      </c>
      <c r="AQ53" s="277">
        <v>0</v>
      </c>
      <c r="AR53" s="267">
        <v>0</v>
      </c>
      <c r="AS53" s="277">
        <v>2</v>
      </c>
      <c r="AT53" s="337">
        <v>0</v>
      </c>
      <c r="AU53" s="337">
        <v>4.5</v>
      </c>
      <c r="AV53" s="337">
        <v>0</v>
      </c>
      <c r="AW53" s="337">
        <v>5</v>
      </c>
      <c r="AX53" s="337">
        <v>0</v>
      </c>
      <c r="AY53" s="337">
        <v>0</v>
      </c>
      <c r="AZ53" s="337">
        <v>4</v>
      </c>
      <c r="BA53" s="337">
        <v>0</v>
      </c>
      <c r="BB53" s="337">
        <v>0</v>
      </c>
      <c r="BC53" s="337">
        <v>0</v>
      </c>
      <c r="BD53" s="337">
        <v>0</v>
      </c>
      <c r="BE53" s="337">
        <v>0</v>
      </c>
      <c r="BF53" s="337">
        <v>0</v>
      </c>
      <c r="BG53" s="337">
        <v>0</v>
      </c>
      <c r="BH53" s="337">
        <v>0</v>
      </c>
      <c r="BI53" s="337">
        <v>0</v>
      </c>
      <c r="BJ53" s="337">
        <v>8</v>
      </c>
      <c r="BK53" s="265">
        <v>4</v>
      </c>
      <c r="BL53" s="346">
        <f>SUM(AS53:BK53)</f>
        <v>27.5</v>
      </c>
      <c r="BM53" s="352">
        <v>0</v>
      </c>
    </row>
    <row r="54" spans="1:65" ht="24.95" customHeight="1">
      <c r="A54" s="43">
        <v>6</v>
      </c>
      <c r="B54" s="437" t="s">
        <v>32</v>
      </c>
      <c r="C54" s="277">
        <v>129.6</v>
      </c>
      <c r="D54" s="267">
        <v>0</v>
      </c>
      <c r="E54" s="446">
        <v>0</v>
      </c>
      <c r="F54" s="267">
        <v>0</v>
      </c>
      <c r="G54" s="446">
        <v>25</v>
      </c>
      <c r="H54" s="266">
        <v>0</v>
      </c>
      <c r="I54" s="446">
        <v>0</v>
      </c>
      <c r="J54" s="266">
        <v>0</v>
      </c>
      <c r="K54" s="267">
        <v>141</v>
      </c>
      <c r="L54" s="267">
        <v>0</v>
      </c>
      <c r="M54" s="446">
        <v>0</v>
      </c>
      <c r="N54" s="266">
        <v>0</v>
      </c>
      <c r="O54" s="267">
        <v>0</v>
      </c>
      <c r="P54" s="267">
        <v>0</v>
      </c>
      <c r="Q54" s="446">
        <v>161</v>
      </c>
      <c r="R54" s="266">
        <v>1</v>
      </c>
      <c r="S54" s="267">
        <v>0</v>
      </c>
      <c r="T54" s="267">
        <v>0</v>
      </c>
      <c r="U54" s="446">
        <v>5</v>
      </c>
      <c r="V54" s="266">
        <v>0</v>
      </c>
      <c r="W54" s="267">
        <v>0</v>
      </c>
      <c r="X54" s="267">
        <v>0</v>
      </c>
      <c r="Y54" s="446">
        <v>0</v>
      </c>
      <c r="Z54" s="266">
        <v>0</v>
      </c>
      <c r="AA54" s="267">
        <v>0</v>
      </c>
      <c r="AB54" s="267">
        <v>0</v>
      </c>
      <c r="AC54" s="446">
        <v>0</v>
      </c>
      <c r="AD54" s="266">
        <v>0</v>
      </c>
      <c r="AE54" s="267">
        <v>0</v>
      </c>
      <c r="AF54" s="267">
        <v>0</v>
      </c>
      <c r="AG54" s="446">
        <v>0</v>
      </c>
      <c r="AH54" s="266">
        <v>0</v>
      </c>
      <c r="AI54" s="267">
        <v>0</v>
      </c>
      <c r="AJ54" s="267">
        <v>0</v>
      </c>
      <c r="AK54" s="446">
        <v>381</v>
      </c>
      <c r="AL54" s="266">
        <v>7</v>
      </c>
      <c r="AM54" s="267">
        <v>74</v>
      </c>
      <c r="AN54" s="267">
        <v>0</v>
      </c>
      <c r="AO54" s="285">
        <f>SUM(C54,E54,G54,I54,K54,M54,O54,Q54,S54,U54,W54,Y54,AA54,AC54,AE54,AG54,AI54,AK54,AM54)</f>
        <v>916.6</v>
      </c>
      <c r="AP54" s="286">
        <f>SUM(D54,F54,H54,J54,L54,N54,P54,R54,T54,V54,X54,Z54,AB54,AD54,AF54,AH54,AJ54,AL54,AN54)</f>
        <v>8</v>
      </c>
      <c r="AQ54" s="277">
        <v>0</v>
      </c>
      <c r="AR54" s="267">
        <v>0</v>
      </c>
      <c r="AS54" s="277">
        <v>3</v>
      </c>
      <c r="AT54" s="337">
        <v>0</v>
      </c>
      <c r="AU54" s="337">
        <v>3</v>
      </c>
      <c r="AV54" s="337">
        <v>0</v>
      </c>
      <c r="AW54" s="337">
        <v>8</v>
      </c>
      <c r="AX54" s="337">
        <v>0</v>
      </c>
      <c r="AY54" s="337">
        <v>0</v>
      </c>
      <c r="AZ54" s="337">
        <v>8</v>
      </c>
      <c r="BA54" s="337">
        <v>0</v>
      </c>
      <c r="BB54" s="337">
        <v>0</v>
      </c>
      <c r="BC54" s="337">
        <v>0</v>
      </c>
      <c r="BD54" s="337">
        <v>0</v>
      </c>
      <c r="BE54" s="337">
        <v>0</v>
      </c>
      <c r="BF54" s="337">
        <v>0</v>
      </c>
      <c r="BG54" s="337">
        <v>0</v>
      </c>
      <c r="BH54" s="337">
        <v>0</v>
      </c>
      <c r="BI54" s="337">
        <v>0</v>
      </c>
      <c r="BJ54" s="337">
        <v>17</v>
      </c>
      <c r="BK54" s="265">
        <v>2</v>
      </c>
      <c r="BL54" s="346">
        <f>SUM(AS54:BK54)</f>
        <v>41</v>
      </c>
      <c r="BM54" s="352">
        <v>0</v>
      </c>
    </row>
    <row r="55" spans="1:65" ht="24.95" customHeight="1">
      <c r="A55" s="43">
        <v>7</v>
      </c>
      <c r="B55" s="436" t="s">
        <v>30</v>
      </c>
      <c r="C55" s="277">
        <v>0</v>
      </c>
      <c r="D55" s="267">
        <v>138.30000000000001</v>
      </c>
      <c r="E55" s="446">
        <v>0</v>
      </c>
      <c r="F55" s="267">
        <v>0</v>
      </c>
      <c r="G55" s="446">
        <v>77.5</v>
      </c>
      <c r="H55" s="266">
        <v>90.5</v>
      </c>
      <c r="I55" s="446">
        <v>0</v>
      </c>
      <c r="J55" s="266">
        <v>0</v>
      </c>
      <c r="K55" s="267">
        <v>93</v>
      </c>
      <c r="L55" s="267">
        <v>26.9</v>
      </c>
      <c r="M55" s="446">
        <v>0</v>
      </c>
      <c r="N55" s="266">
        <v>0</v>
      </c>
      <c r="O55" s="267">
        <v>69</v>
      </c>
      <c r="P55" s="267">
        <v>8</v>
      </c>
      <c r="Q55" s="446">
        <v>16.5</v>
      </c>
      <c r="R55" s="266">
        <v>402.87</v>
      </c>
      <c r="S55" s="267">
        <v>0</v>
      </c>
      <c r="T55" s="267">
        <v>0</v>
      </c>
      <c r="U55" s="446">
        <v>0</v>
      </c>
      <c r="V55" s="266">
        <v>0</v>
      </c>
      <c r="W55" s="267">
        <v>0</v>
      </c>
      <c r="X55" s="267">
        <v>0</v>
      </c>
      <c r="Y55" s="446">
        <v>0</v>
      </c>
      <c r="Z55" s="266">
        <v>0</v>
      </c>
      <c r="AA55" s="267">
        <v>30</v>
      </c>
      <c r="AB55" s="267">
        <v>0</v>
      </c>
      <c r="AC55" s="446">
        <v>0</v>
      </c>
      <c r="AD55" s="266">
        <v>0</v>
      </c>
      <c r="AE55" s="267">
        <v>0</v>
      </c>
      <c r="AF55" s="267">
        <v>0</v>
      </c>
      <c r="AG55" s="446">
        <v>0</v>
      </c>
      <c r="AH55" s="266">
        <v>0</v>
      </c>
      <c r="AI55" s="267">
        <v>0</v>
      </c>
      <c r="AJ55" s="267">
        <v>0</v>
      </c>
      <c r="AK55" s="446">
        <v>64.38</v>
      </c>
      <c r="AL55" s="266">
        <v>34.32</v>
      </c>
      <c r="AM55" s="267">
        <v>0</v>
      </c>
      <c r="AN55" s="267">
        <v>47</v>
      </c>
      <c r="AO55" s="285">
        <f>SUM(C55,E55,G55,I55,K55,M55,O55,Q55,S55,U55,W55,Y55,AA55,AC55,AE55,AG55,AI55,AK55,AM55)</f>
        <v>350.38</v>
      </c>
      <c r="AP55" s="286">
        <f t="shared" si="1"/>
        <v>747.8900000000001</v>
      </c>
      <c r="AQ55" s="277">
        <v>0</v>
      </c>
      <c r="AR55" s="267">
        <v>0</v>
      </c>
      <c r="AS55" s="29"/>
      <c r="AT55" s="333"/>
      <c r="AU55" s="333"/>
      <c r="AV55" s="333"/>
      <c r="AW55" s="333"/>
      <c r="AX55" s="333"/>
      <c r="AY55" s="333"/>
      <c r="AZ55" s="333"/>
      <c r="BA55" s="333"/>
      <c r="BB55" s="333"/>
      <c r="BC55" s="333"/>
      <c r="BD55" s="333"/>
      <c r="BE55" s="333"/>
      <c r="BF55" s="333"/>
      <c r="BG55" s="333"/>
      <c r="BH55" s="333"/>
      <c r="BI55" s="333"/>
      <c r="BJ55" s="333"/>
      <c r="BK55" s="342"/>
      <c r="BL55" s="341"/>
      <c r="BM55" s="341"/>
    </row>
    <row r="56" spans="1:65" ht="24.95" customHeight="1">
      <c r="A56" s="41"/>
      <c r="B56" s="436" t="s">
        <v>3</v>
      </c>
      <c r="C56" s="443">
        <f t="shared" ref="C56:H56" si="13">SUM(C53:C55)</f>
        <v>306.29999999999995</v>
      </c>
      <c r="D56" s="264">
        <f t="shared" si="13"/>
        <v>187.20000000000002</v>
      </c>
      <c r="E56" s="447">
        <f t="shared" si="13"/>
        <v>0</v>
      </c>
      <c r="F56" s="264">
        <f t="shared" si="13"/>
        <v>0</v>
      </c>
      <c r="G56" s="447">
        <f t="shared" si="13"/>
        <v>275.5</v>
      </c>
      <c r="H56" s="292">
        <f t="shared" si="13"/>
        <v>97.5</v>
      </c>
      <c r="I56" s="447">
        <f t="shared" ref="I56" si="14">SUM(I53:I55)</f>
        <v>0</v>
      </c>
      <c r="J56" s="292">
        <f t="shared" ref="J56" si="15">SUM(J53:J55)</f>
        <v>0</v>
      </c>
      <c r="K56" s="264">
        <f t="shared" ref="K56" si="16">SUM(K53:K55)</f>
        <v>347</v>
      </c>
      <c r="L56" s="264">
        <f t="shared" ref="L56" si="17">SUM(L53:L55)</f>
        <v>26.9</v>
      </c>
      <c r="M56" s="447">
        <f t="shared" ref="M56" si="18">SUM(M53:M55)</f>
        <v>0</v>
      </c>
      <c r="N56" s="292">
        <f t="shared" ref="N56" si="19">SUM(N53:N55)</f>
        <v>0</v>
      </c>
      <c r="O56" s="264">
        <f t="shared" ref="O56" si="20">SUM(O53:O55)</f>
        <v>69</v>
      </c>
      <c r="P56" s="264">
        <f t="shared" ref="P56" si="21">SUM(P53:P55)</f>
        <v>8</v>
      </c>
      <c r="Q56" s="447">
        <f t="shared" ref="Q56" si="22">SUM(Q53:Q55)</f>
        <v>364.5</v>
      </c>
      <c r="R56" s="292">
        <f t="shared" ref="R56" si="23">SUM(R53:R55)</f>
        <v>404.87</v>
      </c>
      <c r="S56" s="264">
        <f t="shared" ref="S56" si="24">SUM(S53:S55)</f>
        <v>0</v>
      </c>
      <c r="T56" s="264">
        <f t="shared" ref="T56" si="25">SUM(T53:T55)</f>
        <v>0</v>
      </c>
      <c r="U56" s="447">
        <f t="shared" ref="U56" si="26">SUM(U53:U55)</f>
        <v>66</v>
      </c>
      <c r="V56" s="292">
        <f t="shared" ref="V56" si="27">SUM(V53:V55)</f>
        <v>0</v>
      </c>
      <c r="W56" s="264">
        <f t="shared" ref="W56" si="28">SUM(W53:W55)</f>
        <v>0</v>
      </c>
      <c r="X56" s="264">
        <f t="shared" ref="X56" si="29">SUM(X53:X55)</f>
        <v>0</v>
      </c>
      <c r="Y56" s="447">
        <f t="shared" ref="Y56" si="30">SUM(Y53:Y55)</f>
        <v>0</v>
      </c>
      <c r="Z56" s="292">
        <f t="shared" ref="Z56" si="31">SUM(Z53:Z55)</f>
        <v>0</v>
      </c>
      <c r="AA56" s="264">
        <f t="shared" ref="AA56" si="32">SUM(AA53:AA55)</f>
        <v>30</v>
      </c>
      <c r="AB56" s="264">
        <f t="shared" ref="AB56" si="33">SUM(AB53:AB55)</f>
        <v>0</v>
      </c>
      <c r="AC56" s="447">
        <f t="shared" ref="AC56" si="34">SUM(AC53:AC55)</f>
        <v>0</v>
      </c>
      <c r="AD56" s="292">
        <f t="shared" ref="AD56" si="35">SUM(AD53:AD55)</f>
        <v>0</v>
      </c>
      <c r="AE56" s="264">
        <f t="shared" ref="AE56" si="36">SUM(AE53:AE55)</f>
        <v>0</v>
      </c>
      <c r="AF56" s="264">
        <f t="shared" ref="AF56" si="37">SUM(AF53:AF55)</f>
        <v>0</v>
      </c>
      <c r="AG56" s="447">
        <f t="shared" ref="AG56" si="38">SUM(AG53:AG55)</f>
        <v>0</v>
      </c>
      <c r="AH56" s="292">
        <f t="shared" ref="AH56" si="39">SUM(AH53:AH55)</f>
        <v>0</v>
      </c>
      <c r="AI56" s="264">
        <f t="shared" ref="AI56" si="40">SUM(AI53:AI55)</f>
        <v>0</v>
      </c>
      <c r="AJ56" s="264">
        <f t="shared" ref="AJ56" si="41">SUM(AJ53:AJ55)</f>
        <v>0</v>
      </c>
      <c r="AK56" s="447">
        <f t="shared" ref="AK56" si="42">SUM(AK53:AK55)</f>
        <v>762.38</v>
      </c>
      <c r="AL56" s="292">
        <f t="shared" ref="AL56" si="43">SUM(AL53:AL55)</f>
        <v>41.32</v>
      </c>
      <c r="AM56" s="264">
        <f t="shared" ref="AM56" si="44">SUM(AM53:AM55)</f>
        <v>212</v>
      </c>
      <c r="AN56" s="264">
        <f t="shared" ref="AN56" si="45">SUM(AN53:AN55)</f>
        <v>51</v>
      </c>
      <c r="AO56" s="263">
        <f t="shared" si="0"/>
        <v>2432.6799999999998</v>
      </c>
      <c r="AP56" s="264">
        <f t="shared" si="1"/>
        <v>816.79000000000008</v>
      </c>
      <c r="AQ56" s="443">
        <f t="shared" ref="AQ56:AR56" si="46">SUM(AQ53:AQ55)</f>
        <v>0</v>
      </c>
      <c r="AR56" s="264">
        <f t="shared" si="46"/>
        <v>0</v>
      </c>
      <c r="AS56" s="29"/>
      <c r="AT56" s="333"/>
      <c r="AU56" s="333"/>
      <c r="AV56" s="333"/>
      <c r="AW56" s="333"/>
      <c r="AX56" s="333"/>
      <c r="AY56" s="333"/>
      <c r="AZ56" s="333"/>
      <c r="BA56" s="333"/>
      <c r="BB56" s="333"/>
      <c r="BC56" s="333"/>
      <c r="BD56" s="333"/>
      <c r="BE56" s="333"/>
      <c r="BF56" s="333"/>
      <c r="BG56" s="333"/>
      <c r="BH56" s="333"/>
      <c r="BI56" s="333"/>
      <c r="BJ56" s="333"/>
      <c r="BK56" s="342"/>
      <c r="BL56" s="341"/>
      <c r="BM56" s="341"/>
    </row>
    <row r="57" spans="1:65" ht="24.95" customHeight="1">
      <c r="A57" s="41"/>
      <c r="B57" s="435" t="s">
        <v>17</v>
      </c>
      <c r="C57" s="276"/>
      <c r="D57" s="259"/>
      <c r="E57" s="445"/>
      <c r="F57" s="259"/>
      <c r="G57" s="445"/>
      <c r="H57" s="260"/>
      <c r="I57" s="445"/>
      <c r="J57" s="260"/>
      <c r="K57" s="259"/>
      <c r="L57" s="259"/>
      <c r="M57" s="445"/>
      <c r="N57" s="260"/>
      <c r="O57" s="259"/>
      <c r="P57" s="259"/>
      <c r="Q57" s="445"/>
      <c r="R57" s="260"/>
      <c r="S57" s="259"/>
      <c r="T57" s="259"/>
      <c r="U57" s="445"/>
      <c r="V57" s="260"/>
      <c r="W57" s="259"/>
      <c r="X57" s="259"/>
      <c r="Y57" s="445"/>
      <c r="Z57" s="260"/>
      <c r="AA57" s="259"/>
      <c r="AB57" s="259"/>
      <c r="AC57" s="445"/>
      <c r="AD57" s="260"/>
      <c r="AE57" s="259"/>
      <c r="AF57" s="259"/>
      <c r="AG57" s="445"/>
      <c r="AH57" s="260"/>
      <c r="AI57" s="259"/>
      <c r="AJ57" s="259"/>
      <c r="AK57" s="445"/>
      <c r="AL57" s="260"/>
      <c r="AM57" s="259"/>
      <c r="AN57" s="259"/>
      <c r="AO57" s="268"/>
      <c r="AP57" s="269"/>
      <c r="AQ57" s="276"/>
      <c r="AR57" s="259"/>
      <c r="AS57" s="29"/>
      <c r="AT57" s="333"/>
      <c r="AU57" s="333"/>
      <c r="AV57" s="333"/>
      <c r="AW57" s="333"/>
      <c r="AX57" s="333"/>
      <c r="AY57" s="333"/>
      <c r="AZ57" s="333"/>
      <c r="BA57" s="333"/>
      <c r="BB57" s="333"/>
      <c r="BC57" s="333"/>
      <c r="BD57" s="333"/>
      <c r="BE57" s="333"/>
      <c r="BF57" s="333"/>
      <c r="BG57" s="333"/>
      <c r="BH57" s="333"/>
      <c r="BI57" s="333"/>
      <c r="BJ57" s="333"/>
      <c r="BK57" s="342"/>
      <c r="BL57" s="341"/>
      <c r="BM57" s="341"/>
    </row>
    <row r="58" spans="1:65" ht="24.95" customHeight="1">
      <c r="A58" s="41"/>
      <c r="B58" s="436" t="s">
        <v>28</v>
      </c>
      <c r="C58" s="276"/>
      <c r="D58" s="259"/>
      <c r="E58" s="445"/>
      <c r="F58" s="259"/>
      <c r="G58" s="445"/>
      <c r="H58" s="260"/>
      <c r="I58" s="445"/>
      <c r="J58" s="260"/>
      <c r="K58" s="259"/>
      <c r="L58" s="259"/>
      <c r="M58" s="445"/>
      <c r="N58" s="260"/>
      <c r="O58" s="259"/>
      <c r="P58" s="259"/>
      <c r="Q58" s="445"/>
      <c r="R58" s="260"/>
      <c r="S58" s="259"/>
      <c r="T58" s="259"/>
      <c r="U58" s="445"/>
      <c r="V58" s="260"/>
      <c r="W58" s="259"/>
      <c r="X58" s="259"/>
      <c r="Y58" s="445"/>
      <c r="Z58" s="260"/>
      <c r="AA58" s="259"/>
      <c r="AB58" s="259"/>
      <c r="AC58" s="445"/>
      <c r="AD58" s="260"/>
      <c r="AE58" s="259"/>
      <c r="AF58" s="259"/>
      <c r="AG58" s="445"/>
      <c r="AH58" s="260"/>
      <c r="AI58" s="259"/>
      <c r="AJ58" s="259"/>
      <c r="AK58" s="445"/>
      <c r="AL58" s="260"/>
      <c r="AM58" s="259"/>
      <c r="AN58" s="259"/>
      <c r="AO58" s="268"/>
      <c r="AP58" s="269"/>
      <c r="AQ58" s="276"/>
      <c r="AR58" s="259"/>
      <c r="AS58" s="29"/>
      <c r="AT58" s="333"/>
      <c r="AU58" s="333"/>
      <c r="AV58" s="333"/>
      <c r="AW58" s="333"/>
      <c r="AX58" s="333"/>
      <c r="AY58" s="333"/>
      <c r="AZ58" s="333"/>
      <c r="BA58" s="333"/>
      <c r="BB58" s="333"/>
      <c r="BC58" s="333"/>
      <c r="BD58" s="333"/>
      <c r="BE58" s="333"/>
      <c r="BF58" s="333"/>
      <c r="BG58" s="333"/>
      <c r="BH58" s="333"/>
      <c r="BI58" s="333"/>
      <c r="BJ58" s="333"/>
      <c r="BK58" s="342"/>
      <c r="BL58" s="341"/>
      <c r="BM58" s="341"/>
    </row>
    <row r="59" spans="1:65" ht="24.95" customHeight="1">
      <c r="A59" s="41"/>
      <c r="B59" s="437" t="s">
        <v>33</v>
      </c>
      <c r="C59" s="278"/>
      <c r="D59" s="262"/>
      <c r="E59" s="448"/>
      <c r="F59" s="262"/>
      <c r="G59" s="448"/>
      <c r="H59" s="293"/>
      <c r="I59" s="448"/>
      <c r="J59" s="293"/>
      <c r="K59" s="262"/>
      <c r="L59" s="262"/>
      <c r="M59" s="448"/>
      <c r="N59" s="293"/>
      <c r="O59" s="262"/>
      <c r="P59" s="262"/>
      <c r="Q59" s="448"/>
      <c r="R59" s="293"/>
      <c r="S59" s="262"/>
      <c r="T59" s="262"/>
      <c r="U59" s="448"/>
      <c r="V59" s="293"/>
      <c r="W59" s="262"/>
      <c r="X59" s="262"/>
      <c r="Y59" s="448"/>
      <c r="Z59" s="293"/>
      <c r="AA59" s="262"/>
      <c r="AB59" s="262"/>
      <c r="AC59" s="448"/>
      <c r="AD59" s="293"/>
      <c r="AE59" s="262"/>
      <c r="AF59" s="262"/>
      <c r="AG59" s="448"/>
      <c r="AH59" s="293"/>
      <c r="AI59" s="262"/>
      <c r="AJ59" s="262"/>
      <c r="AK59" s="448"/>
      <c r="AL59" s="293"/>
      <c r="AM59" s="262"/>
      <c r="AN59" s="262"/>
      <c r="AO59" s="283"/>
      <c r="AP59" s="284"/>
      <c r="AQ59" s="278"/>
      <c r="AR59" s="262"/>
      <c r="AS59" s="29"/>
      <c r="AT59" s="333"/>
      <c r="AU59" s="333"/>
      <c r="AV59" s="333"/>
      <c r="AW59" s="333"/>
      <c r="AX59" s="333"/>
      <c r="AY59" s="333"/>
      <c r="AZ59" s="333"/>
      <c r="BA59" s="333"/>
      <c r="BB59" s="333"/>
      <c r="BC59" s="333"/>
      <c r="BD59" s="333"/>
      <c r="BE59" s="333"/>
      <c r="BF59" s="333"/>
      <c r="BG59" s="333"/>
      <c r="BH59" s="333"/>
      <c r="BI59" s="333"/>
      <c r="BJ59" s="333"/>
      <c r="BK59" s="342"/>
      <c r="BL59" s="341"/>
      <c r="BM59" s="341"/>
    </row>
    <row r="60" spans="1:65" ht="24.95" customHeight="1">
      <c r="A60" s="43">
        <v>8</v>
      </c>
      <c r="B60" s="438" t="s">
        <v>24</v>
      </c>
      <c r="C60" s="277">
        <v>419.7</v>
      </c>
      <c r="D60" s="267">
        <v>0</v>
      </c>
      <c r="E60" s="446">
        <v>0</v>
      </c>
      <c r="F60" s="267">
        <v>0</v>
      </c>
      <c r="G60" s="446">
        <v>374.5</v>
      </c>
      <c r="H60" s="266">
        <v>0</v>
      </c>
      <c r="I60" s="446">
        <v>0</v>
      </c>
      <c r="J60" s="266">
        <v>0</v>
      </c>
      <c r="K60" s="267">
        <v>495</v>
      </c>
      <c r="L60" s="267">
        <v>0</v>
      </c>
      <c r="M60" s="446">
        <v>0</v>
      </c>
      <c r="N60" s="266">
        <v>0</v>
      </c>
      <c r="O60" s="267">
        <v>0</v>
      </c>
      <c r="P60" s="267">
        <v>0</v>
      </c>
      <c r="Q60" s="446">
        <v>628</v>
      </c>
      <c r="R60" s="266">
        <v>0</v>
      </c>
      <c r="S60" s="267">
        <v>0</v>
      </c>
      <c r="T60" s="267">
        <v>0</v>
      </c>
      <c r="U60" s="446">
        <v>0</v>
      </c>
      <c r="V60" s="266">
        <v>0</v>
      </c>
      <c r="W60" s="267">
        <v>0</v>
      </c>
      <c r="X60" s="267">
        <v>0</v>
      </c>
      <c r="Y60" s="446">
        <v>0</v>
      </c>
      <c r="Z60" s="266">
        <v>0</v>
      </c>
      <c r="AA60" s="267">
        <v>0</v>
      </c>
      <c r="AB60" s="267">
        <v>0</v>
      </c>
      <c r="AC60" s="446">
        <v>0</v>
      </c>
      <c r="AD60" s="266">
        <v>0</v>
      </c>
      <c r="AE60" s="267">
        <v>0</v>
      </c>
      <c r="AF60" s="267">
        <v>0</v>
      </c>
      <c r="AG60" s="446">
        <v>0</v>
      </c>
      <c r="AH60" s="266">
        <v>0</v>
      </c>
      <c r="AI60" s="267">
        <v>0</v>
      </c>
      <c r="AJ60" s="267">
        <v>0</v>
      </c>
      <c r="AK60" s="446">
        <v>0</v>
      </c>
      <c r="AL60" s="266">
        <v>0</v>
      </c>
      <c r="AM60" s="267">
        <v>0</v>
      </c>
      <c r="AN60" s="267">
        <v>0</v>
      </c>
      <c r="AO60" s="263">
        <f t="shared" ref="AO60:AP62" si="47">SUM(C60,E60,G60,I60,K60,M60,O60,Q60,S60,U60,W60,Y60,AA60,AC60,AE60,AG60,AI60,AK60,AM60)</f>
        <v>1917.2</v>
      </c>
      <c r="AP60" s="264">
        <f t="shared" si="47"/>
        <v>0</v>
      </c>
      <c r="AQ60" s="277">
        <v>0</v>
      </c>
      <c r="AR60" s="267">
        <v>0</v>
      </c>
      <c r="AS60" s="277">
        <v>65</v>
      </c>
      <c r="AT60" s="337">
        <v>0</v>
      </c>
      <c r="AU60" s="337">
        <v>47</v>
      </c>
      <c r="AV60" s="337">
        <v>0</v>
      </c>
      <c r="AW60" s="337">
        <v>94</v>
      </c>
      <c r="AX60" s="337">
        <v>0</v>
      </c>
      <c r="AY60" s="337">
        <v>0</v>
      </c>
      <c r="AZ60" s="337">
        <v>100</v>
      </c>
      <c r="BA60" s="337">
        <v>0</v>
      </c>
      <c r="BB60" s="337">
        <v>0</v>
      </c>
      <c r="BC60" s="337">
        <v>0</v>
      </c>
      <c r="BD60" s="337">
        <v>0</v>
      </c>
      <c r="BE60" s="337">
        <v>0</v>
      </c>
      <c r="BF60" s="337">
        <v>0</v>
      </c>
      <c r="BG60" s="337">
        <v>0</v>
      </c>
      <c r="BH60" s="337">
        <v>0</v>
      </c>
      <c r="BI60" s="337">
        <v>0</v>
      </c>
      <c r="BJ60" s="337">
        <v>0</v>
      </c>
      <c r="BK60" s="265">
        <v>0</v>
      </c>
      <c r="BL60" s="346">
        <f t="shared" ref="BL60:BL63" si="48">SUM(AS60:BK60)</f>
        <v>306</v>
      </c>
      <c r="BM60" s="352">
        <v>0</v>
      </c>
    </row>
    <row r="61" spans="1:65" ht="24.95" customHeight="1">
      <c r="A61" s="43">
        <v>9</v>
      </c>
      <c r="B61" s="438" t="s">
        <v>25</v>
      </c>
      <c r="C61" s="277">
        <v>59</v>
      </c>
      <c r="D61" s="267">
        <v>0</v>
      </c>
      <c r="E61" s="446">
        <v>0</v>
      </c>
      <c r="F61" s="267">
        <v>0</v>
      </c>
      <c r="G61" s="446">
        <v>195</v>
      </c>
      <c r="H61" s="266">
        <v>0</v>
      </c>
      <c r="I61" s="446">
        <v>0</v>
      </c>
      <c r="J61" s="266">
        <v>0</v>
      </c>
      <c r="K61" s="267">
        <v>0</v>
      </c>
      <c r="L61" s="267">
        <v>0</v>
      </c>
      <c r="M61" s="446">
        <v>0</v>
      </c>
      <c r="N61" s="266">
        <v>0</v>
      </c>
      <c r="O61" s="267">
        <v>0</v>
      </c>
      <c r="P61" s="267">
        <v>0</v>
      </c>
      <c r="Q61" s="446">
        <v>280</v>
      </c>
      <c r="R61" s="266">
        <v>0</v>
      </c>
      <c r="S61" s="267">
        <v>0</v>
      </c>
      <c r="T61" s="267">
        <v>0</v>
      </c>
      <c r="U61" s="446">
        <v>0</v>
      </c>
      <c r="V61" s="266">
        <v>0</v>
      </c>
      <c r="W61" s="267">
        <v>0</v>
      </c>
      <c r="X61" s="267">
        <v>0</v>
      </c>
      <c r="Y61" s="446">
        <v>0</v>
      </c>
      <c r="Z61" s="266">
        <v>0</v>
      </c>
      <c r="AA61" s="267">
        <v>0</v>
      </c>
      <c r="AB61" s="267">
        <v>0</v>
      </c>
      <c r="AC61" s="446">
        <v>0</v>
      </c>
      <c r="AD61" s="266">
        <v>0</v>
      </c>
      <c r="AE61" s="267">
        <v>0</v>
      </c>
      <c r="AF61" s="267">
        <v>0</v>
      </c>
      <c r="AG61" s="446">
        <v>0</v>
      </c>
      <c r="AH61" s="266">
        <v>0</v>
      </c>
      <c r="AI61" s="267">
        <v>0</v>
      </c>
      <c r="AJ61" s="267">
        <v>0</v>
      </c>
      <c r="AK61" s="446">
        <v>0</v>
      </c>
      <c r="AL61" s="266">
        <v>0</v>
      </c>
      <c r="AM61" s="267">
        <v>0</v>
      </c>
      <c r="AN61" s="267">
        <v>0</v>
      </c>
      <c r="AO61" s="263">
        <f t="shared" si="47"/>
        <v>534</v>
      </c>
      <c r="AP61" s="264">
        <f t="shared" si="47"/>
        <v>0</v>
      </c>
      <c r="AQ61" s="277">
        <v>0</v>
      </c>
      <c r="AR61" s="267">
        <v>0</v>
      </c>
      <c r="AS61" s="277">
        <v>23</v>
      </c>
      <c r="AT61" s="337">
        <v>0</v>
      </c>
      <c r="AU61" s="337">
        <v>41</v>
      </c>
      <c r="AV61" s="337">
        <v>0</v>
      </c>
      <c r="AW61" s="337">
        <v>0</v>
      </c>
      <c r="AX61" s="337">
        <v>0</v>
      </c>
      <c r="AY61" s="337">
        <v>0</v>
      </c>
      <c r="AZ61" s="337">
        <v>40</v>
      </c>
      <c r="BA61" s="337">
        <v>0</v>
      </c>
      <c r="BB61" s="337">
        <v>0</v>
      </c>
      <c r="BC61" s="337">
        <v>0</v>
      </c>
      <c r="BD61" s="337">
        <v>0</v>
      </c>
      <c r="BE61" s="337">
        <v>0</v>
      </c>
      <c r="BF61" s="337">
        <v>0</v>
      </c>
      <c r="BG61" s="337">
        <v>0</v>
      </c>
      <c r="BH61" s="337">
        <v>0</v>
      </c>
      <c r="BI61" s="337">
        <v>0</v>
      </c>
      <c r="BJ61" s="337">
        <v>0</v>
      </c>
      <c r="BK61" s="265">
        <v>0</v>
      </c>
      <c r="BL61" s="346">
        <f t="shared" si="48"/>
        <v>104</v>
      </c>
      <c r="BM61" s="352">
        <v>0</v>
      </c>
    </row>
    <row r="62" spans="1:65" ht="24.95" customHeight="1">
      <c r="A62" s="43">
        <v>10</v>
      </c>
      <c r="B62" s="438" t="s">
        <v>8</v>
      </c>
      <c r="C62" s="277">
        <v>246</v>
      </c>
      <c r="D62" s="267">
        <v>0</v>
      </c>
      <c r="E62" s="446">
        <v>0</v>
      </c>
      <c r="F62" s="267">
        <v>0</v>
      </c>
      <c r="G62" s="446">
        <v>201</v>
      </c>
      <c r="H62" s="266">
        <v>0</v>
      </c>
      <c r="I62" s="446">
        <v>0</v>
      </c>
      <c r="J62" s="266">
        <v>0</v>
      </c>
      <c r="K62" s="267">
        <v>214</v>
      </c>
      <c r="L62" s="267">
        <v>0</v>
      </c>
      <c r="M62" s="446">
        <v>0</v>
      </c>
      <c r="N62" s="266">
        <v>0</v>
      </c>
      <c r="O62" s="267">
        <v>0</v>
      </c>
      <c r="P62" s="267">
        <v>0</v>
      </c>
      <c r="Q62" s="446">
        <v>311</v>
      </c>
      <c r="R62" s="266">
        <v>0</v>
      </c>
      <c r="S62" s="267">
        <v>0</v>
      </c>
      <c r="T62" s="267">
        <v>0</v>
      </c>
      <c r="U62" s="446">
        <v>0</v>
      </c>
      <c r="V62" s="266">
        <v>0</v>
      </c>
      <c r="W62" s="267">
        <v>0</v>
      </c>
      <c r="X62" s="267">
        <v>0</v>
      </c>
      <c r="Y62" s="446">
        <v>0</v>
      </c>
      <c r="Z62" s="266">
        <v>0</v>
      </c>
      <c r="AA62" s="267">
        <v>0</v>
      </c>
      <c r="AB62" s="267">
        <v>0</v>
      </c>
      <c r="AC62" s="446">
        <v>0</v>
      </c>
      <c r="AD62" s="266">
        <v>0</v>
      </c>
      <c r="AE62" s="267">
        <v>0</v>
      </c>
      <c r="AF62" s="267">
        <v>0</v>
      </c>
      <c r="AG62" s="446">
        <v>177</v>
      </c>
      <c r="AH62" s="266">
        <v>0</v>
      </c>
      <c r="AI62" s="267">
        <v>0</v>
      </c>
      <c r="AJ62" s="267">
        <v>0</v>
      </c>
      <c r="AK62" s="446">
        <v>0</v>
      </c>
      <c r="AL62" s="266">
        <v>0</v>
      </c>
      <c r="AM62" s="267">
        <v>0</v>
      </c>
      <c r="AN62" s="267">
        <v>0</v>
      </c>
      <c r="AO62" s="263">
        <f t="shared" si="47"/>
        <v>1149</v>
      </c>
      <c r="AP62" s="264">
        <f t="shared" si="47"/>
        <v>0</v>
      </c>
      <c r="AQ62" s="277">
        <v>0</v>
      </c>
      <c r="AR62" s="267">
        <v>0</v>
      </c>
      <c r="AS62" s="277">
        <v>61</v>
      </c>
      <c r="AT62" s="337">
        <v>0</v>
      </c>
      <c r="AU62" s="337">
        <v>61</v>
      </c>
      <c r="AV62" s="337">
        <v>0</v>
      </c>
      <c r="AW62" s="337">
        <v>163</v>
      </c>
      <c r="AX62" s="337">
        <v>0</v>
      </c>
      <c r="AY62" s="337">
        <v>0</v>
      </c>
      <c r="AZ62" s="337">
        <v>116</v>
      </c>
      <c r="BA62" s="337">
        <v>0</v>
      </c>
      <c r="BB62" s="337">
        <v>0</v>
      </c>
      <c r="BC62" s="337">
        <v>0</v>
      </c>
      <c r="BD62" s="337">
        <v>0</v>
      </c>
      <c r="BE62" s="337">
        <v>0</v>
      </c>
      <c r="BF62" s="337">
        <v>0</v>
      </c>
      <c r="BG62" s="337">
        <v>0</v>
      </c>
      <c r="BH62" s="337">
        <v>0</v>
      </c>
      <c r="BI62" s="337">
        <v>0</v>
      </c>
      <c r="BJ62" s="337">
        <v>0</v>
      </c>
      <c r="BK62" s="265">
        <v>0</v>
      </c>
      <c r="BL62" s="346">
        <f t="shared" si="48"/>
        <v>401</v>
      </c>
      <c r="BM62" s="352">
        <v>0</v>
      </c>
    </row>
    <row r="63" spans="1:65" ht="24.95" customHeight="1">
      <c r="A63" s="43">
        <v>11</v>
      </c>
      <c r="B63" s="438" t="s">
        <v>9</v>
      </c>
      <c r="C63" s="277">
        <v>0</v>
      </c>
      <c r="D63" s="267">
        <v>0</v>
      </c>
      <c r="E63" s="446">
        <v>0</v>
      </c>
      <c r="F63" s="267">
        <v>0</v>
      </c>
      <c r="G63" s="446">
        <v>32</v>
      </c>
      <c r="H63" s="266">
        <v>0</v>
      </c>
      <c r="I63" s="446">
        <v>0</v>
      </c>
      <c r="J63" s="266">
        <v>0</v>
      </c>
      <c r="K63" s="267">
        <v>0</v>
      </c>
      <c r="L63" s="267">
        <v>0</v>
      </c>
      <c r="M63" s="446">
        <v>0</v>
      </c>
      <c r="N63" s="266">
        <v>0</v>
      </c>
      <c r="O63" s="267">
        <v>0</v>
      </c>
      <c r="P63" s="267">
        <v>0</v>
      </c>
      <c r="Q63" s="446">
        <v>53</v>
      </c>
      <c r="R63" s="266">
        <v>0</v>
      </c>
      <c r="S63" s="267">
        <v>0</v>
      </c>
      <c r="T63" s="267">
        <v>0</v>
      </c>
      <c r="U63" s="446">
        <v>0</v>
      </c>
      <c r="V63" s="266">
        <v>0</v>
      </c>
      <c r="W63" s="267">
        <v>0</v>
      </c>
      <c r="X63" s="267">
        <v>0</v>
      </c>
      <c r="Y63" s="446">
        <v>0</v>
      </c>
      <c r="Z63" s="266">
        <v>0</v>
      </c>
      <c r="AA63" s="267">
        <v>0</v>
      </c>
      <c r="AB63" s="267">
        <v>0</v>
      </c>
      <c r="AC63" s="446">
        <v>0</v>
      </c>
      <c r="AD63" s="266">
        <v>0</v>
      </c>
      <c r="AE63" s="267">
        <v>0</v>
      </c>
      <c r="AF63" s="267">
        <v>0</v>
      </c>
      <c r="AG63" s="446">
        <v>0</v>
      </c>
      <c r="AH63" s="266">
        <v>0</v>
      </c>
      <c r="AI63" s="267">
        <v>0</v>
      </c>
      <c r="AJ63" s="267">
        <v>0</v>
      </c>
      <c r="AK63" s="446">
        <v>0</v>
      </c>
      <c r="AL63" s="266">
        <v>0</v>
      </c>
      <c r="AM63" s="267">
        <v>0</v>
      </c>
      <c r="AN63" s="267">
        <v>0</v>
      </c>
      <c r="AO63" s="263">
        <f t="shared" si="0"/>
        <v>85</v>
      </c>
      <c r="AP63" s="264">
        <f t="shared" si="1"/>
        <v>0</v>
      </c>
      <c r="AQ63" s="277">
        <v>0</v>
      </c>
      <c r="AR63" s="267">
        <v>0</v>
      </c>
      <c r="AS63" s="277">
        <v>0</v>
      </c>
      <c r="AT63" s="337">
        <v>0</v>
      </c>
      <c r="AU63" s="337">
        <v>16</v>
      </c>
      <c r="AV63" s="337">
        <v>0</v>
      </c>
      <c r="AW63" s="337">
        <v>0</v>
      </c>
      <c r="AX63" s="337">
        <v>0</v>
      </c>
      <c r="AY63" s="337">
        <v>0</v>
      </c>
      <c r="AZ63" s="337">
        <v>14</v>
      </c>
      <c r="BA63" s="337">
        <v>0</v>
      </c>
      <c r="BB63" s="337">
        <v>0</v>
      </c>
      <c r="BC63" s="337">
        <v>0</v>
      </c>
      <c r="BD63" s="337">
        <v>0</v>
      </c>
      <c r="BE63" s="337">
        <v>0</v>
      </c>
      <c r="BF63" s="337">
        <v>0</v>
      </c>
      <c r="BG63" s="337">
        <v>0</v>
      </c>
      <c r="BH63" s="337">
        <v>0</v>
      </c>
      <c r="BI63" s="337">
        <v>0</v>
      </c>
      <c r="BJ63" s="337">
        <v>0</v>
      </c>
      <c r="BK63" s="265">
        <v>0</v>
      </c>
      <c r="BL63" s="346">
        <f t="shared" si="48"/>
        <v>30</v>
      </c>
      <c r="BM63" s="352">
        <v>0</v>
      </c>
    </row>
    <row r="64" spans="1:65" ht="24.95" customHeight="1">
      <c r="A64" s="41"/>
      <c r="B64" s="437" t="s">
        <v>10</v>
      </c>
      <c r="C64" s="276"/>
      <c r="D64" s="259"/>
      <c r="E64" s="445"/>
      <c r="F64" s="259"/>
      <c r="G64" s="445"/>
      <c r="H64" s="260"/>
      <c r="I64" s="445"/>
      <c r="J64" s="260"/>
      <c r="K64" s="259"/>
      <c r="L64" s="259"/>
      <c r="M64" s="445"/>
      <c r="N64" s="260"/>
      <c r="O64" s="259"/>
      <c r="P64" s="259"/>
      <c r="Q64" s="445"/>
      <c r="R64" s="260"/>
      <c r="S64" s="259"/>
      <c r="T64" s="259"/>
      <c r="U64" s="445"/>
      <c r="V64" s="260"/>
      <c r="W64" s="259"/>
      <c r="X64" s="259"/>
      <c r="Y64" s="445"/>
      <c r="Z64" s="260"/>
      <c r="AA64" s="259"/>
      <c r="AB64" s="259"/>
      <c r="AC64" s="445"/>
      <c r="AD64" s="260"/>
      <c r="AE64" s="259"/>
      <c r="AF64" s="259"/>
      <c r="AG64" s="445"/>
      <c r="AH64" s="260"/>
      <c r="AI64" s="259"/>
      <c r="AJ64" s="259"/>
      <c r="AK64" s="445"/>
      <c r="AL64" s="260"/>
      <c r="AM64" s="259"/>
      <c r="AN64" s="259"/>
      <c r="AO64" s="283"/>
      <c r="AP64" s="284"/>
      <c r="AQ64" s="276"/>
      <c r="AR64" s="259"/>
      <c r="AS64" s="29"/>
      <c r="AT64" s="333"/>
      <c r="AU64" s="333"/>
      <c r="AV64" s="333"/>
      <c r="AW64" s="333"/>
      <c r="AX64" s="333"/>
      <c r="AY64" s="333"/>
      <c r="AZ64" s="333"/>
      <c r="BA64" s="333"/>
      <c r="BB64" s="333"/>
      <c r="BC64" s="333"/>
      <c r="BD64" s="333"/>
      <c r="BE64" s="333"/>
      <c r="BF64" s="333"/>
      <c r="BG64" s="333"/>
      <c r="BH64" s="333"/>
      <c r="BI64" s="333"/>
      <c r="BJ64" s="333"/>
      <c r="BK64" s="342"/>
      <c r="BL64" s="341"/>
      <c r="BM64" s="341"/>
    </row>
    <row r="65" spans="1:68" ht="24.95" customHeight="1">
      <c r="A65" s="43">
        <v>12</v>
      </c>
      <c r="B65" s="438" t="s">
        <v>34</v>
      </c>
      <c r="C65" s="277">
        <v>376.1</v>
      </c>
      <c r="D65" s="267">
        <v>0</v>
      </c>
      <c r="E65" s="446">
        <v>0</v>
      </c>
      <c r="F65" s="267">
        <v>0</v>
      </c>
      <c r="G65" s="446">
        <v>234</v>
      </c>
      <c r="H65" s="266">
        <v>7</v>
      </c>
      <c r="I65" s="446">
        <v>0</v>
      </c>
      <c r="J65" s="266">
        <v>0</v>
      </c>
      <c r="K65" s="267">
        <v>412</v>
      </c>
      <c r="L65" s="267">
        <v>0</v>
      </c>
      <c r="M65" s="446">
        <v>0</v>
      </c>
      <c r="N65" s="266">
        <v>0</v>
      </c>
      <c r="O65" s="267">
        <v>0</v>
      </c>
      <c r="P65" s="267">
        <v>0</v>
      </c>
      <c r="Q65" s="446">
        <v>555</v>
      </c>
      <c r="R65" s="266">
        <v>8.8800000000000008</v>
      </c>
      <c r="S65" s="267">
        <v>0</v>
      </c>
      <c r="T65" s="267">
        <v>0</v>
      </c>
      <c r="U65" s="446">
        <v>0</v>
      </c>
      <c r="V65" s="266">
        <v>0</v>
      </c>
      <c r="W65" s="267">
        <v>0</v>
      </c>
      <c r="X65" s="267">
        <v>0</v>
      </c>
      <c r="Y65" s="446">
        <v>0</v>
      </c>
      <c r="Z65" s="266">
        <v>0</v>
      </c>
      <c r="AA65" s="267">
        <v>0</v>
      </c>
      <c r="AB65" s="267">
        <v>0</v>
      </c>
      <c r="AC65" s="446">
        <v>0</v>
      </c>
      <c r="AD65" s="266">
        <v>0</v>
      </c>
      <c r="AE65" s="267">
        <v>0</v>
      </c>
      <c r="AF65" s="267">
        <v>0</v>
      </c>
      <c r="AG65" s="446">
        <v>0</v>
      </c>
      <c r="AH65" s="266">
        <v>0</v>
      </c>
      <c r="AI65" s="267">
        <v>162.5</v>
      </c>
      <c r="AJ65" s="267">
        <v>1</v>
      </c>
      <c r="AK65" s="446">
        <v>550.5</v>
      </c>
      <c r="AL65" s="266">
        <v>1.2</v>
      </c>
      <c r="AM65" s="267">
        <v>273</v>
      </c>
      <c r="AN65" s="267">
        <v>1.3333333333333333</v>
      </c>
      <c r="AO65" s="263">
        <f t="shared" si="0"/>
        <v>2563.1</v>
      </c>
      <c r="AP65" s="264">
        <f t="shared" si="1"/>
        <v>19.413333333333334</v>
      </c>
      <c r="AQ65" s="277">
        <v>0</v>
      </c>
      <c r="AR65" s="267">
        <v>0</v>
      </c>
      <c r="AS65" s="277">
        <v>16</v>
      </c>
      <c r="AT65" s="337">
        <v>0</v>
      </c>
      <c r="AU65" s="337">
        <v>15</v>
      </c>
      <c r="AV65" s="337">
        <v>0</v>
      </c>
      <c r="AW65" s="337">
        <v>15</v>
      </c>
      <c r="AX65" s="337">
        <v>0</v>
      </c>
      <c r="AY65" s="337">
        <v>0</v>
      </c>
      <c r="AZ65" s="337">
        <v>9</v>
      </c>
      <c r="BA65" s="337">
        <v>0</v>
      </c>
      <c r="BB65" s="337">
        <v>0</v>
      </c>
      <c r="BC65" s="337">
        <v>0</v>
      </c>
      <c r="BD65" s="337">
        <v>0</v>
      </c>
      <c r="BE65" s="337">
        <v>0</v>
      </c>
      <c r="BF65" s="337">
        <v>0</v>
      </c>
      <c r="BG65" s="337">
        <v>0</v>
      </c>
      <c r="BH65" s="337">
        <v>0</v>
      </c>
      <c r="BI65" s="337">
        <v>15</v>
      </c>
      <c r="BJ65" s="337">
        <v>11</v>
      </c>
      <c r="BK65" s="265">
        <v>0</v>
      </c>
      <c r="BL65" s="346">
        <f>SUM(AS65:BK65)</f>
        <v>81</v>
      </c>
      <c r="BM65" s="352">
        <v>0</v>
      </c>
    </row>
    <row r="66" spans="1:68" ht="24.95" customHeight="1">
      <c r="A66" s="43">
        <v>13</v>
      </c>
      <c r="B66" s="438" t="s">
        <v>35</v>
      </c>
      <c r="C66" s="277">
        <v>52</v>
      </c>
      <c r="D66" s="267">
        <v>0</v>
      </c>
      <c r="E66" s="446">
        <v>0</v>
      </c>
      <c r="F66" s="267">
        <v>0</v>
      </c>
      <c r="G66" s="446">
        <v>0</v>
      </c>
      <c r="H66" s="266">
        <v>0</v>
      </c>
      <c r="I66" s="446">
        <v>0</v>
      </c>
      <c r="J66" s="266">
        <v>0</v>
      </c>
      <c r="K66" s="267">
        <v>0</v>
      </c>
      <c r="L66" s="267">
        <v>0</v>
      </c>
      <c r="M66" s="446">
        <v>0</v>
      </c>
      <c r="N66" s="266">
        <v>0</v>
      </c>
      <c r="O66" s="267">
        <v>0</v>
      </c>
      <c r="P66" s="267">
        <v>0</v>
      </c>
      <c r="Q66" s="446">
        <v>0</v>
      </c>
      <c r="R66" s="266">
        <v>0</v>
      </c>
      <c r="S66" s="267">
        <v>0</v>
      </c>
      <c r="T66" s="267">
        <v>0</v>
      </c>
      <c r="U66" s="446">
        <v>0</v>
      </c>
      <c r="V66" s="266">
        <v>0</v>
      </c>
      <c r="W66" s="267">
        <v>0</v>
      </c>
      <c r="X66" s="267">
        <v>0</v>
      </c>
      <c r="Y66" s="446">
        <v>0</v>
      </c>
      <c r="Z66" s="266">
        <v>0</v>
      </c>
      <c r="AA66" s="267">
        <v>0</v>
      </c>
      <c r="AB66" s="267">
        <v>0</v>
      </c>
      <c r="AC66" s="446">
        <v>97</v>
      </c>
      <c r="AD66" s="266">
        <v>0</v>
      </c>
      <c r="AE66" s="267">
        <v>0</v>
      </c>
      <c r="AF66" s="267">
        <v>0</v>
      </c>
      <c r="AG66" s="446">
        <v>0</v>
      </c>
      <c r="AH66" s="266">
        <v>0</v>
      </c>
      <c r="AI66" s="267">
        <v>0</v>
      </c>
      <c r="AJ66" s="267">
        <v>0</v>
      </c>
      <c r="AK66" s="446">
        <v>0</v>
      </c>
      <c r="AL66" s="266">
        <v>0</v>
      </c>
      <c r="AM66" s="267">
        <v>0</v>
      </c>
      <c r="AN66" s="267">
        <v>0</v>
      </c>
      <c r="AO66" s="263">
        <f t="shared" si="0"/>
        <v>149</v>
      </c>
      <c r="AP66" s="264">
        <f t="shared" si="1"/>
        <v>0</v>
      </c>
      <c r="AQ66" s="277">
        <v>0</v>
      </c>
      <c r="AR66" s="267">
        <v>0</v>
      </c>
      <c r="AS66" s="277">
        <v>0</v>
      </c>
      <c r="AT66" s="337">
        <v>0</v>
      </c>
      <c r="AU66" s="337">
        <v>0</v>
      </c>
      <c r="AV66" s="337">
        <v>0</v>
      </c>
      <c r="AW66" s="337">
        <v>0</v>
      </c>
      <c r="AX66" s="337">
        <v>0</v>
      </c>
      <c r="AY66" s="337">
        <v>0</v>
      </c>
      <c r="AZ66" s="337">
        <v>0</v>
      </c>
      <c r="BA66" s="337">
        <v>0</v>
      </c>
      <c r="BB66" s="337">
        <v>0</v>
      </c>
      <c r="BC66" s="337">
        <v>0</v>
      </c>
      <c r="BD66" s="337">
        <v>0</v>
      </c>
      <c r="BE66" s="337">
        <v>0</v>
      </c>
      <c r="BF66" s="337">
        <v>0</v>
      </c>
      <c r="BG66" s="337">
        <v>0</v>
      </c>
      <c r="BH66" s="337">
        <v>0</v>
      </c>
      <c r="BI66" s="337">
        <v>0</v>
      </c>
      <c r="BJ66" s="337">
        <v>0</v>
      </c>
      <c r="BK66" s="265">
        <v>0</v>
      </c>
      <c r="BL66" s="346">
        <f t="shared" ref="BL66:BL68" si="49">SUM(AS66:BK66)</f>
        <v>0</v>
      </c>
      <c r="BM66" s="352">
        <v>0</v>
      </c>
    </row>
    <row r="67" spans="1:68" ht="24.95" customHeight="1">
      <c r="A67" s="43">
        <v>14</v>
      </c>
      <c r="B67" s="438" t="s">
        <v>36</v>
      </c>
      <c r="C67" s="277">
        <v>0</v>
      </c>
      <c r="D67" s="267">
        <v>0</v>
      </c>
      <c r="E67" s="446">
        <v>0</v>
      </c>
      <c r="F67" s="267">
        <v>0</v>
      </c>
      <c r="G67" s="446">
        <v>0</v>
      </c>
      <c r="H67" s="266">
        <v>0</v>
      </c>
      <c r="I67" s="446">
        <v>0</v>
      </c>
      <c r="J67" s="266">
        <v>0</v>
      </c>
      <c r="K67" s="267">
        <v>355</v>
      </c>
      <c r="L67" s="267">
        <v>0</v>
      </c>
      <c r="M67" s="446">
        <v>0</v>
      </c>
      <c r="N67" s="266">
        <v>0</v>
      </c>
      <c r="O67" s="267">
        <v>0</v>
      </c>
      <c r="P67" s="267">
        <v>0</v>
      </c>
      <c r="Q67" s="446">
        <v>0</v>
      </c>
      <c r="R67" s="266">
        <v>0</v>
      </c>
      <c r="S67" s="267">
        <v>0</v>
      </c>
      <c r="T67" s="267">
        <v>0</v>
      </c>
      <c r="U67" s="446">
        <v>0</v>
      </c>
      <c r="V67" s="266">
        <v>0</v>
      </c>
      <c r="W67" s="267">
        <v>0</v>
      </c>
      <c r="X67" s="267">
        <v>0</v>
      </c>
      <c r="Y67" s="446">
        <v>0</v>
      </c>
      <c r="Z67" s="266">
        <v>0</v>
      </c>
      <c r="AA67" s="267">
        <v>0</v>
      </c>
      <c r="AB67" s="267">
        <v>0</v>
      </c>
      <c r="AC67" s="446">
        <v>0</v>
      </c>
      <c r="AD67" s="266">
        <v>0</v>
      </c>
      <c r="AE67" s="267">
        <v>0</v>
      </c>
      <c r="AF67" s="267">
        <v>0</v>
      </c>
      <c r="AG67" s="446">
        <v>0</v>
      </c>
      <c r="AH67" s="266">
        <v>0</v>
      </c>
      <c r="AI67" s="267">
        <v>0</v>
      </c>
      <c r="AJ67" s="267">
        <v>0</v>
      </c>
      <c r="AK67" s="446">
        <v>0</v>
      </c>
      <c r="AL67" s="266">
        <v>0</v>
      </c>
      <c r="AM67" s="267">
        <v>0</v>
      </c>
      <c r="AN67" s="267">
        <v>0</v>
      </c>
      <c r="AO67" s="263">
        <f t="shared" si="0"/>
        <v>355</v>
      </c>
      <c r="AP67" s="264">
        <f t="shared" si="1"/>
        <v>0</v>
      </c>
      <c r="AQ67" s="277">
        <v>0</v>
      </c>
      <c r="AR67" s="267">
        <v>0</v>
      </c>
      <c r="AS67" s="277">
        <v>0</v>
      </c>
      <c r="AT67" s="337">
        <v>0</v>
      </c>
      <c r="AU67" s="337">
        <v>0</v>
      </c>
      <c r="AV67" s="337">
        <v>0</v>
      </c>
      <c r="AW67" s="337">
        <v>6</v>
      </c>
      <c r="AX67" s="337">
        <v>0</v>
      </c>
      <c r="AY67" s="337">
        <v>0</v>
      </c>
      <c r="AZ67" s="337">
        <v>0</v>
      </c>
      <c r="BA67" s="337">
        <v>0</v>
      </c>
      <c r="BB67" s="337">
        <v>0</v>
      </c>
      <c r="BC67" s="337">
        <v>0</v>
      </c>
      <c r="BD67" s="337">
        <v>0</v>
      </c>
      <c r="BE67" s="337">
        <v>0</v>
      </c>
      <c r="BF67" s="337">
        <v>0</v>
      </c>
      <c r="BG67" s="337">
        <v>0</v>
      </c>
      <c r="BH67" s="337">
        <v>0</v>
      </c>
      <c r="BI67" s="337">
        <v>0</v>
      </c>
      <c r="BJ67" s="337">
        <v>0</v>
      </c>
      <c r="BK67" s="265">
        <v>0</v>
      </c>
      <c r="BL67" s="346">
        <f t="shared" si="49"/>
        <v>6</v>
      </c>
      <c r="BM67" s="352">
        <v>0</v>
      </c>
    </row>
    <row r="68" spans="1:68" ht="24.95" customHeight="1">
      <c r="A68" s="43">
        <v>15</v>
      </c>
      <c r="B68" s="438" t="s">
        <v>37</v>
      </c>
      <c r="C68" s="277">
        <v>0</v>
      </c>
      <c r="D68" s="267">
        <v>0</v>
      </c>
      <c r="E68" s="446">
        <v>0</v>
      </c>
      <c r="F68" s="267">
        <v>0</v>
      </c>
      <c r="G68" s="446">
        <v>0</v>
      </c>
      <c r="H68" s="266">
        <v>0</v>
      </c>
      <c r="I68" s="446">
        <v>0</v>
      </c>
      <c r="J68" s="266">
        <v>0</v>
      </c>
      <c r="K68" s="267">
        <v>0</v>
      </c>
      <c r="L68" s="267">
        <v>0</v>
      </c>
      <c r="M68" s="446">
        <v>0</v>
      </c>
      <c r="N68" s="266">
        <v>0</v>
      </c>
      <c r="O68" s="267">
        <v>0</v>
      </c>
      <c r="P68" s="267">
        <v>0</v>
      </c>
      <c r="Q68" s="446">
        <v>91</v>
      </c>
      <c r="R68" s="266">
        <v>0.6</v>
      </c>
      <c r="S68" s="267">
        <v>0</v>
      </c>
      <c r="T68" s="267">
        <v>0</v>
      </c>
      <c r="U68" s="446">
        <v>0</v>
      </c>
      <c r="V68" s="266">
        <v>0</v>
      </c>
      <c r="W68" s="267">
        <v>0</v>
      </c>
      <c r="X68" s="267">
        <v>0</v>
      </c>
      <c r="Y68" s="446">
        <v>0</v>
      </c>
      <c r="Z68" s="266">
        <v>0</v>
      </c>
      <c r="AA68" s="267">
        <v>0</v>
      </c>
      <c r="AB68" s="267">
        <v>0</v>
      </c>
      <c r="AC68" s="446">
        <v>0</v>
      </c>
      <c r="AD68" s="266">
        <v>0</v>
      </c>
      <c r="AE68" s="267">
        <v>0</v>
      </c>
      <c r="AF68" s="267">
        <v>0</v>
      </c>
      <c r="AG68" s="446">
        <v>0</v>
      </c>
      <c r="AH68" s="266">
        <v>0</v>
      </c>
      <c r="AI68" s="267">
        <v>0</v>
      </c>
      <c r="AJ68" s="267">
        <v>0</v>
      </c>
      <c r="AK68" s="446">
        <v>0</v>
      </c>
      <c r="AL68" s="266">
        <v>0</v>
      </c>
      <c r="AM68" s="267">
        <v>0</v>
      </c>
      <c r="AN68" s="267">
        <v>0</v>
      </c>
      <c r="AO68" s="263">
        <f t="shared" si="0"/>
        <v>91</v>
      </c>
      <c r="AP68" s="264">
        <f t="shared" si="1"/>
        <v>0.6</v>
      </c>
      <c r="AQ68" s="277">
        <v>0</v>
      </c>
      <c r="AR68" s="267">
        <v>0</v>
      </c>
      <c r="AS68" s="277">
        <v>0</v>
      </c>
      <c r="AT68" s="337">
        <v>0</v>
      </c>
      <c r="AU68" s="337">
        <v>0</v>
      </c>
      <c r="AV68" s="337">
        <v>0</v>
      </c>
      <c r="AW68" s="337">
        <v>0</v>
      </c>
      <c r="AX68" s="337">
        <v>0</v>
      </c>
      <c r="AY68" s="337">
        <v>0</v>
      </c>
      <c r="AZ68" s="337">
        <v>0</v>
      </c>
      <c r="BA68" s="337">
        <v>0</v>
      </c>
      <c r="BB68" s="337">
        <v>0</v>
      </c>
      <c r="BC68" s="337">
        <v>0</v>
      </c>
      <c r="BD68" s="337">
        <v>0</v>
      </c>
      <c r="BE68" s="337">
        <v>0</v>
      </c>
      <c r="BF68" s="337">
        <v>0</v>
      </c>
      <c r="BG68" s="337">
        <v>0</v>
      </c>
      <c r="BH68" s="337">
        <v>0</v>
      </c>
      <c r="BI68" s="337">
        <v>0</v>
      </c>
      <c r="BJ68" s="337">
        <v>0</v>
      </c>
      <c r="BK68" s="265">
        <v>0</v>
      </c>
      <c r="BL68" s="346">
        <f t="shared" si="49"/>
        <v>0</v>
      </c>
      <c r="BM68" s="352">
        <v>0</v>
      </c>
    </row>
    <row r="69" spans="1:68" ht="24.95" customHeight="1">
      <c r="A69" s="253"/>
      <c r="B69" s="437" t="s">
        <v>29</v>
      </c>
      <c r="C69" s="276"/>
      <c r="D69" s="259"/>
      <c r="E69" s="445"/>
      <c r="F69" s="259"/>
      <c r="G69" s="445"/>
      <c r="H69" s="260"/>
      <c r="I69" s="445"/>
      <c r="J69" s="260"/>
      <c r="K69" s="259"/>
      <c r="L69" s="259"/>
      <c r="M69" s="445"/>
      <c r="N69" s="260"/>
      <c r="O69" s="259"/>
      <c r="P69" s="259"/>
      <c r="Q69" s="445"/>
      <c r="R69" s="260"/>
      <c r="S69" s="259"/>
      <c r="T69" s="259"/>
      <c r="U69" s="445"/>
      <c r="V69" s="260"/>
      <c r="W69" s="259"/>
      <c r="X69" s="259"/>
      <c r="Y69" s="445"/>
      <c r="Z69" s="260"/>
      <c r="AA69" s="259"/>
      <c r="AB69" s="259"/>
      <c r="AC69" s="445"/>
      <c r="AD69" s="260"/>
      <c r="AE69" s="259"/>
      <c r="AF69" s="259"/>
      <c r="AG69" s="445"/>
      <c r="AH69" s="260"/>
      <c r="AI69" s="259"/>
      <c r="AJ69" s="259"/>
      <c r="AK69" s="445"/>
      <c r="AL69" s="260"/>
      <c r="AM69" s="259"/>
      <c r="AN69" s="259"/>
      <c r="AO69" s="283"/>
      <c r="AP69" s="284"/>
      <c r="AQ69" s="276"/>
      <c r="AR69" s="259"/>
      <c r="AS69" s="29"/>
      <c r="AT69" s="333"/>
      <c r="AU69" s="333"/>
      <c r="AV69" s="333"/>
      <c r="AW69" s="333"/>
      <c r="AX69" s="333"/>
      <c r="AY69" s="333"/>
      <c r="AZ69" s="333"/>
      <c r="BA69" s="333"/>
      <c r="BB69" s="333"/>
      <c r="BC69" s="333"/>
      <c r="BD69" s="333"/>
      <c r="BE69" s="333"/>
      <c r="BF69" s="333"/>
      <c r="BG69" s="333"/>
      <c r="BH69" s="333"/>
      <c r="BI69" s="333"/>
      <c r="BJ69" s="333"/>
      <c r="BK69" s="342"/>
      <c r="BL69" s="341"/>
      <c r="BM69" s="341"/>
    </row>
    <row r="70" spans="1:68" ht="24.95" customHeight="1">
      <c r="A70" s="253">
        <v>16</v>
      </c>
      <c r="B70" s="437" t="s">
        <v>104</v>
      </c>
      <c r="C70" s="277">
        <v>0</v>
      </c>
      <c r="D70" s="267">
        <v>0</v>
      </c>
      <c r="E70" s="446">
        <v>0</v>
      </c>
      <c r="F70" s="267">
        <v>0</v>
      </c>
      <c r="G70" s="446">
        <v>1122.25</v>
      </c>
      <c r="H70" s="266">
        <v>0</v>
      </c>
      <c r="I70" s="446">
        <v>1593</v>
      </c>
      <c r="J70" s="266">
        <v>0</v>
      </c>
      <c r="K70" s="267">
        <v>0</v>
      </c>
      <c r="L70" s="267">
        <v>0</v>
      </c>
      <c r="M70" s="446">
        <v>1388.5</v>
      </c>
      <c r="N70" s="266">
        <v>35</v>
      </c>
      <c r="O70" s="267">
        <v>0</v>
      </c>
      <c r="P70" s="267">
        <v>0</v>
      </c>
      <c r="Q70" s="446">
        <v>0</v>
      </c>
      <c r="R70" s="266">
        <v>0</v>
      </c>
      <c r="S70" s="267">
        <v>0</v>
      </c>
      <c r="T70" s="267">
        <v>0</v>
      </c>
      <c r="U70" s="446">
        <v>0</v>
      </c>
      <c r="V70" s="266">
        <v>0</v>
      </c>
      <c r="W70" s="267">
        <v>0</v>
      </c>
      <c r="X70" s="267">
        <v>0</v>
      </c>
      <c r="Y70" s="446">
        <v>0</v>
      </c>
      <c r="Z70" s="266">
        <v>0</v>
      </c>
      <c r="AA70" s="267">
        <v>756</v>
      </c>
      <c r="AB70" s="267">
        <v>0</v>
      </c>
      <c r="AC70" s="446">
        <v>0</v>
      </c>
      <c r="AD70" s="266">
        <v>0</v>
      </c>
      <c r="AE70" s="267">
        <v>0</v>
      </c>
      <c r="AF70" s="267">
        <v>0</v>
      </c>
      <c r="AG70" s="446">
        <v>0</v>
      </c>
      <c r="AH70" s="266">
        <v>0</v>
      </c>
      <c r="AI70" s="267">
        <v>986</v>
      </c>
      <c r="AJ70" s="267">
        <v>0</v>
      </c>
      <c r="AK70" s="446">
        <v>0</v>
      </c>
      <c r="AL70" s="266">
        <v>0</v>
      </c>
      <c r="AM70" s="267">
        <v>2044</v>
      </c>
      <c r="AN70" s="267">
        <v>1.9999999999999998</v>
      </c>
      <c r="AO70" s="263">
        <f t="shared" si="0"/>
        <v>7889.75</v>
      </c>
      <c r="AP70" s="264">
        <f t="shared" si="1"/>
        <v>37</v>
      </c>
      <c r="AQ70" s="277">
        <v>0</v>
      </c>
      <c r="AR70" s="267">
        <v>0</v>
      </c>
      <c r="AS70" s="29"/>
      <c r="AT70" s="333"/>
      <c r="AU70" s="333"/>
      <c r="AV70" s="333"/>
      <c r="AW70" s="333"/>
      <c r="AX70" s="333"/>
      <c r="AY70" s="333"/>
      <c r="AZ70" s="333"/>
      <c r="BA70" s="333"/>
      <c r="BB70" s="333"/>
      <c r="BC70" s="333"/>
      <c r="BD70" s="333"/>
      <c r="BE70" s="333"/>
      <c r="BF70" s="333"/>
      <c r="BG70" s="333"/>
      <c r="BH70" s="333"/>
      <c r="BI70" s="333"/>
      <c r="BJ70" s="333"/>
      <c r="BK70" s="342"/>
      <c r="BL70" s="341"/>
      <c r="BM70" s="341"/>
    </row>
    <row r="71" spans="1:68" ht="24.95" customHeight="1">
      <c r="A71" s="253">
        <v>17</v>
      </c>
      <c r="B71" s="437" t="s">
        <v>105</v>
      </c>
      <c r="C71" s="277">
        <v>0</v>
      </c>
      <c r="D71" s="267">
        <v>0</v>
      </c>
      <c r="E71" s="446">
        <v>75</v>
      </c>
      <c r="F71" s="267">
        <v>1.25</v>
      </c>
      <c r="G71" s="446">
        <v>0</v>
      </c>
      <c r="H71" s="266">
        <v>0</v>
      </c>
      <c r="I71" s="446">
        <v>0</v>
      </c>
      <c r="J71" s="266">
        <v>0</v>
      </c>
      <c r="K71" s="267">
        <v>65</v>
      </c>
      <c r="L71" s="267">
        <v>0</v>
      </c>
      <c r="M71" s="446">
        <v>115</v>
      </c>
      <c r="N71" s="266">
        <v>0</v>
      </c>
      <c r="O71" s="267">
        <v>0</v>
      </c>
      <c r="P71" s="267">
        <v>0</v>
      </c>
      <c r="Q71" s="446">
        <v>87</v>
      </c>
      <c r="R71" s="266">
        <v>0</v>
      </c>
      <c r="S71" s="267">
        <v>0</v>
      </c>
      <c r="T71" s="267">
        <v>0</v>
      </c>
      <c r="U71" s="446">
        <v>0</v>
      </c>
      <c r="V71" s="266">
        <v>0</v>
      </c>
      <c r="W71" s="267">
        <v>0</v>
      </c>
      <c r="X71" s="267">
        <v>0</v>
      </c>
      <c r="Y71" s="446">
        <v>68</v>
      </c>
      <c r="Z71" s="266">
        <v>0.75</v>
      </c>
      <c r="AA71" s="267">
        <v>41</v>
      </c>
      <c r="AB71" s="267">
        <v>0</v>
      </c>
      <c r="AC71" s="446">
        <v>0</v>
      </c>
      <c r="AD71" s="266">
        <v>0</v>
      </c>
      <c r="AE71" s="267">
        <v>0</v>
      </c>
      <c r="AF71" s="267">
        <v>0</v>
      </c>
      <c r="AG71" s="446">
        <v>0</v>
      </c>
      <c r="AH71" s="266">
        <v>0</v>
      </c>
      <c r="AI71" s="267">
        <v>0</v>
      </c>
      <c r="AJ71" s="267">
        <v>0</v>
      </c>
      <c r="AK71" s="446">
        <v>0</v>
      </c>
      <c r="AL71" s="266">
        <v>0</v>
      </c>
      <c r="AM71" s="267">
        <v>0</v>
      </c>
      <c r="AN71" s="267">
        <v>0</v>
      </c>
      <c r="AO71" s="291">
        <f t="shared" si="0"/>
        <v>451</v>
      </c>
      <c r="AP71" s="264">
        <f t="shared" si="1"/>
        <v>2</v>
      </c>
      <c r="AQ71" s="277">
        <v>0</v>
      </c>
      <c r="AR71" s="267">
        <v>0</v>
      </c>
      <c r="AS71" s="29"/>
      <c r="AT71" s="333"/>
      <c r="AU71" s="333"/>
      <c r="AV71" s="333"/>
      <c r="AW71" s="333"/>
      <c r="AX71" s="333"/>
      <c r="AY71" s="333"/>
      <c r="AZ71" s="333"/>
      <c r="BA71" s="333"/>
      <c r="BB71" s="333"/>
      <c r="BC71" s="333"/>
      <c r="BD71" s="333"/>
      <c r="BE71" s="333"/>
      <c r="BF71" s="333"/>
      <c r="BG71" s="333"/>
      <c r="BH71" s="333"/>
      <c r="BI71" s="333"/>
      <c r="BJ71" s="333"/>
      <c r="BK71" s="342"/>
      <c r="BL71" s="341"/>
      <c r="BM71" s="341"/>
    </row>
    <row r="72" spans="1:68" ht="24.95" customHeight="1">
      <c r="A72" s="41"/>
      <c r="B72" s="436" t="s">
        <v>30</v>
      </c>
      <c r="C72" s="279"/>
      <c r="D72" s="294"/>
      <c r="E72" s="449"/>
      <c r="F72" s="294"/>
      <c r="G72" s="449"/>
      <c r="H72" s="261"/>
      <c r="I72" s="449"/>
      <c r="J72" s="261"/>
      <c r="K72" s="294"/>
      <c r="L72" s="294"/>
      <c r="M72" s="449"/>
      <c r="N72" s="261"/>
      <c r="O72" s="294"/>
      <c r="P72" s="294"/>
      <c r="Q72" s="449"/>
      <c r="R72" s="261"/>
      <c r="S72" s="294"/>
      <c r="T72" s="294"/>
      <c r="U72" s="449"/>
      <c r="V72" s="261"/>
      <c r="W72" s="294"/>
      <c r="X72" s="294"/>
      <c r="Y72" s="449"/>
      <c r="Z72" s="261"/>
      <c r="AA72" s="294"/>
      <c r="AB72" s="294"/>
      <c r="AC72" s="449"/>
      <c r="AD72" s="261"/>
      <c r="AE72" s="294"/>
      <c r="AF72" s="294"/>
      <c r="AG72" s="449"/>
      <c r="AH72" s="261"/>
      <c r="AI72" s="294"/>
      <c r="AJ72" s="294"/>
      <c r="AK72" s="449"/>
      <c r="AL72" s="261"/>
      <c r="AM72" s="294"/>
      <c r="AN72" s="294"/>
      <c r="AO72" s="295"/>
      <c r="AP72" s="284"/>
      <c r="AQ72" s="279"/>
      <c r="AR72" s="294"/>
      <c r="AS72" s="29"/>
      <c r="AT72" s="333"/>
      <c r="AU72" s="333"/>
      <c r="AV72" s="333"/>
      <c r="AW72" s="333"/>
      <c r="AX72" s="333"/>
      <c r="AY72" s="333"/>
      <c r="AZ72" s="333"/>
      <c r="BA72" s="333"/>
      <c r="BB72" s="333"/>
      <c r="BC72" s="333"/>
      <c r="BD72" s="333"/>
      <c r="BE72" s="333"/>
      <c r="BF72" s="333"/>
      <c r="BG72" s="333"/>
      <c r="BH72" s="333"/>
      <c r="BI72" s="333"/>
      <c r="BJ72" s="333"/>
      <c r="BK72" s="342"/>
      <c r="BL72" s="341"/>
      <c r="BM72" s="341"/>
    </row>
    <row r="73" spans="1:68" ht="24.95" customHeight="1">
      <c r="A73" s="43">
        <v>18</v>
      </c>
      <c r="B73" s="437" t="s">
        <v>38</v>
      </c>
      <c r="C73" s="277">
        <v>2807.2</v>
      </c>
      <c r="D73" s="267">
        <v>113.19999999999999</v>
      </c>
      <c r="E73" s="446">
        <v>1877.75</v>
      </c>
      <c r="F73" s="267">
        <v>41.3125</v>
      </c>
      <c r="G73" s="446">
        <v>1896</v>
      </c>
      <c r="H73" s="266">
        <v>19.63</v>
      </c>
      <c r="I73" s="446">
        <v>2896.3</v>
      </c>
      <c r="J73" s="266">
        <v>113.69999999999999</v>
      </c>
      <c r="K73" s="267">
        <v>3878.2</v>
      </c>
      <c r="L73" s="267">
        <v>53.6</v>
      </c>
      <c r="M73" s="446">
        <v>2801.35</v>
      </c>
      <c r="N73" s="266">
        <v>322.67</v>
      </c>
      <c r="O73" s="267">
        <v>131</v>
      </c>
      <c r="P73" s="267">
        <v>0</v>
      </c>
      <c r="Q73" s="446">
        <v>4782.97</v>
      </c>
      <c r="R73" s="266">
        <v>26.46</v>
      </c>
      <c r="S73" s="267">
        <v>3265.33</v>
      </c>
      <c r="T73" s="267">
        <v>48.375</v>
      </c>
      <c r="U73" s="446">
        <v>1543.46</v>
      </c>
      <c r="V73" s="266">
        <v>296.39999999999998</v>
      </c>
      <c r="W73" s="267">
        <v>0</v>
      </c>
      <c r="X73" s="267">
        <v>2844.4998999999998</v>
      </c>
      <c r="Y73" s="446">
        <v>362</v>
      </c>
      <c r="Z73" s="266">
        <v>6.2</v>
      </c>
      <c r="AA73" s="267">
        <v>1421.5</v>
      </c>
      <c r="AB73" s="267">
        <v>79.97</v>
      </c>
      <c r="AC73" s="446">
        <v>0</v>
      </c>
      <c r="AD73" s="266">
        <v>0</v>
      </c>
      <c r="AE73" s="267">
        <v>981</v>
      </c>
      <c r="AF73" s="267">
        <v>45.48</v>
      </c>
      <c r="AG73" s="446">
        <v>1259.69</v>
      </c>
      <c r="AH73" s="266">
        <v>6.9</v>
      </c>
      <c r="AI73" s="267">
        <v>2060.42</v>
      </c>
      <c r="AJ73" s="267">
        <v>17.68</v>
      </c>
      <c r="AK73" s="446">
        <v>5515</v>
      </c>
      <c r="AL73" s="266">
        <v>15.45</v>
      </c>
      <c r="AM73" s="267">
        <v>2958.5</v>
      </c>
      <c r="AN73" s="267">
        <v>175.33333333333331</v>
      </c>
      <c r="AO73" s="291">
        <f t="shared" si="0"/>
        <v>40437.67</v>
      </c>
      <c r="AP73" s="264">
        <f t="shared" si="1"/>
        <v>4226.8607333333321</v>
      </c>
      <c r="AQ73" s="277">
        <v>0</v>
      </c>
      <c r="AR73" s="267">
        <v>1910.5987</v>
      </c>
      <c r="AS73" s="29"/>
      <c r="AT73" s="333"/>
      <c r="AU73" s="333"/>
      <c r="AV73" s="333"/>
      <c r="AW73" s="333"/>
      <c r="AX73" s="333"/>
      <c r="AY73" s="333"/>
      <c r="AZ73" s="333"/>
      <c r="BA73" s="333"/>
      <c r="BB73" s="333"/>
      <c r="BC73" s="333"/>
      <c r="BD73" s="333"/>
      <c r="BE73" s="333"/>
      <c r="BF73" s="333"/>
      <c r="BG73" s="333"/>
      <c r="BH73" s="333"/>
      <c r="BI73" s="333"/>
      <c r="BJ73" s="333"/>
      <c r="BK73" s="342"/>
      <c r="BL73" s="341"/>
      <c r="BM73" s="341"/>
    </row>
    <row r="74" spans="1:68" ht="24.95" customHeight="1">
      <c r="A74" s="43">
        <v>19</v>
      </c>
      <c r="B74" s="437" t="s">
        <v>39</v>
      </c>
      <c r="C74" s="277">
        <v>3601.4</v>
      </c>
      <c r="D74" s="267">
        <v>272.60000000000002</v>
      </c>
      <c r="E74" s="446">
        <v>1258.75</v>
      </c>
      <c r="F74" s="267">
        <v>47.8125</v>
      </c>
      <c r="G74" s="446">
        <v>3037.24</v>
      </c>
      <c r="H74" s="266">
        <v>347.17</v>
      </c>
      <c r="I74" s="446">
        <v>3519.3</v>
      </c>
      <c r="J74" s="266">
        <v>476.3</v>
      </c>
      <c r="K74" s="267">
        <v>4908.2000000000007</v>
      </c>
      <c r="L74" s="267">
        <v>150.4</v>
      </c>
      <c r="M74" s="446">
        <v>6013.5</v>
      </c>
      <c r="N74" s="266">
        <v>349.29</v>
      </c>
      <c r="O74" s="267">
        <v>884.5</v>
      </c>
      <c r="P74" s="267">
        <v>5.25</v>
      </c>
      <c r="Q74" s="446">
        <v>6239.9</v>
      </c>
      <c r="R74" s="266">
        <v>70.27</v>
      </c>
      <c r="S74" s="267">
        <v>1259.8400000000001</v>
      </c>
      <c r="T74" s="267">
        <v>5</v>
      </c>
      <c r="U74" s="446">
        <v>3460.3999999999996</v>
      </c>
      <c r="V74" s="266">
        <v>560.79999999999995</v>
      </c>
      <c r="W74" s="267">
        <v>0</v>
      </c>
      <c r="X74" s="267">
        <v>3958.2083000000002</v>
      </c>
      <c r="Y74" s="446">
        <v>2148.5</v>
      </c>
      <c r="Z74" s="266">
        <v>68.7</v>
      </c>
      <c r="AA74" s="267">
        <v>4710</v>
      </c>
      <c r="AB74" s="267">
        <v>112.3</v>
      </c>
      <c r="AC74" s="446">
        <v>462</v>
      </c>
      <c r="AD74" s="266">
        <v>0</v>
      </c>
      <c r="AE74" s="267">
        <v>338</v>
      </c>
      <c r="AF74" s="267">
        <v>17.239999999999998</v>
      </c>
      <c r="AG74" s="446">
        <v>1333.3999999999999</v>
      </c>
      <c r="AH74" s="266">
        <v>41.46</v>
      </c>
      <c r="AI74" s="267">
        <v>3221.97</v>
      </c>
      <c r="AJ74" s="267">
        <v>98.61</v>
      </c>
      <c r="AK74" s="446">
        <v>5440</v>
      </c>
      <c r="AL74" s="266">
        <v>110.68</v>
      </c>
      <c r="AM74" s="267">
        <v>5115.5</v>
      </c>
      <c r="AN74" s="267">
        <v>561.41666666666686</v>
      </c>
      <c r="AO74" s="291">
        <f t="shared" si="0"/>
        <v>56952.4</v>
      </c>
      <c r="AP74" s="264">
        <f t="shared" si="1"/>
        <v>7253.5074666666669</v>
      </c>
      <c r="AQ74" s="277">
        <v>0</v>
      </c>
      <c r="AR74" s="267">
        <v>2662.5774999999999</v>
      </c>
      <c r="AS74" s="29"/>
      <c r="AT74" s="333"/>
      <c r="AU74" s="333"/>
      <c r="AV74" s="333"/>
      <c r="AW74" s="333"/>
      <c r="AX74" s="333"/>
      <c r="AY74" s="333"/>
      <c r="AZ74" s="333"/>
      <c r="BA74" s="333"/>
      <c r="BB74" s="333"/>
      <c r="BC74" s="333"/>
      <c r="BD74" s="333"/>
      <c r="BE74" s="333"/>
      <c r="BF74" s="333"/>
      <c r="BG74" s="333"/>
      <c r="BH74" s="333"/>
      <c r="BI74" s="333"/>
      <c r="BJ74" s="333"/>
      <c r="BK74" s="342"/>
      <c r="BL74" s="341"/>
      <c r="BM74" s="341"/>
    </row>
    <row r="75" spans="1:68" ht="30" customHeight="1">
      <c r="A75" s="29"/>
      <c r="B75" s="436" t="s">
        <v>3</v>
      </c>
      <c r="C75" s="443">
        <f t="shared" ref="C75:D75" si="50">SUM(C60:C74)</f>
        <v>7561.4</v>
      </c>
      <c r="D75" s="264">
        <f t="shared" si="50"/>
        <v>385.8</v>
      </c>
      <c r="E75" s="447">
        <f t="shared" ref="E75:H75" si="51">SUM(E60:E74)</f>
        <v>3211.5</v>
      </c>
      <c r="F75" s="264">
        <f t="shared" si="51"/>
        <v>90.375</v>
      </c>
      <c r="G75" s="447">
        <f t="shared" si="51"/>
        <v>7091.99</v>
      </c>
      <c r="H75" s="292">
        <f t="shared" si="51"/>
        <v>373.8</v>
      </c>
      <c r="I75" s="447">
        <f t="shared" ref="I75:J75" si="52">SUM(I60:I74)</f>
        <v>8008.6</v>
      </c>
      <c r="J75" s="292">
        <f t="shared" si="52"/>
        <v>590</v>
      </c>
      <c r="K75" s="264">
        <f t="shared" ref="K75:T75" si="53">SUM(K60:K74)</f>
        <v>10327.400000000001</v>
      </c>
      <c r="L75" s="264">
        <f t="shared" si="53"/>
        <v>204</v>
      </c>
      <c r="M75" s="447">
        <f t="shared" si="53"/>
        <v>10318.35</v>
      </c>
      <c r="N75" s="292">
        <f t="shared" si="53"/>
        <v>706.96</v>
      </c>
      <c r="O75" s="264">
        <f t="shared" si="53"/>
        <v>1015.5</v>
      </c>
      <c r="P75" s="264">
        <f t="shared" si="53"/>
        <v>5.25</v>
      </c>
      <c r="Q75" s="447">
        <f t="shared" si="53"/>
        <v>13027.869999999999</v>
      </c>
      <c r="R75" s="292">
        <f t="shared" si="53"/>
        <v>106.21</v>
      </c>
      <c r="S75" s="264">
        <f t="shared" si="53"/>
        <v>4525.17</v>
      </c>
      <c r="T75" s="264">
        <f t="shared" si="53"/>
        <v>53.375</v>
      </c>
      <c r="U75" s="447">
        <f t="shared" ref="U75:Z75" si="54">SUM(U60:U74)</f>
        <v>5003.8599999999997</v>
      </c>
      <c r="V75" s="292">
        <f t="shared" si="54"/>
        <v>857.19999999999993</v>
      </c>
      <c r="W75" s="264">
        <f t="shared" si="54"/>
        <v>0</v>
      </c>
      <c r="X75" s="264">
        <f t="shared" si="54"/>
        <v>6802.7082</v>
      </c>
      <c r="Y75" s="447">
        <f t="shared" si="54"/>
        <v>2578.5</v>
      </c>
      <c r="Z75" s="292">
        <f t="shared" si="54"/>
        <v>75.650000000000006</v>
      </c>
      <c r="AA75" s="264">
        <f t="shared" ref="AA75:AF75" si="55">SUM(AA60:AA74)</f>
        <v>6928.5</v>
      </c>
      <c r="AB75" s="264">
        <f t="shared" si="55"/>
        <v>192.26999999999998</v>
      </c>
      <c r="AC75" s="447">
        <f t="shared" si="55"/>
        <v>559</v>
      </c>
      <c r="AD75" s="292">
        <f t="shared" si="55"/>
        <v>0</v>
      </c>
      <c r="AE75" s="264">
        <f t="shared" si="55"/>
        <v>1319</v>
      </c>
      <c r="AF75" s="264">
        <f t="shared" si="55"/>
        <v>62.72</v>
      </c>
      <c r="AG75" s="447">
        <f t="shared" ref="AG75:AH75" si="56">SUM(AG60:AG74)</f>
        <v>2770.09</v>
      </c>
      <c r="AH75" s="292">
        <f t="shared" si="56"/>
        <v>48.36</v>
      </c>
      <c r="AI75" s="264">
        <f t="shared" ref="AI75:AJ75" si="57">SUM(AI60:AI74)</f>
        <v>6430.8899999999994</v>
      </c>
      <c r="AJ75" s="264">
        <f t="shared" si="57"/>
        <v>117.28999999999999</v>
      </c>
      <c r="AK75" s="447">
        <f t="shared" ref="AK75:AL75" si="58">SUM(AK60:AK74)</f>
        <v>11505.5</v>
      </c>
      <c r="AL75" s="292">
        <f t="shared" si="58"/>
        <v>127.33000000000001</v>
      </c>
      <c r="AM75" s="264">
        <f t="shared" ref="AM75:AN75" si="59">SUM(AM60:AM74)</f>
        <v>10391</v>
      </c>
      <c r="AN75" s="264">
        <f t="shared" si="59"/>
        <v>740.08333333333348</v>
      </c>
      <c r="AO75" s="291">
        <f t="shared" si="0"/>
        <v>112574.12</v>
      </c>
      <c r="AP75" s="273">
        <f t="shared" si="1"/>
        <v>11539.381533333335</v>
      </c>
      <c r="AQ75" s="443">
        <f t="shared" ref="AQ75:AR75" si="60">SUM(AQ60:AQ74)</f>
        <v>0</v>
      </c>
      <c r="AR75" s="264">
        <f t="shared" si="60"/>
        <v>4573.1761999999999</v>
      </c>
      <c r="AS75" s="29"/>
      <c r="AT75" s="333"/>
      <c r="AU75" s="333"/>
      <c r="AV75" s="333"/>
      <c r="AW75" s="333"/>
      <c r="AX75" s="333"/>
      <c r="AY75" s="333"/>
      <c r="AZ75" s="333"/>
      <c r="BA75" s="333"/>
      <c r="BB75" s="333"/>
      <c r="BC75" s="333"/>
      <c r="BD75" s="333"/>
      <c r="BE75" s="333"/>
      <c r="BF75" s="333"/>
      <c r="BG75" s="333"/>
      <c r="BH75" s="333"/>
      <c r="BI75" s="333"/>
      <c r="BJ75" s="333"/>
      <c r="BK75" s="342"/>
      <c r="BL75" s="341"/>
      <c r="BM75" s="341"/>
    </row>
    <row r="76" spans="1:68" ht="30" customHeight="1" thickBot="1">
      <c r="A76" s="44">
        <v>20</v>
      </c>
      <c r="B76" s="439" t="s">
        <v>40</v>
      </c>
      <c r="C76" s="444">
        <f t="shared" ref="C76:D76" si="61">SUM(C44,C50,C56,C75)</f>
        <v>8834.6999999999989</v>
      </c>
      <c r="D76" s="288">
        <f t="shared" si="61"/>
        <v>723.7</v>
      </c>
      <c r="E76" s="287">
        <f t="shared" ref="E76:H76" si="62">SUM(E44,E50,E56,E75)</f>
        <v>3317</v>
      </c>
      <c r="F76" s="288">
        <f t="shared" si="62"/>
        <v>148.21</v>
      </c>
      <c r="G76" s="287">
        <f t="shared" si="62"/>
        <v>8038.5199999999995</v>
      </c>
      <c r="H76" s="450">
        <f t="shared" si="62"/>
        <v>1025.01</v>
      </c>
      <c r="I76" s="287">
        <f t="shared" ref="I76:J76" si="63">SUM(I44,I50,I56,I75)</f>
        <v>8626.6</v>
      </c>
      <c r="J76" s="450">
        <f t="shared" si="63"/>
        <v>836.84799999999996</v>
      </c>
      <c r="K76" s="288">
        <f t="shared" ref="K76:T76" si="64">SUM(K44,K50,K56,K75)</f>
        <v>12399.400000000001</v>
      </c>
      <c r="L76" s="288">
        <f t="shared" si="64"/>
        <v>498.3</v>
      </c>
      <c r="M76" s="287">
        <f t="shared" si="64"/>
        <v>10751.85</v>
      </c>
      <c r="N76" s="450">
        <f t="shared" si="64"/>
        <v>927.40000000000009</v>
      </c>
      <c r="O76" s="288">
        <f t="shared" si="64"/>
        <v>1285</v>
      </c>
      <c r="P76" s="288">
        <f t="shared" si="64"/>
        <v>22.75</v>
      </c>
      <c r="Q76" s="287">
        <f t="shared" si="64"/>
        <v>15536.97</v>
      </c>
      <c r="R76" s="450">
        <f t="shared" si="64"/>
        <v>946.23</v>
      </c>
      <c r="S76" s="288">
        <f t="shared" si="64"/>
        <v>5392.07</v>
      </c>
      <c r="T76" s="288">
        <f t="shared" si="64"/>
        <v>140.85500000000002</v>
      </c>
      <c r="U76" s="287">
        <f t="shared" ref="U76:Z76" si="65">SUM(U44,U50,U56,U75)</f>
        <v>5111.8599999999997</v>
      </c>
      <c r="V76" s="450">
        <f t="shared" si="65"/>
        <v>939.59999999999991</v>
      </c>
      <c r="W76" s="288">
        <f t="shared" si="65"/>
        <v>0</v>
      </c>
      <c r="X76" s="288">
        <f t="shared" si="65"/>
        <v>6930.0420000000004</v>
      </c>
      <c r="Y76" s="287">
        <f t="shared" si="65"/>
        <v>2788.5</v>
      </c>
      <c r="Z76" s="450">
        <f t="shared" si="65"/>
        <v>244.84</v>
      </c>
      <c r="AA76" s="288">
        <f t="shared" ref="AA76:AF76" si="66">SUM(AA44,AA50,AA56,AA75)</f>
        <v>7146.33</v>
      </c>
      <c r="AB76" s="288">
        <f t="shared" si="66"/>
        <v>376.15999999999997</v>
      </c>
      <c r="AC76" s="287">
        <f t="shared" si="66"/>
        <v>642</v>
      </c>
      <c r="AD76" s="450">
        <f t="shared" si="66"/>
        <v>15</v>
      </c>
      <c r="AE76" s="288">
        <f t="shared" si="66"/>
        <v>1319</v>
      </c>
      <c r="AF76" s="288">
        <f t="shared" si="66"/>
        <v>77.22</v>
      </c>
      <c r="AG76" s="287">
        <f t="shared" ref="AG76:AH76" si="67">SUM(AG44,AG50,AG56,AG75)</f>
        <v>3705.09</v>
      </c>
      <c r="AH76" s="450">
        <f t="shared" si="67"/>
        <v>112.64</v>
      </c>
      <c r="AI76" s="288">
        <f t="shared" ref="AI76:AJ76" si="68">SUM(AI44,AI50,AI56,AI75)</f>
        <v>6927.7099999999991</v>
      </c>
      <c r="AJ76" s="288">
        <f t="shared" si="68"/>
        <v>382.74</v>
      </c>
      <c r="AK76" s="287">
        <f t="shared" ref="AK76:AL76" si="69">SUM(AK44,AK50,AK56,AK75)</f>
        <v>13501.83</v>
      </c>
      <c r="AL76" s="450">
        <f t="shared" si="69"/>
        <v>461.55999999999995</v>
      </c>
      <c r="AM76" s="288">
        <f t="shared" ref="AM76:AN76" si="70">SUM(AM44,AM50,AM56,AM75)</f>
        <v>11118</v>
      </c>
      <c r="AN76" s="288">
        <f t="shared" si="70"/>
        <v>1077.75</v>
      </c>
      <c r="AO76" s="287">
        <f t="shared" si="0"/>
        <v>126442.42999999998</v>
      </c>
      <c r="AP76" s="274">
        <f t="shared" si="1"/>
        <v>15886.854999999998</v>
      </c>
      <c r="AQ76" s="444">
        <f t="shared" ref="AQ76:AR76" si="71">SUM(AQ44,AQ50,AQ56,AQ75)</f>
        <v>0</v>
      </c>
      <c r="AR76" s="451">
        <f t="shared" si="71"/>
        <v>4671.0562</v>
      </c>
      <c r="AS76" s="274">
        <f t="shared" ref="AS76:BL76" si="72">SUM(AS53:AS54,AS60:AS63,AS65:AS68)</f>
        <v>170</v>
      </c>
      <c r="AT76" s="338">
        <f t="shared" si="72"/>
        <v>0</v>
      </c>
      <c r="AU76" s="338">
        <f t="shared" si="72"/>
        <v>187.5</v>
      </c>
      <c r="AV76" s="338">
        <f t="shared" si="72"/>
        <v>0</v>
      </c>
      <c r="AW76" s="338">
        <f t="shared" si="72"/>
        <v>291</v>
      </c>
      <c r="AX76" s="338">
        <f t="shared" si="72"/>
        <v>0</v>
      </c>
      <c r="AY76" s="338">
        <f t="shared" si="72"/>
        <v>0</v>
      </c>
      <c r="AZ76" s="338">
        <f t="shared" si="72"/>
        <v>291</v>
      </c>
      <c r="BA76" s="338">
        <f t="shared" si="72"/>
        <v>0</v>
      </c>
      <c r="BB76" s="338">
        <f t="shared" si="72"/>
        <v>0</v>
      </c>
      <c r="BC76" s="338">
        <f t="shared" si="72"/>
        <v>0</v>
      </c>
      <c r="BD76" s="338">
        <f t="shared" si="72"/>
        <v>0</v>
      </c>
      <c r="BE76" s="338">
        <f t="shared" si="72"/>
        <v>0</v>
      </c>
      <c r="BF76" s="338">
        <f t="shared" si="72"/>
        <v>0</v>
      </c>
      <c r="BG76" s="338">
        <f t="shared" si="72"/>
        <v>0</v>
      </c>
      <c r="BH76" s="338">
        <f t="shared" si="72"/>
        <v>0</v>
      </c>
      <c r="BI76" s="338">
        <f t="shared" si="72"/>
        <v>15</v>
      </c>
      <c r="BJ76" s="338">
        <f t="shared" si="72"/>
        <v>36</v>
      </c>
      <c r="BK76" s="690">
        <f t="shared" si="72"/>
        <v>6</v>
      </c>
      <c r="BL76" s="689">
        <f t="shared" si="72"/>
        <v>996.5</v>
      </c>
      <c r="BM76" s="353">
        <f t="shared" ref="BM76" si="73">SUM(BM53:BM54,BM60:BM63,BM65:BM68)</f>
        <v>0</v>
      </c>
    </row>
    <row r="77" spans="1:68" ht="24.95" customHeight="1">
      <c r="A77" s="45" t="s">
        <v>100</v>
      </c>
      <c r="C77" s="42">
        <v>8834.6999999999989</v>
      </c>
      <c r="D77" s="42">
        <v>723.7</v>
      </c>
      <c r="E77" s="42">
        <v>3317</v>
      </c>
      <c r="F77" s="42">
        <v>148.21</v>
      </c>
      <c r="G77" s="42">
        <v>8038.5199999999995</v>
      </c>
      <c r="H77" s="42">
        <v>1025.01</v>
      </c>
      <c r="I77" s="42">
        <v>8626.6</v>
      </c>
      <c r="J77" s="42">
        <v>1025.01</v>
      </c>
      <c r="K77" s="42">
        <v>12399.400000000001</v>
      </c>
      <c r="L77" s="42">
        <v>498.3</v>
      </c>
      <c r="M77" s="42">
        <v>10751.85</v>
      </c>
      <c r="N77" s="42">
        <v>927.40000000000009</v>
      </c>
      <c r="O77" s="42">
        <v>1285</v>
      </c>
      <c r="P77" s="42">
        <v>22.75</v>
      </c>
      <c r="Q77" s="42">
        <v>15536.97</v>
      </c>
      <c r="R77" s="42">
        <v>946.23</v>
      </c>
      <c r="S77" s="42">
        <v>5392.07</v>
      </c>
      <c r="T77" s="42">
        <v>140.85500000000002</v>
      </c>
      <c r="U77" s="42">
        <v>5111.8599999999997</v>
      </c>
      <c r="V77" s="42">
        <v>939.59999999999991</v>
      </c>
      <c r="W77" s="42">
        <v>0</v>
      </c>
      <c r="X77" s="42">
        <v>6930.0420000000004</v>
      </c>
      <c r="Y77" s="42">
        <v>2788.5</v>
      </c>
      <c r="Z77" s="42">
        <v>244.84</v>
      </c>
      <c r="AA77" s="42">
        <v>7146.33</v>
      </c>
      <c r="AB77" s="42">
        <v>376.15999999999997</v>
      </c>
      <c r="AC77" s="42">
        <v>642</v>
      </c>
      <c r="AD77" s="42">
        <v>15</v>
      </c>
      <c r="AE77" s="42">
        <v>1319</v>
      </c>
      <c r="AF77" s="42">
        <v>77.22</v>
      </c>
      <c r="AG77" s="42">
        <v>3705.09</v>
      </c>
      <c r="AH77" s="42">
        <v>112.64</v>
      </c>
      <c r="AI77" s="42">
        <v>6927.7099999999991</v>
      </c>
      <c r="AJ77" s="42">
        <v>382.74</v>
      </c>
      <c r="AK77" s="42">
        <v>13501.83</v>
      </c>
      <c r="AL77" s="42">
        <v>461.55999999999995</v>
      </c>
      <c r="AM77" s="42">
        <v>11118</v>
      </c>
      <c r="AN77" s="42">
        <v>1077.75</v>
      </c>
      <c r="AO77" s="42">
        <v>126442.43</v>
      </c>
      <c r="AP77" s="42">
        <v>15886.855</v>
      </c>
      <c r="AQ77" s="42">
        <v>0</v>
      </c>
      <c r="AR77" s="42">
        <v>4671.0562</v>
      </c>
    </row>
    <row r="80" spans="1:68" s="454" customFormat="1" ht="20.100000000000001" customHeight="1">
      <c r="A80" s="453" t="s">
        <v>144</v>
      </c>
      <c r="BN80"/>
      <c r="BO80"/>
      <c r="BP80"/>
    </row>
    <row r="81" spans="1:68" s="454" customFormat="1">
      <c r="BN81"/>
      <c r="BO81"/>
      <c r="BP81"/>
    </row>
    <row r="82" spans="1:68" s="454" customFormat="1">
      <c r="A82" s="455" t="s">
        <v>63</v>
      </c>
      <c r="BN82"/>
      <c r="BO82"/>
      <c r="BP82"/>
    </row>
    <row r="83" spans="1:68" s="454" customFormat="1" ht="20.100000000000001" customHeight="1">
      <c r="A83" s="456">
        <v>1</v>
      </c>
      <c r="B83" s="456">
        <v>2</v>
      </c>
      <c r="C83" s="456">
        <v>3</v>
      </c>
      <c r="D83" s="456">
        <v>4</v>
      </c>
      <c r="E83" s="456">
        <v>5</v>
      </c>
      <c r="F83" s="456">
        <v>6</v>
      </c>
      <c r="G83" s="456">
        <v>7</v>
      </c>
      <c r="H83" s="456">
        <v>8</v>
      </c>
      <c r="I83" s="456">
        <v>9</v>
      </c>
      <c r="J83" s="456">
        <v>10</v>
      </c>
      <c r="K83" s="456">
        <v>11</v>
      </c>
      <c r="L83" s="456">
        <v>12</v>
      </c>
      <c r="M83" s="456">
        <v>13</v>
      </c>
      <c r="N83" s="456">
        <v>14</v>
      </c>
      <c r="O83" s="456">
        <v>15</v>
      </c>
      <c r="P83" s="456">
        <v>16</v>
      </c>
      <c r="Q83" s="456">
        <v>17</v>
      </c>
      <c r="R83" s="456">
        <v>18</v>
      </c>
      <c r="S83" s="456">
        <v>19</v>
      </c>
      <c r="T83" s="456">
        <v>20</v>
      </c>
      <c r="U83" s="456">
        <v>21</v>
      </c>
      <c r="V83" s="456">
        <v>22</v>
      </c>
      <c r="W83" s="456">
        <v>23</v>
      </c>
      <c r="X83" s="456">
        <v>24</v>
      </c>
      <c r="Y83" s="456">
        <v>25</v>
      </c>
      <c r="Z83" s="456">
        <v>26</v>
      </c>
      <c r="AA83" s="456">
        <v>27</v>
      </c>
      <c r="AB83" s="456">
        <v>28</v>
      </c>
      <c r="AC83" s="456"/>
      <c r="AD83" s="456"/>
      <c r="AE83" s="456"/>
      <c r="AF83" s="456"/>
      <c r="AG83" s="456"/>
      <c r="AH83" s="456"/>
      <c r="AI83" s="456"/>
      <c r="AJ83" s="456"/>
      <c r="AK83" s="456"/>
      <c r="AL83" s="456"/>
      <c r="AM83" s="456"/>
      <c r="AN83" s="456"/>
      <c r="AO83" s="456"/>
      <c r="AP83" s="456"/>
      <c r="AQ83" s="456"/>
      <c r="AR83" s="456"/>
      <c r="AS83" s="456"/>
      <c r="AT83" s="456"/>
      <c r="AU83" s="456"/>
      <c r="AV83" s="456"/>
      <c r="AW83" s="456"/>
      <c r="AX83" s="456"/>
      <c r="AY83" s="456"/>
      <c r="AZ83" s="456"/>
      <c r="BA83" s="456"/>
      <c r="BN83"/>
      <c r="BO83"/>
      <c r="BP83"/>
    </row>
    <row r="84" spans="1:68" s="454" customFormat="1" ht="15.75" thickBot="1">
      <c r="BN84"/>
      <c r="BO84"/>
      <c r="BP84"/>
    </row>
    <row r="85" spans="1:68" s="454" customFormat="1" ht="35.1" customHeight="1">
      <c r="A85" s="457"/>
      <c r="B85" s="458"/>
      <c r="C85" s="1005" t="s">
        <v>145</v>
      </c>
      <c r="D85" s="998" t="s">
        <v>146</v>
      </c>
      <c r="E85" s="998"/>
      <c r="F85" s="998"/>
      <c r="G85" s="998"/>
      <c r="H85" s="998"/>
      <c r="I85" s="998"/>
      <c r="J85" s="998"/>
      <c r="K85" s="998"/>
      <c r="L85" s="998"/>
      <c r="M85" s="998"/>
      <c r="N85" s="998"/>
      <c r="O85" s="999"/>
      <c r="P85" s="997" t="s">
        <v>147</v>
      </c>
      <c r="Q85" s="998"/>
      <c r="R85" s="998"/>
      <c r="S85" s="998"/>
      <c r="T85" s="998"/>
      <c r="U85" s="998"/>
      <c r="V85" s="999"/>
      <c r="W85" s="1000" t="s">
        <v>148</v>
      </c>
      <c r="X85" s="1000"/>
      <c r="Y85" s="1000"/>
      <c r="Z85" s="1000"/>
      <c r="AA85" s="1000"/>
      <c r="AB85" s="1001" t="s">
        <v>149</v>
      </c>
      <c r="BC85" s="459"/>
      <c r="BD85" s="459"/>
      <c r="BE85" s="459"/>
      <c r="BF85" s="459"/>
      <c r="BG85" s="459"/>
      <c r="BH85" s="460"/>
      <c r="BI85" s="460"/>
      <c r="BJ85" s="460"/>
      <c r="BK85" s="461"/>
      <c r="BL85" s="461"/>
      <c r="BM85" s="461"/>
      <c r="BN85"/>
      <c r="BO85"/>
      <c r="BP85"/>
    </row>
    <row r="86" spans="1:68" s="454" customFormat="1" ht="90" customHeight="1">
      <c r="A86" s="462" t="s">
        <v>150</v>
      </c>
      <c r="B86" s="463"/>
      <c r="C86" s="1006"/>
      <c r="D86" s="464" t="s">
        <v>151</v>
      </c>
      <c r="E86" s="466" t="s">
        <v>152</v>
      </c>
      <c r="F86" s="464" t="s">
        <v>153</v>
      </c>
      <c r="G86" s="466" t="s">
        <v>154</v>
      </c>
      <c r="H86" s="465" t="s">
        <v>155</v>
      </c>
      <c r="I86" s="465" t="s">
        <v>156</v>
      </c>
      <c r="J86" s="465" t="s">
        <v>157</v>
      </c>
      <c r="K86" s="465" t="s">
        <v>158</v>
      </c>
      <c r="L86" s="465" t="s">
        <v>159</v>
      </c>
      <c r="M86" s="465" t="s">
        <v>160</v>
      </c>
      <c r="N86" s="465" t="s">
        <v>161</v>
      </c>
      <c r="O86" s="465" t="s">
        <v>3</v>
      </c>
      <c r="P86" s="467" t="s">
        <v>151</v>
      </c>
      <c r="Q86" s="466" t="s">
        <v>152</v>
      </c>
      <c r="R86" s="466" t="s">
        <v>155</v>
      </c>
      <c r="S86" s="466" t="s">
        <v>159</v>
      </c>
      <c r="T86" s="466" t="s">
        <v>160</v>
      </c>
      <c r="U86" s="466" t="s">
        <v>162</v>
      </c>
      <c r="V86" s="468" t="s">
        <v>3</v>
      </c>
      <c r="W86" s="469" t="s">
        <v>163</v>
      </c>
      <c r="X86" s="470" t="s">
        <v>164</v>
      </c>
      <c r="Y86" s="471" t="s">
        <v>165</v>
      </c>
      <c r="Z86" s="471" t="s">
        <v>166</v>
      </c>
      <c r="AA86" s="472" t="s">
        <v>167</v>
      </c>
      <c r="AB86" s="1002"/>
      <c r="BC86" s="460"/>
      <c r="BD86" s="460"/>
      <c r="BE86" s="460"/>
      <c r="BF86" s="473"/>
      <c r="BG86" s="459"/>
      <c r="BH86" s="461"/>
      <c r="BI86" s="461"/>
      <c r="BJ86" s="461"/>
      <c r="BK86" s="474"/>
      <c r="BL86" s="474"/>
      <c r="BM86" s="474"/>
      <c r="BN86"/>
      <c r="BO86"/>
      <c r="BP86"/>
    </row>
    <row r="87" spans="1:68" s="454" customFormat="1" ht="24.95" customHeight="1">
      <c r="A87" s="1003" t="s">
        <v>168</v>
      </c>
      <c r="B87" s="475" t="s">
        <v>169</v>
      </c>
      <c r="C87" s="476" t="s">
        <v>27</v>
      </c>
      <c r="D87" s="477" t="s">
        <v>27</v>
      </c>
      <c r="E87" s="478" t="s">
        <v>27</v>
      </c>
      <c r="F87" s="479" t="s">
        <v>27</v>
      </c>
      <c r="G87" s="478" t="s">
        <v>27</v>
      </c>
      <c r="H87" s="480" t="s">
        <v>27</v>
      </c>
      <c r="I87" s="480" t="s">
        <v>27</v>
      </c>
      <c r="J87" s="480" t="s">
        <v>27</v>
      </c>
      <c r="K87" s="480" t="s">
        <v>27</v>
      </c>
      <c r="L87" s="480" t="s">
        <v>27</v>
      </c>
      <c r="M87" s="480" t="s">
        <v>27</v>
      </c>
      <c r="N87" s="480" t="s">
        <v>27</v>
      </c>
      <c r="O87" s="477" t="s">
        <v>27</v>
      </c>
      <c r="P87" s="481" t="s">
        <v>27</v>
      </c>
      <c r="Q87" s="478" t="s">
        <v>27</v>
      </c>
      <c r="R87" s="479" t="s">
        <v>27</v>
      </c>
      <c r="S87" s="478" t="s">
        <v>27</v>
      </c>
      <c r="T87" s="480" t="s">
        <v>27</v>
      </c>
      <c r="U87" s="480" t="s">
        <v>27</v>
      </c>
      <c r="V87" s="482" t="s">
        <v>27</v>
      </c>
      <c r="W87" s="483" t="s">
        <v>27</v>
      </c>
      <c r="X87" s="484" t="s">
        <v>27</v>
      </c>
      <c r="Y87" s="484" t="s">
        <v>27</v>
      </c>
      <c r="Z87" s="484" t="s">
        <v>27</v>
      </c>
      <c r="AA87" s="485" t="s">
        <v>27</v>
      </c>
      <c r="AB87" s="486" t="s">
        <v>27</v>
      </c>
      <c r="BC87" s="487"/>
      <c r="BD87" s="487"/>
      <c r="BE87" s="487"/>
      <c r="BF87" s="488"/>
      <c r="BG87" s="459"/>
      <c r="BH87" s="459"/>
      <c r="BI87" s="489"/>
      <c r="BJ87" s="489"/>
      <c r="BK87" s="490"/>
      <c r="BL87" s="490"/>
      <c r="BM87" s="490"/>
      <c r="BN87"/>
      <c r="BO87"/>
      <c r="BP87"/>
    </row>
    <row r="88" spans="1:68" s="454" customFormat="1" ht="24.95" customHeight="1">
      <c r="A88" s="1004"/>
      <c r="B88" s="491"/>
      <c r="C88" s="494">
        <v>1</v>
      </c>
      <c r="D88" s="495">
        <v>2</v>
      </c>
      <c r="E88" s="492">
        <v>3</v>
      </c>
      <c r="F88" s="492">
        <v>4</v>
      </c>
      <c r="G88" s="492">
        <v>5</v>
      </c>
      <c r="H88" s="492">
        <v>6</v>
      </c>
      <c r="I88" s="492">
        <v>7</v>
      </c>
      <c r="J88" s="493">
        <v>8</v>
      </c>
      <c r="K88" s="492">
        <v>9</v>
      </c>
      <c r="L88" s="492">
        <v>10</v>
      </c>
      <c r="M88" s="492">
        <v>11</v>
      </c>
      <c r="N88" s="492">
        <v>12</v>
      </c>
      <c r="O88" s="494">
        <v>13</v>
      </c>
      <c r="P88" s="496">
        <v>14</v>
      </c>
      <c r="Q88" s="492">
        <v>15</v>
      </c>
      <c r="R88" s="493">
        <v>16</v>
      </c>
      <c r="S88" s="492">
        <v>17</v>
      </c>
      <c r="T88" s="492">
        <v>18</v>
      </c>
      <c r="U88" s="492">
        <v>19</v>
      </c>
      <c r="V88" s="494">
        <v>20</v>
      </c>
      <c r="W88" s="497">
        <v>21</v>
      </c>
      <c r="X88" s="492">
        <v>22</v>
      </c>
      <c r="Y88" s="492">
        <v>23</v>
      </c>
      <c r="Z88" s="493">
        <v>24</v>
      </c>
      <c r="AA88" s="492">
        <v>25</v>
      </c>
      <c r="AB88" s="494">
        <v>26</v>
      </c>
      <c r="BC88" s="459"/>
      <c r="BD88" s="459"/>
      <c r="BE88" s="459"/>
      <c r="BF88" s="459"/>
      <c r="BG88" s="459"/>
      <c r="BH88" s="459"/>
      <c r="BI88" s="498"/>
      <c r="BJ88" s="498"/>
      <c r="BK88" s="499"/>
      <c r="BL88" s="499"/>
      <c r="BM88" s="499"/>
      <c r="BN88"/>
      <c r="BO88"/>
      <c r="BP88"/>
    </row>
    <row r="89" spans="1:68" s="454" customFormat="1" ht="24.95" customHeight="1">
      <c r="A89" s="500">
        <v>1</v>
      </c>
      <c r="B89" s="501" t="s">
        <v>18</v>
      </c>
      <c r="C89" s="502">
        <v>6659.2999999999993</v>
      </c>
      <c r="D89" s="503">
        <v>393.6</v>
      </c>
      <c r="E89" s="504">
        <v>0</v>
      </c>
      <c r="F89" s="504">
        <v>236.1</v>
      </c>
      <c r="G89" s="504">
        <v>0</v>
      </c>
      <c r="H89" s="504">
        <v>376</v>
      </c>
      <c r="I89" s="504">
        <v>54</v>
      </c>
      <c r="J89" s="504">
        <v>0</v>
      </c>
      <c r="K89" s="504">
        <v>0</v>
      </c>
      <c r="L89" s="504">
        <v>55.6</v>
      </c>
      <c r="M89" s="504">
        <v>113.5</v>
      </c>
      <c r="N89" s="504">
        <v>0</v>
      </c>
      <c r="O89" s="505">
        <f>SUM(D89:N89)</f>
        <v>1228.8</v>
      </c>
      <c r="P89" s="506">
        <v>18</v>
      </c>
      <c r="Q89" s="507">
        <v>52.9</v>
      </c>
      <c r="R89" s="508">
        <v>0</v>
      </c>
      <c r="S89" s="507">
        <v>150</v>
      </c>
      <c r="T89" s="507">
        <v>58</v>
      </c>
      <c r="U89" s="508">
        <v>0</v>
      </c>
      <c r="V89" s="509">
        <f>SUM(P89:U89)</f>
        <v>278.89999999999998</v>
      </c>
      <c r="W89" s="510">
        <v>789</v>
      </c>
      <c r="X89" s="511">
        <v>81</v>
      </c>
      <c r="Y89" s="512">
        <v>602</v>
      </c>
      <c r="Z89" s="513">
        <v>232</v>
      </c>
      <c r="AA89" s="514">
        <v>0</v>
      </c>
      <c r="AB89" s="515">
        <v>6206</v>
      </c>
      <c r="BC89" s="489"/>
      <c r="BD89" s="489"/>
      <c r="BE89" s="489"/>
      <c r="BF89" s="489"/>
      <c r="BG89" s="459"/>
      <c r="BH89" s="459"/>
      <c r="BI89" s="489"/>
      <c r="BJ89" s="489"/>
      <c r="BK89" s="490"/>
      <c r="BL89" s="490"/>
      <c r="BM89" s="490"/>
      <c r="BN89"/>
      <c r="BO89"/>
      <c r="BP89"/>
    </row>
    <row r="90" spans="1:68" s="454" customFormat="1" ht="20.100000000000001" customHeight="1">
      <c r="A90" s="516">
        <v>2</v>
      </c>
      <c r="B90" s="517" t="s">
        <v>65</v>
      </c>
      <c r="C90" s="502">
        <v>3169.5</v>
      </c>
      <c r="D90" s="503">
        <v>0</v>
      </c>
      <c r="E90" s="504">
        <v>0</v>
      </c>
      <c r="F90" s="504">
        <v>0</v>
      </c>
      <c r="G90" s="504">
        <v>0</v>
      </c>
      <c r="H90" s="504">
        <v>0</v>
      </c>
      <c r="I90" s="504">
        <v>0</v>
      </c>
      <c r="J90" s="504">
        <v>0</v>
      </c>
      <c r="K90" s="504">
        <v>0</v>
      </c>
      <c r="L90" s="504">
        <v>0</v>
      </c>
      <c r="M90" s="504">
        <v>0</v>
      </c>
      <c r="N90" s="504">
        <v>77</v>
      </c>
      <c r="O90" s="505">
        <f>SUM(D90:N90)</f>
        <v>77</v>
      </c>
      <c r="P90" s="506">
        <v>0</v>
      </c>
      <c r="Q90" s="507">
        <v>0</v>
      </c>
      <c r="R90" s="507">
        <v>0</v>
      </c>
      <c r="S90" s="507">
        <v>0</v>
      </c>
      <c r="T90" s="507">
        <v>0</v>
      </c>
      <c r="U90" s="507">
        <v>0</v>
      </c>
      <c r="V90" s="509">
        <f t="shared" ref="V90:V107" si="74">SUM(P90:U90)</f>
        <v>0</v>
      </c>
      <c r="W90" s="510">
        <v>0</v>
      </c>
      <c r="X90" s="511">
        <v>0</v>
      </c>
      <c r="Y90" s="512">
        <v>0</v>
      </c>
      <c r="Z90" s="513">
        <v>0</v>
      </c>
      <c r="AA90" s="514">
        <v>77</v>
      </c>
      <c r="AB90" s="515">
        <v>3377</v>
      </c>
      <c r="BC90" s="489"/>
      <c r="BD90" s="489"/>
      <c r="BE90" s="489"/>
      <c r="BF90" s="489"/>
      <c r="BH90" s="489"/>
      <c r="BI90" s="489"/>
      <c r="BJ90" s="489"/>
      <c r="BK90" s="490"/>
      <c r="BL90" s="490"/>
      <c r="BM90" s="490"/>
      <c r="BN90"/>
      <c r="BO90"/>
      <c r="BP90"/>
    </row>
    <row r="91" spans="1:68" s="454" customFormat="1" ht="20.100000000000001" customHeight="1">
      <c r="A91" s="516">
        <v>3</v>
      </c>
      <c r="B91" s="517" t="s">
        <v>66</v>
      </c>
      <c r="C91" s="502">
        <v>5712.9</v>
      </c>
      <c r="D91" s="503">
        <v>354.3</v>
      </c>
      <c r="E91" s="504">
        <v>176</v>
      </c>
      <c r="F91" s="504">
        <v>201.4</v>
      </c>
      <c r="G91" s="504">
        <v>31.5</v>
      </c>
      <c r="H91" s="504">
        <v>215.4</v>
      </c>
      <c r="I91" s="504">
        <v>0</v>
      </c>
      <c r="J91" s="504">
        <v>0</v>
      </c>
      <c r="K91" s="504">
        <v>0</v>
      </c>
      <c r="L91" s="504">
        <v>38.5</v>
      </c>
      <c r="M91" s="504">
        <v>17.399999999999999</v>
      </c>
      <c r="N91" s="504">
        <v>0</v>
      </c>
      <c r="O91" s="505">
        <f t="shared" ref="O91:O107" si="75">SUM(D91:N91)</f>
        <v>1034.5</v>
      </c>
      <c r="P91" s="506">
        <v>18</v>
      </c>
      <c r="Q91" s="507">
        <v>11.800000000000011</v>
      </c>
      <c r="R91" s="508">
        <v>0</v>
      </c>
      <c r="S91" s="507">
        <f>141+10</f>
        <v>151</v>
      </c>
      <c r="T91" s="507">
        <v>22</v>
      </c>
      <c r="U91" s="507">
        <v>1070</v>
      </c>
      <c r="V91" s="509">
        <f t="shared" si="74"/>
        <v>1272.8</v>
      </c>
      <c r="W91" s="510">
        <v>660</v>
      </c>
      <c r="X91" s="511">
        <v>272</v>
      </c>
      <c r="Y91" s="512">
        <f>401+10</f>
        <v>411</v>
      </c>
      <c r="Z91" s="513">
        <v>40</v>
      </c>
      <c r="AA91" s="514">
        <v>1070</v>
      </c>
      <c r="AB91" s="515">
        <v>5292</v>
      </c>
      <c r="BC91" s="489"/>
      <c r="BD91" s="489"/>
      <c r="BE91" s="489"/>
      <c r="BF91" s="489"/>
      <c r="BH91" s="489"/>
      <c r="BI91" s="489"/>
      <c r="BJ91" s="489"/>
      <c r="BK91" s="490"/>
      <c r="BL91" s="490"/>
      <c r="BM91" s="490"/>
      <c r="BN91"/>
      <c r="BO91"/>
      <c r="BP91"/>
    </row>
    <row r="92" spans="1:68" s="454" customFormat="1" ht="20.100000000000001" customHeight="1">
      <c r="A92" s="516">
        <v>4</v>
      </c>
      <c r="B92" s="517" t="s">
        <v>67</v>
      </c>
      <c r="C92" s="502">
        <v>7403.3</v>
      </c>
      <c r="D92" s="503">
        <v>0</v>
      </c>
      <c r="E92" s="504">
        <v>0</v>
      </c>
      <c r="F92" s="504">
        <v>0</v>
      </c>
      <c r="G92" s="504">
        <v>0</v>
      </c>
      <c r="H92" s="504">
        <v>0</v>
      </c>
      <c r="I92" s="504">
        <v>0</v>
      </c>
      <c r="J92" s="504">
        <v>0</v>
      </c>
      <c r="K92" s="504">
        <v>0</v>
      </c>
      <c r="L92" s="504">
        <v>0</v>
      </c>
      <c r="M92" s="504">
        <v>0</v>
      </c>
      <c r="N92" s="504">
        <v>0</v>
      </c>
      <c r="O92" s="505">
        <f t="shared" si="75"/>
        <v>0</v>
      </c>
      <c r="P92" s="518">
        <v>0</v>
      </c>
      <c r="Q92" s="508">
        <v>0</v>
      </c>
      <c r="R92" s="508">
        <v>0</v>
      </c>
      <c r="S92" s="508">
        <v>0</v>
      </c>
      <c r="T92" s="508">
        <v>0</v>
      </c>
      <c r="U92" s="507">
        <v>1547</v>
      </c>
      <c r="V92" s="509">
        <f t="shared" si="74"/>
        <v>1547</v>
      </c>
      <c r="W92" s="510">
        <v>0</v>
      </c>
      <c r="X92" s="511">
        <v>0</v>
      </c>
      <c r="Y92" s="512">
        <v>0</v>
      </c>
      <c r="Z92" s="513">
        <v>0</v>
      </c>
      <c r="AA92" s="514">
        <v>1547</v>
      </c>
      <c r="AB92" s="515">
        <v>6097</v>
      </c>
      <c r="BC92" s="489"/>
      <c r="BD92" s="489"/>
      <c r="BE92" s="489"/>
      <c r="BF92" s="489"/>
      <c r="BH92" s="489"/>
      <c r="BI92" s="489"/>
      <c r="BJ92" s="489"/>
      <c r="BK92" s="490"/>
      <c r="BL92" s="490"/>
      <c r="BM92" s="490"/>
      <c r="BN92"/>
      <c r="BO92"/>
      <c r="BP92"/>
    </row>
    <row r="93" spans="1:68" s="454" customFormat="1" ht="20.100000000000001" customHeight="1">
      <c r="A93" s="516">
        <v>5</v>
      </c>
      <c r="B93" s="517" t="s">
        <v>68</v>
      </c>
      <c r="C93" s="502">
        <v>9159.1</v>
      </c>
      <c r="D93" s="503">
        <v>427.4</v>
      </c>
      <c r="E93" s="504">
        <v>0</v>
      </c>
      <c r="F93" s="504">
        <v>215.7</v>
      </c>
      <c r="G93" s="504">
        <v>0</v>
      </c>
      <c r="H93" s="504">
        <v>398.3</v>
      </c>
      <c r="I93" s="504">
        <v>0</v>
      </c>
      <c r="J93" s="504">
        <v>338.7</v>
      </c>
      <c r="K93" s="504">
        <v>0</v>
      </c>
      <c r="L93" s="504">
        <v>64.5</v>
      </c>
      <c r="M93" s="504">
        <v>146.1</v>
      </c>
      <c r="N93" s="504">
        <v>70</v>
      </c>
      <c r="O93" s="505">
        <f t="shared" si="75"/>
        <v>1660.6999999999998</v>
      </c>
      <c r="P93" s="506">
        <v>48</v>
      </c>
      <c r="Q93" s="508">
        <v>0</v>
      </c>
      <c r="R93" s="507">
        <v>10</v>
      </c>
      <c r="S93" s="507">
        <v>56</v>
      </c>
      <c r="T93" s="507">
        <v>0</v>
      </c>
      <c r="U93" s="508">
        <v>0</v>
      </c>
      <c r="V93" s="509">
        <f t="shared" si="74"/>
        <v>114</v>
      </c>
      <c r="W93" s="510">
        <v>1016</v>
      </c>
      <c r="X93" s="511">
        <v>0</v>
      </c>
      <c r="Y93" s="512">
        <v>560</v>
      </c>
      <c r="Z93" s="513">
        <v>506</v>
      </c>
      <c r="AA93" s="514">
        <v>70</v>
      </c>
      <c r="AB93" s="515">
        <v>8386</v>
      </c>
      <c r="BC93" s="489"/>
      <c r="BD93" s="489"/>
      <c r="BE93" s="489"/>
      <c r="BF93" s="489"/>
      <c r="BH93" s="489"/>
      <c r="BI93" s="489"/>
      <c r="BJ93" s="489"/>
      <c r="BK93" s="490"/>
      <c r="BL93" s="490"/>
      <c r="BM93" s="490"/>
      <c r="BN93"/>
      <c r="BO93"/>
      <c r="BP93"/>
    </row>
    <row r="94" spans="1:68" s="454" customFormat="1" ht="24.95" customHeight="1">
      <c r="A94" s="516">
        <v>6</v>
      </c>
      <c r="B94" s="517" t="s">
        <v>69</v>
      </c>
      <c r="C94" s="502">
        <v>9652</v>
      </c>
      <c r="D94" s="503">
        <v>0</v>
      </c>
      <c r="E94" s="504">
        <v>0</v>
      </c>
      <c r="F94" s="504">
        <v>0</v>
      </c>
      <c r="G94" s="504">
        <v>0</v>
      </c>
      <c r="H94" s="504">
        <v>0</v>
      </c>
      <c r="I94" s="504">
        <v>0</v>
      </c>
      <c r="J94" s="504">
        <v>0</v>
      </c>
      <c r="K94" s="504">
        <v>0</v>
      </c>
      <c r="L94" s="504">
        <v>0</v>
      </c>
      <c r="M94" s="504">
        <v>0</v>
      </c>
      <c r="N94" s="504">
        <v>97</v>
      </c>
      <c r="O94" s="505">
        <f t="shared" si="75"/>
        <v>97</v>
      </c>
      <c r="P94" s="518">
        <v>0</v>
      </c>
      <c r="Q94" s="508">
        <v>0</v>
      </c>
      <c r="R94" s="508">
        <v>0</v>
      </c>
      <c r="S94" s="508">
        <v>0</v>
      </c>
      <c r="T94" s="508">
        <v>0</v>
      </c>
      <c r="U94" s="507">
        <v>1378</v>
      </c>
      <c r="V94" s="509">
        <f t="shared" si="74"/>
        <v>1378</v>
      </c>
      <c r="W94" s="510">
        <v>0</v>
      </c>
      <c r="X94" s="511">
        <v>0</v>
      </c>
      <c r="Y94" s="512">
        <v>0</v>
      </c>
      <c r="Z94" s="513">
        <v>0</v>
      </c>
      <c r="AA94" s="514">
        <v>1475</v>
      </c>
      <c r="AB94" s="515">
        <v>8485</v>
      </c>
      <c r="BC94" s="489"/>
      <c r="BD94" s="489"/>
      <c r="BE94" s="489"/>
      <c r="BF94" s="489"/>
      <c r="BH94" s="489"/>
      <c r="BI94" s="489"/>
      <c r="BJ94" s="489"/>
      <c r="BK94" s="490"/>
      <c r="BL94" s="490"/>
      <c r="BM94" s="490"/>
      <c r="BN94"/>
      <c r="BO94"/>
      <c r="BP94"/>
    </row>
    <row r="95" spans="1:68" s="454" customFormat="1" ht="20.100000000000001" customHeight="1">
      <c r="A95" s="516">
        <v>7</v>
      </c>
      <c r="B95" s="517" t="s">
        <v>70</v>
      </c>
      <c r="C95" s="502">
        <v>1164.4999999999998</v>
      </c>
      <c r="D95" s="503">
        <v>0</v>
      </c>
      <c r="E95" s="504">
        <v>0</v>
      </c>
      <c r="F95" s="504">
        <v>0</v>
      </c>
      <c r="G95" s="504">
        <v>0</v>
      </c>
      <c r="H95" s="504">
        <v>0</v>
      </c>
      <c r="I95" s="504">
        <v>0</v>
      </c>
      <c r="J95" s="504">
        <v>0</v>
      </c>
      <c r="K95" s="504">
        <v>0</v>
      </c>
      <c r="L95" s="504">
        <v>0</v>
      </c>
      <c r="M95" s="504">
        <v>0</v>
      </c>
      <c r="N95" s="504">
        <v>0</v>
      </c>
      <c r="O95" s="505">
        <f t="shared" si="75"/>
        <v>0</v>
      </c>
      <c r="P95" s="519">
        <v>0</v>
      </c>
      <c r="Q95" s="508">
        <v>0</v>
      </c>
      <c r="R95" s="508">
        <v>0</v>
      </c>
      <c r="S95" s="508">
        <v>0</v>
      </c>
      <c r="T95" s="508">
        <v>0</v>
      </c>
      <c r="U95" s="508">
        <v>0</v>
      </c>
      <c r="V95" s="509">
        <f t="shared" si="74"/>
        <v>0</v>
      </c>
      <c r="W95" s="510">
        <v>0</v>
      </c>
      <c r="X95" s="511">
        <v>0</v>
      </c>
      <c r="Y95" s="512">
        <v>0</v>
      </c>
      <c r="Z95" s="513">
        <v>0</v>
      </c>
      <c r="AA95" s="514">
        <v>0</v>
      </c>
      <c r="AB95" s="515">
        <v>1003</v>
      </c>
      <c r="BC95" s="489"/>
      <c r="BD95" s="489"/>
      <c r="BE95" s="489"/>
      <c r="BF95" s="489"/>
      <c r="BH95" s="489"/>
      <c r="BI95" s="489"/>
      <c r="BJ95" s="489"/>
      <c r="BK95" s="490"/>
      <c r="BL95" s="490"/>
      <c r="BM95" s="490"/>
      <c r="BN95"/>
      <c r="BO95"/>
      <c r="BP95"/>
    </row>
    <row r="96" spans="1:68" s="454" customFormat="1" ht="20.100000000000001" customHeight="1">
      <c r="A96" s="516">
        <v>8</v>
      </c>
      <c r="B96" s="517" t="s">
        <v>71</v>
      </c>
      <c r="C96" s="502">
        <v>12121.199999999999</v>
      </c>
      <c r="D96" s="503">
        <v>537.4</v>
      </c>
      <c r="E96" s="504">
        <v>261.60000000000002</v>
      </c>
      <c r="F96" s="504">
        <v>288</v>
      </c>
      <c r="G96" s="504">
        <v>53.1</v>
      </c>
      <c r="H96" s="504">
        <v>481.1</v>
      </c>
      <c r="I96" s="504">
        <v>0</v>
      </c>
      <c r="J96" s="504">
        <v>0</v>
      </c>
      <c r="K96" s="504">
        <v>94.6</v>
      </c>
      <c r="L96" s="504">
        <v>69.099999999999994</v>
      </c>
      <c r="M96" s="504">
        <v>120.8</v>
      </c>
      <c r="N96" s="504">
        <v>76</v>
      </c>
      <c r="O96" s="505">
        <f t="shared" si="75"/>
        <v>1981.6999999999996</v>
      </c>
      <c r="P96" s="506">
        <v>81</v>
      </c>
      <c r="Q96" s="507">
        <v>8.5999999999999659</v>
      </c>
      <c r="R96" s="508">
        <v>0</v>
      </c>
      <c r="S96" s="507">
        <v>104</v>
      </c>
      <c r="T96" s="507">
        <v>63</v>
      </c>
      <c r="U96" s="508">
        <v>0</v>
      </c>
      <c r="V96" s="509">
        <f t="shared" si="74"/>
        <v>256.59999999999997</v>
      </c>
      <c r="W96" s="510">
        <v>1147</v>
      </c>
      <c r="X96" s="511">
        <v>372</v>
      </c>
      <c r="Y96" s="512">
        <v>660</v>
      </c>
      <c r="Z96" s="513">
        <v>284</v>
      </c>
      <c r="AA96" s="514">
        <v>76</v>
      </c>
      <c r="AB96" s="515">
        <v>10984</v>
      </c>
      <c r="BC96" s="489"/>
      <c r="BD96" s="489"/>
      <c r="BE96" s="489"/>
      <c r="BF96" s="489"/>
      <c r="BH96" s="489"/>
      <c r="BI96" s="489"/>
      <c r="BJ96" s="489"/>
      <c r="BK96" s="490"/>
      <c r="BL96" s="490"/>
      <c r="BM96" s="490"/>
      <c r="BN96"/>
      <c r="BO96"/>
      <c r="BP96"/>
    </row>
    <row r="97" spans="1:68" s="454" customFormat="1" ht="20.100000000000001" customHeight="1">
      <c r="A97" s="516">
        <v>9</v>
      </c>
      <c r="B97" s="517" t="s">
        <v>72</v>
      </c>
      <c r="C97" s="502">
        <v>4754.2</v>
      </c>
      <c r="D97" s="503">
        <v>0</v>
      </c>
      <c r="E97" s="504">
        <v>0</v>
      </c>
      <c r="F97" s="504">
        <v>0</v>
      </c>
      <c r="G97" s="504">
        <v>0</v>
      </c>
      <c r="H97" s="504">
        <v>0</v>
      </c>
      <c r="I97" s="504">
        <v>0</v>
      </c>
      <c r="J97" s="504">
        <v>0</v>
      </c>
      <c r="K97" s="504">
        <v>0</v>
      </c>
      <c r="L97" s="504">
        <v>0</v>
      </c>
      <c r="M97" s="504">
        <v>0</v>
      </c>
      <c r="N97" s="504">
        <v>0</v>
      </c>
      <c r="O97" s="505">
        <f t="shared" si="75"/>
        <v>0</v>
      </c>
      <c r="P97" s="519">
        <v>0</v>
      </c>
      <c r="Q97" s="508">
        <v>0</v>
      </c>
      <c r="R97" s="508">
        <v>0</v>
      </c>
      <c r="S97" s="508">
        <v>0</v>
      </c>
      <c r="T97" s="508">
        <v>0</v>
      </c>
      <c r="U97" s="508">
        <v>0</v>
      </c>
      <c r="V97" s="509">
        <f t="shared" si="74"/>
        <v>0</v>
      </c>
      <c r="W97" s="510">
        <v>0</v>
      </c>
      <c r="X97" s="511">
        <v>0</v>
      </c>
      <c r="Y97" s="512">
        <v>0</v>
      </c>
      <c r="Z97" s="513">
        <v>0</v>
      </c>
      <c r="AA97" s="514">
        <v>0</v>
      </c>
      <c r="AB97" s="515">
        <v>4325</v>
      </c>
      <c r="BC97" s="489"/>
      <c r="BD97" s="489"/>
      <c r="BE97" s="489"/>
      <c r="BF97" s="489"/>
      <c r="BH97" s="489"/>
      <c r="BI97" s="489"/>
      <c r="BJ97" s="489"/>
      <c r="BK97" s="490"/>
      <c r="BL97" s="490"/>
      <c r="BM97" s="490"/>
      <c r="BN97"/>
      <c r="BO97"/>
      <c r="BP97"/>
    </row>
    <row r="98" spans="1:68" s="454" customFormat="1" ht="20.100000000000001" customHeight="1">
      <c r="A98" s="516">
        <v>10</v>
      </c>
      <c r="B98" s="517" t="s">
        <v>73</v>
      </c>
      <c r="C98" s="502">
        <v>5983.2</v>
      </c>
      <c r="D98" s="503">
        <v>0</v>
      </c>
      <c r="E98" s="504">
        <v>0</v>
      </c>
      <c r="F98" s="504">
        <v>0</v>
      </c>
      <c r="G98" s="504">
        <v>0</v>
      </c>
      <c r="H98" s="504">
        <v>0</v>
      </c>
      <c r="I98" s="504">
        <v>0</v>
      </c>
      <c r="J98" s="504">
        <v>0</v>
      </c>
      <c r="K98" s="504">
        <v>0</v>
      </c>
      <c r="L98" s="504">
        <v>0</v>
      </c>
      <c r="M98" s="504">
        <v>0</v>
      </c>
      <c r="N98" s="504">
        <v>0</v>
      </c>
      <c r="O98" s="505">
        <f t="shared" si="75"/>
        <v>0</v>
      </c>
      <c r="P98" s="519">
        <v>0</v>
      </c>
      <c r="Q98" s="508">
        <v>0</v>
      </c>
      <c r="R98" s="508">
        <v>0</v>
      </c>
      <c r="S98" s="507">
        <v>60</v>
      </c>
      <c r="T98" s="508">
        <v>8</v>
      </c>
      <c r="U98" s="508">
        <v>0</v>
      </c>
      <c r="V98" s="509">
        <f t="shared" si="74"/>
        <v>68</v>
      </c>
      <c r="W98" s="510">
        <v>0</v>
      </c>
      <c r="X98" s="511">
        <v>0</v>
      </c>
      <c r="Y98" s="512">
        <v>60</v>
      </c>
      <c r="Z98" s="513">
        <v>8</v>
      </c>
      <c r="AA98" s="514">
        <v>0</v>
      </c>
      <c r="AB98" s="515">
        <v>6245</v>
      </c>
      <c r="BC98" s="489"/>
      <c r="BD98" s="489"/>
      <c r="BE98" s="489"/>
      <c r="BF98" s="489"/>
      <c r="BH98" s="489"/>
      <c r="BI98" s="489"/>
      <c r="BJ98" s="489"/>
      <c r="BK98" s="490"/>
      <c r="BL98" s="490"/>
      <c r="BM98" s="490"/>
      <c r="BN98"/>
      <c r="BO98"/>
      <c r="BP98"/>
    </row>
    <row r="99" spans="1:68" s="454" customFormat="1" ht="24.95" customHeight="1">
      <c r="A99" s="516">
        <v>11</v>
      </c>
      <c r="B99" s="517" t="s">
        <v>74</v>
      </c>
      <c r="C99" s="502">
        <v>4030.5999999999995</v>
      </c>
      <c r="D99" s="503">
        <v>0</v>
      </c>
      <c r="E99" s="504">
        <v>0</v>
      </c>
      <c r="F99" s="504">
        <v>0</v>
      </c>
      <c r="G99" s="504">
        <v>0</v>
      </c>
      <c r="H99" s="504">
        <v>0</v>
      </c>
      <c r="I99" s="504">
        <v>0</v>
      </c>
      <c r="J99" s="504">
        <v>0</v>
      </c>
      <c r="K99" s="504">
        <v>0</v>
      </c>
      <c r="L99" s="504">
        <v>0</v>
      </c>
      <c r="M99" s="504">
        <v>0</v>
      </c>
      <c r="N99" s="504">
        <v>0</v>
      </c>
      <c r="O99" s="505">
        <f t="shared" si="75"/>
        <v>0</v>
      </c>
      <c r="P99" s="519">
        <v>0</v>
      </c>
      <c r="Q99" s="508">
        <v>0</v>
      </c>
      <c r="R99" s="508">
        <v>0</v>
      </c>
      <c r="S99" s="508">
        <v>0</v>
      </c>
      <c r="T99" s="508">
        <v>0</v>
      </c>
      <c r="U99" s="508">
        <v>0</v>
      </c>
      <c r="V99" s="509">
        <f t="shared" si="74"/>
        <v>0</v>
      </c>
      <c r="W99" s="510">
        <v>0</v>
      </c>
      <c r="X99" s="511">
        <v>0</v>
      </c>
      <c r="Y99" s="512">
        <v>0</v>
      </c>
      <c r="Z99" s="513">
        <v>0</v>
      </c>
      <c r="AA99" s="514">
        <v>0</v>
      </c>
      <c r="AB99" s="515">
        <v>0</v>
      </c>
      <c r="BC99" s="489"/>
      <c r="BD99" s="489"/>
      <c r="BE99" s="489"/>
      <c r="BF99" s="489"/>
      <c r="BH99" s="489"/>
      <c r="BI99" s="489"/>
      <c r="BJ99" s="489"/>
      <c r="BK99" s="490"/>
      <c r="BL99" s="490"/>
      <c r="BM99" s="490"/>
      <c r="BN99"/>
      <c r="BO99"/>
      <c r="BP99"/>
    </row>
    <row r="100" spans="1:68" s="454" customFormat="1" ht="20.100000000000001" customHeight="1">
      <c r="A100" s="516">
        <v>12</v>
      </c>
      <c r="B100" s="517" t="s">
        <v>75</v>
      </c>
      <c r="C100" s="502">
        <v>2303.5</v>
      </c>
      <c r="D100" s="503">
        <v>0</v>
      </c>
      <c r="E100" s="504">
        <v>0</v>
      </c>
      <c r="F100" s="504">
        <v>0</v>
      </c>
      <c r="G100" s="504">
        <v>0</v>
      </c>
      <c r="H100" s="504">
        <v>0</v>
      </c>
      <c r="I100" s="504">
        <v>0</v>
      </c>
      <c r="J100" s="504">
        <v>0</v>
      </c>
      <c r="K100" s="504">
        <v>0</v>
      </c>
      <c r="L100" s="504">
        <v>0</v>
      </c>
      <c r="M100" s="504">
        <v>0</v>
      </c>
      <c r="N100" s="504">
        <v>71</v>
      </c>
      <c r="O100" s="505">
        <f t="shared" si="75"/>
        <v>71</v>
      </c>
      <c r="P100" s="519">
        <v>0</v>
      </c>
      <c r="Q100" s="508">
        <v>0</v>
      </c>
      <c r="R100" s="508">
        <v>0</v>
      </c>
      <c r="S100" s="508">
        <v>0</v>
      </c>
      <c r="T100" s="508">
        <v>0</v>
      </c>
      <c r="U100" s="508">
        <v>0</v>
      </c>
      <c r="V100" s="509">
        <f t="shared" si="74"/>
        <v>0</v>
      </c>
      <c r="W100" s="510">
        <v>0</v>
      </c>
      <c r="X100" s="511">
        <v>0</v>
      </c>
      <c r="Y100" s="512">
        <v>0</v>
      </c>
      <c r="Z100" s="513">
        <v>0</v>
      </c>
      <c r="AA100" s="514">
        <v>71</v>
      </c>
      <c r="AB100" s="515">
        <v>2366</v>
      </c>
      <c r="BC100" s="489"/>
      <c r="BD100" s="489"/>
      <c r="BE100" s="489"/>
      <c r="BF100" s="489"/>
      <c r="BH100" s="489"/>
      <c r="BI100" s="489"/>
      <c r="BJ100" s="489"/>
      <c r="BK100" s="490"/>
      <c r="BL100" s="490"/>
      <c r="BM100" s="490"/>
      <c r="BN100"/>
      <c r="BO100"/>
      <c r="BP100"/>
    </row>
    <row r="101" spans="1:68" s="454" customFormat="1" ht="20.100000000000001" customHeight="1">
      <c r="A101" s="516">
        <v>13</v>
      </c>
      <c r="B101" s="517" t="s">
        <v>76</v>
      </c>
      <c r="C101" s="502">
        <v>6232.9999999999991</v>
      </c>
      <c r="D101" s="503">
        <v>0</v>
      </c>
      <c r="E101" s="504">
        <v>0</v>
      </c>
      <c r="F101" s="504">
        <v>0</v>
      </c>
      <c r="G101" s="504">
        <v>0</v>
      </c>
      <c r="H101" s="504">
        <v>0</v>
      </c>
      <c r="I101" s="504">
        <v>0</v>
      </c>
      <c r="J101" s="504">
        <v>0</v>
      </c>
      <c r="K101" s="504">
        <v>0</v>
      </c>
      <c r="L101" s="504">
        <v>0</v>
      </c>
      <c r="M101" s="504">
        <v>0</v>
      </c>
      <c r="N101" s="504">
        <v>66</v>
      </c>
      <c r="O101" s="505">
        <f t="shared" si="75"/>
        <v>66</v>
      </c>
      <c r="P101" s="519">
        <v>0</v>
      </c>
      <c r="Q101" s="508">
        <v>0</v>
      </c>
      <c r="R101" s="508">
        <v>0</v>
      </c>
      <c r="S101" s="508">
        <v>0</v>
      </c>
      <c r="T101" s="508">
        <v>0</v>
      </c>
      <c r="U101" s="507">
        <v>759</v>
      </c>
      <c r="V101" s="509">
        <f t="shared" si="74"/>
        <v>759</v>
      </c>
      <c r="W101" s="510">
        <v>0</v>
      </c>
      <c r="X101" s="511">
        <v>0</v>
      </c>
      <c r="Y101" s="512">
        <v>0</v>
      </c>
      <c r="Z101" s="513">
        <v>0</v>
      </c>
      <c r="AA101" s="514">
        <v>825</v>
      </c>
      <c r="AB101" s="515">
        <v>5648</v>
      </c>
      <c r="BC101" s="489"/>
      <c r="BD101" s="489"/>
      <c r="BE101" s="489"/>
      <c r="BF101" s="489"/>
      <c r="BH101" s="489"/>
      <c r="BI101" s="489"/>
      <c r="BJ101" s="489"/>
      <c r="BK101" s="490"/>
      <c r="BL101" s="490"/>
      <c r="BM101" s="490"/>
      <c r="BN101"/>
      <c r="BO101"/>
      <c r="BP101"/>
    </row>
    <row r="102" spans="1:68" s="454" customFormat="1" ht="20.100000000000001" customHeight="1">
      <c r="A102" s="516">
        <v>14</v>
      </c>
      <c r="B102" s="520" t="s">
        <v>77</v>
      </c>
      <c r="C102" s="502">
        <f>505+4+7+8</f>
        <v>524</v>
      </c>
      <c r="D102" s="503">
        <v>0</v>
      </c>
      <c r="E102" s="504">
        <v>0</v>
      </c>
      <c r="F102" s="504">
        <v>0</v>
      </c>
      <c r="G102" s="504">
        <v>0</v>
      </c>
      <c r="H102" s="504">
        <v>0</v>
      </c>
      <c r="I102" s="504">
        <v>96.5</v>
      </c>
      <c r="J102" s="504">
        <v>0</v>
      </c>
      <c r="K102" s="504">
        <v>0</v>
      </c>
      <c r="L102" s="504">
        <v>0</v>
      </c>
      <c r="M102" s="504">
        <v>0</v>
      </c>
      <c r="N102" s="504">
        <v>0</v>
      </c>
      <c r="O102" s="505">
        <f t="shared" si="75"/>
        <v>96.5</v>
      </c>
      <c r="P102" s="519">
        <v>0</v>
      </c>
      <c r="Q102" s="508">
        <v>0</v>
      </c>
      <c r="R102" s="508">
        <v>0</v>
      </c>
      <c r="S102" s="508">
        <v>0</v>
      </c>
      <c r="T102" s="508">
        <v>0</v>
      </c>
      <c r="U102" s="508">
        <v>0</v>
      </c>
      <c r="V102" s="509">
        <f t="shared" si="74"/>
        <v>0</v>
      </c>
      <c r="W102" s="510">
        <v>0</v>
      </c>
      <c r="X102" s="511">
        <v>0</v>
      </c>
      <c r="Y102" s="512">
        <v>0</v>
      </c>
      <c r="Z102" s="513">
        <v>99</v>
      </c>
      <c r="AA102" s="514">
        <v>0</v>
      </c>
      <c r="AB102" s="515">
        <f>432+8</f>
        <v>440</v>
      </c>
      <c r="BC102" s="489"/>
      <c r="BD102" s="489"/>
      <c r="BE102" s="489"/>
      <c r="BF102" s="489"/>
      <c r="BH102" s="489"/>
      <c r="BI102" s="489"/>
      <c r="BJ102" s="489"/>
      <c r="BK102" s="490"/>
      <c r="BL102" s="490"/>
      <c r="BM102" s="490"/>
      <c r="BN102"/>
      <c r="BO102"/>
      <c r="BP102"/>
    </row>
    <row r="103" spans="1:68" s="454" customFormat="1" ht="20.100000000000001" customHeight="1">
      <c r="A103" s="516">
        <v>15</v>
      </c>
      <c r="B103" s="517" t="s">
        <v>102</v>
      </c>
      <c r="C103" s="502">
        <v>1525.9999999999998</v>
      </c>
      <c r="D103" s="503">
        <v>0</v>
      </c>
      <c r="E103" s="504">
        <v>0</v>
      </c>
      <c r="F103" s="504">
        <v>0</v>
      </c>
      <c r="G103" s="504">
        <v>0</v>
      </c>
      <c r="H103" s="504">
        <v>0</v>
      </c>
      <c r="I103" s="504">
        <v>0</v>
      </c>
      <c r="J103" s="504">
        <v>0</v>
      </c>
      <c r="K103" s="504">
        <v>0</v>
      </c>
      <c r="L103" s="504">
        <v>0</v>
      </c>
      <c r="M103" s="504">
        <v>0</v>
      </c>
      <c r="N103" s="504">
        <v>0</v>
      </c>
      <c r="O103" s="505">
        <f t="shared" si="75"/>
        <v>0</v>
      </c>
      <c r="P103" s="519">
        <v>0</v>
      </c>
      <c r="Q103" s="508">
        <v>0</v>
      </c>
      <c r="R103" s="508">
        <v>0</v>
      </c>
      <c r="S103" s="508">
        <v>0</v>
      </c>
      <c r="T103" s="508">
        <v>0</v>
      </c>
      <c r="U103" s="508">
        <v>0</v>
      </c>
      <c r="V103" s="509">
        <f t="shared" si="74"/>
        <v>0</v>
      </c>
      <c r="W103" s="510">
        <v>0</v>
      </c>
      <c r="X103" s="511">
        <v>0</v>
      </c>
      <c r="Y103" s="512">
        <v>0</v>
      </c>
      <c r="Z103" s="513">
        <v>0</v>
      </c>
      <c r="AA103" s="514">
        <v>0</v>
      </c>
      <c r="AB103" s="515">
        <v>1497</v>
      </c>
      <c r="BC103" s="489"/>
      <c r="BD103" s="489"/>
      <c r="BE103" s="489"/>
      <c r="BF103" s="489"/>
      <c r="BH103" s="489"/>
      <c r="BI103" s="489"/>
      <c r="BJ103" s="489"/>
      <c r="BK103" s="490"/>
      <c r="BL103" s="490"/>
      <c r="BM103" s="490"/>
      <c r="BN103"/>
      <c r="BO103"/>
      <c r="BP103"/>
    </row>
    <row r="104" spans="1:68" s="454" customFormat="1" ht="24.95" customHeight="1">
      <c r="A104" s="516">
        <v>16</v>
      </c>
      <c r="B104" s="517" t="s">
        <v>78</v>
      </c>
      <c r="C104" s="502">
        <f>2591+9</f>
        <v>2600</v>
      </c>
      <c r="D104" s="503">
        <v>0</v>
      </c>
      <c r="E104" s="504">
        <v>0</v>
      </c>
      <c r="F104" s="504">
        <v>179.5</v>
      </c>
      <c r="G104" s="504">
        <v>0</v>
      </c>
      <c r="H104" s="504">
        <v>0</v>
      </c>
      <c r="I104" s="504">
        <v>0</v>
      </c>
      <c r="J104" s="504">
        <v>0</v>
      </c>
      <c r="K104" s="504">
        <v>0</v>
      </c>
      <c r="L104" s="504">
        <v>0</v>
      </c>
      <c r="M104" s="504">
        <v>0</v>
      </c>
      <c r="N104" s="504">
        <v>0</v>
      </c>
      <c r="O104" s="505">
        <f t="shared" si="75"/>
        <v>179.5</v>
      </c>
      <c r="P104" s="519">
        <v>0</v>
      </c>
      <c r="Q104" s="508">
        <v>0</v>
      </c>
      <c r="R104" s="508">
        <v>0</v>
      </c>
      <c r="S104" s="508">
        <v>0</v>
      </c>
      <c r="T104" s="508">
        <v>0</v>
      </c>
      <c r="U104" s="508">
        <v>0</v>
      </c>
      <c r="V104" s="509">
        <f t="shared" si="74"/>
        <v>0</v>
      </c>
      <c r="W104" s="510">
        <v>289</v>
      </c>
      <c r="X104" s="511">
        <v>0</v>
      </c>
      <c r="Y104" s="512">
        <v>0</v>
      </c>
      <c r="Z104" s="513">
        <v>0</v>
      </c>
      <c r="AA104" s="514">
        <v>0</v>
      </c>
      <c r="AB104" s="515">
        <v>2515</v>
      </c>
      <c r="BC104" s="489"/>
      <c r="BD104" s="489"/>
      <c r="BE104" s="489"/>
      <c r="BF104" s="489"/>
      <c r="BH104" s="489"/>
      <c r="BI104" s="489"/>
      <c r="BJ104" s="489"/>
      <c r="BK104" s="490"/>
      <c r="BL104" s="490"/>
      <c r="BM104" s="490"/>
      <c r="BN104"/>
      <c r="BO104"/>
      <c r="BP104"/>
    </row>
    <row r="105" spans="1:68" s="454" customFormat="1" ht="20.100000000000001" customHeight="1">
      <c r="A105" s="516">
        <v>17</v>
      </c>
      <c r="B105" s="517" t="s">
        <v>79</v>
      </c>
      <c r="C105" s="502">
        <v>5075</v>
      </c>
      <c r="D105" s="503">
        <v>0</v>
      </c>
      <c r="E105" s="504">
        <v>0</v>
      </c>
      <c r="F105" s="504">
        <v>0</v>
      </c>
      <c r="G105" s="504">
        <v>0</v>
      </c>
      <c r="H105" s="504">
        <v>142.1</v>
      </c>
      <c r="I105" s="504">
        <v>0</v>
      </c>
      <c r="J105" s="504">
        <v>0</v>
      </c>
      <c r="K105" s="504">
        <v>0</v>
      </c>
      <c r="L105" s="504">
        <v>0</v>
      </c>
      <c r="M105" s="504">
        <v>0</v>
      </c>
      <c r="N105" s="504">
        <v>0</v>
      </c>
      <c r="O105" s="505">
        <f t="shared" si="75"/>
        <v>142.1</v>
      </c>
      <c r="P105" s="519">
        <v>0</v>
      </c>
      <c r="Q105" s="508">
        <v>0</v>
      </c>
      <c r="R105" s="508">
        <v>0</v>
      </c>
      <c r="S105" s="508">
        <v>0</v>
      </c>
      <c r="T105" s="508">
        <v>0</v>
      </c>
      <c r="U105" s="507">
        <v>945</v>
      </c>
      <c r="V105" s="509">
        <f t="shared" si="74"/>
        <v>945</v>
      </c>
      <c r="W105" s="510">
        <v>0</v>
      </c>
      <c r="X105" s="511">
        <v>0</v>
      </c>
      <c r="Y105" s="512">
        <v>143</v>
      </c>
      <c r="Z105" s="513">
        <v>0</v>
      </c>
      <c r="AA105" s="514">
        <v>945</v>
      </c>
      <c r="AB105" s="515">
        <v>4670</v>
      </c>
      <c r="BC105" s="489"/>
      <c r="BD105" s="489"/>
      <c r="BE105" s="489"/>
      <c r="BF105" s="489"/>
      <c r="BH105" s="489"/>
      <c r="BI105" s="489"/>
      <c r="BJ105" s="489"/>
      <c r="BK105" s="490"/>
      <c r="BL105" s="490"/>
      <c r="BM105" s="490"/>
      <c r="BN105"/>
      <c r="BO105"/>
      <c r="BP105"/>
    </row>
    <row r="106" spans="1:68" s="454" customFormat="1" ht="20.100000000000001" customHeight="1">
      <c r="A106" s="516">
        <v>18</v>
      </c>
      <c r="B106" s="517" t="s">
        <v>80</v>
      </c>
      <c r="C106" s="502">
        <v>11050.199999999999</v>
      </c>
      <c r="D106" s="503">
        <v>0</v>
      </c>
      <c r="E106" s="504">
        <v>0</v>
      </c>
      <c r="F106" s="504">
        <v>0</v>
      </c>
      <c r="G106" s="504">
        <v>0</v>
      </c>
      <c r="H106" s="504">
        <v>531.9</v>
      </c>
      <c r="I106" s="504">
        <v>0</v>
      </c>
      <c r="J106" s="504">
        <v>0</v>
      </c>
      <c r="K106" s="504">
        <v>0</v>
      </c>
      <c r="L106" s="504">
        <v>134.80000000000001</v>
      </c>
      <c r="M106" s="504">
        <v>345.4</v>
      </c>
      <c r="N106" s="504">
        <v>0</v>
      </c>
      <c r="O106" s="505">
        <f t="shared" si="75"/>
        <v>1012.1</v>
      </c>
      <c r="P106" s="519">
        <v>0</v>
      </c>
      <c r="Q106" s="508">
        <v>0</v>
      </c>
      <c r="R106" s="508">
        <v>0</v>
      </c>
      <c r="S106" s="507">
        <v>171</v>
      </c>
      <c r="T106" s="507">
        <v>170</v>
      </c>
      <c r="U106" s="508">
        <v>0</v>
      </c>
      <c r="V106" s="509">
        <f t="shared" si="74"/>
        <v>341</v>
      </c>
      <c r="W106" s="510">
        <v>0</v>
      </c>
      <c r="X106" s="511">
        <v>0</v>
      </c>
      <c r="Y106" s="512">
        <v>839</v>
      </c>
      <c r="Z106" s="513">
        <v>517</v>
      </c>
      <c r="AA106" s="514">
        <v>0</v>
      </c>
      <c r="AB106" s="515">
        <v>10134</v>
      </c>
      <c r="BC106" s="489"/>
      <c r="BD106" s="489"/>
      <c r="BE106" s="489"/>
      <c r="BF106" s="489"/>
      <c r="BH106" s="489"/>
      <c r="BI106" s="489"/>
      <c r="BJ106" s="489"/>
      <c r="BK106" s="490"/>
      <c r="BL106" s="490"/>
      <c r="BM106" s="490"/>
      <c r="BN106"/>
      <c r="BO106"/>
      <c r="BP106"/>
    </row>
    <row r="107" spans="1:68" s="454" customFormat="1" ht="20.100000000000001" customHeight="1">
      <c r="A107" s="516">
        <v>19</v>
      </c>
      <c r="B107" s="517" t="s">
        <v>81</v>
      </c>
      <c r="C107" s="502">
        <v>8107.8</v>
      </c>
      <c r="D107" s="503">
        <v>0</v>
      </c>
      <c r="E107" s="504">
        <v>0</v>
      </c>
      <c r="F107" s="504">
        <v>0</v>
      </c>
      <c r="G107" s="504">
        <v>0</v>
      </c>
      <c r="H107" s="504">
        <v>272.10000000000002</v>
      </c>
      <c r="I107" s="504">
        <v>0</v>
      </c>
      <c r="J107" s="504">
        <v>0</v>
      </c>
      <c r="K107" s="504">
        <v>0</v>
      </c>
      <c r="L107" s="504">
        <v>33.200000000000003</v>
      </c>
      <c r="M107" s="504">
        <v>50.2</v>
      </c>
      <c r="N107" s="504">
        <v>0</v>
      </c>
      <c r="O107" s="505">
        <f t="shared" si="75"/>
        <v>355.5</v>
      </c>
      <c r="P107" s="519">
        <v>0</v>
      </c>
      <c r="Q107" s="508">
        <v>0</v>
      </c>
      <c r="R107" s="508">
        <v>0</v>
      </c>
      <c r="S107" s="507">
        <f>88+9</f>
        <v>97</v>
      </c>
      <c r="T107" s="507">
        <v>29</v>
      </c>
      <c r="U107" s="507">
        <v>2001</v>
      </c>
      <c r="V107" s="509">
        <f t="shared" si="74"/>
        <v>2127</v>
      </c>
      <c r="W107" s="510">
        <v>0</v>
      </c>
      <c r="X107" s="511">
        <v>0</v>
      </c>
      <c r="Y107" s="512">
        <f>394+9</f>
        <v>403</v>
      </c>
      <c r="Z107" s="513">
        <v>80</v>
      </c>
      <c r="AA107" s="514">
        <v>2001</v>
      </c>
      <c r="AB107" s="515">
        <v>7766</v>
      </c>
      <c r="BC107" s="489"/>
      <c r="BD107" s="489"/>
      <c r="BE107" s="489"/>
      <c r="BF107" s="489"/>
      <c r="BH107" s="489"/>
      <c r="BI107" s="489"/>
      <c r="BJ107" s="489"/>
      <c r="BK107" s="490"/>
      <c r="BL107" s="490"/>
      <c r="BM107" s="490"/>
      <c r="BN107"/>
      <c r="BO107"/>
      <c r="BP107"/>
    </row>
    <row r="108" spans="1:68" s="454" customFormat="1" ht="30" customHeight="1" thickBot="1">
      <c r="A108" s="521"/>
      <c r="B108" s="522" t="s">
        <v>3</v>
      </c>
      <c r="C108" s="527">
        <f>SUM(C89:C107)</f>
        <v>107229.3</v>
      </c>
      <c r="D108" s="525">
        <f t="shared" ref="D108:V108" si="76">SUM(D89:D107)</f>
        <v>1712.7000000000003</v>
      </c>
      <c r="E108" s="524">
        <f t="shared" si="76"/>
        <v>437.6</v>
      </c>
      <c r="F108" s="524">
        <f t="shared" si="76"/>
        <v>1120.7</v>
      </c>
      <c r="G108" s="524">
        <f t="shared" si="76"/>
        <v>84.6</v>
      </c>
      <c r="H108" s="524">
        <f t="shared" si="76"/>
        <v>2416.9</v>
      </c>
      <c r="I108" s="524">
        <f t="shared" si="76"/>
        <v>150.5</v>
      </c>
      <c r="J108" s="524">
        <f t="shared" si="76"/>
        <v>338.7</v>
      </c>
      <c r="K108" s="524">
        <f t="shared" si="76"/>
        <v>94.6</v>
      </c>
      <c r="L108" s="524">
        <f t="shared" si="76"/>
        <v>395.7</v>
      </c>
      <c r="M108" s="524">
        <f t="shared" si="76"/>
        <v>793.40000000000009</v>
      </c>
      <c r="N108" s="524">
        <f t="shared" si="76"/>
        <v>457</v>
      </c>
      <c r="O108" s="526">
        <f t="shared" si="76"/>
        <v>8002.4000000000005</v>
      </c>
      <c r="P108" s="523">
        <f t="shared" si="76"/>
        <v>165</v>
      </c>
      <c r="Q108" s="524">
        <f t="shared" si="76"/>
        <v>73.299999999999983</v>
      </c>
      <c r="R108" s="524">
        <f t="shared" si="76"/>
        <v>10</v>
      </c>
      <c r="S108" s="524">
        <f t="shared" si="76"/>
        <v>789</v>
      </c>
      <c r="T108" s="524">
        <f t="shared" si="76"/>
        <v>350</v>
      </c>
      <c r="U108" s="524">
        <f t="shared" si="76"/>
        <v>7700</v>
      </c>
      <c r="V108" s="527">
        <f t="shared" si="76"/>
        <v>9087.2999999999993</v>
      </c>
      <c r="W108" s="528">
        <f>SUM(W89:W107)</f>
        <v>3901</v>
      </c>
      <c r="X108" s="529">
        <f t="shared" ref="X108:AB108" si="77">SUM(X89:X107)</f>
        <v>725</v>
      </c>
      <c r="Y108" s="529">
        <f t="shared" si="77"/>
        <v>3678</v>
      </c>
      <c r="Z108" s="529">
        <f t="shared" si="77"/>
        <v>1766</v>
      </c>
      <c r="AA108" s="530">
        <f t="shared" si="77"/>
        <v>8157</v>
      </c>
      <c r="AB108" s="531">
        <f t="shared" si="77"/>
        <v>95436</v>
      </c>
      <c r="BC108" s="459"/>
      <c r="BD108" s="459"/>
      <c r="BE108" s="459"/>
      <c r="BF108" s="459"/>
      <c r="BH108" s="459"/>
      <c r="BI108" s="459"/>
      <c r="BJ108" s="459"/>
      <c r="BK108" s="532"/>
      <c r="BL108" s="532"/>
      <c r="BM108" s="532"/>
      <c r="BN108"/>
      <c r="BO108"/>
      <c r="BP108"/>
    </row>
    <row r="109" spans="1:68" s="533" customFormat="1" ht="24.95" customHeight="1">
      <c r="B109" s="534" t="s">
        <v>100</v>
      </c>
      <c r="C109" s="535">
        <f>107201.3+28</f>
        <v>107229.3</v>
      </c>
      <c r="D109" s="538">
        <v>1712.7000000000003</v>
      </c>
      <c r="E109" s="538">
        <v>437.6</v>
      </c>
      <c r="F109" s="538">
        <v>1120.7</v>
      </c>
      <c r="G109" s="538">
        <v>84.6</v>
      </c>
      <c r="H109" s="538">
        <v>2416.9</v>
      </c>
      <c r="I109" s="538">
        <v>150.5</v>
      </c>
      <c r="J109" s="538">
        <v>338.7</v>
      </c>
      <c r="K109" s="538">
        <v>94.6</v>
      </c>
      <c r="L109" s="538">
        <v>395.7</v>
      </c>
      <c r="M109" s="538">
        <v>793.40000000000009</v>
      </c>
      <c r="N109" s="538">
        <v>457</v>
      </c>
      <c r="O109" s="536">
        <f>SUM(D109:N109)</f>
        <v>8002.4</v>
      </c>
      <c r="P109" s="539">
        <v>165</v>
      </c>
      <c r="Q109" s="539">
        <v>73.299999999999983</v>
      </c>
      <c r="R109" s="539">
        <v>10</v>
      </c>
      <c r="S109" s="539">
        <f>770+19</f>
        <v>789</v>
      </c>
      <c r="T109" s="539">
        <v>350</v>
      </c>
      <c r="U109" s="539">
        <v>7700</v>
      </c>
      <c r="V109" s="537">
        <f>SUM(P109:U109)</f>
        <v>9087.2999999999993</v>
      </c>
      <c r="W109" s="540">
        <v>3901</v>
      </c>
      <c r="X109" s="540">
        <v>725</v>
      </c>
      <c r="Y109" s="540">
        <f>3659+19</f>
        <v>3678</v>
      </c>
      <c r="Z109" s="540">
        <v>1766</v>
      </c>
      <c r="AA109" s="541">
        <v>8157</v>
      </c>
      <c r="AB109" s="542">
        <f>95428+8</f>
        <v>95436</v>
      </c>
      <c r="BC109" s="489"/>
      <c r="BD109" s="489"/>
      <c r="BE109" s="489"/>
      <c r="BF109" s="489"/>
      <c r="BG109" s="489"/>
      <c r="BH109" s="490"/>
      <c r="BI109" s="490"/>
      <c r="BJ109" s="490"/>
      <c r="BK109" s="490"/>
      <c r="BL109" s="490"/>
      <c r="BM109" s="490"/>
    </row>
  </sheetData>
  <sheetProtection password="DF8A" sheet="1" objects="1" scenarios="1"/>
  <mergeCells count="31">
    <mergeCell ref="P85:V85"/>
    <mergeCell ref="W85:AA85"/>
    <mergeCell ref="AB85:AB86"/>
    <mergeCell ref="A87:A88"/>
    <mergeCell ref="C85:C86"/>
    <mergeCell ref="D85:O85"/>
    <mergeCell ref="BM40:BM41"/>
    <mergeCell ref="AA40:AB40"/>
    <mergeCell ref="AC40:AD40"/>
    <mergeCell ref="Q40:R40"/>
    <mergeCell ref="S40:T40"/>
    <mergeCell ref="U40:V40"/>
    <mergeCell ref="W40:X40"/>
    <mergeCell ref="Y40:Z40"/>
    <mergeCell ref="AQ40:AR40"/>
    <mergeCell ref="AI40:AJ40"/>
    <mergeCell ref="AK40:AL40"/>
    <mergeCell ref="AM40:AN40"/>
    <mergeCell ref="AO40:AP40"/>
    <mergeCell ref="AG40:AH40"/>
    <mergeCell ref="C9:E9"/>
    <mergeCell ref="C10:D10"/>
    <mergeCell ref="C40:D40"/>
    <mergeCell ref="E40:F40"/>
    <mergeCell ref="G40:H40"/>
    <mergeCell ref="C39:AR39"/>
    <mergeCell ref="I40:J40"/>
    <mergeCell ref="AE40:AF40"/>
    <mergeCell ref="K40:L40"/>
    <mergeCell ref="M40:N40"/>
    <mergeCell ref="O40:P40"/>
  </mergeCells>
  <dataValidations count="1">
    <dataValidation allowBlank="1" sqref="C8:C31 A4 B5:B8 D7 F7 H7 J7:J8 C4:J6 D8:I8 E11 G11:H11 J11 I9:I11 B44:B75 F11:F31 D11:D31 C44:AN58 J13:J31 C60:AN71 C73:AN76 BH85:BJ85 AQ44:AR58 AQ60:AR71 AQ73:AR76"/>
  </dataValidations>
  <pageMargins left="0.19685039370078741" right="0.19685039370078741" top="0.39370078740157483" bottom="0.39370078740157483" header="0" footer="0"/>
  <pageSetup paperSize="9" scale="57" fitToWidth="12" orientation="landscape" r:id="rId1"/>
  <headerFooter>
    <oddHeader>&amp;L&amp;"Calibri,Bold"&amp;11Early Statistics 2014-15</oddHeader>
  </headerFooter>
  <colBreaks count="2" manualBreakCount="2">
    <brk id="16" min="39" max="75" man="1"/>
    <brk id="30" min="39" max="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26</vt:i4>
      </vt:variant>
    </vt:vector>
  </HeadingPairs>
  <TitlesOfParts>
    <vt:vector size="30" baseType="lpstr">
      <vt:lpstr>Final Figures 2015-16</vt:lpstr>
      <vt:lpstr>Comments</vt:lpstr>
      <vt:lpstr>Monitoring</vt:lpstr>
      <vt:lpstr>Background Data</vt:lpstr>
      <vt:lpstr>Consol_Tol_FTE</vt:lpstr>
      <vt:lpstr>Consol_Tol_Per</vt:lpstr>
      <vt:lpstr>Control_FTE_Tol</vt:lpstr>
      <vt:lpstr>Control_Per_Tol</vt:lpstr>
      <vt:lpstr>Controlled_Tol</vt:lpstr>
      <vt:lpstr>Early_Stats</vt:lpstr>
      <vt:lpstr>FPs_Ind_Nos_1516</vt:lpstr>
      <vt:lpstr>Inst_Tables</vt:lpstr>
      <vt:lpstr>Non_Control_FTE_Tol</vt:lpstr>
      <vt:lpstr>Non_Control_Per_Tol</vt:lpstr>
      <vt:lpstr>Non_controlled_Tol</vt:lpstr>
      <vt:lpstr>'Background Data'!Print_Area</vt:lpstr>
      <vt:lpstr>Comments!Print_Area</vt:lpstr>
      <vt:lpstr>'Final Figures 2015-16'!Print_Area</vt:lpstr>
      <vt:lpstr>Monitoring!Print_Area</vt:lpstr>
      <vt:lpstr>'Background Data'!Print_Titles</vt:lpstr>
      <vt:lpstr>Comments!Print_Titles</vt:lpstr>
      <vt:lpstr>Monitoring!Print_Titles</vt:lpstr>
      <vt:lpstr>RPG_FTE_Tol</vt:lpstr>
      <vt:lpstr>RPG_Per_Tol</vt:lpstr>
      <vt:lpstr>RUK_Control_FTE_Tol</vt:lpstr>
      <vt:lpstr>Warning1</vt:lpstr>
      <vt:lpstr>Warning2_for_Control</vt:lpstr>
      <vt:lpstr>Warning2_for_Non_Control</vt:lpstr>
      <vt:lpstr>Warning2_for_RPG</vt:lpstr>
      <vt:lpstr>Warning2_for_RUK_Control</vt:lpstr>
    </vt:vector>
  </TitlesOfParts>
  <Company>SFC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 Parr</dc:creator>
  <cp:lastModifiedBy>Jacqueline Jack</cp:lastModifiedBy>
  <cp:lastPrinted>2016-10-03T12:46:11Z</cp:lastPrinted>
  <dcterms:created xsi:type="dcterms:W3CDTF">2013-07-17T13:15:07Z</dcterms:created>
  <dcterms:modified xsi:type="dcterms:W3CDTF">2017-02-14T15:37:01Z</dcterms:modified>
</cp:coreProperties>
</file>